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3795" yWindow="120" windowWidth="13605" windowHeight="7755" tabRatio="805"/>
  </bookViews>
  <sheets>
    <sheet name="Table 1 State Summary " sheetId="81" r:id="rId1"/>
    <sheet name="Table 2_State Distrib and Adjs" sheetId="33" r:id="rId2"/>
    <sheet name="Table 2A-1_EFT (Annual)" sheetId="100" r:id="rId3"/>
    <sheet name="Table 2A-2 EFT (Monthly)" sheetId="72" r:id="rId4"/>
    <sheet name="Table 3 Levels 1&amp;2" sheetId="1" r:id="rId5"/>
    <sheet name="Table 4 Level 3" sheetId="2" r:id="rId6"/>
    <sheet name="Table 4A Level 4" sheetId="132" r:id="rId7"/>
    <sheet name="Table 5A1 Labs " sheetId="5" r:id="rId8"/>
    <sheet name="Table 5A2 LSMSA" sheetId="83" r:id="rId9"/>
    <sheet name="Table 5A3 NOCCA" sheetId="84" r:id="rId10"/>
    <sheet name="Table 5A4_LSDVI" sheetId="99" r:id="rId11"/>
    <sheet name="Table 5A5_SSD" sheetId="98" r:id="rId12"/>
    <sheet name="Table 5B1_RSD_Orleans" sheetId="31" r:id="rId13"/>
    <sheet name="Table 5B2_RSD_LA" sheetId="46" r:id="rId14"/>
    <sheet name="Table 5C1A-Madison Prep" sheetId="113" r:id="rId15"/>
    <sheet name="Table 5C1B-DArbonne" sheetId="114" r:id="rId16"/>
    <sheet name="Table 5C1C-Intl_VIBE" sheetId="115" r:id="rId17"/>
    <sheet name="Table 5C1D-NOMMA" sheetId="116" r:id="rId18"/>
    <sheet name="Table 5C1E-LFNO" sheetId="117" r:id="rId19"/>
    <sheet name="Table 5C1F-Lake Charles Charter" sheetId="118" r:id="rId20"/>
    <sheet name="Table 5C1G-JS Clark Academy" sheetId="119" r:id="rId21"/>
    <sheet name="Table 5C1H-Southwest LA Charter" sheetId="120" r:id="rId22"/>
    <sheet name="Table 5C1J-LA Key Academy" sheetId="125" r:id="rId23"/>
    <sheet name="Table 5C1K-Jefferson Chamber" sheetId="126" r:id="rId24"/>
    <sheet name="Table 5C1L-Tallulah Charter" sheetId="127" r:id="rId25"/>
    <sheet name="Table 5C1M-Northshore Charter" sheetId="128" r:id="rId26"/>
    <sheet name="Table 5C1N-EBR Charter" sheetId="129" r:id="rId27"/>
    <sheet name="Table 5C1O-Lake Charles HS" sheetId="130" r:id="rId28"/>
    <sheet name="Table 5C1P-Delta Charter" sheetId="131" r:id="rId29"/>
    <sheet name="Table 5C2 - LA Virtual Admy" sheetId="76" r:id="rId30"/>
    <sheet name="Table 5C3 - LA Connections EBR" sheetId="80" r:id="rId31"/>
    <sheet name="Table 5D1 - New Vision" sheetId="85" r:id="rId32"/>
    <sheet name="Table 5D2 - Glencoe" sheetId="86" r:id="rId33"/>
    <sheet name="Table 5D3 - International" sheetId="87" r:id="rId34"/>
    <sheet name="Table 5D4 - Avoyelles" sheetId="88" r:id="rId35"/>
    <sheet name="Table 5D5 - Delhi" sheetId="89" r:id="rId36"/>
    <sheet name="Table 5D6 - Milestone" sheetId="91" r:id="rId37"/>
    <sheet name="Table 5D7 - Max" sheetId="92" r:id="rId38"/>
    <sheet name="Table 5D8 - Belle Chasse" sheetId="90" r:id="rId39"/>
    <sheet name="Table 5E_OJJ" sheetId="67" r:id="rId40"/>
    <sheet name="Table 5F Scholarships " sheetId="134" r:id="rId41"/>
    <sheet name="Table 6 (Local Deduct Calc.)" sheetId="25" r:id="rId42"/>
    <sheet name="Table 7 Local Revenue" sheetId="13" r:id="rId43"/>
  </sheets>
  <externalReferences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_1_2004_2005_AFR_4_Ad_Valorem_Taxes" localSheetId="0">#REF!</definedName>
    <definedName name="_1_2004_2005_AFR_4_Ad_Valorem_Taxes" localSheetId="2">#REF!</definedName>
    <definedName name="_1_2004_2005_AFR_4_Ad_Valorem_Taxes" localSheetId="8">#REF!</definedName>
    <definedName name="_1_2004_2005_AFR_4_Ad_Valorem_Taxes" localSheetId="9">#REF!</definedName>
    <definedName name="_1_2004_2005_AFR_4_Ad_Valorem_Taxes" localSheetId="10">#REF!</definedName>
    <definedName name="_1_2004_2005_AFR_4_Ad_Valorem_Taxes" localSheetId="15">#REF!</definedName>
    <definedName name="_1_2004_2005_AFR_4_Ad_Valorem_Taxes" localSheetId="16">#REF!</definedName>
    <definedName name="_1_2004_2005_AFR_4_Ad_Valorem_Taxes" localSheetId="17">#REF!</definedName>
    <definedName name="_1_2004_2005_AFR_4_Ad_Valorem_Taxes" localSheetId="18">#REF!</definedName>
    <definedName name="_1_2004_2005_AFR_4_Ad_Valorem_Taxes" localSheetId="19">#REF!</definedName>
    <definedName name="_1_2004_2005_AFR_4_Ad_Valorem_Taxes" localSheetId="20">#REF!</definedName>
    <definedName name="_1_2004_2005_AFR_4_Ad_Valorem_Taxes" localSheetId="21">#REF!</definedName>
    <definedName name="_1_2004_2005_AFR_4_Ad_Valorem_Taxes" localSheetId="22">#REF!</definedName>
    <definedName name="_1_2004_2005_AFR_4_Ad_Valorem_Taxes" localSheetId="23">#REF!</definedName>
    <definedName name="_1_2004_2005_AFR_4_Ad_Valorem_Taxes" localSheetId="24">#REF!</definedName>
    <definedName name="_1_2004_2005_AFR_4_Ad_Valorem_Taxes" localSheetId="25">#REF!</definedName>
    <definedName name="_1_2004_2005_AFR_4_Ad_Valorem_Taxes" localSheetId="26">#REF!</definedName>
    <definedName name="_1_2004_2005_AFR_4_Ad_Valorem_Taxes" localSheetId="27">#REF!</definedName>
    <definedName name="_1_2004_2005_AFR_4_Ad_Valorem_Taxes" localSheetId="28">#REF!</definedName>
    <definedName name="_1_2004_2005_AFR_4_Ad_Valorem_Taxes" localSheetId="31">#REF!</definedName>
    <definedName name="_1_2004_2005_AFR_4_Ad_Valorem_Taxes" localSheetId="32">#REF!</definedName>
    <definedName name="_1_2004_2005_AFR_4_Ad_Valorem_Taxes" localSheetId="34">#REF!</definedName>
    <definedName name="_1_2004_2005_AFR_4_Ad_Valorem_Taxes" localSheetId="35">#REF!</definedName>
    <definedName name="_1_2004_2005_AFR_4_Ad_Valorem_Taxes" localSheetId="36">#REF!</definedName>
    <definedName name="_1_2004_2005_AFR_4_Ad_Valorem_Taxes" localSheetId="37">#REF!</definedName>
    <definedName name="_1_2004_2005_AFR_4_Ad_Valorem_Taxes" localSheetId="40">#REF!</definedName>
    <definedName name="_1_2004_2005_AFR_4_Ad_Valorem_Taxes">#REF!</definedName>
    <definedName name="Import_Elem_Secondary_ByLEA" localSheetId="0">#REF!</definedName>
    <definedName name="Import_Elem_Secondary_ByLEA" localSheetId="2">#REF!</definedName>
    <definedName name="Import_Elem_Secondary_ByLEA" localSheetId="8">#REF!</definedName>
    <definedName name="Import_Elem_Secondary_ByLEA" localSheetId="9">#REF!</definedName>
    <definedName name="Import_Elem_Secondary_ByLEA" localSheetId="10">#REF!</definedName>
    <definedName name="Import_Elem_Secondary_ByLEA" localSheetId="15">#REF!</definedName>
    <definedName name="Import_Elem_Secondary_ByLEA" localSheetId="16">#REF!</definedName>
    <definedName name="Import_Elem_Secondary_ByLEA" localSheetId="17">#REF!</definedName>
    <definedName name="Import_Elem_Secondary_ByLEA" localSheetId="18">#REF!</definedName>
    <definedName name="Import_Elem_Secondary_ByLEA" localSheetId="19">#REF!</definedName>
    <definedName name="Import_Elem_Secondary_ByLEA" localSheetId="20">#REF!</definedName>
    <definedName name="Import_Elem_Secondary_ByLEA" localSheetId="21">#REF!</definedName>
    <definedName name="Import_Elem_Secondary_ByLEA" localSheetId="22">#REF!</definedName>
    <definedName name="Import_Elem_Secondary_ByLEA" localSheetId="23">#REF!</definedName>
    <definedName name="Import_Elem_Secondary_ByLEA" localSheetId="24">#REF!</definedName>
    <definedName name="Import_Elem_Secondary_ByLEA" localSheetId="25">#REF!</definedName>
    <definedName name="Import_Elem_Secondary_ByLEA" localSheetId="26">#REF!</definedName>
    <definedName name="Import_Elem_Secondary_ByLEA" localSheetId="27">#REF!</definedName>
    <definedName name="Import_Elem_Secondary_ByLEA" localSheetId="28">#REF!</definedName>
    <definedName name="Import_Elem_Secondary_ByLEA" localSheetId="31">#REF!</definedName>
    <definedName name="Import_Elem_Secondary_ByLEA" localSheetId="32">#REF!</definedName>
    <definedName name="Import_Elem_Secondary_ByLEA" localSheetId="34">#REF!</definedName>
    <definedName name="Import_Elem_Secondary_ByLEA" localSheetId="35">#REF!</definedName>
    <definedName name="Import_Elem_Secondary_ByLEA" localSheetId="36">#REF!</definedName>
    <definedName name="Import_Elem_Secondary_ByLEA" localSheetId="37">#REF!</definedName>
    <definedName name="Import_Elem_Secondary_ByLEA" localSheetId="40">#REF!</definedName>
    <definedName name="Import_Elem_Secondary_ByLEA">#REF!</definedName>
    <definedName name="Import_K_12_ByLEA" localSheetId="0">#REF!</definedName>
    <definedName name="Import_K_12_ByLEA" localSheetId="2">#REF!</definedName>
    <definedName name="Import_K_12_ByLEA" localSheetId="8">#REF!</definedName>
    <definedName name="Import_K_12_ByLEA" localSheetId="9">#REF!</definedName>
    <definedName name="Import_K_12_ByLEA" localSheetId="10">#REF!</definedName>
    <definedName name="Import_K_12_ByLEA" localSheetId="15">#REF!</definedName>
    <definedName name="Import_K_12_ByLEA" localSheetId="16">#REF!</definedName>
    <definedName name="Import_K_12_ByLEA" localSheetId="17">#REF!</definedName>
    <definedName name="Import_K_12_ByLEA" localSheetId="18">#REF!</definedName>
    <definedName name="Import_K_12_ByLEA" localSheetId="19">#REF!</definedName>
    <definedName name="Import_K_12_ByLEA" localSheetId="20">#REF!</definedName>
    <definedName name="Import_K_12_ByLEA" localSheetId="21">#REF!</definedName>
    <definedName name="Import_K_12_ByLEA" localSheetId="22">#REF!</definedName>
    <definedName name="Import_K_12_ByLEA" localSheetId="23">#REF!</definedName>
    <definedName name="Import_K_12_ByLEA" localSheetId="24">#REF!</definedName>
    <definedName name="Import_K_12_ByLEA" localSheetId="25">#REF!</definedName>
    <definedName name="Import_K_12_ByLEA" localSheetId="26">#REF!</definedName>
    <definedName name="Import_K_12_ByLEA" localSheetId="27">#REF!</definedName>
    <definedName name="Import_K_12_ByLEA" localSheetId="28">#REF!</definedName>
    <definedName name="Import_K_12_ByLEA" localSheetId="31">#REF!</definedName>
    <definedName name="Import_K_12_ByLEA" localSheetId="32">#REF!</definedName>
    <definedName name="Import_K_12_ByLEA" localSheetId="34">#REF!</definedName>
    <definedName name="Import_K_12_ByLEA" localSheetId="35">#REF!</definedName>
    <definedName name="Import_K_12_ByLEA" localSheetId="36">#REF!</definedName>
    <definedName name="Import_K_12_ByLEA" localSheetId="37">#REF!</definedName>
    <definedName name="Import_K_12_ByLEA" localSheetId="40">#REF!</definedName>
    <definedName name="Import_K_12_ByLEA">#REF!</definedName>
    <definedName name="Import_MFP_and_Other_Funded_ByLEA" localSheetId="0">#REF!</definedName>
    <definedName name="Import_MFP_and_Other_Funded_ByLEA" localSheetId="2">#REF!</definedName>
    <definedName name="Import_MFP_and_Other_Funded_ByLEA" localSheetId="10">#REF!</definedName>
    <definedName name="Import_MFP_and_Other_Funded_ByLEA" localSheetId="15">#REF!</definedName>
    <definedName name="Import_MFP_and_Other_Funded_ByLEA" localSheetId="16">#REF!</definedName>
    <definedName name="Import_MFP_and_Other_Funded_ByLEA" localSheetId="17">#REF!</definedName>
    <definedName name="Import_MFP_and_Other_Funded_ByLEA" localSheetId="18">#REF!</definedName>
    <definedName name="Import_MFP_and_Other_Funded_ByLEA" localSheetId="19">#REF!</definedName>
    <definedName name="Import_MFP_and_Other_Funded_ByLEA" localSheetId="20">#REF!</definedName>
    <definedName name="Import_MFP_and_Other_Funded_ByLEA" localSheetId="21">#REF!</definedName>
    <definedName name="Import_MFP_and_Other_Funded_ByLEA" localSheetId="22">#REF!</definedName>
    <definedName name="Import_MFP_and_Other_Funded_ByLEA" localSheetId="23">#REF!</definedName>
    <definedName name="Import_MFP_and_Other_Funded_ByLEA" localSheetId="24">#REF!</definedName>
    <definedName name="Import_MFP_and_Other_Funded_ByLEA" localSheetId="25">#REF!</definedName>
    <definedName name="Import_MFP_and_Other_Funded_ByLEA" localSheetId="26">#REF!</definedName>
    <definedName name="Import_MFP_and_Other_Funded_ByLEA" localSheetId="27">#REF!</definedName>
    <definedName name="Import_MFP_and_Other_Funded_ByLEA" localSheetId="28">#REF!</definedName>
    <definedName name="Import_MFP_and_Other_Funded_ByLEA" localSheetId="31">#REF!</definedName>
    <definedName name="Import_MFP_and_Other_Funded_ByLEA" localSheetId="32">#REF!</definedName>
    <definedName name="Import_MFP_and_Other_Funded_ByLEA" localSheetId="34">#REF!</definedName>
    <definedName name="Import_MFP_and_Other_Funded_ByLEA" localSheetId="35">#REF!</definedName>
    <definedName name="Import_MFP_and_Other_Funded_ByLEA" localSheetId="36">#REF!</definedName>
    <definedName name="Import_MFP_and_Other_Funded_ByLEA" localSheetId="37">#REF!</definedName>
    <definedName name="Import_MFP_and_Other_Funded_ByLEA" localSheetId="40">#REF!</definedName>
    <definedName name="Import_MFP_and_Other_Funded_ByLEA">#REF!</definedName>
    <definedName name="Import_Total_Reported_ByLEA" localSheetId="0">#REF!</definedName>
    <definedName name="Import_Total_Reported_ByLEA" localSheetId="2">#REF!</definedName>
    <definedName name="Import_Total_Reported_ByLEA" localSheetId="10">#REF!</definedName>
    <definedName name="Import_Total_Reported_ByLEA" localSheetId="15">#REF!</definedName>
    <definedName name="Import_Total_Reported_ByLEA" localSheetId="16">#REF!</definedName>
    <definedName name="Import_Total_Reported_ByLEA" localSheetId="17">#REF!</definedName>
    <definedName name="Import_Total_Reported_ByLEA" localSheetId="18">#REF!</definedName>
    <definedName name="Import_Total_Reported_ByLEA" localSheetId="19">#REF!</definedName>
    <definedName name="Import_Total_Reported_ByLEA" localSheetId="20">#REF!</definedName>
    <definedName name="Import_Total_Reported_ByLEA" localSheetId="21">#REF!</definedName>
    <definedName name="Import_Total_Reported_ByLEA" localSheetId="22">#REF!</definedName>
    <definedName name="Import_Total_Reported_ByLEA" localSheetId="23">#REF!</definedName>
    <definedName name="Import_Total_Reported_ByLEA" localSheetId="24">#REF!</definedName>
    <definedName name="Import_Total_Reported_ByLEA" localSheetId="25">#REF!</definedName>
    <definedName name="Import_Total_Reported_ByLEA" localSheetId="26">#REF!</definedName>
    <definedName name="Import_Total_Reported_ByLEA" localSheetId="27">#REF!</definedName>
    <definedName name="Import_Total_Reported_ByLEA" localSheetId="28">#REF!</definedName>
    <definedName name="Import_Total_Reported_ByLEA" localSheetId="31">#REF!</definedName>
    <definedName name="Import_Total_Reported_ByLEA" localSheetId="32">#REF!</definedName>
    <definedName name="Import_Total_Reported_ByLEA" localSheetId="34">#REF!</definedName>
    <definedName name="Import_Total_Reported_ByLEA" localSheetId="35">#REF!</definedName>
    <definedName name="Import_Total_Reported_ByLEA" localSheetId="36">#REF!</definedName>
    <definedName name="Import_Total_Reported_ByLEA" localSheetId="37">#REF!</definedName>
    <definedName name="Import_Total_Reported_ByLEA" localSheetId="40">#REF!</definedName>
    <definedName name="Import_Total_Reported_ByLEA">#REF!</definedName>
    <definedName name="_xlnm.Print_Area" localSheetId="0">'Table 1 State Summary '!$A$1:$H$96</definedName>
    <definedName name="_xlnm.Print_Area" localSheetId="1">'Table 2_State Distrib and Adjs'!$A$1:$AM$77</definedName>
    <definedName name="_xlnm.Print_Area" localSheetId="2">'Table 2A-1_EFT (Annual)'!$A$1:$AL$77</definedName>
    <definedName name="_xlnm.Print_Area" localSheetId="3">'Table 2A-2 EFT (Monthly)'!$A$1:$BO$75</definedName>
    <definedName name="_xlnm.Print_Area" localSheetId="4">'Table 3 Levels 1&amp;2'!$A$1:$CI$79</definedName>
    <definedName name="_xlnm.Print_Area" localSheetId="5">'Table 4 Level 3'!$A$1:$Q$78</definedName>
    <definedName name="_xlnm.Print_Area" localSheetId="6">'Table 4A Level 4'!$A$1:$K$208</definedName>
    <definedName name="_xlnm.Print_Area" localSheetId="7">'Table 5A1 Labs '!$A$1:$L$12</definedName>
    <definedName name="_xlnm.Print_Area" localSheetId="8">'Table 5A2 LSMSA'!$A$2:$P$77</definedName>
    <definedName name="_xlnm.Print_Area" localSheetId="9">'Table 5A3 NOCCA'!$A$2:$N$76</definedName>
    <definedName name="_xlnm.Print_Area" localSheetId="10">'Table 5A4_LSDVI'!$A$2:$N$78</definedName>
    <definedName name="_xlnm.Print_Area" localSheetId="11">'Table 5A5_SSD'!$A$2:$N$79</definedName>
    <definedName name="_xlnm.Print_Area" localSheetId="12">'Table 5B1_RSD_Orleans'!$A$1:$S$76</definedName>
    <definedName name="_xlnm.Print_Area" localSheetId="13">'Table 5B2_RSD_LA'!$A$3:$Z$44</definedName>
    <definedName name="_xlnm.Print_Area" localSheetId="14">'Table 5C1A-Madison Prep'!$A$2:$X$76</definedName>
    <definedName name="_xlnm.Print_Area" localSheetId="15">'Table 5C1B-DArbonne'!$A$2:$V$77</definedName>
    <definedName name="_xlnm.Print_Area" localSheetId="16">'Table 5C1C-Intl_VIBE'!$A$2:$V$76</definedName>
    <definedName name="_xlnm.Print_Area" localSheetId="17">'Table 5C1D-NOMMA'!$A$2:$V$76</definedName>
    <definedName name="_xlnm.Print_Area" localSheetId="18">'Table 5C1E-LFNO'!$A$2:$X$76</definedName>
    <definedName name="_xlnm.Print_Area" localSheetId="19">'Table 5C1F-Lake Charles Charter'!$A$2:$V$76</definedName>
    <definedName name="_xlnm.Print_Area" localSheetId="20">'Table 5C1G-JS Clark Academy'!$A$2:$V$76</definedName>
    <definedName name="_xlnm.Print_Area" localSheetId="21">'Table 5C1H-Southwest LA Charter'!$A$2:$V$76</definedName>
    <definedName name="_xlnm.Print_Area" localSheetId="22">'Table 5C1J-LA Key Academy'!$A$2:$V$76</definedName>
    <definedName name="_xlnm.Print_Area" localSheetId="23">'Table 5C1K-Jefferson Chamber'!$A$2:$V$76</definedName>
    <definedName name="_xlnm.Print_Area" localSheetId="24">'Table 5C1L-Tallulah Charter'!$A$2:$V$76</definedName>
    <definedName name="_xlnm.Print_Area" localSheetId="25">'Table 5C1M-Northshore Charter'!$A$2:$V$76</definedName>
    <definedName name="_xlnm.Print_Area" localSheetId="26">'Table 5C1N-EBR Charter'!$A$2:$V$76</definedName>
    <definedName name="_xlnm.Print_Area" localSheetId="27">'Table 5C1O-Lake Charles HS'!$A$2:$V$76</definedName>
    <definedName name="_xlnm.Print_Area" localSheetId="28">'Table 5C1P-Delta Charter'!$A$2:$V$76</definedName>
    <definedName name="_xlnm.Print_Area" localSheetId="29">'Table 5C2 - LA Virtual Admy'!$A$1:$W$79</definedName>
    <definedName name="_xlnm.Print_Area" localSheetId="30">'Table 5C3 - LA Connections EBR'!$A$1:$W$79</definedName>
    <definedName name="_xlnm.Print_Area" localSheetId="31">'Table 5D1 - New Vision'!$A$2:$U$78</definedName>
    <definedName name="_xlnm.Print_Area" localSheetId="32">'Table 5D2 - Glencoe'!$A$2:$U$78</definedName>
    <definedName name="_xlnm.Print_Area" localSheetId="33">'Table 5D3 - International'!$A$2:$W$78</definedName>
    <definedName name="_xlnm.Print_Area" localSheetId="34">'Table 5D4 - Avoyelles'!$A$2:$U$78</definedName>
    <definedName name="_xlnm.Print_Area" localSheetId="35">'Table 5D5 - Delhi'!$A$2:$U$78</definedName>
    <definedName name="_xlnm.Print_Area" localSheetId="36">'Table 5D6 - Milestone'!$A$2:$U$78</definedName>
    <definedName name="_xlnm.Print_Area" localSheetId="37">'Table 5D7 - Max'!$A$2:$U$78</definedName>
    <definedName name="_xlnm.Print_Area" localSheetId="38">'Table 5D8 - Belle Chasse'!$A$2:$Y$80</definedName>
    <definedName name="_xlnm.Print_Area" localSheetId="39">'Table 5E_OJJ'!$A$2:$W$78</definedName>
    <definedName name="_xlnm.Print_Area" localSheetId="40">'Table 5F Scholarships '!$A$1:$W$975</definedName>
    <definedName name="_xlnm.Print_Area" localSheetId="41">'Table 6 (Local Deduct Calc.)'!$A$3:$J$78</definedName>
    <definedName name="_xlnm.Print_Area" localSheetId="42">'Table 7 Local Revenue'!$A$3:$AR$77</definedName>
    <definedName name="_xlnm.Print_Titles" localSheetId="0">'Table 1 State Summary '!$1:$8</definedName>
    <definedName name="_xlnm.Print_Titles" localSheetId="1">'Table 2_State Distrib and Adjs'!$A:$B</definedName>
    <definedName name="_xlnm.Print_Titles" localSheetId="2">'Table 2A-1_EFT (Annual)'!$B:$B</definedName>
    <definedName name="_xlnm.Print_Titles" localSheetId="3">'Table 2A-2 EFT (Monthly)'!$A:$B</definedName>
    <definedName name="_xlnm.Print_Titles" localSheetId="4">'Table 3 Levels 1&amp;2'!$A:$B,'Table 3 Levels 1&amp;2'!$2:$8</definedName>
    <definedName name="_xlnm.Print_Titles" localSheetId="5">'Table 4 Level 3'!$A:$B</definedName>
    <definedName name="_xlnm.Print_Titles" localSheetId="6">'Table 4A Level 4'!$1:$5</definedName>
    <definedName name="_xlnm.Print_Titles" localSheetId="7">'Table 5A1 Labs '!$1:$1</definedName>
    <definedName name="_xlnm.Print_Titles" localSheetId="8">'Table 5A2 LSMSA'!$B:$B,'Table 5A2 LSMSA'!$2:$5</definedName>
    <definedName name="_xlnm.Print_Titles" localSheetId="9">'Table 5A3 NOCCA'!$B:$B,'Table 5A3 NOCCA'!$2:$5</definedName>
    <definedName name="_xlnm.Print_Titles" localSheetId="10">'Table 5A4_LSDVI'!$B:$B,'Table 5A4_LSDVI'!$2:$5</definedName>
    <definedName name="_xlnm.Print_Titles" localSheetId="11">'Table 5A5_SSD'!$B:$B,'Table 5A5_SSD'!$2:$5</definedName>
    <definedName name="_xlnm.Print_Titles" localSheetId="12">'Table 5B1_RSD_Orleans'!$B:$B,'Table 5B1_RSD_Orleans'!$3:$6</definedName>
    <definedName name="_xlnm.Print_Titles" localSheetId="13">'Table 5B2_RSD_LA'!$A:$B</definedName>
    <definedName name="_xlnm.Print_Titles" localSheetId="14">'Table 5C1A-Madison Prep'!$A:$B,'Table 5C1A-Madison Prep'!$2:$6</definedName>
    <definedName name="_xlnm.Print_Titles" localSheetId="15">'Table 5C1B-DArbonne'!$A:$B,'Table 5C1B-DArbonne'!$2:$6</definedName>
    <definedName name="_xlnm.Print_Titles" localSheetId="16">'Table 5C1C-Intl_VIBE'!$A:$B,'Table 5C1C-Intl_VIBE'!$2:$6</definedName>
    <definedName name="_xlnm.Print_Titles" localSheetId="17">'Table 5C1D-NOMMA'!$A:$B,'Table 5C1D-NOMMA'!$2:$6</definedName>
    <definedName name="_xlnm.Print_Titles" localSheetId="18">'Table 5C1E-LFNO'!$A:$B,'Table 5C1E-LFNO'!$2:$6</definedName>
    <definedName name="_xlnm.Print_Titles" localSheetId="19">'Table 5C1F-Lake Charles Charter'!$A:$B,'Table 5C1F-Lake Charles Charter'!$2:$6</definedName>
    <definedName name="_xlnm.Print_Titles" localSheetId="20">'Table 5C1G-JS Clark Academy'!$A:$B,'Table 5C1G-JS Clark Academy'!$2:$6</definedName>
    <definedName name="_xlnm.Print_Titles" localSheetId="21">'Table 5C1H-Southwest LA Charter'!$A:$B,'Table 5C1H-Southwest LA Charter'!$2:$6</definedName>
    <definedName name="_xlnm.Print_Titles" localSheetId="22">'Table 5C1J-LA Key Academy'!$A:$B,'Table 5C1J-LA Key Academy'!$2:$6</definedName>
    <definedName name="_xlnm.Print_Titles" localSheetId="23">'Table 5C1K-Jefferson Chamber'!$A:$B,'Table 5C1K-Jefferson Chamber'!$2:$6</definedName>
    <definedName name="_xlnm.Print_Titles" localSheetId="24">'Table 5C1L-Tallulah Charter'!$A:$B,'Table 5C1L-Tallulah Charter'!$2:$6</definedName>
    <definedName name="_xlnm.Print_Titles" localSheetId="25">'Table 5C1M-Northshore Charter'!$A:$B,'Table 5C1M-Northshore Charter'!$2:$6</definedName>
    <definedName name="_xlnm.Print_Titles" localSheetId="26">'Table 5C1N-EBR Charter'!$A:$B,'Table 5C1N-EBR Charter'!$2:$6</definedName>
    <definedName name="_xlnm.Print_Titles" localSheetId="27">'Table 5C1O-Lake Charles HS'!$A:$B,'Table 5C1O-Lake Charles HS'!$2:$6</definedName>
    <definedName name="_xlnm.Print_Titles" localSheetId="28">'Table 5C1P-Delta Charter'!$A:$B,'Table 5C1P-Delta Charter'!$2:$6</definedName>
    <definedName name="_xlnm.Print_Titles" localSheetId="29">'Table 5C2 - LA Virtual Admy'!$B:$B</definedName>
    <definedName name="_xlnm.Print_Titles" localSheetId="30">'Table 5C3 - LA Connections EBR'!$A:$B</definedName>
    <definedName name="_xlnm.Print_Titles" localSheetId="31">'Table 5D1 - New Vision'!$B:$B,'Table 5D1 - New Vision'!$2:$5</definedName>
    <definedName name="_xlnm.Print_Titles" localSheetId="32">'Table 5D2 - Glencoe'!$B:$B,'Table 5D2 - Glencoe'!$2:$5</definedName>
    <definedName name="_xlnm.Print_Titles" localSheetId="33">'Table 5D3 - International'!$B:$B,'Table 5D3 - International'!$2:$5</definedName>
    <definedName name="_xlnm.Print_Titles" localSheetId="34">'Table 5D4 - Avoyelles'!$B:$B,'Table 5D4 - Avoyelles'!$2:$5</definedName>
    <definedName name="_xlnm.Print_Titles" localSheetId="35">'Table 5D5 - Delhi'!$B:$B,'Table 5D5 - Delhi'!$2:$5</definedName>
    <definedName name="_xlnm.Print_Titles" localSheetId="36">'Table 5D6 - Milestone'!$B:$B,'Table 5D6 - Milestone'!$2:$5</definedName>
    <definedName name="_xlnm.Print_Titles" localSheetId="37">'Table 5D7 - Max'!$B:$B,'Table 5D7 - Max'!$2:$5</definedName>
    <definedName name="_xlnm.Print_Titles" localSheetId="38">'Table 5D8 - Belle Chasse'!$B:$B,'Table 5D8 - Belle Chasse'!$2:$5</definedName>
    <definedName name="_xlnm.Print_Titles" localSheetId="39">'Table 5E_OJJ'!$B:$B,'Table 5E_OJJ'!$2:$5</definedName>
    <definedName name="_xlnm.Print_Titles" localSheetId="40">'Table 5F Scholarships '!$A:$D,'Table 5F Scholarships '!$6:$10</definedName>
    <definedName name="_xlnm.Print_Titles" localSheetId="41">'Table 6 (Local Deduct Calc.)'!$A:$B,'Table 6 (Local Deduct Calc.)'!$3:$8</definedName>
    <definedName name="_xlnm.Print_Titles" localSheetId="42">'Table 7 Local Revenue'!$A:$B,'Table 7 Local Revenue'!$1:$6</definedName>
  </definedNames>
  <calcPr calcId="145621"/>
</workbook>
</file>

<file path=xl/calcChain.xml><?xml version="1.0" encoding="utf-8"?>
<calcChain xmlns="http://schemas.openxmlformats.org/spreadsheetml/2006/main">
  <c r="E10" i="81" l="1"/>
  <c r="Q54" i="31" l="1"/>
  <c r="Q52" i="31"/>
  <c r="H34" i="132" l="1"/>
  <c r="H14" i="132"/>
  <c r="H15" i="132" l="1"/>
  <c r="C64" i="1" l="1"/>
  <c r="J82" i="132"/>
  <c r="K8" i="5"/>
  <c r="K9" i="5"/>
  <c r="S72" i="76"/>
  <c r="S71" i="76"/>
  <c r="S70" i="76"/>
  <c r="S69" i="76"/>
  <c r="S68" i="76"/>
  <c r="S67" i="76"/>
  <c r="S66" i="76"/>
  <c r="S65" i="76"/>
  <c r="S64" i="76"/>
  <c r="S63" i="76"/>
  <c r="S62" i="76"/>
  <c r="S61" i="76"/>
  <c r="S60" i="76"/>
  <c r="S59" i="76"/>
  <c r="S58" i="76"/>
  <c r="S57" i="76"/>
  <c r="S56" i="76"/>
  <c r="S55" i="76"/>
  <c r="S54" i="76"/>
  <c r="S53" i="76"/>
  <c r="S52" i="76"/>
  <c r="S51" i="76"/>
  <c r="S50" i="76"/>
  <c r="S49" i="76"/>
  <c r="S48" i="76"/>
  <c r="S47" i="76"/>
  <c r="S46" i="76"/>
  <c r="S45" i="76"/>
  <c r="S44" i="76"/>
  <c r="S43" i="76"/>
  <c r="S42" i="76"/>
  <c r="S41" i="76"/>
  <c r="S40" i="76"/>
  <c r="S39" i="76"/>
  <c r="S38" i="76"/>
  <c r="S37" i="76"/>
  <c r="S36" i="76"/>
  <c r="S35" i="76"/>
  <c r="S34" i="76"/>
  <c r="S33" i="76"/>
  <c r="S32" i="76"/>
  <c r="S31" i="76"/>
  <c r="S30" i="76"/>
  <c r="S29" i="76"/>
  <c r="S28" i="76"/>
  <c r="S27" i="76"/>
  <c r="S26" i="76"/>
  <c r="S25" i="76"/>
  <c r="S24" i="76"/>
  <c r="S23" i="76"/>
  <c r="S22" i="76"/>
  <c r="S21" i="76"/>
  <c r="S20" i="76"/>
  <c r="S19" i="76"/>
  <c r="S18" i="76"/>
  <c r="S17" i="76"/>
  <c r="S16" i="76"/>
  <c r="S15" i="76"/>
  <c r="S14" i="76"/>
  <c r="S13" i="76"/>
  <c r="S12" i="76"/>
  <c r="S11" i="76"/>
  <c r="S10" i="76"/>
  <c r="S9" i="76"/>
  <c r="S8" i="76"/>
  <c r="S7" i="76"/>
  <c r="S6" i="76"/>
  <c r="S5" i="76"/>
  <c r="S4" i="76"/>
  <c r="L72" i="76" l="1"/>
  <c r="L71" i="76"/>
  <c r="L70" i="76"/>
  <c r="L69" i="76"/>
  <c r="L68" i="76"/>
  <c r="L67" i="76"/>
  <c r="L66" i="76"/>
  <c r="L65" i="76"/>
  <c r="L64" i="76"/>
  <c r="L63" i="76"/>
  <c r="L62" i="76"/>
  <c r="L61" i="76"/>
  <c r="L60" i="76"/>
  <c r="L59" i="76"/>
  <c r="L58" i="76"/>
  <c r="L57" i="76"/>
  <c r="L56" i="76"/>
  <c r="L55" i="76"/>
  <c r="L54" i="76"/>
  <c r="L53" i="76"/>
  <c r="L52" i="76"/>
  <c r="L51" i="76"/>
  <c r="L50" i="76"/>
  <c r="L49" i="76"/>
  <c r="L48" i="76"/>
  <c r="L47" i="76"/>
  <c r="L46" i="76"/>
  <c r="L45" i="76"/>
  <c r="L44" i="76"/>
  <c r="L43" i="76"/>
  <c r="L42" i="76"/>
  <c r="L41" i="76"/>
  <c r="L40" i="76"/>
  <c r="L39" i="76"/>
  <c r="L38" i="76"/>
  <c r="L37" i="76"/>
  <c r="L36" i="76"/>
  <c r="L35" i="76"/>
  <c r="L34" i="76"/>
  <c r="L33" i="76"/>
  <c r="L32" i="76"/>
  <c r="L31" i="76"/>
  <c r="L30" i="76"/>
  <c r="L29" i="76"/>
  <c r="L28" i="76"/>
  <c r="L27" i="76"/>
  <c r="L26" i="76"/>
  <c r="L25" i="76"/>
  <c r="L24" i="76"/>
  <c r="L23" i="76"/>
  <c r="L22" i="76"/>
  <c r="L21" i="76"/>
  <c r="L20" i="76"/>
  <c r="L19" i="76"/>
  <c r="L18" i="76"/>
  <c r="L17" i="76"/>
  <c r="L16" i="76"/>
  <c r="L15" i="76"/>
  <c r="L14" i="76"/>
  <c r="L13" i="76"/>
  <c r="L12" i="76"/>
  <c r="L11" i="76"/>
  <c r="L10" i="76"/>
  <c r="L9" i="76"/>
  <c r="L8" i="76"/>
  <c r="L7" i="76"/>
  <c r="L6" i="76"/>
  <c r="L5" i="76"/>
  <c r="L4" i="76"/>
  <c r="L72" i="80" l="1"/>
  <c r="L71" i="80"/>
  <c r="L70" i="80"/>
  <c r="L69" i="80"/>
  <c r="L68" i="80"/>
  <c r="L67" i="80"/>
  <c r="L66" i="80"/>
  <c r="L65" i="80"/>
  <c r="L64" i="80"/>
  <c r="L63" i="80"/>
  <c r="L62" i="80"/>
  <c r="L61" i="80"/>
  <c r="L60" i="80"/>
  <c r="L59" i="80"/>
  <c r="L58" i="80"/>
  <c r="L57" i="80"/>
  <c r="L56" i="80"/>
  <c r="L55" i="80"/>
  <c r="L54" i="80"/>
  <c r="L53" i="80"/>
  <c r="L52" i="80"/>
  <c r="L51" i="80"/>
  <c r="L50" i="80"/>
  <c r="L49" i="80"/>
  <c r="L48" i="80"/>
  <c r="L47" i="80"/>
  <c r="L46" i="80"/>
  <c r="L45" i="80"/>
  <c r="L44" i="80"/>
  <c r="L43" i="80"/>
  <c r="L42" i="80"/>
  <c r="L41" i="80"/>
  <c r="L40" i="80"/>
  <c r="L39" i="80"/>
  <c r="L38" i="80"/>
  <c r="L37" i="80"/>
  <c r="L36" i="80"/>
  <c r="L35" i="80"/>
  <c r="L34" i="80"/>
  <c r="L33" i="80"/>
  <c r="L32" i="80"/>
  <c r="L31" i="80"/>
  <c r="L30" i="80"/>
  <c r="L29" i="80"/>
  <c r="L28" i="80"/>
  <c r="L27" i="80"/>
  <c r="L26" i="80"/>
  <c r="L25" i="80"/>
  <c r="L24" i="80"/>
  <c r="L23" i="80"/>
  <c r="L22" i="80"/>
  <c r="L21" i="80"/>
  <c r="L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7" i="80"/>
  <c r="L6" i="80"/>
  <c r="L5" i="80"/>
  <c r="L4" i="80"/>
  <c r="S5" i="80" l="1"/>
  <c r="S10" i="80"/>
  <c r="S11" i="80"/>
  <c r="S13" i="80"/>
  <c r="S18" i="80"/>
  <c r="S19" i="80"/>
  <c r="S21" i="80"/>
  <c r="S26" i="80"/>
  <c r="S27" i="80"/>
  <c r="S28" i="80"/>
  <c r="S29" i="80"/>
  <c r="S31" i="80"/>
  <c r="S32" i="80"/>
  <c r="S33" i="80"/>
  <c r="S35" i="80"/>
  <c r="S36" i="80"/>
  <c r="S37" i="80"/>
  <c r="S39" i="80"/>
  <c r="S40" i="80"/>
  <c r="S41" i="80"/>
  <c r="S43" i="80"/>
  <c r="S44" i="80"/>
  <c r="S45" i="80"/>
  <c r="S47" i="80"/>
  <c r="S48" i="80"/>
  <c r="S49" i="80"/>
  <c r="S51" i="80"/>
  <c r="S52" i="80"/>
  <c r="S53" i="80"/>
  <c r="S55" i="80"/>
  <c r="S56" i="80"/>
  <c r="S57" i="80"/>
  <c r="S59" i="80"/>
  <c r="S60" i="80"/>
  <c r="S61" i="80"/>
  <c r="S63" i="80"/>
  <c r="S64" i="80"/>
  <c r="S65" i="80"/>
  <c r="S67" i="80"/>
  <c r="S68" i="80"/>
  <c r="S69" i="80"/>
  <c r="S71" i="80"/>
  <c r="S72" i="80"/>
  <c r="S24" i="80" l="1"/>
  <c r="S16" i="80"/>
  <c r="S8" i="80"/>
  <c r="S25" i="80"/>
  <c r="S23" i="80"/>
  <c r="S22" i="80"/>
  <c r="S17" i="80"/>
  <c r="S15" i="80"/>
  <c r="S14" i="80"/>
  <c r="S9" i="80"/>
  <c r="S7" i="80"/>
  <c r="S6" i="80"/>
  <c r="S20" i="80"/>
  <c r="S12" i="80"/>
  <c r="S30" i="80" l="1"/>
  <c r="S38" i="80"/>
  <c r="S46" i="80"/>
  <c r="S54" i="80"/>
  <c r="S62" i="80"/>
  <c r="S70" i="80"/>
  <c r="S34" i="80"/>
  <c r="S42" i="80"/>
  <c r="S50" i="80"/>
  <c r="S58" i="80"/>
  <c r="S66" i="80"/>
  <c r="S4" i="80" l="1"/>
  <c r="R77" i="1" l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V17" i="46" l="1"/>
  <c r="Q44" i="31"/>
  <c r="Q39" i="31"/>
  <c r="I68" i="31"/>
  <c r="I44" i="31"/>
  <c r="I39" i="31"/>
  <c r="O75" i="90" l="1"/>
  <c r="O74" i="90"/>
  <c r="O73" i="90"/>
  <c r="O72" i="90"/>
  <c r="O71" i="90"/>
  <c r="O70" i="90"/>
  <c r="O69" i="90"/>
  <c r="O68" i="90"/>
  <c r="O67" i="90"/>
  <c r="O66" i="90"/>
  <c r="O65" i="90"/>
  <c r="O64" i="90"/>
  <c r="O63" i="90"/>
  <c r="O62" i="90"/>
  <c r="O61" i="90"/>
  <c r="O60" i="90"/>
  <c r="O59" i="90"/>
  <c r="O58" i="90"/>
  <c r="O57" i="90"/>
  <c r="O56" i="90"/>
  <c r="O55" i="90"/>
  <c r="O54" i="90"/>
  <c r="O53" i="90"/>
  <c r="O52" i="90"/>
  <c r="O51" i="90"/>
  <c r="O50" i="90"/>
  <c r="O49" i="90"/>
  <c r="O48" i="90"/>
  <c r="O47" i="90"/>
  <c r="O46" i="90"/>
  <c r="O45" i="90"/>
  <c r="O44" i="90"/>
  <c r="O43" i="90"/>
  <c r="O42" i="90"/>
  <c r="O41" i="90"/>
  <c r="O40" i="90"/>
  <c r="O39" i="90"/>
  <c r="O38" i="90"/>
  <c r="O37" i="90"/>
  <c r="O36" i="90"/>
  <c r="O35" i="90"/>
  <c r="O34" i="90"/>
  <c r="O33" i="90"/>
  <c r="O32" i="90"/>
  <c r="O31" i="90"/>
  <c r="O30" i="90"/>
  <c r="O29" i="90"/>
  <c r="O28" i="90"/>
  <c r="O27" i="90"/>
  <c r="O26" i="90"/>
  <c r="O25" i="90"/>
  <c r="O24" i="90"/>
  <c r="O23" i="90"/>
  <c r="O22" i="90"/>
  <c r="O21" i="90"/>
  <c r="O20" i="90"/>
  <c r="O19" i="90"/>
  <c r="O18" i="90"/>
  <c r="O17" i="90"/>
  <c r="O16" i="90"/>
  <c r="O15" i="90"/>
  <c r="O14" i="90"/>
  <c r="O13" i="90"/>
  <c r="O12" i="90"/>
  <c r="O11" i="90"/>
  <c r="O10" i="90"/>
  <c r="O9" i="90"/>
  <c r="O8" i="90"/>
  <c r="O7" i="90"/>
  <c r="O75" i="87"/>
  <c r="O74" i="87"/>
  <c r="O73" i="87"/>
  <c r="O72" i="87"/>
  <c r="O71" i="87"/>
  <c r="O70" i="87"/>
  <c r="O69" i="87"/>
  <c r="O68" i="87"/>
  <c r="O67" i="87"/>
  <c r="O66" i="87"/>
  <c r="O65" i="87"/>
  <c r="O64" i="87"/>
  <c r="O63" i="87"/>
  <c r="O62" i="87"/>
  <c r="O61" i="87"/>
  <c r="O60" i="87"/>
  <c r="O59" i="87"/>
  <c r="O58" i="87"/>
  <c r="O57" i="87"/>
  <c r="O56" i="87"/>
  <c r="O55" i="87"/>
  <c r="O54" i="87"/>
  <c r="O53" i="87"/>
  <c r="O52" i="87"/>
  <c r="O51" i="87"/>
  <c r="O50" i="87"/>
  <c r="O49" i="87"/>
  <c r="O48" i="87"/>
  <c r="O47" i="87"/>
  <c r="O46" i="87"/>
  <c r="O45" i="87"/>
  <c r="O44" i="87"/>
  <c r="O43" i="87"/>
  <c r="O42" i="87"/>
  <c r="O41" i="87"/>
  <c r="O40" i="87"/>
  <c r="O39" i="87"/>
  <c r="O38" i="87"/>
  <c r="O37" i="87"/>
  <c r="O36" i="87"/>
  <c r="O35" i="87"/>
  <c r="O34" i="87"/>
  <c r="O33" i="87"/>
  <c r="O32" i="87"/>
  <c r="O31" i="87"/>
  <c r="O30" i="87"/>
  <c r="O29" i="87"/>
  <c r="O28" i="87"/>
  <c r="O27" i="87"/>
  <c r="O26" i="87"/>
  <c r="O25" i="87"/>
  <c r="O24" i="87"/>
  <c r="O23" i="87"/>
  <c r="O22" i="87"/>
  <c r="O21" i="87"/>
  <c r="O20" i="87"/>
  <c r="O19" i="87"/>
  <c r="O18" i="87"/>
  <c r="O17" i="87"/>
  <c r="O16" i="87"/>
  <c r="O15" i="87"/>
  <c r="O14" i="87"/>
  <c r="O13" i="87"/>
  <c r="O12" i="87"/>
  <c r="O11" i="87"/>
  <c r="O10" i="87"/>
  <c r="O9" i="87"/>
  <c r="O8" i="87"/>
  <c r="O7" i="87"/>
  <c r="M75" i="86"/>
  <c r="M74" i="86"/>
  <c r="M73" i="86"/>
  <c r="M72" i="86"/>
  <c r="M71" i="86"/>
  <c r="M70" i="86"/>
  <c r="M69" i="86"/>
  <c r="M68" i="86"/>
  <c r="M67" i="86"/>
  <c r="M66" i="86"/>
  <c r="M65" i="86"/>
  <c r="M64" i="86"/>
  <c r="M63" i="86"/>
  <c r="M62" i="86"/>
  <c r="M61" i="86"/>
  <c r="M60" i="86"/>
  <c r="M59" i="86"/>
  <c r="M58" i="86"/>
  <c r="M57" i="86"/>
  <c r="M56" i="86"/>
  <c r="M55" i="86"/>
  <c r="M54" i="86"/>
  <c r="M53" i="86"/>
  <c r="M52" i="86"/>
  <c r="M51" i="86"/>
  <c r="M50" i="86"/>
  <c r="M49" i="86"/>
  <c r="M48" i="86"/>
  <c r="M47" i="86"/>
  <c r="M46" i="86"/>
  <c r="M45" i="86"/>
  <c r="M44" i="86"/>
  <c r="M43" i="86"/>
  <c r="M42" i="86"/>
  <c r="M41" i="86"/>
  <c r="M40" i="86"/>
  <c r="M39" i="86"/>
  <c r="M38" i="86"/>
  <c r="M37" i="86"/>
  <c r="M36" i="86"/>
  <c r="M35" i="86"/>
  <c r="M34" i="86"/>
  <c r="M33" i="86"/>
  <c r="M32" i="86"/>
  <c r="M31" i="86"/>
  <c r="M30" i="86"/>
  <c r="M29" i="86"/>
  <c r="M28" i="86"/>
  <c r="M27" i="86"/>
  <c r="M26" i="86"/>
  <c r="M25" i="86"/>
  <c r="M24" i="86"/>
  <c r="M23" i="86"/>
  <c r="M22" i="86"/>
  <c r="M21" i="86"/>
  <c r="M20" i="86"/>
  <c r="M19" i="86"/>
  <c r="M18" i="86"/>
  <c r="M17" i="86"/>
  <c r="M16" i="86"/>
  <c r="M15" i="86"/>
  <c r="M14" i="86"/>
  <c r="M13" i="86"/>
  <c r="M12" i="86"/>
  <c r="M11" i="86"/>
  <c r="M10" i="86"/>
  <c r="M9" i="86"/>
  <c r="M8" i="86"/>
  <c r="M75" i="88"/>
  <c r="M74" i="88"/>
  <c r="M73" i="88"/>
  <c r="M72" i="88"/>
  <c r="M71" i="88"/>
  <c r="M70" i="88"/>
  <c r="M69" i="88"/>
  <c r="M68" i="88"/>
  <c r="M67" i="88"/>
  <c r="M66" i="88"/>
  <c r="M65" i="88"/>
  <c r="M64" i="88"/>
  <c r="M63" i="88"/>
  <c r="M62" i="88"/>
  <c r="M61" i="88"/>
  <c r="M60" i="88"/>
  <c r="M59" i="88"/>
  <c r="M58" i="88"/>
  <c r="M57" i="88"/>
  <c r="M56" i="88"/>
  <c r="M55" i="88"/>
  <c r="M54" i="88"/>
  <c r="M53" i="88"/>
  <c r="M52" i="88"/>
  <c r="M51" i="88"/>
  <c r="M50" i="88"/>
  <c r="M49" i="88"/>
  <c r="M48" i="88"/>
  <c r="M47" i="88"/>
  <c r="M46" i="88"/>
  <c r="M45" i="88"/>
  <c r="M44" i="88"/>
  <c r="M43" i="88"/>
  <c r="M42" i="88"/>
  <c r="M41" i="88"/>
  <c r="M40" i="88"/>
  <c r="M39" i="88"/>
  <c r="M38" i="88"/>
  <c r="M37" i="88"/>
  <c r="M36" i="88"/>
  <c r="M35" i="88"/>
  <c r="M34" i="88"/>
  <c r="M33" i="88"/>
  <c r="M32" i="88"/>
  <c r="M31" i="88"/>
  <c r="M30" i="88"/>
  <c r="M29" i="88"/>
  <c r="M28" i="88"/>
  <c r="M27" i="88"/>
  <c r="M26" i="88"/>
  <c r="M25" i="88"/>
  <c r="M24" i="88"/>
  <c r="M23" i="88"/>
  <c r="M22" i="88"/>
  <c r="M21" i="88"/>
  <c r="M20" i="88"/>
  <c r="M19" i="88"/>
  <c r="M18" i="88"/>
  <c r="M17" i="88"/>
  <c r="M16" i="88"/>
  <c r="M15" i="88"/>
  <c r="M14" i="88"/>
  <c r="M13" i="88"/>
  <c r="M12" i="88"/>
  <c r="M11" i="88"/>
  <c r="M10" i="88"/>
  <c r="M9" i="88"/>
  <c r="M8" i="88"/>
  <c r="M75" i="89"/>
  <c r="M74" i="89"/>
  <c r="M73" i="89"/>
  <c r="M72" i="89"/>
  <c r="M71" i="89"/>
  <c r="M70" i="89"/>
  <c r="M69" i="89"/>
  <c r="M68" i="89"/>
  <c r="M67" i="89"/>
  <c r="M66" i="89"/>
  <c r="M65" i="89"/>
  <c r="M64" i="89"/>
  <c r="M63" i="89"/>
  <c r="M62" i="89"/>
  <c r="M61" i="89"/>
  <c r="M60" i="89"/>
  <c r="M59" i="89"/>
  <c r="M58" i="89"/>
  <c r="M57" i="89"/>
  <c r="M56" i="89"/>
  <c r="M55" i="89"/>
  <c r="M54" i="89"/>
  <c r="M53" i="89"/>
  <c r="M52" i="89"/>
  <c r="M51" i="89"/>
  <c r="M50" i="89"/>
  <c r="M49" i="89"/>
  <c r="M48" i="89"/>
  <c r="M47" i="89"/>
  <c r="M46" i="89"/>
  <c r="M45" i="89"/>
  <c r="M44" i="89"/>
  <c r="M43" i="89"/>
  <c r="M42" i="89"/>
  <c r="M41" i="89"/>
  <c r="M40" i="89"/>
  <c r="M39" i="89"/>
  <c r="M38" i="89"/>
  <c r="M37" i="89"/>
  <c r="M36" i="89"/>
  <c r="M35" i="89"/>
  <c r="M34" i="89"/>
  <c r="M33" i="89"/>
  <c r="M32" i="89"/>
  <c r="M31" i="89"/>
  <c r="M30" i="89"/>
  <c r="M29" i="89"/>
  <c r="M28" i="89"/>
  <c r="M27" i="89"/>
  <c r="M26" i="89"/>
  <c r="M25" i="89"/>
  <c r="M24" i="89"/>
  <c r="M23" i="89"/>
  <c r="M22" i="89"/>
  <c r="M21" i="89"/>
  <c r="M20" i="89"/>
  <c r="M19" i="89"/>
  <c r="M18" i="89"/>
  <c r="M17" i="89"/>
  <c r="M16" i="89"/>
  <c r="M15" i="89"/>
  <c r="M14" i="89"/>
  <c r="M13" i="89"/>
  <c r="M12" i="89"/>
  <c r="M11" i="89"/>
  <c r="M10" i="89"/>
  <c r="M9" i="89"/>
  <c r="M8" i="89"/>
  <c r="M75" i="91"/>
  <c r="M74" i="91"/>
  <c r="M73" i="91"/>
  <c r="M72" i="91"/>
  <c r="M71" i="91"/>
  <c r="M70" i="91"/>
  <c r="M69" i="91"/>
  <c r="M68" i="91"/>
  <c r="M67" i="91"/>
  <c r="M66" i="91"/>
  <c r="M65" i="91"/>
  <c r="M64" i="91"/>
  <c r="M63" i="91"/>
  <c r="M62" i="91"/>
  <c r="M61" i="91"/>
  <c r="M60" i="91"/>
  <c r="M59" i="91"/>
  <c r="M58" i="91"/>
  <c r="M57" i="91"/>
  <c r="M56" i="91"/>
  <c r="M55" i="91"/>
  <c r="M54" i="91"/>
  <c r="M53" i="91"/>
  <c r="M52" i="91"/>
  <c r="M51" i="91"/>
  <c r="M50" i="91"/>
  <c r="M49" i="91"/>
  <c r="M48" i="91"/>
  <c r="M47" i="91"/>
  <c r="M46" i="91"/>
  <c r="M45" i="91"/>
  <c r="M44" i="91"/>
  <c r="M43" i="91"/>
  <c r="M42" i="91"/>
  <c r="M41" i="91"/>
  <c r="M40" i="91"/>
  <c r="M39" i="91"/>
  <c r="M38" i="91"/>
  <c r="M37" i="91"/>
  <c r="M36" i="91"/>
  <c r="M35" i="91"/>
  <c r="M34" i="91"/>
  <c r="M33" i="91"/>
  <c r="M32" i="91"/>
  <c r="M31" i="91"/>
  <c r="M30" i="91"/>
  <c r="M29" i="91"/>
  <c r="M28" i="91"/>
  <c r="M27" i="91"/>
  <c r="M26" i="91"/>
  <c r="M25" i="91"/>
  <c r="M24" i="91"/>
  <c r="M23" i="91"/>
  <c r="M22" i="91"/>
  <c r="M21" i="91"/>
  <c r="M20" i="91"/>
  <c r="M19" i="91"/>
  <c r="M18" i="91"/>
  <c r="M17" i="91"/>
  <c r="M16" i="91"/>
  <c r="M15" i="91"/>
  <c r="M14" i="91"/>
  <c r="M13" i="91"/>
  <c r="M12" i="91"/>
  <c r="M11" i="91"/>
  <c r="M10" i="91"/>
  <c r="M9" i="91"/>
  <c r="M8" i="91"/>
  <c r="M75" i="92"/>
  <c r="M74" i="92"/>
  <c r="M73" i="92"/>
  <c r="M72" i="92"/>
  <c r="M71" i="92"/>
  <c r="M70" i="92"/>
  <c r="M69" i="92"/>
  <c r="M68" i="92"/>
  <c r="M67" i="92"/>
  <c r="M66" i="92"/>
  <c r="M65" i="92"/>
  <c r="M64" i="92"/>
  <c r="M63" i="92"/>
  <c r="M62" i="92"/>
  <c r="M61" i="92"/>
  <c r="M60" i="92"/>
  <c r="M59" i="92"/>
  <c r="M58" i="92"/>
  <c r="M57" i="92"/>
  <c r="M56" i="92"/>
  <c r="M55" i="92"/>
  <c r="M54" i="92"/>
  <c r="M53" i="92"/>
  <c r="M52" i="92"/>
  <c r="M51" i="92"/>
  <c r="M50" i="92"/>
  <c r="M49" i="92"/>
  <c r="M48" i="92"/>
  <c r="M47" i="92"/>
  <c r="M46" i="92"/>
  <c r="M45" i="92"/>
  <c r="M44" i="92"/>
  <c r="M43" i="92"/>
  <c r="M42" i="92"/>
  <c r="M41" i="92"/>
  <c r="M40" i="92"/>
  <c r="M39" i="92"/>
  <c r="M38" i="92"/>
  <c r="M37" i="92"/>
  <c r="M36" i="92"/>
  <c r="M35" i="92"/>
  <c r="M34" i="92"/>
  <c r="M33" i="92"/>
  <c r="M32" i="92"/>
  <c r="M31" i="92"/>
  <c r="M30" i="92"/>
  <c r="M29" i="92"/>
  <c r="M28" i="92"/>
  <c r="M27" i="92"/>
  <c r="M26" i="92"/>
  <c r="M25" i="92"/>
  <c r="M24" i="92"/>
  <c r="M23" i="92"/>
  <c r="M22" i="92"/>
  <c r="M21" i="92"/>
  <c r="M20" i="92"/>
  <c r="M19" i="92"/>
  <c r="M18" i="92"/>
  <c r="M17" i="92"/>
  <c r="M16" i="92"/>
  <c r="M15" i="92"/>
  <c r="M14" i="92"/>
  <c r="M13" i="92"/>
  <c r="M12" i="92"/>
  <c r="M11" i="92"/>
  <c r="M10" i="92"/>
  <c r="M9" i="92"/>
  <c r="M8" i="92"/>
  <c r="M75" i="85"/>
  <c r="M74" i="85"/>
  <c r="M73" i="85"/>
  <c r="M72" i="85"/>
  <c r="M71" i="85"/>
  <c r="M70" i="85"/>
  <c r="M69" i="85"/>
  <c r="M68" i="85"/>
  <c r="M67" i="85"/>
  <c r="M66" i="85"/>
  <c r="M65" i="85"/>
  <c r="M64" i="85"/>
  <c r="M63" i="85"/>
  <c r="M62" i="85"/>
  <c r="M61" i="85"/>
  <c r="M60" i="85"/>
  <c r="M59" i="85"/>
  <c r="M58" i="85"/>
  <c r="M57" i="85"/>
  <c r="M56" i="85"/>
  <c r="M55" i="85"/>
  <c r="M54" i="85"/>
  <c r="M53" i="85"/>
  <c r="M52" i="85"/>
  <c r="M51" i="85"/>
  <c r="M50" i="85"/>
  <c r="M49" i="85"/>
  <c r="M48" i="85"/>
  <c r="M47" i="85"/>
  <c r="M46" i="85"/>
  <c r="M45" i="85"/>
  <c r="M44" i="85"/>
  <c r="M43" i="85"/>
  <c r="M42" i="85"/>
  <c r="M41" i="85"/>
  <c r="M40" i="85"/>
  <c r="M39" i="85"/>
  <c r="M38" i="85"/>
  <c r="M37" i="85"/>
  <c r="M36" i="85"/>
  <c r="M35" i="85"/>
  <c r="M34" i="85"/>
  <c r="M33" i="85"/>
  <c r="M32" i="85"/>
  <c r="M31" i="85"/>
  <c r="M30" i="85"/>
  <c r="M29" i="85"/>
  <c r="M28" i="85"/>
  <c r="M27" i="85"/>
  <c r="M26" i="85"/>
  <c r="M25" i="85"/>
  <c r="M24" i="85"/>
  <c r="M23" i="85"/>
  <c r="M22" i="85"/>
  <c r="M21" i="85"/>
  <c r="M20" i="85"/>
  <c r="M19" i="85"/>
  <c r="M18" i="85"/>
  <c r="M17" i="85"/>
  <c r="M16" i="85"/>
  <c r="M15" i="85"/>
  <c r="M14" i="85"/>
  <c r="M13" i="85"/>
  <c r="M12" i="85"/>
  <c r="M11" i="85"/>
  <c r="M10" i="85"/>
  <c r="M9" i="85"/>
  <c r="M8" i="85"/>
  <c r="M7" i="86"/>
  <c r="M7" i="88"/>
  <c r="M7" i="89"/>
  <c r="M7" i="91"/>
  <c r="M7" i="92"/>
  <c r="M7" i="85"/>
  <c r="O72" i="80"/>
  <c r="O71" i="80"/>
  <c r="O70" i="80"/>
  <c r="O69" i="80"/>
  <c r="O68" i="80"/>
  <c r="O67" i="80"/>
  <c r="O66" i="80"/>
  <c r="O65" i="80"/>
  <c r="O64" i="80"/>
  <c r="O63" i="80"/>
  <c r="O62" i="80"/>
  <c r="O61" i="80"/>
  <c r="O60" i="80"/>
  <c r="O59" i="80"/>
  <c r="O58" i="80"/>
  <c r="O57" i="80"/>
  <c r="O56" i="80"/>
  <c r="O55" i="80"/>
  <c r="O54" i="80"/>
  <c r="O53" i="80"/>
  <c r="O52" i="80"/>
  <c r="O51" i="80"/>
  <c r="O50" i="80"/>
  <c r="O49" i="80"/>
  <c r="O48" i="80"/>
  <c r="O47" i="80"/>
  <c r="O46" i="80"/>
  <c r="O45" i="80"/>
  <c r="O44" i="80"/>
  <c r="O43" i="80"/>
  <c r="O42" i="80"/>
  <c r="O41" i="80"/>
  <c r="O40" i="80"/>
  <c r="O39" i="80"/>
  <c r="O38" i="80"/>
  <c r="O37" i="80"/>
  <c r="O36" i="80"/>
  <c r="O35" i="80"/>
  <c r="O34" i="80"/>
  <c r="O33" i="80"/>
  <c r="O32" i="80"/>
  <c r="O31" i="80"/>
  <c r="O30" i="80"/>
  <c r="O29" i="80"/>
  <c r="O28" i="80"/>
  <c r="O27" i="80"/>
  <c r="O26" i="80"/>
  <c r="O25" i="80"/>
  <c r="O24" i="80"/>
  <c r="O23" i="80"/>
  <c r="O22" i="80"/>
  <c r="O21" i="80"/>
  <c r="O20" i="80"/>
  <c r="O19" i="80"/>
  <c r="O18" i="80"/>
  <c r="O17" i="80"/>
  <c r="O16" i="80"/>
  <c r="O15" i="80"/>
  <c r="O14" i="80"/>
  <c r="O13" i="80"/>
  <c r="O12" i="80"/>
  <c r="O11" i="80"/>
  <c r="O10" i="80"/>
  <c r="O9" i="80"/>
  <c r="O8" i="80"/>
  <c r="O7" i="80"/>
  <c r="O6" i="80"/>
  <c r="O5" i="80"/>
  <c r="O72" i="76"/>
  <c r="O71" i="76"/>
  <c r="O70" i="76"/>
  <c r="O69" i="76"/>
  <c r="O68" i="76"/>
  <c r="O67" i="76"/>
  <c r="O66" i="76"/>
  <c r="O65" i="76"/>
  <c r="O64" i="76"/>
  <c r="O63" i="76"/>
  <c r="O62" i="76"/>
  <c r="O61" i="76"/>
  <c r="O60" i="76"/>
  <c r="O59" i="76"/>
  <c r="O58" i="76"/>
  <c r="O57" i="76"/>
  <c r="O56" i="76"/>
  <c r="O55" i="76"/>
  <c r="O54" i="76"/>
  <c r="O53" i="76"/>
  <c r="O52" i="76"/>
  <c r="O51" i="76"/>
  <c r="O50" i="76"/>
  <c r="O49" i="76"/>
  <c r="O48" i="76"/>
  <c r="O47" i="76"/>
  <c r="O46" i="76"/>
  <c r="O45" i="76"/>
  <c r="O44" i="76"/>
  <c r="O43" i="76"/>
  <c r="O42" i="76"/>
  <c r="O41" i="76"/>
  <c r="O40" i="76"/>
  <c r="O39" i="76"/>
  <c r="O38" i="76"/>
  <c r="O37" i="76"/>
  <c r="O36" i="76"/>
  <c r="O35" i="76"/>
  <c r="O34" i="76"/>
  <c r="O33" i="76"/>
  <c r="O32" i="76"/>
  <c r="O31" i="76"/>
  <c r="O30" i="76"/>
  <c r="O29" i="76"/>
  <c r="O28" i="76"/>
  <c r="O27" i="76"/>
  <c r="O26" i="76"/>
  <c r="O25" i="76"/>
  <c r="O24" i="76"/>
  <c r="O23" i="76"/>
  <c r="O22" i="76"/>
  <c r="O21" i="76"/>
  <c r="O20" i="76"/>
  <c r="O19" i="76"/>
  <c r="O18" i="76"/>
  <c r="O17" i="76"/>
  <c r="O16" i="76"/>
  <c r="O15" i="76"/>
  <c r="O14" i="76"/>
  <c r="O13" i="76"/>
  <c r="O12" i="76"/>
  <c r="O11" i="76"/>
  <c r="O10" i="76"/>
  <c r="O9" i="76"/>
  <c r="O8" i="76"/>
  <c r="O7" i="76"/>
  <c r="O6" i="76"/>
  <c r="O5" i="76"/>
  <c r="O4" i="80"/>
  <c r="O4" i="76"/>
  <c r="N75" i="126"/>
  <c r="N74" i="126"/>
  <c r="N73" i="126"/>
  <c r="N72" i="126"/>
  <c r="N71" i="126"/>
  <c r="N70" i="126"/>
  <c r="N69" i="126"/>
  <c r="N68" i="126"/>
  <c r="N67" i="126"/>
  <c r="N66" i="126"/>
  <c r="N65" i="126"/>
  <c r="N64" i="126"/>
  <c r="N63" i="126"/>
  <c r="N62" i="126"/>
  <c r="N61" i="126"/>
  <c r="N60" i="126"/>
  <c r="N59" i="126"/>
  <c r="N58" i="126"/>
  <c r="N57" i="126"/>
  <c r="N56" i="126"/>
  <c r="N55" i="126"/>
  <c r="N54" i="126"/>
  <c r="N53" i="126"/>
  <c r="N52" i="126"/>
  <c r="N51" i="126"/>
  <c r="N50" i="126"/>
  <c r="N49" i="126"/>
  <c r="N48" i="126"/>
  <c r="N47" i="126"/>
  <c r="N46" i="126"/>
  <c r="N45" i="126"/>
  <c r="N44" i="126"/>
  <c r="N43" i="126"/>
  <c r="N42" i="126"/>
  <c r="N41" i="126"/>
  <c r="N40" i="126"/>
  <c r="N39" i="126"/>
  <c r="N38" i="126"/>
  <c r="N37" i="126"/>
  <c r="N36" i="126"/>
  <c r="N35" i="126"/>
  <c r="N34" i="126"/>
  <c r="N33" i="126"/>
  <c r="N32" i="126"/>
  <c r="N31" i="126"/>
  <c r="N30" i="126"/>
  <c r="N29" i="126"/>
  <c r="N28" i="126"/>
  <c r="N27" i="126"/>
  <c r="N26" i="126"/>
  <c r="N25" i="126"/>
  <c r="N24" i="126"/>
  <c r="N23" i="126"/>
  <c r="N22" i="126"/>
  <c r="N21" i="126"/>
  <c r="N20" i="126"/>
  <c r="N19" i="126"/>
  <c r="N18" i="126"/>
  <c r="N17" i="126"/>
  <c r="N16" i="126"/>
  <c r="N15" i="126"/>
  <c r="N14" i="126"/>
  <c r="N13" i="126"/>
  <c r="N12" i="126"/>
  <c r="N11" i="126"/>
  <c r="N10" i="126"/>
  <c r="N9" i="126"/>
  <c r="N8" i="126"/>
  <c r="N75" i="127"/>
  <c r="N74" i="127"/>
  <c r="N73" i="127"/>
  <c r="N72" i="127"/>
  <c r="N71" i="127"/>
  <c r="N70" i="127"/>
  <c r="N69" i="127"/>
  <c r="N68" i="127"/>
  <c r="N67" i="127"/>
  <c r="N66" i="127"/>
  <c r="N65" i="127"/>
  <c r="N64" i="127"/>
  <c r="N63" i="127"/>
  <c r="N62" i="127"/>
  <c r="N61" i="127"/>
  <c r="N60" i="127"/>
  <c r="N59" i="127"/>
  <c r="N58" i="127"/>
  <c r="N57" i="127"/>
  <c r="N56" i="127"/>
  <c r="N55" i="127"/>
  <c r="N54" i="127"/>
  <c r="N53" i="127"/>
  <c r="N52" i="127"/>
  <c r="N51" i="127"/>
  <c r="N50" i="127"/>
  <c r="N49" i="127"/>
  <c r="N48" i="127"/>
  <c r="N47" i="127"/>
  <c r="N46" i="127"/>
  <c r="N45" i="127"/>
  <c r="N44" i="127"/>
  <c r="N43" i="127"/>
  <c r="N42" i="127"/>
  <c r="N41" i="127"/>
  <c r="N40" i="127"/>
  <c r="N39" i="127"/>
  <c r="N38" i="127"/>
  <c r="N37" i="127"/>
  <c r="N36" i="127"/>
  <c r="N35" i="127"/>
  <c r="N34" i="127"/>
  <c r="N33" i="127"/>
  <c r="N32" i="127"/>
  <c r="N31" i="127"/>
  <c r="N30" i="127"/>
  <c r="N29" i="127"/>
  <c r="N28" i="127"/>
  <c r="N27" i="127"/>
  <c r="N26" i="127"/>
  <c r="N25" i="127"/>
  <c r="N24" i="127"/>
  <c r="N23" i="127"/>
  <c r="N22" i="127"/>
  <c r="N21" i="127"/>
  <c r="N20" i="127"/>
  <c r="N19" i="127"/>
  <c r="N18" i="127"/>
  <c r="N17" i="127"/>
  <c r="N16" i="127"/>
  <c r="N15" i="127"/>
  <c r="N14" i="127"/>
  <c r="N13" i="127"/>
  <c r="N12" i="127"/>
  <c r="N11" i="127"/>
  <c r="N10" i="127"/>
  <c r="N9" i="127"/>
  <c r="N8" i="127"/>
  <c r="N75" i="128"/>
  <c r="N74" i="128"/>
  <c r="N73" i="128"/>
  <c r="N72" i="128"/>
  <c r="N71" i="128"/>
  <c r="N70" i="128"/>
  <c r="N69" i="128"/>
  <c r="N68" i="128"/>
  <c r="N67" i="128"/>
  <c r="N66" i="128"/>
  <c r="N65" i="128"/>
  <c r="N64" i="128"/>
  <c r="N63" i="128"/>
  <c r="N62" i="128"/>
  <c r="N61" i="128"/>
  <c r="N60" i="128"/>
  <c r="N59" i="128"/>
  <c r="N58" i="128"/>
  <c r="N57" i="128"/>
  <c r="N56" i="128"/>
  <c r="N55" i="128"/>
  <c r="N54" i="128"/>
  <c r="N53" i="128"/>
  <c r="N52" i="128"/>
  <c r="N51" i="128"/>
  <c r="N50" i="128"/>
  <c r="N49" i="128"/>
  <c r="N48" i="128"/>
  <c r="N47" i="128"/>
  <c r="N46" i="128"/>
  <c r="N45" i="128"/>
  <c r="N44" i="128"/>
  <c r="N43" i="128"/>
  <c r="N42" i="128"/>
  <c r="N41" i="128"/>
  <c r="N40" i="128"/>
  <c r="N39" i="128"/>
  <c r="N38" i="128"/>
  <c r="N37" i="128"/>
  <c r="N36" i="128"/>
  <c r="N35" i="128"/>
  <c r="N34" i="128"/>
  <c r="N33" i="128"/>
  <c r="N32" i="128"/>
  <c r="N31" i="128"/>
  <c r="N30" i="128"/>
  <c r="N29" i="128"/>
  <c r="N28" i="128"/>
  <c r="N27" i="128"/>
  <c r="N26" i="128"/>
  <c r="N25" i="128"/>
  <c r="N24" i="128"/>
  <c r="N23" i="128"/>
  <c r="N22" i="128"/>
  <c r="N21" i="128"/>
  <c r="N20" i="128"/>
  <c r="N19" i="128"/>
  <c r="N18" i="128"/>
  <c r="N17" i="128"/>
  <c r="N16" i="128"/>
  <c r="N15" i="128"/>
  <c r="N14" i="128"/>
  <c r="N13" i="128"/>
  <c r="N12" i="128"/>
  <c r="N11" i="128"/>
  <c r="N10" i="128"/>
  <c r="N9" i="128"/>
  <c r="N8" i="128"/>
  <c r="N75" i="129"/>
  <c r="N74" i="129"/>
  <c r="N73" i="129"/>
  <c r="N72" i="129"/>
  <c r="N71" i="129"/>
  <c r="N70" i="129"/>
  <c r="N69" i="129"/>
  <c r="N68" i="129"/>
  <c r="N67" i="129"/>
  <c r="N66" i="129"/>
  <c r="N65" i="129"/>
  <c r="N64" i="129"/>
  <c r="N63" i="129"/>
  <c r="N62" i="129"/>
  <c r="N61" i="129"/>
  <c r="N60" i="129"/>
  <c r="N59" i="129"/>
  <c r="N58" i="129"/>
  <c r="N57" i="129"/>
  <c r="N56" i="129"/>
  <c r="N55" i="129"/>
  <c r="N54" i="129"/>
  <c r="N53" i="129"/>
  <c r="N52" i="129"/>
  <c r="N51" i="129"/>
  <c r="N50" i="129"/>
  <c r="N49" i="129"/>
  <c r="N48" i="129"/>
  <c r="N47" i="129"/>
  <c r="N46" i="129"/>
  <c r="N45" i="129"/>
  <c r="N44" i="129"/>
  <c r="N43" i="129"/>
  <c r="N42" i="129"/>
  <c r="N41" i="129"/>
  <c r="N40" i="129"/>
  <c r="N39" i="129"/>
  <c r="N38" i="129"/>
  <c r="N37" i="129"/>
  <c r="N36" i="129"/>
  <c r="N35" i="129"/>
  <c r="N34" i="129"/>
  <c r="N33" i="129"/>
  <c r="N32" i="129"/>
  <c r="N31" i="129"/>
  <c r="N30" i="129"/>
  <c r="N29" i="129"/>
  <c r="N28" i="129"/>
  <c r="N27" i="129"/>
  <c r="N26" i="129"/>
  <c r="N25" i="129"/>
  <c r="N24" i="129"/>
  <c r="N23" i="129"/>
  <c r="N22" i="129"/>
  <c r="N21" i="129"/>
  <c r="N20" i="129"/>
  <c r="N19" i="129"/>
  <c r="N18" i="129"/>
  <c r="N17" i="129"/>
  <c r="N16" i="129"/>
  <c r="N15" i="129"/>
  <c r="N14" i="129"/>
  <c r="N13" i="129"/>
  <c r="N12" i="129"/>
  <c r="N11" i="129"/>
  <c r="N10" i="129"/>
  <c r="N9" i="129"/>
  <c r="N8" i="129"/>
  <c r="N75" i="130"/>
  <c r="N74" i="130"/>
  <c r="N73" i="130"/>
  <c r="N72" i="130"/>
  <c r="N71" i="130"/>
  <c r="N70" i="130"/>
  <c r="N69" i="130"/>
  <c r="N68" i="130"/>
  <c r="N67" i="130"/>
  <c r="N66" i="130"/>
  <c r="N65" i="130"/>
  <c r="N64" i="130"/>
  <c r="N63" i="130"/>
  <c r="N62" i="130"/>
  <c r="N61" i="130"/>
  <c r="N60" i="130"/>
  <c r="N59" i="130"/>
  <c r="N58" i="130"/>
  <c r="N57" i="130"/>
  <c r="N56" i="130"/>
  <c r="N55" i="130"/>
  <c r="N54" i="130"/>
  <c r="N53" i="130"/>
  <c r="N52" i="130"/>
  <c r="N51" i="130"/>
  <c r="N50" i="130"/>
  <c r="N49" i="130"/>
  <c r="N48" i="130"/>
  <c r="N47" i="130"/>
  <c r="N46" i="130"/>
  <c r="N45" i="130"/>
  <c r="N44" i="130"/>
  <c r="N43" i="130"/>
  <c r="N42" i="130"/>
  <c r="N41" i="130"/>
  <c r="N40" i="130"/>
  <c r="N39" i="130"/>
  <c r="N38" i="130"/>
  <c r="N37" i="130"/>
  <c r="N36" i="130"/>
  <c r="N35" i="130"/>
  <c r="N34" i="130"/>
  <c r="N33" i="130"/>
  <c r="N32" i="130"/>
  <c r="N31" i="130"/>
  <c r="N30" i="130"/>
  <c r="N29" i="130"/>
  <c r="N28" i="130"/>
  <c r="N27" i="130"/>
  <c r="N26" i="130"/>
  <c r="N25" i="130"/>
  <c r="N24" i="130"/>
  <c r="N23" i="130"/>
  <c r="N22" i="130"/>
  <c r="N21" i="130"/>
  <c r="N20" i="130"/>
  <c r="N19" i="130"/>
  <c r="N18" i="130"/>
  <c r="N17" i="130"/>
  <c r="N16" i="130"/>
  <c r="N15" i="130"/>
  <c r="N14" i="130"/>
  <c r="N13" i="130"/>
  <c r="N12" i="130"/>
  <c r="N11" i="130"/>
  <c r="N10" i="130"/>
  <c r="N9" i="130"/>
  <c r="N8" i="130"/>
  <c r="N75" i="131"/>
  <c r="N74" i="131"/>
  <c r="N73" i="131"/>
  <c r="N72" i="131"/>
  <c r="N71" i="131"/>
  <c r="N70" i="131"/>
  <c r="N69" i="131"/>
  <c r="N68" i="131"/>
  <c r="N67" i="131"/>
  <c r="N66" i="131"/>
  <c r="N65" i="131"/>
  <c r="N64" i="131"/>
  <c r="N63" i="131"/>
  <c r="N62" i="131"/>
  <c r="N61" i="131"/>
  <c r="N60" i="131"/>
  <c r="N59" i="131"/>
  <c r="N58" i="131"/>
  <c r="N57" i="131"/>
  <c r="N56" i="131"/>
  <c r="N55" i="131"/>
  <c r="N54" i="131"/>
  <c r="N53" i="131"/>
  <c r="N52" i="131"/>
  <c r="N51" i="131"/>
  <c r="N50" i="131"/>
  <c r="N49" i="131"/>
  <c r="N48" i="131"/>
  <c r="N47" i="131"/>
  <c r="N46" i="131"/>
  <c r="N45" i="131"/>
  <c r="N44" i="131"/>
  <c r="N43" i="131"/>
  <c r="N42" i="131"/>
  <c r="N41" i="131"/>
  <c r="N40" i="131"/>
  <c r="N39" i="131"/>
  <c r="N38" i="131"/>
  <c r="N37" i="131"/>
  <c r="N36" i="131"/>
  <c r="N35" i="131"/>
  <c r="N34" i="131"/>
  <c r="N33" i="131"/>
  <c r="N32" i="131"/>
  <c r="N31" i="131"/>
  <c r="N30" i="131"/>
  <c r="N29" i="131"/>
  <c r="N28" i="131"/>
  <c r="N27" i="131"/>
  <c r="N26" i="131"/>
  <c r="N25" i="131"/>
  <c r="N24" i="131"/>
  <c r="N23" i="131"/>
  <c r="N22" i="131"/>
  <c r="N21" i="131"/>
  <c r="N20" i="131"/>
  <c r="N19" i="131"/>
  <c r="N18" i="131"/>
  <c r="N17" i="131"/>
  <c r="N16" i="131"/>
  <c r="N15" i="131"/>
  <c r="N14" i="131"/>
  <c r="N13" i="131"/>
  <c r="N12" i="131"/>
  <c r="N11" i="131"/>
  <c r="N10" i="131"/>
  <c r="N9" i="131"/>
  <c r="N8" i="131"/>
  <c r="N75" i="125"/>
  <c r="N74" i="125"/>
  <c r="N73" i="125"/>
  <c r="N72" i="125"/>
  <c r="N71" i="125"/>
  <c r="N70" i="125"/>
  <c r="N69" i="125"/>
  <c r="N68" i="125"/>
  <c r="N67" i="125"/>
  <c r="N66" i="125"/>
  <c r="N65" i="125"/>
  <c r="N64" i="125"/>
  <c r="N63" i="125"/>
  <c r="N62" i="125"/>
  <c r="N61" i="125"/>
  <c r="N60" i="125"/>
  <c r="N59" i="125"/>
  <c r="N58" i="125"/>
  <c r="N57" i="125"/>
  <c r="N56" i="125"/>
  <c r="N55" i="125"/>
  <c r="N54" i="125"/>
  <c r="N53" i="125"/>
  <c r="N52" i="125"/>
  <c r="N51" i="125"/>
  <c r="N50" i="125"/>
  <c r="N49" i="125"/>
  <c r="N48" i="125"/>
  <c r="N47" i="125"/>
  <c r="N46" i="125"/>
  <c r="N45" i="125"/>
  <c r="N44" i="125"/>
  <c r="N43" i="125"/>
  <c r="N42" i="125"/>
  <c r="N41" i="125"/>
  <c r="N40" i="125"/>
  <c r="N39" i="125"/>
  <c r="N38" i="125"/>
  <c r="N37" i="125"/>
  <c r="N36" i="125"/>
  <c r="N35" i="125"/>
  <c r="N34" i="125"/>
  <c r="N33" i="125"/>
  <c r="N32" i="125"/>
  <c r="N31" i="125"/>
  <c r="N30" i="125"/>
  <c r="N29" i="125"/>
  <c r="N28" i="125"/>
  <c r="N27" i="125"/>
  <c r="N26" i="125"/>
  <c r="N25" i="125"/>
  <c r="N24" i="125"/>
  <c r="N23" i="125"/>
  <c r="N22" i="125"/>
  <c r="N21" i="125"/>
  <c r="N20" i="125"/>
  <c r="N19" i="125"/>
  <c r="N18" i="125"/>
  <c r="N17" i="125"/>
  <c r="N16" i="125"/>
  <c r="N15" i="125"/>
  <c r="N14" i="125"/>
  <c r="N13" i="125"/>
  <c r="N12" i="125"/>
  <c r="N11" i="125"/>
  <c r="N10" i="125"/>
  <c r="N9" i="125"/>
  <c r="N8" i="125"/>
  <c r="N7" i="126"/>
  <c r="N7" i="127"/>
  <c r="N7" i="128"/>
  <c r="N7" i="129"/>
  <c r="N7" i="130"/>
  <c r="N7" i="131"/>
  <c r="N7" i="125"/>
  <c r="N75" i="120"/>
  <c r="N74" i="120"/>
  <c r="N73" i="120"/>
  <c r="N72" i="120"/>
  <c r="N71" i="120"/>
  <c r="N70" i="120"/>
  <c r="N69" i="120"/>
  <c r="N68" i="120"/>
  <c r="N67" i="120"/>
  <c r="N66" i="120"/>
  <c r="N65" i="120"/>
  <c r="N64" i="120"/>
  <c r="N63" i="120"/>
  <c r="N62" i="120"/>
  <c r="N61" i="120"/>
  <c r="N60" i="120"/>
  <c r="N59" i="120"/>
  <c r="N58" i="120"/>
  <c r="N57" i="120"/>
  <c r="N56" i="120"/>
  <c r="N55" i="120"/>
  <c r="N54" i="120"/>
  <c r="N53" i="120"/>
  <c r="N52" i="120"/>
  <c r="N51" i="120"/>
  <c r="N50" i="120"/>
  <c r="N49" i="120"/>
  <c r="N48" i="120"/>
  <c r="N47" i="120"/>
  <c r="N46" i="120"/>
  <c r="N45" i="120"/>
  <c r="N44" i="120"/>
  <c r="N43" i="120"/>
  <c r="N42" i="120"/>
  <c r="N41" i="120"/>
  <c r="N40" i="120"/>
  <c r="N39" i="120"/>
  <c r="N38" i="120"/>
  <c r="N37" i="120"/>
  <c r="N36" i="120"/>
  <c r="N35" i="120"/>
  <c r="N34" i="120"/>
  <c r="N33" i="120"/>
  <c r="N32" i="120"/>
  <c r="N31" i="120"/>
  <c r="N30" i="120"/>
  <c r="N29" i="120"/>
  <c r="N28" i="120"/>
  <c r="N27" i="120"/>
  <c r="N26" i="120"/>
  <c r="N25" i="120"/>
  <c r="N24" i="120"/>
  <c r="N23" i="120"/>
  <c r="N22" i="120"/>
  <c r="N21" i="120"/>
  <c r="N20" i="120"/>
  <c r="N19" i="120"/>
  <c r="N18" i="120"/>
  <c r="N17" i="120"/>
  <c r="N16" i="120"/>
  <c r="N15" i="120"/>
  <c r="N14" i="120"/>
  <c r="N13" i="120"/>
  <c r="N12" i="120"/>
  <c r="N11" i="120"/>
  <c r="N10" i="120"/>
  <c r="N9" i="120"/>
  <c r="N8" i="120"/>
  <c r="N7" i="120"/>
  <c r="N75" i="119"/>
  <c r="N74" i="119"/>
  <c r="N73" i="119"/>
  <c r="N72" i="119"/>
  <c r="N71" i="119"/>
  <c r="N70" i="119"/>
  <c r="N69" i="119"/>
  <c r="N68" i="119"/>
  <c r="N67" i="119"/>
  <c r="N66" i="119"/>
  <c r="N65" i="119"/>
  <c r="N64" i="119"/>
  <c r="N63" i="119"/>
  <c r="N62" i="119"/>
  <c r="N61" i="119"/>
  <c r="N60" i="119"/>
  <c r="N59" i="119"/>
  <c r="N58" i="119"/>
  <c r="N57" i="119"/>
  <c r="N56" i="119"/>
  <c r="N55" i="119"/>
  <c r="N54" i="119"/>
  <c r="N53" i="119"/>
  <c r="N52" i="119"/>
  <c r="N51" i="119"/>
  <c r="N50" i="119"/>
  <c r="N49" i="119"/>
  <c r="N48" i="119"/>
  <c r="N47" i="119"/>
  <c r="N46" i="119"/>
  <c r="N45" i="119"/>
  <c r="N44" i="119"/>
  <c r="N43" i="119"/>
  <c r="N42" i="119"/>
  <c r="N41" i="119"/>
  <c r="N40" i="119"/>
  <c r="N39" i="119"/>
  <c r="N38" i="119"/>
  <c r="N37" i="119"/>
  <c r="N36" i="119"/>
  <c r="N35" i="119"/>
  <c r="N34" i="119"/>
  <c r="N33" i="119"/>
  <c r="N32" i="119"/>
  <c r="N31" i="119"/>
  <c r="N30" i="119"/>
  <c r="N29" i="119"/>
  <c r="N28" i="119"/>
  <c r="N27" i="119"/>
  <c r="N26" i="119"/>
  <c r="N25" i="119"/>
  <c r="N24" i="119"/>
  <c r="N23" i="119"/>
  <c r="N22" i="119"/>
  <c r="N21" i="119"/>
  <c r="N20" i="119"/>
  <c r="N19" i="119"/>
  <c r="N18" i="119"/>
  <c r="N17" i="119"/>
  <c r="N16" i="119"/>
  <c r="N15" i="119"/>
  <c r="N14" i="119"/>
  <c r="N13" i="119"/>
  <c r="N12" i="119"/>
  <c r="N11" i="119"/>
  <c r="N10" i="119"/>
  <c r="N9" i="119"/>
  <c r="N8" i="119"/>
  <c r="N7" i="119"/>
  <c r="N75" i="118"/>
  <c r="N74" i="118"/>
  <c r="N73" i="118"/>
  <c r="N72" i="118"/>
  <c r="N71" i="118"/>
  <c r="N70" i="118"/>
  <c r="N69" i="118"/>
  <c r="N68" i="118"/>
  <c r="N67" i="118"/>
  <c r="N66" i="118"/>
  <c r="N65" i="118"/>
  <c r="N64" i="118"/>
  <c r="N63" i="118"/>
  <c r="N62" i="118"/>
  <c r="N61" i="118"/>
  <c r="N60" i="118"/>
  <c r="N59" i="118"/>
  <c r="N58" i="118"/>
  <c r="N57" i="118"/>
  <c r="N56" i="118"/>
  <c r="N55" i="118"/>
  <c r="N54" i="118"/>
  <c r="N53" i="118"/>
  <c r="N52" i="118"/>
  <c r="N51" i="118"/>
  <c r="N50" i="118"/>
  <c r="N49" i="118"/>
  <c r="N48" i="118"/>
  <c r="N47" i="118"/>
  <c r="N46" i="118"/>
  <c r="N45" i="118"/>
  <c r="N44" i="118"/>
  <c r="N43" i="118"/>
  <c r="N42" i="118"/>
  <c r="N41" i="118"/>
  <c r="N40" i="118"/>
  <c r="N39" i="118"/>
  <c r="N38" i="118"/>
  <c r="N37" i="118"/>
  <c r="N36" i="118"/>
  <c r="N35" i="118"/>
  <c r="N34" i="118"/>
  <c r="N33" i="118"/>
  <c r="N32" i="118"/>
  <c r="N31" i="118"/>
  <c r="N30" i="118"/>
  <c r="N29" i="118"/>
  <c r="N28" i="118"/>
  <c r="N27" i="118"/>
  <c r="N26" i="118"/>
  <c r="N25" i="118"/>
  <c r="N24" i="118"/>
  <c r="N23" i="118"/>
  <c r="N22" i="118"/>
  <c r="N21" i="118"/>
  <c r="N20" i="118"/>
  <c r="N19" i="118"/>
  <c r="N18" i="118"/>
  <c r="N17" i="118"/>
  <c r="N16" i="118"/>
  <c r="N15" i="118"/>
  <c r="N14" i="118"/>
  <c r="N13" i="118"/>
  <c r="N12" i="118"/>
  <c r="N11" i="118"/>
  <c r="N10" i="118"/>
  <c r="N9" i="118"/>
  <c r="N8" i="118"/>
  <c r="N7" i="118"/>
  <c r="N75" i="115"/>
  <c r="N74" i="115"/>
  <c r="N73" i="115"/>
  <c r="N72" i="115"/>
  <c r="N71" i="115"/>
  <c r="N70" i="115"/>
  <c r="N69" i="115"/>
  <c r="N68" i="115"/>
  <c r="N67" i="115"/>
  <c r="N66" i="115"/>
  <c r="N65" i="115"/>
  <c r="N64" i="115"/>
  <c r="N63" i="115"/>
  <c r="N62" i="115"/>
  <c r="N61" i="115"/>
  <c r="N60" i="115"/>
  <c r="N59" i="115"/>
  <c r="N58" i="115"/>
  <c r="N57" i="115"/>
  <c r="N56" i="115"/>
  <c r="N55" i="115"/>
  <c r="N54" i="115"/>
  <c r="N53" i="115"/>
  <c r="N52" i="115"/>
  <c r="N51" i="115"/>
  <c r="N50" i="115"/>
  <c r="N49" i="115"/>
  <c r="N48" i="115"/>
  <c r="N47" i="115"/>
  <c r="N46" i="115"/>
  <c r="N45" i="115"/>
  <c r="N44" i="115"/>
  <c r="N43" i="115"/>
  <c r="N42" i="115"/>
  <c r="N41" i="115"/>
  <c r="N40" i="115"/>
  <c r="N39" i="115"/>
  <c r="N38" i="115"/>
  <c r="N37" i="115"/>
  <c r="N36" i="115"/>
  <c r="N35" i="115"/>
  <c r="N34" i="115"/>
  <c r="N33" i="115"/>
  <c r="N32" i="115"/>
  <c r="N31" i="115"/>
  <c r="N30" i="115"/>
  <c r="N29" i="115"/>
  <c r="N28" i="115"/>
  <c r="N27" i="115"/>
  <c r="N26" i="115"/>
  <c r="N25" i="115"/>
  <c r="N24" i="115"/>
  <c r="N23" i="115"/>
  <c r="N22" i="115"/>
  <c r="N21" i="115"/>
  <c r="N20" i="115"/>
  <c r="N19" i="115"/>
  <c r="N18" i="115"/>
  <c r="N17" i="115"/>
  <c r="N16" i="115"/>
  <c r="N15" i="115"/>
  <c r="N14" i="115"/>
  <c r="N13" i="115"/>
  <c r="N12" i="115"/>
  <c r="N11" i="115"/>
  <c r="N10" i="115"/>
  <c r="N9" i="115"/>
  <c r="N8" i="115"/>
  <c r="N7" i="115"/>
  <c r="P75" i="117"/>
  <c r="P74" i="117"/>
  <c r="P73" i="117"/>
  <c r="P72" i="117"/>
  <c r="P71" i="117"/>
  <c r="P70" i="117"/>
  <c r="P69" i="117"/>
  <c r="P68" i="117"/>
  <c r="P67" i="117"/>
  <c r="P66" i="117"/>
  <c r="P65" i="117"/>
  <c r="P64" i="117"/>
  <c r="P63" i="117"/>
  <c r="P62" i="117"/>
  <c r="P61" i="117"/>
  <c r="P60" i="117"/>
  <c r="P59" i="117"/>
  <c r="P58" i="117"/>
  <c r="P57" i="117"/>
  <c r="P56" i="117"/>
  <c r="P55" i="117"/>
  <c r="P54" i="117"/>
  <c r="P53" i="117"/>
  <c r="P52" i="117"/>
  <c r="P51" i="117"/>
  <c r="P50" i="117"/>
  <c r="P49" i="117"/>
  <c r="P48" i="117"/>
  <c r="P47" i="117"/>
  <c r="P46" i="117"/>
  <c r="P45" i="117"/>
  <c r="P44" i="117"/>
  <c r="P43" i="117"/>
  <c r="P42" i="117"/>
  <c r="P41" i="117"/>
  <c r="P40" i="117"/>
  <c r="P39" i="117"/>
  <c r="P38" i="117"/>
  <c r="P37" i="117"/>
  <c r="P36" i="117"/>
  <c r="P35" i="117"/>
  <c r="P34" i="117"/>
  <c r="P33" i="117"/>
  <c r="P32" i="117"/>
  <c r="P31" i="117"/>
  <c r="P30" i="117"/>
  <c r="P29" i="117"/>
  <c r="P28" i="117"/>
  <c r="P27" i="117"/>
  <c r="P26" i="117"/>
  <c r="P25" i="117"/>
  <c r="P24" i="117"/>
  <c r="P23" i="117"/>
  <c r="P22" i="117"/>
  <c r="P21" i="117"/>
  <c r="P20" i="117"/>
  <c r="P19" i="117"/>
  <c r="P18" i="117"/>
  <c r="P17" i="117"/>
  <c r="P16" i="117"/>
  <c r="P15" i="117"/>
  <c r="P14" i="117"/>
  <c r="P13" i="117"/>
  <c r="P12" i="117"/>
  <c r="P11" i="117"/>
  <c r="P10" i="117"/>
  <c r="P9" i="117"/>
  <c r="P8" i="117"/>
  <c r="P7" i="117"/>
  <c r="N75" i="116"/>
  <c r="N74" i="116"/>
  <c r="N73" i="116"/>
  <c r="N72" i="116"/>
  <c r="N71" i="116"/>
  <c r="N70" i="116"/>
  <c r="N69" i="116"/>
  <c r="N68" i="116"/>
  <c r="N67" i="116"/>
  <c r="N66" i="116"/>
  <c r="N65" i="116"/>
  <c r="N64" i="116"/>
  <c r="N63" i="116"/>
  <c r="N62" i="116"/>
  <c r="N61" i="116"/>
  <c r="N60" i="116"/>
  <c r="N59" i="116"/>
  <c r="N58" i="116"/>
  <c r="N57" i="116"/>
  <c r="N56" i="116"/>
  <c r="N55" i="116"/>
  <c r="N54" i="116"/>
  <c r="N53" i="116"/>
  <c r="N52" i="116"/>
  <c r="N51" i="116"/>
  <c r="N50" i="116"/>
  <c r="N49" i="116"/>
  <c r="N48" i="116"/>
  <c r="N47" i="116"/>
  <c r="N46" i="116"/>
  <c r="N45" i="116"/>
  <c r="N44" i="116"/>
  <c r="N43" i="116"/>
  <c r="N42" i="116"/>
  <c r="N41" i="116"/>
  <c r="N40" i="116"/>
  <c r="N39" i="116"/>
  <c r="N38" i="116"/>
  <c r="N37" i="116"/>
  <c r="N36" i="116"/>
  <c r="N35" i="116"/>
  <c r="N34" i="116"/>
  <c r="N33" i="116"/>
  <c r="N32" i="116"/>
  <c r="N31" i="116"/>
  <c r="N30" i="116"/>
  <c r="N29" i="116"/>
  <c r="N28" i="116"/>
  <c r="N27" i="116"/>
  <c r="N26" i="116"/>
  <c r="N25" i="116"/>
  <c r="N24" i="116"/>
  <c r="N23" i="116"/>
  <c r="N22" i="116"/>
  <c r="N21" i="116"/>
  <c r="N20" i="116"/>
  <c r="N19" i="116"/>
  <c r="N18" i="116"/>
  <c r="N17" i="116"/>
  <c r="N16" i="116"/>
  <c r="N15" i="116"/>
  <c r="N14" i="116"/>
  <c r="N13" i="116"/>
  <c r="N12" i="116"/>
  <c r="N11" i="116"/>
  <c r="N10" i="116"/>
  <c r="N9" i="116"/>
  <c r="N8" i="116"/>
  <c r="N7" i="116"/>
  <c r="N75" i="114"/>
  <c r="N74" i="114"/>
  <c r="N73" i="114"/>
  <c r="N72" i="114"/>
  <c r="N71" i="114"/>
  <c r="N70" i="114"/>
  <c r="N69" i="114"/>
  <c r="N68" i="114"/>
  <c r="N67" i="114"/>
  <c r="N66" i="114"/>
  <c r="N65" i="114"/>
  <c r="N64" i="114"/>
  <c r="N63" i="114"/>
  <c r="N62" i="114"/>
  <c r="N61" i="114"/>
  <c r="N60" i="114"/>
  <c r="N59" i="114"/>
  <c r="N58" i="114"/>
  <c r="N57" i="114"/>
  <c r="N56" i="114"/>
  <c r="N55" i="114"/>
  <c r="N54" i="114"/>
  <c r="N53" i="114"/>
  <c r="N52" i="114"/>
  <c r="N51" i="114"/>
  <c r="N50" i="114"/>
  <c r="N49" i="114"/>
  <c r="N48" i="114"/>
  <c r="N47" i="114"/>
  <c r="N46" i="114"/>
  <c r="N45" i="114"/>
  <c r="N44" i="114"/>
  <c r="N43" i="114"/>
  <c r="N42" i="114"/>
  <c r="N41" i="114"/>
  <c r="N40" i="114"/>
  <c r="N39" i="114"/>
  <c r="N38" i="114"/>
  <c r="N37" i="114"/>
  <c r="N36" i="114"/>
  <c r="N35" i="114"/>
  <c r="N34" i="114"/>
  <c r="N33" i="114"/>
  <c r="N32" i="114"/>
  <c r="N31" i="114"/>
  <c r="N30" i="114"/>
  <c r="N29" i="114"/>
  <c r="N28" i="114"/>
  <c r="N27" i="114"/>
  <c r="N26" i="114"/>
  <c r="N25" i="114"/>
  <c r="N24" i="114"/>
  <c r="N23" i="114"/>
  <c r="N22" i="114"/>
  <c r="N21" i="114"/>
  <c r="N20" i="114"/>
  <c r="N19" i="114"/>
  <c r="N18" i="114"/>
  <c r="N17" i="114"/>
  <c r="N16" i="114"/>
  <c r="N15" i="114"/>
  <c r="N14" i="114"/>
  <c r="N13" i="114"/>
  <c r="N12" i="114"/>
  <c r="N11" i="114"/>
  <c r="N10" i="114"/>
  <c r="N9" i="114"/>
  <c r="N8" i="114"/>
  <c r="N7" i="114"/>
  <c r="P75" i="113"/>
  <c r="P74" i="113"/>
  <c r="P73" i="113"/>
  <c r="P72" i="113"/>
  <c r="P71" i="113"/>
  <c r="P70" i="113"/>
  <c r="P69" i="113"/>
  <c r="P68" i="113"/>
  <c r="P67" i="113"/>
  <c r="P66" i="113"/>
  <c r="P65" i="113"/>
  <c r="P64" i="113"/>
  <c r="P63" i="113"/>
  <c r="P62" i="113"/>
  <c r="P61" i="113"/>
  <c r="P60" i="113"/>
  <c r="P59" i="113"/>
  <c r="P58" i="113"/>
  <c r="P57" i="113"/>
  <c r="P56" i="113"/>
  <c r="P55" i="113"/>
  <c r="P54" i="113"/>
  <c r="P53" i="113"/>
  <c r="P52" i="113"/>
  <c r="P51" i="113"/>
  <c r="P50" i="113"/>
  <c r="P49" i="113"/>
  <c r="P48" i="113"/>
  <c r="P47" i="113"/>
  <c r="P46" i="113"/>
  <c r="P45" i="113"/>
  <c r="P44" i="113"/>
  <c r="P43" i="113"/>
  <c r="P42" i="113"/>
  <c r="P41" i="113"/>
  <c r="P40" i="113"/>
  <c r="P39" i="113"/>
  <c r="P38" i="113"/>
  <c r="P37" i="113"/>
  <c r="P36" i="113"/>
  <c r="P35" i="113"/>
  <c r="P34" i="113"/>
  <c r="P33" i="113"/>
  <c r="P32" i="113"/>
  <c r="P31" i="113"/>
  <c r="P30" i="113"/>
  <c r="P29" i="113"/>
  <c r="P28" i="113"/>
  <c r="P27" i="113"/>
  <c r="P26" i="113"/>
  <c r="P25" i="113"/>
  <c r="P24" i="113"/>
  <c r="P23" i="113"/>
  <c r="P22" i="113"/>
  <c r="P21" i="113"/>
  <c r="P20" i="113"/>
  <c r="P19" i="113"/>
  <c r="P18" i="113"/>
  <c r="P17" i="113"/>
  <c r="P16" i="113"/>
  <c r="P15" i="113"/>
  <c r="P14" i="113"/>
  <c r="P13" i="113"/>
  <c r="P12" i="113"/>
  <c r="P11" i="113"/>
  <c r="P10" i="113"/>
  <c r="P9" i="113"/>
  <c r="P8" i="113"/>
  <c r="P7" i="113"/>
  <c r="P35" i="46"/>
  <c r="P29" i="46"/>
  <c r="P28" i="46"/>
  <c r="P23" i="46"/>
  <c r="P11" i="46"/>
  <c r="P12" i="46"/>
  <c r="P13" i="46"/>
  <c r="P14" i="46"/>
  <c r="P15" i="46"/>
  <c r="P16" i="46"/>
  <c r="P17" i="46"/>
  <c r="P10" i="46"/>
  <c r="K42" i="31"/>
  <c r="K23" i="31"/>
  <c r="K21" i="31"/>
  <c r="K17" i="31"/>
  <c r="K68" i="31"/>
  <c r="K67" i="31"/>
  <c r="K66" i="31"/>
  <c r="K65" i="31"/>
  <c r="K64" i="31"/>
  <c r="K63" i="31"/>
  <c r="K62" i="31"/>
  <c r="K61" i="31"/>
  <c r="K60" i="31"/>
  <c r="K59" i="31"/>
  <c r="K58" i="31"/>
  <c r="K57" i="31"/>
  <c r="K56" i="31"/>
  <c r="K55" i="31"/>
  <c r="K54" i="31"/>
  <c r="K53" i="31"/>
  <c r="K52" i="31"/>
  <c r="K51" i="31"/>
  <c r="K50" i="31"/>
  <c r="K49" i="31"/>
  <c r="K48" i="31"/>
  <c r="K47" i="31"/>
  <c r="K46" i="31"/>
  <c r="K45" i="31"/>
  <c r="K44" i="31"/>
  <c r="K43" i="31"/>
  <c r="K41" i="31"/>
  <c r="K40" i="31"/>
  <c r="K39" i="31"/>
  <c r="K38" i="31"/>
  <c r="K37" i="31"/>
  <c r="K36" i="31"/>
  <c r="K35" i="31"/>
  <c r="K34" i="31"/>
  <c r="K33" i="31"/>
  <c r="K32" i="31"/>
  <c r="K31" i="31"/>
  <c r="K30" i="31"/>
  <c r="K29" i="31"/>
  <c r="K28" i="31"/>
  <c r="K27" i="31"/>
  <c r="K26" i="31"/>
  <c r="K25" i="31"/>
  <c r="K24" i="31"/>
  <c r="K22" i="31"/>
  <c r="K20" i="31"/>
  <c r="K19" i="31"/>
  <c r="K18" i="31"/>
  <c r="K16" i="31"/>
  <c r="K15" i="31"/>
  <c r="K14" i="31"/>
  <c r="K13" i="31"/>
  <c r="K12" i="31"/>
  <c r="K9" i="31"/>
  <c r="C56" i="1" l="1"/>
  <c r="C9" i="31"/>
  <c r="C59" i="31" l="1"/>
  <c r="AL77" i="1"/>
  <c r="AL76" i="1"/>
  <c r="AL75" i="1"/>
  <c r="AL74" i="1"/>
  <c r="AL73" i="1"/>
  <c r="AL72" i="1"/>
  <c r="AL71" i="1"/>
  <c r="AL70" i="1"/>
  <c r="AL69" i="1"/>
  <c r="AL68" i="1"/>
  <c r="AL67" i="1"/>
  <c r="AL66" i="1"/>
  <c r="AL65" i="1"/>
  <c r="AL64" i="1"/>
  <c r="AL63" i="1"/>
  <c r="AL62" i="1"/>
  <c r="AL61" i="1"/>
  <c r="AL60" i="1"/>
  <c r="AL59" i="1"/>
  <c r="AL58" i="1"/>
  <c r="AL57" i="1"/>
  <c r="AL56" i="1"/>
  <c r="AL55" i="1"/>
  <c r="AL54" i="1"/>
  <c r="AL53" i="1"/>
  <c r="AL52" i="1"/>
  <c r="AL51" i="1"/>
  <c r="AL50" i="1"/>
  <c r="AL49" i="1"/>
  <c r="AL48" i="1"/>
  <c r="AL47" i="1"/>
  <c r="AL46" i="1"/>
  <c r="AL45" i="1"/>
  <c r="AL44" i="1"/>
  <c r="AL43" i="1"/>
  <c r="AL42" i="1"/>
  <c r="AL41" i="1"/>
  <c r="AL40" i="1"/>
  <c r="AL39" i="1"/>
  <c r="AL38" i="1"/>
  <c r="AL37" i="1"/>
  <c r="AL36" i="1"/>
  <c r="AL35" i="1"/>
  <c r="AL34" i="1"/>
  <c r="AL33" i="1"/>
  <c r="AL32" i="1"/>
  <c r="AL31" i="1"/>
  <c r="AL30" i="1"/>
  <c r="AL29" i="1"/>
  <c r="AL28" i="1"/>
  <c r="AL27" i="1"/>
  <c r="AL26" i="1"/>
  <c r="AL25" i="1"/>
  <c r="AL24" i="1"/>
  <c r="AL23" i="1"/>
  <c r="AL22" i="1"/>
  <c r="AL21" i="1"/>
  <c r="AL20" i="1"/>
  <c r="AL19" i="1"/>
  <c r="AL18" i="1"/>
  <c r="AL17" i="1"/>
  <c r="AL16" i="1"/>
  <c r="AL15" i="1"/>
  <c r="AL14" i="1"/>
  <c r="AL13" i="1"/>
  <c r="AL12" i="1"/>
  <c r="AL11" i="1"/>
  <c r="AL10" i="1"/>
  <c r="AL9" i="1"/>
  <c r="AJ77" i="1" l="1"/>
  <c r="AJ76" i="1"/>
  <c r="AJ75" i="1"/>
  <c r="AJ74" i="1"/>
  <c r="AJ73" i="1"/>
  <c r="AJ72" i="1"/>
  <c r="AJ71" i="1"/>
  <c r="AJ70" i="1"/>
  <c r="AJ69" i="1"/>
  <c r="AJ68" i="1"/>
  <c r="AJ67" i="1"/>
  <c r="AJ66" i="1"/>
  <c r="AJ65" i="1"/>
  <c r="AJ64" i="1"/>
  <c r="AJ63" i="1"/>
  <c r="AJ62" i="1"/>
  <c r="AJ61" i="1"/>
  <c r="AJ60" i="1"/>
  <c r="AJ59" i="1"/>
  <c r="AJ58" i="1"/>
  <c r="AJ57" i="1"/>
  <c r="AJ56" i="1"/>
  <c r="AJ55" i="1"/>
  <c r="AJ54" i="1"/>
  <c r="AJ53" i="1"/>
  <c r="AJ52" i="1"/>
  <c r="AJ51" i="1"/>
  <c r="AJ50" i="1"/>
  <c r="AJ49" i="1"/>
  <c r="AJ48" i="1"/>
  <c r="AJ47" i="1"/>
  <c r="AJ46" i="1"/>
  <c r="AJ45" i="1"/>
  <c r="AJ44" i="1"/>
  <c r="AJ43" i="1"/>
  <c r="AJ42" i="1"/>
  <c r="AJ41" i="1"/>
  <c r="AJ40" i="1"/>
  <c r="AJ39" i="1"/>
  <c r="AJ38" i="1"/>
  <c r="AJ37" i="1"/>
  <c r="AJ36" i="1"/>
  <c r="AJ35" i="1"/>
  <c r="AJ34" i="1"/>
  <c r="AJ33" i="1"/>
  <c r="AJ32" i="1"/>
  <c r="AJ31" i="1"/>
  <c r="AJ30" i="1"/>
  <c r="AJ29" i="1"/>
  <c r="AJ28" i="1"/>
  <c r="AJ27" i="1"/>
  <c r="AJ26" i="1"/>
  <c r="AJ25" i="1"/>
  <c r="AJ24" i="1"/>
  <c r="AJ23" i="1"/>
  <c r="AJ22" i="1"/>
  <c r="AJ21" i="1"/>
  <c r="AJ20" i="1"/>
  <c r="AJ19" i="1"/>
  <c r="AJ18" i="1"/>
  <c r="AJ17" i="1"/>
  <c r="AJ16" i="1"/>
  <c r="AJ15" i="1"/>
  <c r="AJ14" i="1"/>
  <c r="AJ13" i="1"/>
  <c r="AJ12" i="1"/>
  <c r="AJ11" i="1"/>
  <c r="AJ10" i="1"/>
  <c r="AJ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AH51" i="1"/>
  <c r="AH50" i="1"/>
  <c r="AH49" i="1"/>
  <c r="AH48" i="1"/>
  <c r="AH47" i="1"/>
  <c r="AH46" i="1"/>
  <c r="AH45" i="1"/>
  <c r="AH44" i="1"/>
  <c r="AH43" i="1"/>
  <c r="AH42" i="1"/>
  <c r="AH41" i="1"/>
  <c r="AH40" i="1"/>
  <c r="AH39" i="1"/>
  <c r="AH38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H25" i="1"/>
  <c r="AH24" i="1"/>
  <c r="AH23" i="1"/>
  <c r="AH22" i="1"/>
  <c r="AH21" i="1"/>
  <c r="AH20" i="1"/>
  <c r="AH19" i="1"/>
  <c r="AH18" i="1"/>
  <c r="AH17" i="1"/>
  <c r="AH16" i="1"/>
  <c r="AH15" i="1"/>
  <c r="AH14" i="1"/>
  <c r="AH13" i="1"/>
  <c r="AH12" i="1"/>
  <c r="AH11" i="1"/>
  <c r="AH10" i="1"/>
  <c r="AH9" i="1"/>
  <c r="N76" i="113" l="1"/>
  <c r="J77" i="83"/>
  <c r="J41" i="83"/>
  <c r="K10" i="5"/>
  <c r="I116" i="132" l="1"/>
  <c r="I113" i="132"/>
  <c r="N42" i="117" s="1"/>
  <c r="N76" i="117" s="1"/>
  <c r="I110" i="132"/>
  <c r="I107" i="132"/>
  <c r="I104" i="132"/>
  <c r="I101" i="132"/>
  <c r="I98" i="132"/>
  <c r="I97" i="132"/>
  <c r="I94" i="132"/>
  <c r="I93" i="132"/>
  <c r="I92" i="132"/>
  <c r="I91" i="132"/>
  <c r="I90" i="132"/>
  <c r="I89" i="132"/>
  <c r="M42" i="87" s="1"/>
  <c r="M76" i="87" s="1"/>
  <c r="I88" i="132"/>
  <c r="I87" i="132"/>
  <c r="I84" i="132"/>
  <c r="I81" i="132"/>
  <c r="I78" i="132"/>
  <c r="I77" i="132"/>
  <c r="C16" i="46"/>
  <c r="C15" i="46"/>
  <c r="C14" i="46"/>
  <c r="C13" i="46"/>
  <c r="C12" i="46"/>
  <c r="C11" i="46"/>
  <c r="C10" i="46"/>
  <c r="C35" i="46" l="1"/>
  <c r="C33" i="46"/>
  <c r="C26" i="46"/>
  <c r="C21" i="46"/>
  <c r="C29" i="46"/>
  <c r="C28" i="46"/>
  <c r="C23" i="46"/>
  <c r="C17" i="46"/>
  <c r="C7" i="46"/>
  <c r="C66" i="31" l="1"/>
  <c r="C65" i="31"/>
  <c r="C64" i="31"/>
  <c r="C63" i="31"/>
  <c r="C62" i="31"/>
  <c r="C61" i="31"/>
  <c r="C60" i="31"/>
  <c r="C58" i="31" l="1"/>
  <c r="C57" i="31"/>
  <c r="C56" i="31"/>
  <c r="C55" i="31"/>
  <c r="C54" i="31"/>
  <c r="C53" i="31"/>
  <c r="C52" i="31"/>
  <c r="C51" i="31"/>
  <c r="C50" i="31"/>
  <c r="C49" i="31"/>
  <c r="C48" i="31"/>
  <c r="C47" i="31"/>
  <c r="C46" i="31"/>
  <c r="C45" i="31"/>
  <c r="C44" i="31"/>
  <c r="C43" i="31"/>
  <c r="C42" i="31"/>
  <c r="C41" i="31"/>
  <c r="C39" i="31"/>
  <c r="C38" i="31"/>
  <c r="C37" i="31"/>
  <c r="C36" i="31"/>
  <c r="C35" i="31"/>
  <c r="C34" i="31"/>
  <c r="C33" i="31"/>
  <c r="C32" i="31"/>
  <c r="C30" i="31"/>
  <c r="C24" i="31" l="1"/>
  <c r="C28" i="31"/>
  <c r="C27" i="31"/>
  <c r="C26" i="31"/>
  <c r="C25" i="31"/>
  <c r="C23" i="31"/>
  <c r="C22" i="31"/>
  <c r="C21" i="31"/>
  <c r="C20" i="31"/>
  <c r="C19" i="31"/>
  <c r="C18" i="31"/>
  <c r="C17" i="31"/>
  <c r="C16" i="31"/>
  <c r="C15" i="31"/>
  <c r="C14" i="31"/>
  <c r="C13" i="31"/>
  <c r="C12" i="31"/>
  <c r="C7" i="31"/>
  <c r="F77" i="1" l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D77" i="1" l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75" i="90" l="1"/>
  <c r="C75" i="90"/>
  <c r="D74" i="90"/>
  <c r="C74" i="90"/>
  <c r="D73" i="90"/>
  <c r="C73" i="90"/>
  <c r="D72" i="90"/>
  <c r="C72" i="90"/>
  <c r="D71" i="90"/>
  <c r="C71" i="90"/>
  <c r="D70" i="90"/>
  <c r="C70" i="90"/>
  <c r="D69" i="90"/>
  <c r="C69" i="90"/>
  <c r="D68" i="90"/>
  <c r="C68" i="90"/>
  <c r="D67" i="90"/>
  <c r="C67" i="90"/>
  <c r="D66" i="90"/>
  <c r="C66" i="90"/>
  <c r="D65" i="90"/>
  <c r="C65" i="90"/>
  <c r="D64" i="90"/>
  <c r="C64" i="90"/>
  <c r="D63" i="90"/>
  <c r="C63" i="90"/>
  <c r="D62" i="90"/>
  <c r="C62" i="90"/>
  <c r="D61" i="90"/>
  <c r="C61" i="90"/>
  <c r="D60" i="90"/>
  <c r="C60" i="90"/>
  <c r="D59" i="90"/>
  <c r="C59" i="90"/>
  <c r="D58" i="90"/>
  <c r="C58" i="90"/>
  <c r="D57" i="90"/>
  <c r="C57" i="90"/>
  <c r="D56" i="90"/>
  <c r="C56" i="90"/>
  <c r="D55" i="90"/>
  <c r="C55" i="90"/>
  <c r="D54" i="90"/>
  <c r="C54" i="90"/>
  <c r="D53" i="90"/>
  <c r="C53" i="90"/>
  <c r="D52" i="90"/>
  <c r="C52" i="90"/>
  <c r="D51" i="90"/>
  <c r="C51" i="90"/>
  <c r="D50" i="90"/>
  <c r="C50" i="90"/>
  <c r="D49" i="90"/>
  <c r="C49" i="90"/>
  <c r="D48" i="90"/>
  <c r="C48" i="90"/>
  <c r="D47" i="90"/>
  <c r="C47" i="90"/>
  <c r="D46" i="90"/>
  <c r="C46" i="90"/>
  <c r="D45" i="90"/>
  <c r="C45" i="90"/>
  <c r="D44" i="90"/>
  <c r="C44" i="90"/>
  <c r="D43" i="90"/>
  <c r="C43" i="90"/>
  <c r="D42" i="90"/>
  <c r="C42" i="90"/>
  <c r="D41" i="90"/>
  <c r="C41" i="90"/>
  <c r="D40" i="90"/>
  <c r="C40" i="90"/>
  <c r="D39" i="90"/>
  <c r="C39" i="90"/>
  <c r="D38" i="90"/>
  <c r="C38" i="90"/>
  <c r="D37" i="90"/>
  <c r="C37" i="90"/>
  <c r="D36" i="90"/>
  <c r="C36" i="90"/>
  <c r="D35" i="90"/>
  <c r="C35" i="90"/>
  <c r="D34" i="90"/>
  <c r="C34" i="90"/>
  <c r="D33" i="90"/>
  <c r="C33" i="90"/>
  <c r="D32" i="90"/>
  <c r="C32" i="90"/>
  <c r="D31" i="90"/>
  <c r="C31" i="90"/>
  <c r="D30" i="90"/>
  <c r="C30" i="90"/>
  <c r="D29" i="90"/>
  <c r="C29" i="90"/>
  <c r="D28" i="90"/>
  <c r="C28" i="90"/>
  <c r="D27" i="90"/>
  <c r="C27" i="90"/>
  <c r="D26" i="90"/>
  <c r="C26" i="90"/>
  <c r="D25" i="90"/>
  <c r="C25" i="90"/>
  <c r="D24" i="90"/>
  <c r="C24" i="90"/>
  <c r="D23" i="90"/>
  <c r="C23" i="90"/>
  <c r="D22" i="90"/>
  <c r="C22" i="90"/>
  <c r="D21" i="90"/>
  <c r="C21" i="90"/>
  <c r="D20" i="90"/>
  <c r="C20" i="90"/>
  <c r="D19" i="90"/>
  <c r="C19" i="90"/>
  <c r="D18" i="90"/>
  <c r="C18" i="90"/>
  <c r="D17" i="90"/>
  <c r="C17" i="90"/>
  <c r="D16" i="90"/>
  <c r="C16" i="90"/>
  <c r="D15" i="90"/>
  <c r="C15" i="90"/>
  <c r="D14" i="90"/>
  <c r="C14" i="90"/>
  <c r="D13" i="90"/>
  <c r="C13" i="90"/>
  <c r="D12" i="90"/>
  <c r="C12" i="90"/>
  <c r="D11" i="90"/>
  <c r="C11" i="90"/>
  <c r="D10" i="90"/>
  <c r="C10" i="90"/>
  <c r="D9" i="90"/>
  <c r="C9" i="90"/>
  <c r="D8" i="90"/>
  <c r="C8" i="90"/>
  <c r="D7" i="90"/>
  <c r="C7" i="90"/>
  <c r="C75" i="92" l="1"/>
  <c r="C74" i="92"/>
  <c r="C73" i="92"/>
  <c r="C72" i="92"/>
  <c r="C71" i="92"/>
  <c r="C70" i="92"/>
  <c r="C69" i="92"/>
  <c r="C68" i="92"/>
  <c r="C67" i="92"/>
  <c r="C66" i="92"/>
  <c r="C65" i="92"/>
  <c r="C64" i="92"/>
  <c r="C63" i="92"/>
  <c r="C62" i="92"/>
  <c r="C61" i="92"/>
  <c r="C60" i="92"/>
  <c r="C59" i="92"/>
  <c r="C58" i="92"/>
  <c r="C57" i="92"/>
  <c r="C56" i="92"/>
  <c r="C55" i="92"/>
  <c r="C54" i="92"/>
  <c r="C53" i="92"/>
  <c r="C52" i="92"/>
  <c r="C51" i="92"/>
  <c r="C50" i="92"/>
  <c r="C49" i="92"/>
  <c r="C48" i="92"/>
  <c r="C47" i="92"/>
  <c r="C46" i="92"/>
  <c r="C45" i="92"/>
  <c r="C44" i="92"/>
  <c r="C43" i="92"/>
  <c r="C42" i="92"/>
  <c r="C41" i="92"/>
  <c r="C40" i="92"/>
  <c r="C39" i="92"/>
  <c r="C38" i="92"/>
  <c r="C37" i="92"/>
  <c r="C36" i="92"/>
  <c r="C35" i="92"/>
  <c r="C34" i="92"/>
  <c r="C33" i="92"/>
  <c r="C32" i="92"/>
  <c r="C31" i="92"/>
  <c r="C30" i="92"/>
  <c r="C29" i="92"/>
  <c r="C28" i="92"/>
  <c r="C27" i="92"/>
  <c r="C26" i="92"/>
  <c r="C25" i="92"/>
  <c r="C24" i="92"/>
  <c r="C23" i="92"/>
  <c r="C22" i="92"/>
  <c r="C21" i="92"/>
  <c r="C20" i="92"/>
  <c r="C19" i="92"/>
  <c r="C18" i="92"/>
  <c r="C17" i="92"/>
  <c r="C16" i="92"/>
  <c r="C15" i="92"/>
  <c r="C14" i="92"/>
  <c r="C13" i="92"/>
  <c r="C12" i="92"/>
  <c r="C11" i="92"/>
  <c r="C10" i="92"/>
  <c r="C9" i="92"/>
  <c r="C8" i="92"/>
  <c r="C7" i="92"/>
  <c r="C75" i="91"/>
  <c r="C74" i="91"/>
  <c r="C73" i="91"/>
  <c r="C72" i="91"/>
  <c r="C71" i="91"/>
  <c r="C70" i="91"/>
  <c r="C69" i="91"/>
  <c r="C68" i="91"/>
  <c r="C67" i="91"/>
  <c r="C66" i="91"/>
  <c r="C65" i="91"/>
  <c r="C64" i="91"/>
  <c r="C63" i="91"/>
  <c r="C62" i="91"/>
  <c r="C61" i="91"/>
  <c r="C60" i="91"/>
  <c r="C59" i="91"/>
  <c r="C58" i="91"/>
  <c r="C57" i="91"/>
  <c r="C56" i="91"/>
  <c r="C55" i="91"/>
  <c r="C54" i="91"/>
  <c r="C53" i="91"/>
  <c r="C52" i="91"/>
  <c r="C51" i="91"/>
  <c r="C50" i="91"/>
  <c r="C49" i="91"/>
  <c r="C48" i="91"/>
  <c r="C47" i="91"/>
  <c r="C46" i="91"/>
  <c r="C45" i="91"/>
  <c r="C44" i="91"/>
  <c r="C43" i="91"/>
  <c r="C42" i="91"/>
  <c r="C41" i="91"/>
  <c r="C40" i="91"/>
  <c r="C39" i="91"/>
  <c r="C38" i="91"/>
  <c r="C37" i="91"/>
  <c r="C36" i="91"/>
  <c r="C35" i="91"/>
  <c r="C34" i="91"/>
  <c r="C33" i="91"/>
  <c r="C32" i="91"/>
  <c r="C31" i="91"/>
  <c r="C30" i="91"/>
  <c r="C29" i="91"/>
  <c r="C28" i="91"/>
  <c r="C27" i="91"/>
  <c r="C26" i="91"/>
  <c r="C25" i="91"/>
  <c r="C24" i="91"/>
  <c r="C23" i="91"/>
  <c r="C22" i="91"/>
  <c r="C21" i="91"/>
  <c r="C20" i="91"/>
  <c r="C19" i="91"/>
  <c r="C18" i="91"/>
  <c r="C17" i="91"/>
  <c r="C16" i="91"/>
  <c r="C15" i="91"/>
  <c r="C14" i="91"/>
  <c r="C13" i="91"/>
  <c r="C12" i="91"/>
  <c r="C11" i="91"/>
  <c r="C10" i="91"/>
  <c r="C9" i="91"/>
  <c r="C8" i="91"/>
  <c r="C7" i="91"/>
  <c r="C75" i="89"/>
  <c r="C74" i="89"/>
  <c r="C73" i="89"/>
  <c r="C72" i="89"/>
  <c r="C71" i="89"/>
  <c r="C70" i="89"/>
  <c r="C69" i="89"/>
  <c r="C68" i="89"/>
  <c r="C67" i="89"/>
  <c r="C66" i="89"/>
  <c r="C65" i="89"/>
  <c r="C64" i="89"/>
  <c r="C63" i="89"/>
  <c r="C62" i="89"/>
  <c r="C61" i="89"/>
  <c r="C60" i="89"/>
  <c r="C59" i="89"/>
  <c r="C58" i="89"/>
  <c r="C57" i="89"/>
  <c r="C56" i="89"/>
  <c r="C55" i="89"/>
  <c r="C54" i="89"/>
  <c r="C53" i="89"/>
  <c r="C52" i="89"/>
  <c r="C51" i="89"/>
  <c r="C50" i="89"/>
  <c r="C49" i="89"/>
  <c r="C48" i="89"/>
  <c r="C47" i="89"/>
  <c r="C46" i="89"/>
  <c r="C45" i="89"/>
  <c r="C44" i="89"/>
  <c r="C43" i="89"/>
  <c r="C42" i="89"/>
  <c r="C41" i="89"/>
  <c r="C40" i="89"/>
  <c r="C39" i="89"/>
  <c r="C38" i="89"/>
  <c r="C37" i="89"/>
  <c r="C36" i="89"/>
  <c r="C35" i="89"/>
  <c r="C34" i="89"/>
  <c r="C33" i="89"/>
  <c r="C32" i="89"/>
  <c r="C31" i="89"/>
  <c r="C30" i="89"/>
  <c r="C29" i="89"/>
  <c r="C28" i="89"/>
  <c r="C27" i="89"/>
  <c r="C26" i="89"/>
  <c r="C25" i="89"/>
  <c r="C24" i="89"/>
  <c r="C23" i="89"/>
  <c r="C22" i="89"/>
  <c r="C21" i="89"/>
  <c r="C20" i="89"/>
  <c r="C19" i="89"/>
  <c r="C18" i="89"/>
  <c r="C17" i="89"/>
  <c r="C16" i="89"/>
  <c r="C15" i="89"/>
  <c r="C14" i="89"/>
  <c r="C13" i="89"/>
  <c r="C12" i="89"/>
  <c r="C11" i="89"/>
  <c r="C10" i="89"/>
  <c r="C9" i="89"/>
  <c r="C8" i="89"/>
  <c r="C7" i="89"/>
  <c r="C75" i="88"/>
  <c r="C74" i="88"/>
  <c r="C73" i="88"/>
  <c r="C72" i="88"/>
  <c r="C71" i="88"/>
  <c r="C70" i="88"/>
  <c r="C69" i="88"/>
  <c r="C68" i="88"/>
  <c r="C67" i="88"/>
  <c r="C66" i="88"/>
  <c r="C65" i="88"/>
  <c r="C64" i="88"/>
  <c r="C63" i="88"/>
  <c r="C62" i="88"/>
  <c r="C61" i="88"/>
  <c r="C60" i="88"/>
  <c r="C59" i="88"/>
  <c r="C58" i="88"/>
  <c r="C57" i="88"/>
  <c r="C56" i="88"/>
  <c r="C55" i="88"/>
  <c r="C54" i="88"/>
  <c r="C53" i="88"/>
  <c r="C52" i="88"/>
  <c r="C51" i="88"/>
  <c r="C50" i="88"/>
  <c r="C49" i="88"/>
  <c r="C48" i="88"/>
  <c r="C47" i="88"/>
  <c r="C46" i="88"/>
  <c r="C45" i="88"/>
  <c r="C44" i="88"/>
  <c r="C43" i="88"/>
  <c r="C42" i="88"/>
  <c r="C41" i="88"/>
  <c r="C40" i="88"/>
  <c r="C39" i="88"/>
  <c r="C38" i="88"/>
  <c r="C37" i="88"/>
  <c r="C36" i="88"/>
  <c r="C35" i="88"/>
  <c r="C34" i="88"/>
  <c r="C33" i="88"/>
  <c r="C32" i="88"/>
  <c r="C31" i="88"/>
  <c r="C30" i="88"/>
  <c r="C29" i="88"/>
  <c r="C28" i="88"/>
  <c r="C27" i="88"/>
  <c r="C26" i="88"/>
  <c r="C25" i="88"/>
  <c r="C24" i="88"/>
  <c r="C23" i="88"/>
  <c r="C22" i="88"/>
  <c r="C21" i="88"/>
  <c r="C20" i="88"/>
  <c r="C19" i="88"/>
  <c r="C18" i="88"/>
  <c r="C17" i="88"/>
  <c r="C16" i="88"/>
  <c r="C15" i="88"/>
  <c r="C14" i="88"/>
  <c r="C13" i="88"/>
  <c r="C12" i="88"/>
  <c r="C11" i="88"/>
  <c r="C10" i="88"/>
  <c r="C9" i="88"/>
  <c r="C8" i="88"/>
  <c r="C7" i="88"/>
  <c r="C75" i="87"/>
  <c r="C74" i="87"/>
  <c r="C73" i="87"/>
  <c r="C72" i="87"/>
  <c r="C71" i="87"/>
  <c r="C70" i="87"/>
  <c r="C69" i="87"/>
  <c r="C68" i="87"/>
  <c r="C67" i="87"/>
  <c r="C66" i="87"/>
  <c r="C65" i="87"/>
  <c r="C64" i="87"/>
  <c r="C63" i="87"/>
  <c r="C62" i="87"/>
  <c r="C61" i="87"/>
  <c r="C60" i="87"/>
  <c r="C59" i="87"/>
  <c r="C58" i="87"/>
  <c r="C57" i="87"/>
  <c r="C56" i="87"/>
  <c r="C55" i="87"/>
  <c r="C54" i="87"/>
  <c r="C53" i="87"/>
  <c r="C52" i="87"/>
  <c r="C51" i="87"/>
  <c r="C50" i="87"/>
  <c r="C49" i="87"/>
  <c r="C48" i="87"/>
  <c r="C47" i="87"/>
  <c r="C46" i="87"/>
  <c r="C45" i="87"/>
  <c r="C44" i="87"/>
  <c r="C43" i="87"/>
  <c r="C42" i="87"/>
  <c r="C41" i="87"/>
  <c r="C40" i="87"/>
  <c r="C39" i="87"/>
  <c r="C38" i="87"/>
  <c r="C37" i="87"/>
  <c r="C36" i="87"/>
  <c r="C35" i="87"/>
  <c r="C34" i="87"/>
  <c r="C33" i="87"/>
  <c r="C32" i="87"/>
  <c r="C31" i="87"/>
  <c r="C30" i="87"/>
  <c r="C29" i="87"/>
  <c r="C28" i="87"/>
  <c r="C27" i="87"/>
  <c r="C26" i="87"/>
  <c r="C25" i="87"/>
  <c r="C24" i="87"/>
  <c r="C23" i="87"/>
  <c r="C22" i="87"/>
  <c r="C21" i="87"/>
  <c r="C20" i="87"/>
  <c r="C19" i="87"/>
  <c r="C18" i="87"/>
  <c r="C17" i="87"/>
  <c r="C16" i="87"/>
  <c r="C15" i="87"/>
  <c r="C14" i="87"/>
  <c r="C13" i="87"/>
  <c r="C12" i="87"/>
  <c r="C11" i="87"/>
  <c r="C10" i="87"/>
  <c r="C9" i="87"/>
  <c r="C8" i="87"/>
  <c r="C7" i="87"/>
  <c r="C75" i="86"/>
  <c r="C74" i="86"/>
  <c r="C73" i="86"/>
  <c r="C72" i="86"/>
  <c r="C71" i="86"/>
  <c r="C70" i="86"/>
  <c r="C69" i="86"/>
  <c r="C68" i="86"/>
  <c r="C67" i="86"/>
  <c r="C66" i="86"/>
  <c r="C65" i="86"/>
  <c r="C64" i="86"/>
  <c r="C63" i="86"/>
  <c r="C62" i="86"/>
  <c r="C61" i="86"/>
  <c r="C60" i="86"/>
  <c r="C59" i="86"/>
  <c r="C58" i="86"/>
  <c r="C57" i="86"/>
  <c r="C56" i="86"/>
  <c r="C55" i="86"/>
  <c r="C54" i="86"/>
  <c r="C53" i="86"/>
  <c r="C52" i="86"/>
  <c r="C51" i="86"/>
  <c r="C50" i="86"/>
  <c r="C49" i="86"/>
  <c r="C48" i="86"/>
  <c r="C47" i="86"/>
  <c r="C46" i="86"/>
  <c r="C45" i="86"/>
  <c r="C44" i="86"/>
  <c r="C43" i="86"/>
  <c r="C42" i="86"/>
  <c r="C41" i="86"/>
  <c r="C40" i="86"/>
  <c r="C39" i="86"/>
  <c r="C38" i="86"/>
  <c r="C37" i="86"/>
  <c r="C36" i="86"/>
  <c r="C35" i="86"/>
  <c r="C34" i="86"/>
  <c r="C33" i="86"/>
  <c r="C32" i="86"/>
  <c r="C31" i="86"/>
  <c r="C30" i="86"/>
  <c r="C29" i="86"/>
  <c r="C28" i="86"/>
  <c r="C27" i="86"/>
  <c r="C26" i="86"/>
  <c r="C25" i="86"/>
  <c r="C24" i="86"/>
  <c r="C23" i="86"/>
  <c r="C22" i="86"/>
  <c r="C21" i="86"/>
  <c r="C20" i="86"/>
  <c r="C19" i="86"/>
  <c r="C18" i="86"/>
  <c r="C17" i="86"/>
  <c r="C16" i="86"/>
  <c r="C15" i="86"/>
  <c r="C14" i="86"/>
  <c r="C13" i="86"/>
  <c r="C12" i="86"/>
  <c r="C11" i="86"/>
  <c r="C10" i="86"/>
  <c r="C9" i="86"/>
  <c r="C8" i="86"/>
  <c r="C7" i="86"/>
  <c r="C75" i="85"/>
  <c r="C74" i="85"/>
  <c r="C73" i="85"/>
  <c r="C72" i="85"/>
  <c r="C71" i="85"/>
  <c r="C70" i="85"/>
  <c r="C69" i="85"/>
  <c r="C68" i="85"/>
  <c r="C67" i="85"/>
  <c r="C66" i="85"/>
  <c r="C65" i="85"/>
  <c r="C64" i="85"/>
  <c r="C63" i="85"/>
  <c r="C62" i="85"/>
  <c r="C61" i="85"/>
  <c r="C60" i="85"/>
  <c r="C59" i="85"/>
  <c r="C58" i="85"/>
  <c r="C57" i="85"/>
  <c r="C56" i="85"/>
  <c r="C55" i="85"/>
  <c r="C54" i="85"/>
  <c r="C53" i="85"/>
  <c r="C52" i="85"/>
  <c r="C51" i="85"/>
  <c r="C50" i="85"/>
  <c r="C49" i="85"/>
  <c r="C48" i="85"/>
  <c r="C47" i="85"/>
  <c r="C46" i="85"/>
  <c r="C45" i="85"/>
  <c r="C44" i="85"/>
  <c r="C43" i="85"/>
  <c r="C42" i="85"/>
  <c r="C41" i="85"/>
  <c r="C40" i="85"/>
  <c r="C39" i="85"/>
  <c r="C38" i="85"/>
  <c r="C37" i="85"/>
  <c r="C36" i="85"/>
  <c r="C35" i="85"/>
  <c r="C34" i="85"/>
  <c r="C33" i="85"/>
  <c r="C32" i="85"/>
  <c r="C31" i="85"/>
  <c r="C30" i="85"/>
  <c r="C29" i="85"/>
  <c r="C28" i="85"/>
  <c r="C27" i="85"/>
  <c r="C26" i="85"/>
  <c r="C25" i="85"/>
  <c r="C24" i="85"/>
  <c r="C23" i="85"/>
  <c r="C22" i="85"/>
  <c r="C21" i="85"/>
  <c r="C20" i="85"/>
  <c r="C19" i="85"/>
  <c r="C18" i="85"/>
  <c r="C17" i="85"/>
  <c r="C16" i="85"/>
  <c r="C15" i="85"/>
  <c r="C14" i="85"/>
  <c r="C13" i="85"/>
  <c r="C12" i="85"/>
  <c r="C11" i="85"/>
  <c r="C10" i="85"/>
  <c r="C9" i="85"/>
  <c r="C8" i="85"/>
  <c r="C7" i="85"/>
  <c r="C72" i="80"/>
  <c r="C71" i="80"/>
  <c r="C70" i="80"/>
  <c r="C69" i="80"/>
  <c r="C68" i="80"/>
  <c r="C67" i="80"/>
  <c r="C66" i="80"/>
  <c r="C65" i="80"/>
  <c r="C64" i="80"/>
  <c r="C63" i="80"/>
  <c r="C62" i="80"/>
  <c r="C61" i="80"/>
  <c r="C60" i="80"/>
  <c r="C59" i="80"/>
  <c r="C58" i="80"/>
  <c r="C57" i="80"/>
  <c r="C56" i="80"/>
  <c r="C55" i="80"/>
  <c r="C54" i="80"/>
  <c r="C53" i="80"/>
  <c r="C52" i="80"/>
  <c r="C51" i="80"/>
  <c r="C50" i="80"/>
  <c r="C49" i="80"/>
  <c r="C48" i="80"/>
  <c r="C47" i="80"/>
  <c r="C46" i="80"/>
  <c r="C45" i="80"/>
  <c r="C44" i="80"/>
  <c r="C43" i="80"/>
  <c r="C42" i="80"/>
  <c r="C41" i="80"/>
  <c r="C40" i="80"/>
  <c r="C39" i="80"/>
  <c r="C38" i="80"/>
  <c r="C37" i="80"/>
  <c r="C36" i="80"/>
  <c r="C35" i="80"/>
  <c r="C34" i="80"/>
  <c r="C33" i="80"/>
  <c r="C32" i="80"/>
  <c r="C31" i="80"/>
  <c r="C30" i="80"/>
  <c r="C29" i="80"/>
  <c r="C28" i="80"/>
  <c r="C27" i="80"/>
  <c r="C26" i="80"/>
  <c r="C25" i="80"/>
  <c r="C24" i="80"/>
  <c r="C23" i="80"/>
  <c r="C22" i="80"/>
  <c r="C21" i="80"/>
  <c r="C20" i="80"/>
  <c r="C19" i="80"/>
  <c r="C18" i="80"/>
  <c r="C17" i="80"/>
  <c r="C16" i="80"/>
  <c r="C15" i="80"/>
  <c r="C14" i="80"/>
  <c r="C13" i="80"/>
  <c r="C12" i="80"/>
  <c r="C11" i="80"/>
  <c r="C10" i="80"/>
  <c r="C9" i="80"/>
  <c r="C8" i="80"/>
  <c r="C7" i="80"/>
  <c r="C6" i="80"/>
  <c r="C5" i="80"/>
  <c r="C4" i="80"/>
  <c r="C72" i="76"/>
  <c r="C71" i="76"/>
  <c r="C70" i="76"/>
  <c r="C69" i="76"/>
  <c r="C68" i="76"/>
  <c r="C67" i="76"/>
  <c r="C66" i="76"/>
  <c r="C65" i="76"/>
  <c r="C64" i="76"/>
  <c r="C63" i="76"/>
  <c r="C62" i="76"/>
  <c r="C61" i="76"/>
  <c r="C60" i="76"/>
  <c r="C59" i="76"/>
  <c r="C58" i="76"/>
  <c r="C57" i="76"/>
  <c r="C56" i="76"/>
  <c r="C55" i="76"/>
  <c r="C54" i="76"/>
  <c r="C53" i="76"/>
  <c r="C52" i="76"/>
  <c r="C51" i="76"/>
  <c r="C50" i="76"/>
  <c r="C49" i="76"/>
  <c r="C48" i="76"/>
  <c r="C47" i="76"/>
  <c r="C46" i="76"/>
  <c r="C45" i="76"/>
  <c r="C44" i="76"/>
  <c r="C43" i="76"/>
  <c r="C42" i="76"/>
  <c r="C41" i="76"/>
  <c r="C40" i="76"/>
  <c r="C39" i="76"/>
  <c r="C38" i="76"/>
  <c r="C37" i="76"/>
  <c r="C36" i="76"/>
  <c r="C35" i="76"/>
  <c r="C34" i="76"/>
  <c r="C33" i="76"/>
  <c r="C32" i="76"/>
  <c r="C31" i="76"/>
  <c r="C30" i="76"/>
  <c r="C29" i="76"/>
  <c r="C28" i="76"/>
  <c r="C27" i="76"/>
  <c r="C26" i="76"/>
  <c r="C25" i="76"/>
  <c r="C24" i="76"/>
  <c r="C23" i="76"/>
  <c r="C22" i="76"/>
  <c r="C21" i="76"/>
  <c r="C20" i="76"/>
  <c r="C19" i="76"/>
  <c r="C18" i="76"/>
  <c r="C17" i="76"/>
  <c r="C16" i="76"/>
  <c r="C15" i="76"/>
  <c r="C14" i="76"/>
  <c r="C13" i="76"/>
  <c r="C12" i="76"/>
  <c r="C11" i="76"/>
  <c r="C10" i="76"/>
  <c r="C9" i="76"/>
  <c r="C8" i="76"/>
  <c r="C7" i="76"/>
  <c r="C6" i="76"/>
  <c r="C5" i="76"/>
  <c r="C4" i="76"/>
  <c r="C75" i="120"/>
  <c r="C74" i="120"/>
  <c r="C73" i="120"/>
  <c r="C72" i="120"/>
  <c r="C71" i="120"/>
  <c r="C70" i="120"/>
  <c r="C69" i="120"/>
  <c r="C68" i="120"/>
  <c r="C67" i="120"/>
  <c r="C66" i="120"/>
  <c r="C65" i="120"/>
  <c r="C64" i="120"/>
  <c r="C63" i="120"/>
  <c r="C62" i="120"/>
  <c r="C61" i="120"/>
  <c r="C60" i="120"/>
  <c r="C59" i="120"/>
  <c r="C58" i="120"/>
  <c r="C57" i="120"/>
  <c r="C56" i="120"/>
  <c r="C55" i="120"/>
  <c r="C54" i="120"/>
  <c r="C53" i="120"/>
  <c r="C52" i="120"/>
  <c r="C51" i="120"/>
  <c r="C50" i="120"/>
  <c r="C49" i="120"/>
  <c r="C48" i="120"/>
  <c r="C47" i="120"/>
  <c r="C46" i="120"/>
  <c r="C45" i="120"/>
  <c r="C44" i="120"/>
  <c r="C43" i="120"/>
  <c r="C42" i="120"/>
  <c r="C41" i="120"/>
  <c r="C40" i="120"/>
  <c r="C39" i="120"/>
  <c r="C38" i="120"/>
  <c r="C37" i="120"/>
  <c r="C36" i="120"/>
  <c r="C35" i="120"/>
  <c r="C34" i="120"/>
  <c r="C33" i="120"/>
  <c r="C32" i="120"/>
  <c r="C31" i="120"/>
  <c r="C30" i="120"/>
  <c r="C29" i="120"/>
  <c r="C28" i="120"/>
  <c r="C27" i="120"/>
  <c r="C26" i="120"/>
  <c r="C25" i="120"/>
  <c r="C24" i="120"/>
  <c r="C23" i="120"/>
  <c r="C22" i="120"/>
  <c r="C21" i="120"/>
  <c r="C20" i="120"/>
  <c r="C19" i="120"/>
  <c r="C18" i="120"/>
  <c r="C17" i="120"/>
  <c r="C16" i="120"/>
  <c r="C15" i="120"/>
  <c r="C14" i="120"/>
  <c r="C13" i="120"/>
  <c r="C12" i="120"/>
  <c r="C11" i="120"/>
  <c r="C10" i="120"/>
  <c r="C9" i="120"/>
  <c r="C8" i="120"/>
  <c r="C7" i="120"/>
  <c r="C75" i="119"/>
  <c r="C74" i="119"/>
  <c r="C73" i="119"/>
  <c r="C72" i="119"/>
  <c r="C71" i="119"/>
  <c r="C70" i="119"/>
  <c r="C69" i="119"/>
  <c r="C68" i="119"/>
  <c r="C67" i="119"/>
  <c r="C66" i="119"/>
  <c r="C65" i="119"/>
  <c r="C64" i="119"/>
  <c r="C63" i="119"/>
  <c r="C62" i="119"/>
  <c r="C61" i="119"/>
  <c r="C60" i="119"/>
  <c r="C59" i="119"/>
  <c r="C58" i="119"/>
  <c r="C57" i="119"/>
  <c r="C56" i="119"/>
  <c r="C55" i="119"/>
  <c r="C54" i="119"/>
  <c r="C53" i="119"/>
  <c r="C52" i="119"/>
  <c r="C51" i="119"/>
  <c r="C50" i="119"/>
  <c r="C49" i="119"/>
  <c r="C48" i="119"/>
  <c r="C47" i="119"/>
  <c r="C46" i="119"/>
  <c r="C45" i="119"/>
  <c r="C44" i="119"/>
  <c r="C43" i="119"/>
  <c r="C42" i="119"/>
  <c r="C41" i="119"/>
  <c r="C40" i="119"/>
  <c r="C39" i="119"/>
  <c r="C38" i="119"/>
  <c r="C37" i="119"/>
  <c r="C36" i="119"/>
  <c r="C35" i="119"/>
  <c r="C34" i="119"/>
  <c r="C33" i="119"/>
  <c r="C32" i="119"/>
  <c r="C31" i="119"/>
  <c r="C30" i="119"/>
  <c r="C29" i="119"/>
  <c r="C28" i="119"/>
  <c r="C27" i="119"/>
  <c r="C26" i="119"/>
  <c r="C25" i="119"/>
  <c r="C24" i="119"/>
  <c r="C23" i="119"/>
  <c r="C22" i="119"/>
  <c r="C21" i="119"/>
  <c r="C20" i="119"/>
  <c r="C19" i="119"/>
  <c r="C18" i="119"/>
  <c r="C17" i="119"/>
  <c r="C16" i="119"/>
  <c r="C15" i="119"/>
  <c r="C14" i="119"/>
  <c r="C13" i="119"/>
  <c r="C12" i="119"/>
  <c r="C11" i="119"/>
  <c r="C10" i="119"/>
  <c r="C9" i="119"/>
  <c r="C8" i="119"/>
  <c r="C7" i="119"/>
  <c r="C75" i="118"/>
  <c r="C74" i="118"/>
  <c r="C73" i="118"/>
  <c r="C72" i="118"/>
  <c r="C71" i="118"/>
  <c r="C70" i="118"/>
  <c r="C69" i="118"/>
  <c r="C68" i="118"/>
  <c r="C67" i="118"/>
  <c r="C66" i="118"/>
  <c r="C65" i="118"/>
  <c r="C64" i="118"/>
  <c r="C63" i="118"/>
  <c r="C62" i="118"/>
  <c r="C61" i="118"/>
  <c r="C60" i="118"/>
  <c r="C59" i="118"/>
  <c r="C58" i="118"/>
  <c r="C57" i="118"/>
  <c r="C56" i="118"/>
  <c r="C55" i="118"/>
  <c r="C54" i="118"/>
  <c r="C53" i="118"/>
  <c r="C52" i="118"/>
  <c r="C51" i="118"/>
  <c r="C50" i="118"/>
  <c r="C49" i="118"/>
  <c r="C48" i="118"/>
  <c r="C47" i="118"/>
  <c r="C46" i="118"/>
  <c r="C45" i="118"/>
  <c r="C44" i="118"/>
  <c r="C43" i="118"/>
  <c r="C42" i="118"/>
  <c r="C41" i="118"/>
  <c r="C40" i="118"/>
  <c r="C39" i="118"/>
  <c r="C38" i="118"/>
  <c r="C37" i="118"/>
  <c r="C36" i="118"/>
  <c r="C35" i="118"/>
  <c r="C34" i="118"/>
  <c r="C33" i="118"/>
  <c r="C32" i="118"/>
  <c r="C31" i="118"/>
  <c r="C30" i="118"/>
  <c r="C29" i="118"/>
  <c r="C28" i="118"/>
  <c r="C27" i="118"/>
  <c r="C26" i="118"/>
  <c r="C25" i="118"/>
  <c r="C24" i="118"/>
  <c r="C23" i="118"/>
  <c r="C22" i="118"/>
  <c r="C21" i="118"/>
  <c r="C20" i="118"/>
  <c r="C19" i="118"/>
  <c r="C18" i="118"/>
  <c r="C17" i="118"/>
  <c r="C16" i="118"/>
  <c r="C15" i="118"/>
  <c r="C14" i="118"/>
  <c r="C13" i="118"/>
  <c r="C12" i="118"/>
  <c r="C11" i="118"/>
  <c r="C10" i="118"/>
  <c r="C9" i="118"/>
  <c r="C8" i="118"/>
  <c r="C7" i="118"/>
  <c r="C75" i="117"/>
  <c r="C74" i="117"/>
  <c r="C73" i="117"/>
  <c r="C72" i="117"/>
  <c r="C71" i="117"/>
  <c r="C70" i="117"/>
  <c r="C69" i="117"/>
  <c r="C68" i="117"/>
  <c r="C67" i="117"/>
  <c r="C66" i="117"/>
  <c r="C65" i="117"/>
  <c r="C64" i="117"/>
  <c r="C63" i="117"/>
  <c r="C62" i="117"/>
  <c r="C61" i="117"/>
  <c r="C60" i="117"/>
  <c r="C59" i="117"/>
  <c r="C58" i="117"/>
  <c r="C57" i="117"/>
  <c r="C56" i="117"/>
  <c r="C55" i="117"/>
  <c r="C54" i="117"/>
  <c r="C53" i="117"/>
  <c r="C52" i="117"/>
  <c r="C51" i="117"/>
  <c r="C50" i="117"/>
  <c r="C49" i="117"/>
  <c r="C48" i="117"/>
  <c r="C47" i="117"/>
  <c r="C46" i="117"/>
  <c r="C45" i="117"/>
  <c r="C44" i="117"/>
  <c r="C43" i="117"/>
  <c r="C42" i="117"/>
  <c r="C41" i="117"/>
  <c r="C40" i="117"/>
  <c r="C39" i="117"/>
  <c r="C38" i="117"/>
  <c r="C37" i="117"/>
  <c r="C36" i="117"/>
  <c r="C35" i="117"/>
  <c r="C34" i="117"/>
  <c r="C33" i="117"/>
  <c r="C32" i="117"/>
  <c r="C31" i="117"/>
  <c r="C30" i="117"/>
  <c r="C29" i="117"/>
  <c r="C28" i="117"/>
  <c r="C27" i="117"/>
  <c r="C26" i="117"/>
  <c r="C25" i="117"/>
  <c r="C24" i="117"/>
  <c r="C23" i="117"/>
  <c r="C22" i="117"/>
  <c r="C21" i="117"/>
  <c r="C20" i="117"/>
  <c r="C19" i="117"/>
  <c r="C18" i="117"/>
  <c r="C17" i="117"/>
  <c r="C16" i="117"/>
  <c r="C15" i="117"/>
  <c r="C14" i="117"/>
  <c r="C13" i="117"/>
  <c r="C12" i="117"/>
  <c r="C11" i="117"/>
  <c r="C10" i="117"/>
  <c r="C9" i="117"/>
  <c r="C8" i="117"/>
  <c r="C7" i="117"/>
  <c r="C75" i="116"/>
  <c r="C74" i="116"/>
  <c r="C73" i="116"/>
  <c r="C72" i="116"/>
  <c r="C71" i="116"/>
  <c r="C70" i="116"/>
  <c r="C69" i="116"/>
  <c r="C68" i="116"/>
  <c r="C67" i="116"/>
  <c r="C66" i="116"/>
  <c r="C65" i="116"/>
  <c r="C64" i="116"/>
  <c r="C63" i="116"/>
  <c r="C62" i="116"/>
  <c r="C61" i="116"/>
  <c r="C60" i="116"/>
  <c r="C59" i="116"/>
  <c r="C58" i="116"/>
  <c r="C57" i="116"/>
  <c r="C56" i="116"/>
  <c r="C55" i="116"/>
  <c r="C54" i="116"/>
  <c r="C53" i="116"/>
  <c r="C52" i="116"/>
  <c r="C51" i="116"/>
  <c r="C50" i="116"/>
  <c r="C49" i="116"/>
  <c r="C48" i="116"/>
  <c r="C47" i="116"/>
  <c r="C46" i="116"/>
  <c r="C45" i="116"/>
  <c r="C44" i="116"/>
  <c r="C43" i="116"/>
  <c r="C42" i="116"/>
  <c r="C41" i="116"/>
  <c r="C40" i="116"/>
  <c r="C39" i="116"/>
  <c r="C38" i="116"/>
  <c r="C37" i="116"/>
  <c r="C36" i="116"/>
  <c r="C35" i="116"/>
  <c r="C34" i="116"/>
  <c r="C33" i="116"/>
  <c r="C32" i="116"/>
  <c r="C31" i="116"/>
  <c r="C30" i="116"/>
  <c r="C29" i="116"/>
  <c r="C28" i="116"/>
  <c r="C27" i="116"/>
  <c r="C26" i="116"/>
  <c r="C25" i="116"/>
  <c r="C24" i="116"/>
  <c r="C23" i="116"/>
  <c r="C22" i="116"/>
  <c r="C21" i="116"/>
  <c r="C20" i="116"/>
  <c r="C19" i="116"/>
  <c r="C18" i="116"/>
  <c r="C17" i="116"/>
  <c r="C16" i="116"/>
  <c r="C15" i="116"/>
  <c r="C14" i="116"/>
  <c r="C13" i="116"/>
  <c r="C12" i="116"/>
  <c r="C11" i="116"/>
  <c r="C10" i="116"/>
  <c r="C9" i="116"/>
  <c r="C8" i="116"/>
  <c r="C7" i="116"/>
  <c r="C75" i="115"/>
  <c r="C74" i="115"/>
  <c r="C73" i="115"/>
  <c r="C72" i="115"/>
  <c r="C71" i="115"/>
  <c r="C70" i="115"/>
  <c r="C69" i="115"/>
  <c r="C68" i="115"/>
  <c r="C67" i="115"/>
  <c r="C66" i="115"/>
  <c r="C65" i="115"/>
  <c r="C64" i="115"/>
  <c r="C63" i="115"/>
  <c r="C62" i="115"/>
  <c r="C61" i="115"/>
  <c r="C60" i="115"/>
  <c r="C59" i="115"/>
  <c r="C58" i="115"/>
  <c r="C57" i="115"/>
  <c r="C56" i="115"/>
  <c r="C55" i="115"/>
  <c r="C54" i="115"/>
  <c r="C53" i="115"/>
  <c r="C52" i="115"/>
  <c r="C51" i="115"/>
  <c r="C50" i="115"/>
  <c r="C49" i="115"/>
  <c r="C48" i="115"/>
  <c r="C47" i="115"/>
  <c r="C46" i="115"/>
  <c r="C45" i="115"/>
  <c r="C44" i="115"/>
  <c r="C43" i="115"/>
  <c r="C42" i="115"/>
  <c r="C41" i="115"/>
  <c r="C40" i="115"/>
  <c r="C39" i="115"/>
  <c r="C38" i="115"/>
  <c r="C37" i="115"/>
  <c r="C36" i="115"/>
  <c r="C35" i="115"/>
  <c r="C34" i="115"/>
  <c r="C33" i="115"/>
  <c r="C32" i="115"/>
  <c r="C31" i="115"/>
  <c r="C30" i="115"/>
  <c r="C29" i="115"/>
  <c r="C28" i="115"/>
  <c r="C27" i="115"/>
  <c r="C26" i="115"/>
  <c r="C25" i="115"/>
  <c r="C24" i="115"/>
  <c r="C23" i="115"/>
  <c r="C22" i="115"/>
  <c r="C21" i="115"/>
  <c r="C20" i="115"/>
  <c r="C19" i="115"/>
  <c r="C18" i="115"/>
  <c r="C17" i="115"/>
  <c r="C16" i="115"/>
  <c r="C15" i="115"/>
  <c r="C14" i="115"/>
  <c r="C13" i="115"/>
  <c r="C12" i="115"/>
  <c r="C11" i="115"/>
  <c r="C10" i="115"/>
  <c r="C9" i="115"/>
  <c r="C8" i="115"/>
  <c r="C7" i="115"/>
  <c r="C76" i="114"/>
  <c r="C75" i="114"/>
  <c r="C74" i="114"/>
  <c r="C73" i="114"/>
  <c r="C72" i="114"/>
  <c r="C71" i="114"/>
  <c r="C70" i="114"/>
  <c r="C69" i="114"/>
  <c r="C68" i="114"/>
  <c r="C67" i="114"/>
  <c r="C66" i="114"/>
  <c r="C65" i="114"/>
  <c r="C64" i="114"/>
  <c r="C63" i="114"/>
  <c r="C62" i="114"/>
  <c r="C61" i="114"/>
  <c r="C60" i="114"/>
  <c r="C59" i="114"/>
  <c r="C58" i="114"/>
  <c r="C57" i="114"/>
  <c r="C56" i="114"/>
  <c r="C55" i="114"/>
  <c r="C54" i="114"/>
  <c r="C53" i="114"/>
  <c r="C52" i="114"/>
  <c r="C51" i="114"/>
  <c r="C50" i="114"/>
  <c r="C49" i="114"/>
  <c r="C48" i="114"/>
  <c r="C47" i="114"/>
  <c r="C46" i="114"/>
  <c r="C45" i="114"/>
  <c r="C44" i="114"/>
  <c r="C43" i="114"/>
  <c r="C42" i="114"/>
  <c r="C41" i="114"/>
  <c r="C40" i="114"/>
  <c r="C39" i="114"/>
  <c r="C38" i="114"/>
  <c r="C37" i="114"/>
  <c r="C36" i="114"/>
  <c r="C35" i="114"/>
  <c r="C34" i="114"/>
  <c r="C33" i="114"/>
  <c r="C32" i="114"/>
  <c r="C31" i="114"/>
  <c r="C30" i="114"/>
  <c r="C29" i="114"/>
  <c r="C28" i="114"/>
  <c r="C27" i="114"/>
  <c r="C26" i="114"/>
  <c r="C25" i="114"/>
  <c r="C24" i="114"/>
  <c r="C23" i="114"/>
  <c r="C22" i="114"/>
  <c r="C21" i="114"/>
  <c r="C20" i="114"/>
  <c r="C19" i="114"/>
  <c r="C18" i="114"/>
  <c r="C17" i="114"/>
  <c r="C16" i="114"/>
  <c r="C15" i="114"/>
  <c r="C14" i="114"/>
  <c r="C13" i="114"/>
  <c r="C12" i="114"/>
  <c r="C11" i="114"/>
  <c r="C10" i="114"/>
  <c r="C9" i="114"/>
  <c r="C8" i="114"/>
  <c r="C7" i="114"/>
  <c r="C75" i="113"/>
  <c r="C74" i="113"/>
  <c r="C73" i="113"/>
  <c r="C72" i="113"/>
  <c r="C71" i="113"/>
  <c r="C70" i="113"/>
  <c r="C69" i="113"/>
  <c r="C68" i="113"/>
  <c r="C67" i="113"/>
  <c r="C66" i="113"/>
  <c r="C65" i="113"/>
  <c r="C64" i="113"/>
  <c r="C63" i="113"/>
  <c r="C62" i="113"/>
  <c r="C61" i="113"/>
  <c r="C60" i="113"/>
  <c r="C59" i="113"/>
  <c r="C58" i="113"/>
  <c r="C57" i="113"/>
  <c r="C56" i="113"/>
  <c r="C55" i="113"/>
  <c r="C54" i="113"/>
  <c r="C53" i="113"/>
  <c r="C52" i="113"/>
  <c r="C51" i="113"/>
  <c r="C50" i="113"/>
  <c r="C49" i="113"/>
  <c r="C48" i="113"/>
  <c r="C47" i="113"/>
  <c r="C46" i="113"/>
  <c r="C45" i="113"/>
  <c r="C44" i="113"/>
  <c r="C43" i="113"/>
  <c r="C42" i="113"/>
  <c r="C41" i="113"/>
  <c r="C40" i="113"/>
  <c r="C39" i="113"/>
  <c r="C38" i="113"/>
  <c r="C37" i="113"/>
  <c r="C36" i="113"/>
  <c r="C35" i="113"/>
  <c r="C34" i="113"/>
  <c r="C33" i="113"/>
  <c r="C32" i="113"/>
  <c r="C31" i="113"/>
  <c r="C30" i="113"/>
  <c r="C29" i="113"/>
  <c r="C28" i="113"/>
  <c r="C27" i="113"/>
  <c r="C26" i="113"/>
  <c r="C25" i="113"/>
  <c r="C24" i="113"/>
  <c r="C23" i="113"/>
  <c r="C22" i="113"/>
  <c r="C21" i="113"/>
  <c r="C20" i="113"/>
  <c r="C19" i="113"/>
  <c r="C18" i="113"/>
  <c r="C17" i="113"/>
  <c r="C16" i="113"/>
  <c r="C15" i="113"/>
  <c r="C14" i="113"/>
  <c r="C13" i="113"/>
  <c r="C12" i="113"/>
  <c r="C11" i="113"/>
  <c r="C10" i="113"/>
  <c r="C9" i="113"/>
  <c r="C8" i="113"/>
  <c r="C7" i="113"/>
  <c r="C76" i="98"/>
  <c r="C75" i="98"/>
  <c r="C74" i="98"/>
  <c r="C73" i="98"/>
  <c r="C72" i="98"/>
  <c r="C71" i="98"/>
  <c r="C70" i="98"/>
  <c r="C69" i="98"/>
  <c r="C68" i="98"/>
  <c r="C67" i="98"/>
  <c r="C66" i="98"/>
  <c r="C65" i="98"/>
  <c r="C64" i="98"/>
  <c r="C63" i="98"/>
  <c r="C62" i="98"/>
  <c r="C61" i="98"/>
  <c r="C60" i="98"/>
  <c r="C59" i="98"/>
  <c r="C58" i="98"/>
  <c r="C57" i="98"/>
  <c r="C56" i="98"/>
  <c r="C55" i="98"/>
  <c r="C54" i="98"/>
  <c r="C53" i="98"/>
  <c r="C52" i="98"/>
  <c r="C51" i="98"/>
  <c r="C50" i="98"/>
  <c r="C49" i="98"/>
  <c r="C48" i="98"/>
  <c r="C47" i="98"/>
  <c r="C46" i="98"/>
  <c r="C45" i="98"/>
  <c r="C44" i="98"/>
  <c r="C43" i="98"/>
  <c r="C42" i="98"/>
  <c r="C41" i="98"/>
  <c r="C40" i="98"/>
  <c r="C39" i="98"/>
  <c r="C38" i="98"/>
  <c r="C37" i="98"/>
  <c r="C36" i="98"/>
  <c r="C35" i="98"/>
  <c r="C34" i="98"/>
  <c r="C33" i="98"/>
  <c r="C32" i="98"/>
  <c r="C31" i="98"/>
  <c r="C30" i="98"/>
  <c r="C29" i="98"/>
  <c r="C28" i="98"/>
  <c r="C27" i="98"/>
  <c r="C26" i="98"/>
  <c r="C25" i="98"/>
  <c r="C24" i="98"/>
  <c r="C23" i="98"/>
  <c r="C22" i="98"/>
  <c r="C21" i="98"/>
  <c r="C20" i="98"/>
  <c r="C19" i="98"/>
  <c r="C18" i="98"/>
  <c r="C17" i="98"/>
  <c r="C16" i="98"/>
  <c r="C15" i="98"/>
  <c r="C14" i="98"/>
  <c r="C13" i="98"/>
  <c r="C12" i="98"/>
  <c r="C11" i="98"/>
  <c r="C10" i="98"/>
  <c r="C9" i="98"/>
  <c r="C8" i="98"/>
  <c r="C7" i="98"/>
  <c r="C75" i="99"/>
  <c r="C74" i="99"/>
  <c r="C73" i="99"/>
  <c r="C72" i="99"/>
  <c r="C71" i="99"/>
  <c r="C70" i="99"/>
  <c r="C69" i="99"/>
  <c r="C68" i="99"/>
  <c r="C67" i="99"/>
  <c r="C66" i="99"/>
  <c r="C65" i="99"/>
  <c r="C64" i="99"/>
  <c r="C63" i="99"/>
  <c r="C62" i="99"/>
  <c r="C61" i="99"/>
  <c r="C60" i="99"/>
  <c r="C59" i="99"/>
  <c r="C58" i="99"/>
  <c r="C57" i="99"/>
  <c r="C56" i="99"/>
  <c r="C55" i="99"/>
  <c r="C54" i="99"/>
  <c r="C53" i="99"/>
  <c r="C52" i="99"/>
  <c r="C51" i="99"/>
  <c r="C50" i="99"/>
  <c r="C49" i="99"/>
  <c r="C48" i="99"/>
  <c r="C47" i="99"/>
  <c r="C46" i="99"/>
  <c r="C45" i="99"/>
  <c r="C44" i="99"/>
  <c r="C43" i="99"/>
  <c r="C42" i="99"/>
  <c r="C41" i="99"/>
  <c r="C40" i="99"/>
  <c r="C39" i="99"/>
  <c r="C38" i="99"/>
  <c r="C37" i="99"/>
  <c r="C36" i="99"/>
  <c r="C35" i="99"/>
  <c r="C34" i="99"/>
  <c r="C33" i="99"/>
  <c r="C32" i="99"/>
  <c r="C31" i="99"/>
  <c r="C30" i="99"/>
  <c r="C29" i="99"/>
  <c r="C28" i="99"/>
  <c r="C27" i="99"/>
  <c r="C26" i="99"/>
  <c r="C25" i="99"/>
  <c r="C24" i="99"/>
  <c r="C23" i="99"/>
  <c r="C22" i="99"/>
  <c r="C21" i="99"/>
  <c r="C20" i="99"/>
  <c r="C19" i="99"/>
  <c r="C18" i="99"/>
  <c r="C17" i="99"/>
  <c r="C16" i="99"/>
  <c r="C15" i="99"/>
  <c r="C14" i="99"/>
  <c r="C13" i="99"/>
  <c r="C12" i="99"/>
  <c r="C11" i="99"/>
  <c r="C10" i="99"/>
  <c r="C9" i="99"/>
  <c r="C8" i="99"/>
  <c r="C7" i="99"/>
  <c r="C75" i="84"/>
  <c r="C74" i="84"/>
  <c r="C73" i="84"/>
  <c r="C72" i="84"/>
  <c r="C71" i="84"/>
  <c r="C70" i="84"/>
  <c r="C69" i="84"/>
  <c r="C68" i="84"/>
  <c r="C67" i="84"/>
  <c r="C66" i="84"/>
  <c r="C65" i="84"/>
  <c r="C64" i="84"/>
  <c r="C63" i="84"/>
  <c r="C62" i="84"/>
  <c r="C61" i="84"/>
  <c r="C60" i="84"/>
  <c r="C59" i="84"/>
  <c r="C58" i="84"/>
  <c r="C57" i="84"/>
  <c r="C56" i="84"/>
  <c r="C55" i="84"/>
  <c r="C54" i="84"/>
  <c r="C53" i="84"/>
  <c r="C52" i="84"/>
  <c r="C51" i="84"/>
  <c r="C50" i="84"/>
  <c r="C49" i="84"/>
  <c r="C48" i="84"/>
  <c r="C47" i="84"/>
  <c r="C46" i="84"/>
  <c r="C45" i="84"/>
  <c r="C44" i="84"/>
  <c r="C43" i="84"/>
  <c r="C42" i="84"/>
  <c r="C41" i="84"/>
  <c r="C40" i="84"/>
  <c r="C39" i="84"/>
  <c r="C38" i="84"/>
  <c r="C37" i="84"/>
  <c r="C36" i="84"/>
  <c r="C35" i="84"/>
  <c r="C34" i="84"/>
  <c r="C33" i="84"/>
  <c r="C32" i="84"/>
  <c r="C31" i="84"/>
  <c r="C30" i="84"/>
  <c r="C29" i="84"/>
  <c r="C28" i="84"/>
  <c r="C27" i="84"/>
  <c r="C26" i="84"/>
  <c r="C25" i="84"/>
  <c r="C24" i="84"/>
  <c r="C23" i="84"/>
  <c r="C22" i="84"/>
  <c r="C21" i="84"/>
  <c r="C20" i="84"/>
  <c r="C19" i="84"/>
  <c r="C18" i="84"/>
  <c r="C17" i="84"/>
  <c r="C16" i="84"/>
  <c r="C15" i="84"/>
  <c r="C14" i="84"/>
  <c r="C13" i="84"/>
  <c r="C12" i="84"/>
  <c r="C11" i="84"/>
  <c r="C10" i="84"/>
  <c r="C9" i="84"/>
  <c r="C8" i="84"/>
  <c r="C7" i="84"/>
  <c r="C76" i="83"/>
  <c r="C75" i="83"/>
  <c r="C74" i="83"/>
  <c r="C73" i="83"/>
  <c r="C72" i="83"/>
  <c r="C71" i="83"/>
  <c r="C70" i="83"/>
  <c r="C69" i="83"/>
  <c r="C68" i="83"/>
  <c r="C67" i="83"/>
  <c r="C66" i="83"/>
  <c r="C65" i="83"/>
  <c r="C64" i="83"/>
  <c r="C63" i="83"/>
  <c r="C62" i="83"/>
  <c r="C61" i="83"/>
  <c r="C60" i="83"/>
  <c r="C59" i="83"/>
  <c r="C58" i="83"/>
  <c r="C57" i="83"/>
  <c r="C56" i="83"/>
  <c r="C55" i="83"/>
  <c r="C54" i="83"/>
  <c r="C53" i="83"/>
  <c r="C52" i="83"/>
  <c r="C51" i="83"/>
  <c r="C50" i="83"/>
  <c r="C49" i="83"/>
  <c r="C48" i="83"/>
  <c r="C47" i="83"/>
  <c r="C46" i="83"/>
  <c r="C45" i="83"/>
  <c r="C44" i="83"/>
  <c r="C43" i="83"/>
  <c r="C42" i="83"/>
  <c r="C41" i="83"/>
  <c r="C40" i="83"/>
  <c r="C39" i="83"/>
  <c r="C38" i="83"/>
  <c r="C37" i="83"/>
  <c r="C36" i="83"/>
  <c r="C35" i="83"/>
  <c r="C34" i="83"/>
  <c r="C33" i="83"/>
  <c r="C32" i="83"/>
  <c r="C31" i="83"/>
  <c r="C30" i="83"/>
  <c r="C29" i="83"/>
  <c r="C28" i="83"/>
  <c r="C27" i="83"/>
  <c r="C26" i="83"/>
  <c r="C25" i="83"/>
  <c r="C24" i="83"/>
  <c r="C23" i="83"/>
  <c r="C22" i="83"/>
  <c r="C21" i="83"/>
  <c r="C20" i="83"/>
  <c r="C19" i="83"/>
  <c r="C18" i="83"/>
  <c r="C17" i="83"/>
  <c r="C16" i="83"/>
  <c r="C15" i="83"/>
  <c r="C14" i="83"/>
  <c r="C13" i="83"/>
  <c r="C12" i="83"/>
  <c r="C11" i="83"/>
  <c r="C10" i="83"/>
  <c r="C9" i="83"/>
  <c r="C8" i="83"/>
  <c r="C7" i="83"/>
  <c r="B9" i="5"/>
  <c r="B8" i="5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3" i="1"/>
  <c r="C62" i="1"/>
  <c r="C61" i="1"/>
  <c r="C60" i="1"/>
  <c r="C59" i="1"/>
  <c r="C58" i="1"/>
  <c r="C57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AQ7" i="1" l="1"/>
  <c r="AR7" i="1" s="1"/>
  <c r="AS7" i="1" s="1"/>
  <c r="AT7" i="1" s="1"/>
  <c r="AU7" i="1" s="1"/>
  <c r="AV7" i="1" s="1"/>
  <c r="AW7" i="1" s="1"/>
  <c r="AX7" i="1" s="1"/>
  <c r="AY7" i="1" s="1"/>
  <c r="AZ7" i="1" s="1"/>
  <c r="BA7" i="1" s="1"/>
  <c r="BB7" i="1" s="1"/>
  <c r="BC7" i="1" s="1"/>
  <c r="BD7" i="1" s="1"/>
  <c r="BE7" i="1" s="1"/>
  <c r="BF7" i="1" s="1"/>
  <c r="BG7" i="1" s="1"/>
  <c r="BH7" i="1" s="1"/>
  <c r="BI7" i="1" s="1"/>
  <c r="BJ7" i="1" s="1"/>
  <c r="BK7" i="1" s="1"/>
  <c r="BL7" i="1" s="1"/>
  <c r="BM7" i="1" s="1"/>
  <c r="BN7" i="1" s="1"/>
  <c r="BO7" i="1" s="1"/>
  <c r="BP7" i="1" s="1"/>
  <c r="BQ7" i="1" s="1"/>
  <c r="BR7" i="1" s="1"/>
  <c r="BS7" i="1" s="1"/>
  <c r="BT7" i="1" s="1"/>
  <c r="BU7" i="1" s="1"/>
  <c r="BV7" i="1" s="1"/>
  <c r="BW7" i="1" s="1"/>
  <c r="BX7" i="1" s="1"/>
  <c r="BY7" i="1" s="1"/>
  <c r="BZ7" i="1" s="1"/>
  <c r="CA7" i="1" s="1"/>
  <c r="CB7" i="1" s="1"/>
  <c r="CC7" i="1" s="1"/>
  <c r="CD7" i="1" s="1"/>
  <c r="CE7" i="1" s="1"/>
  <c r="CF7" i="1" s="1"/>
  <c r="CG7" i="1" s="1"/>
  <c r="CH7" i="1" s="1"/>
  <c r="CI7" i="1" s="1"/>
  <c r="D10" i="134"/>
  <c r="E10" i="134" s="1"/>
  <c r="F10" i="134" s="1"/>
  <c r="I10" i="134"/>
  <c r="J10" i="134"/>
  <c r="K10" i="134" s="1"/>
  <c r="L10" i="134" s="1"/>
  <c r="M10" i="134" s="1"/>
  <c r="N10" i="134" s="1"/>
  <c r="Q10" i="134"/>
  <c r="R10" i="134"/>
  <c r="S10" i="134" s="1"/>
  <c r="T10" i="134" s="1"/>
  <c r="U10" i="134" s="1"/>
  <c r="V10" i="134" s="1"/>
  <c r="I11" i="134"/>
  <c r="J11" i="134" s="1"/>
  <c r="L11" i="134"/>
  <c r="M11" i="134" s="1"/>
  <c r="I12" i="134"/>
  <c r="Z12" i="134" s="1"/>
  <c r="I13" i="134"/>
  <c r="L13" i="134" s="1"/>
  <c r="M13" i="134" s="1"/>
  <c r="N13" i="134" s="1"/>
  <c r="J13" i="134"/>
  <c r="Z13" i="134"/>
  <c r="I14" i="134"/>
  <c r="L14" i="134" s="1"/>
  <c r="M14" i="134" s="1"/>
  <c r="N14" i="134" s="1"/>
  <c r="J14" i="134"/>
  <c r="Z14" i="134"/>
  <c r="D15" i="134"/>
  <c r="I16" i="134"/>
  <c r="J16" i="134" s="1"/>
  <c r="Z16" i="134"/>
  <c r="I17" i="134"/>
  <c r="L17" i="134" s="1"/>
  <c r="J17" i="134"/>
  <c r="M17" i="134"/>
  <c r="Z17" i="134"/>
  <c r="I18" i="134"/>
  <c r="J18" i="134" s="1"/>
  <c r="Z18" i="134"/>
  <c r="I19" i="134"/>
  <c r="L19" i="134" s="1"/>
  <c r="M19" i="134" s="1"/>
  <c r="J19" i="134"/>
  <c r="Z19" i="134"/>
  <c r="I20" i="134"/>
  <c r="J20" i="134" s="1"/>
  <c r="Z20" i="134"/>
  <c r="I21" i="134"/>
  <c r="L21" i="134" s="1"/>
  <c r="J21" i="134"/>
  <c r="M21" i="134"/>
  <c r="Z21" i="134"/>
  <c r="I22" i="134"/>
  <c r="J22" i="134" s="1"/>
  <c r="Z22" i="134"/>
  <c r="I23" i="134"/>
  <c r="L23" i="134" s="1"/>
  <c r="M23" i="134" s="1"/>
  <c r="N23" i="134" s="1"/>
  <c r="J23" i="134"/>
  <c r="Z23" i="134"/>
  <c r="I24" i="134"/>
  <c r="J24" i="134" s="1"/>
  <c r="L24" i="134"/>
  <c r="M24" i="134" s="1"/>
  <c r="N24" i="134" s="1"/>
  <c r="I25" i="134"/>
  <c r="J25" i="134" s="1"/>
  <c r="L25" i="134"/>
  <c r="M25" i="134" s="1"/>
  <c r="N25" i="134" s="1"/>
  <c r="Z25" i="134"/>
  <c r="I26" i="134"/>
  <c r="J26" i="134" s="1"/>
  <c r="L26" i="134"/>
  <c r="M26" i="134" s="1"/>
  <c r="Z26" i="134"/>
  <c r="I27" i="134"/>
  <c r="J27" i="134" s="1"/>
  <c r="L27" i="134"/>
  <c r="M27" i="134" s="1"/>
  <c r="Z27" i="134"/>
  <c r="I28" i="134"/>
  <c r="J28" i="134" s="1"/>
  <c r="L28" i="134"/>
  <c r="M28" i="134" s="1"/>
  <c r="Z28" i="134"/>
  <c r="I29" i="134"/>
  <c r="J29" i="134" s="1"/>
  <c r="L29" i="134"/>
  <c r="M29" i="134" s="1"/>
  <c r="Z29" i="134"/>
  <c r="I30" i="134"/>
  <c r="J30" i="134" s="1"/>
  <c r="L30" i="134"/>
  <c r="M30" i="134" s="1"/>
  <c r="Z30" i="134"/>
  <c r="I31" i="134"/>
  <c r="J31" i="134" s="1"/>
  <c r="L31" i="134"/>
  <c r="M31" i="134" s="1"/>
  <c r="Z31" i="134"/>
  <c r="I32" i="134"/>
  <c r="J32" i="134" s="1"/>
  <c r="L32" i="134"/>
  <c r="M32" i="134" s="1"/>
  <c r="Z32" i="134"/>
  <c r="I33" i="134"/>
  <c r="J33" i="134" s="1"/>
  <c r="L33" i="134"/>
  <c r="M33" i="134" s="1"/>
  <c r="Z33" i="134"/>
  <c r="I34" i="134"/>
  <c r="J34" i="134" s="1"/>
  <c r="L34" i="134"/>
  <c r="M34" i="134" s="1"/>
  <c r="Z34" i="134"/>
  <c r="I35" i="134"/>
  <c r="J35" i="134" s="1"/>
  <c r="L35" i="134"/>
  <c r="M35" i="134" s="1"/>
  <c r="Z35" i="134"/>
  <c r="I36" i="134"/>
  <c r="J36" i="134" s="1"/>
  <c r="L36" i="134"/>
  <c r="M36" i="134" s="1"/>
  <c r="Z36" i="134"/>
  <c r="I37" i="134"/>
  <c r="J37" i="134" s="1"/>
  <c r="L37" i="134"/>
  <c r="M37" i="134" s="1"/>
  <c r="Z37" i="134"/>
  <c r="I38" i="134"/>
  <c r="J38" i="134" s="1"/>
  <c r="L38" i="134"/>
  <c r="M38" i="134" s="1"/>
  <c r="Z38" i="134"/>
  <c r="I39" i="134"/>
  <c r="J39" i="134" s="1"/>
  <c r="L39" i="134"/>
  <c r="M39" i="134" s="1"/>
  <c r="Z39" i="134"/>
  <c r="I40" i="134"/>
  <c r="J40" i="134" s="1"/>
  <c r="L40" i="134"/>
  <c r="M40" i="134" s="1"/>
  <c r="Z40" i="134"/>
  <c r="D41" i="134"/>
  <c r="I42" i="134"/>
  <c r="J42" i="134"/>
  <c r="L42" i="134"/>
  <c r="M42" i="134"/>
  <c r="Z42" i="134"/>
  <c r="I43" i="134"/>
  <c r="I44" i="134"/>
  <c r="J44" i="134"/>
  <c r="N44" i="134" s="1"/>
  <c r="L44" i="134"/>
  <c r="M44" i="134"/>
  <c r="Z44" i="134"/>
  <c r="I45" i="134"/>
  <c r="I46" i="134"/>
  <c r="J46" i="134"/>
  <c r="N46" i="134" s="1"/>
  <c r="L46" i="134"/>
  <c r="M46" i="134"/>
  <c r="Z46" i="134"/>
  <c r="I47" i="134"/>
  <c r="I48" i="134"/>
  <c r="J48" i="134"/>
  <c r="N48" i="134" s="1"/>
  <c r="L48" i="134"/>
  <c r="M48" i="134"/>
  <c r="Z48" i="134"/>
  <c r="D49" i="134"/>
  <c r="I50" i="134"/>
  <c r="J50" i="134" s="1"/>
  <c r="L50" i="134"/>
  <c r="M50" i="134" s="1"/>
  <c r="M51" i="134" s="1"/>
  <c r="D51" i="134"/>
  <c r="I52" i="134"/>
  <c r="J52" i="134" s="1"/>
  <c r="L52" i="134"/>
  <c r="M52" i="134" s="1"/>
  <c r="I53" i="134"/>
  <c r="Z53" i="134"/>
  <c r="I54" i="134"/>
  <c r="J54" i="134" s="1"/>
  <c r="L54" i="134"/>
  <c r="M54" i="134" s="1"/>
  <c r="I55" i="134"/>
  <c r="Z55" i="134"/>
  <c r="I56" i="134"/>
  <c r="J56" i="134" s="1"/>
  <c r="L56" i="134"/>
  <c r="M56" i="134" s="1"/>
  <c r="I57" i="134"/>
  <c r="Z57" i="134"/>
  <c r="D58" i="134"/>
  <c r="I59" i="134"/>
  <c r="J59" i="134" s="1"/>
  <c r="L59" i="134"/>
  <c r="M59" i="134" s="1"/>
  <c r="Z59" i="134"/>
  <c r="I60" i="134"/>
  <c r="J60" i="134" s="1"/>
  <c r="L60" i="134"/>
  <c r="M60" i="134" s="1"/>
  <c r="Z60" i="134"/>
  <c r="D61" i="134"/>
  <c r="I62" i="134"/>
  <c r="J62" i="134" s="1"/>
  <c r="L62" i="134"/>
  <c r="M62" i="134" s="1"/>
  <c r="Z62" i="134"/>
  <c r="I63" i="134"/>
  <c r="J63" i="134" s="1"/>
  <c r="L63" i="134"/>
  <c r="M63" i="134" s="1"/>
  <c r="I64" i="134"/>
  <c r="J64" i="134" s="1"/>
  <c r="L64" i="134"/>
  <c r="M64" i="134" s="1"/>
  <c r="Z64" i="134"/>
  <c r="I65" i="134"/>
  <c r="J65" i="134" s="1"/>
  <c r="L65" i="134"/>
  <c r="M65" i="134" s="1"/>
  <c r="I66" i="134"/>
  <c r="J66" i="134" s="1"/>
  <c r="L66" i="134"/>
  <c r="M66" i="134" s="1"/>
  <c r="Z66" i="134"/>
  <c r="I67" i="134"/>
  <c r="J67" i="134" s="1"/>
  <c r="L67" i="134"/>
  <c r="M67" i="134" s="1"/>
  <c r="I68" i="134"/>
  <c r="J68" i="134" s="1"/>
  <c r="N68" i="134" s="1"/>
  <c r="L68" i="134"/>
  <c r="M68" i="134" s="1"/>
  <c r="Z68" i="134"/>
  <c r="I69" i="134"/>
  <c r="J69" i="134" s="1"/>
  <c r="L69" i="134"/>
  <c r="M69" i="134" s="1"/>
  <c r="I70" i="134"/>
  <c r="J70" i="134"/>
  <c r="L70" i="134"/>
  <c r="M70" i="134" s="1"/>
  <c r="Z70" i="134"/>
  <c r="I71" i="134"/>
  <c r="J71" i="134" s="1"/>
  <c r="L71" i="134"/>
  <c r="M71" i="134" s="1"/>
  <c r="I72" i="134"/>
  <c r="J72" i="134"/>
  <c r="L72" i="134"/>
  <c r="M72" i="134" s="1"/>
  <c r="Z72" i="134"/>
  <c r="I73" i="134"/>
  <c r="J73" i="134" s="1"/>
  <c r="L73" i="134"/>
  <c r="M73" i="134" s="1"/>
  <c r="I74" i="134"/>
  <c r="J74" i="134"/>
  <c r="L74" i="134"/>
  <c r="M74" i="134" s="1"/>
  <c r="Z74" i="134"/>
  <c r="I75" i="134"/>
  <c r="J75" i="134" s="1"/>
  <c r="L75" i="134"/>
  <c r="M75" i="134" s="1"/>
  <c r="I76" i="134"/>
  <c r="J76" i="134"/>
  <c r="L76" i="134"/>
  <c r="M76" i="134" s="1"/>
  <c r="N76" i="134" s="1"/>
  <c r="Z76" i="134"/>
  <c r="I77" i="134"/>
  <c r="J77" i="134" s="1"/>
  <c r="L77" i="134"/>
  <c r="M77" i="134" s="1"/>
  <c r="I78" i="134"/>
  <c r="J78" i="134"/>
  <c r="L78" i="134"/>
  <c r="M78" i="134" s="1"/>
  <c r="N78" i="134" s="1"/>
  <c r="Z78" i="134"/>
  <c r="D79" i="134"/>
  <c r="I80" i="134"/>
  <c r="Z80" i="134"/>
  <c r="I81" i="134"/>
  <c r="J81" i="134" s="1"/>
  <c r="Z81" i="134"/>
  <c r="I82" i="134"/>
  <c r="Z82" i="134"/>
  <c r="I83" i="134"/>
  <c r="J83" i="134" s="1"/>
  <c r="Z83" i="134"/>
  <c r="I84" i="134"/>
  <c r="Z84" i="134"/>
  <c r="I85" i="134"/>
  <c r="J85" i="134" s="1"/>
  <c r="Z85" i="134"/>
  <c r="I86" i="134"/>
  <c r="Z86" i="134"/>
  <c r="I87" i="134"/>
  <c r="J87" i="134" s="1"/>
  <c r="Z87" i="134"/>
  <c r="I88" i="134"/>
  <c r="Z88" i="134"/>
  <c r="I89" i="134"/>
  <c r="J89" i="134" s="1"/>
  <c r="Z89" i="134"/>
  <c r="I90" i="134"/>
  <c r="Z90" i="134"/>
  <c r="D91" i="134"/>
  <c r="I92" i="134"/>
  <c r="J92" i="134"/>
  <c r="L92" i="134"/>
  <c r="M92" i="134" s="1"/>
  <c r="N92" i="134" s="1"/>
  <c r="Z92" i="134"/>
  <c r="I93" i="134"/>
  <c r="Z93" i="134" s="1"/>
  <c r="J93" i="134"/>
  <c r="I94" i="134"/>
  <c r="L94" i="134" s="1"/>
  <c r="M94" i="134" s="1"/>
  <c r="J94" i="134"/>
  <c r="Z94" i="134"/>
  <c r="I95" i="134"/>
  <c r="I96" i="134"/>
  <c r="L96" i="134" s="1"/>
  <c r="M96" i="134" s="1"/>
  <c r="J96" i="134"/>
  <c r="Z96" i="134"/>
  <c r="I97" i="134"/>
  <c r="I98" i="134"/>
  <c r="L98" i="134" s="1"/>
  <c r="M98" i="134" s="1"/>
  <c r="J98" i="134"/>
  <c r="N98" i="134" s="1"/>
  <c r="Z98" i="134"/>
  <c r="D99" i="134"/>
  <c r="I100" i="134"/>
  <c r="J100" i="134" s="1"/>
  <c r="L100" i="134"/>
  <c r="M100" i="134" s="1"/>
  <c r="Z100" i="134"/>
  <c r="I101" i="134"/>
  <c r="J101" i="134" s="1"/>
  <c r="L101" i="134"/>
  <c r="M101" i="134" s="1"/>
  <c r="Z101" i="134"/>
  <c r="I102" i="134"/>
  <c r="J102" i="134" s="1"/>
  <c r="L102" i="134"/>
  <c r="M102" i="134"/>
  <c r="N102" i="134" s="1"/>
  <c r="Z102" i="134"/>
  <c r="I103" i="134"/>
  <c r="J103" i="134"/>
  <c r="L103" i="134"/>
  <c r="M103" i="134" s="1"/>
  <c r="N103" i="134" s="1"/>
  <c r="Z103" i="134"/>
  <c r="I104" i="134"/>
  <c r="J104" i="134"/>
  <c r="L104" i="134"/>
  <c r="M104" i="134" s="1"/>
  <c r="Z104" i="134"/>
  <c r="I105" i="134"/>
  <c r="L105" i="134"/>
  <c r="M105" i="134" s="1"/>
  <c r="I106" i="134"/>
  <c r="J106" i="134"/>
  <c r="N106" i="134" s="1"/>
  <c r="L106" i="134"/>
  <c r="M106" i="134" s="1"/>
  <c r="Z106" i="134"/>
  <c r="I107" i="134"/>
  <c r="L107" i="134"/>
  <c r="M107" i="134" s="1"/>
  <c r="I108" i="134"/>
  <c r="J108" i="134"/>
  <c r="L108" i="134"/>
  <c r="M108" i="134" s="1"/>
  <c r="Z108" i="134"/>
  <c r="I109" i="134"/>
  <c r="L109" i="134"/>
  <c r="M109" i="134" s="1"/>
  <c r="I110" i="134"/>
  <c r="J110" i="134"/>
  <c r="N110" i="134" s="1"/>
  <c r="L110" i="134"/>
  <c r="M110" i="134" s="1"/>
  <c r="Z110" i="134"/>
  <c r="I111" i="134"/>
  <c r="L111" i="134"/>
  <c r="M111" i="134" s="1"/>
  <c r="I112" i="134"/>
  <c r="J112" i="134"/>
  <c r="L112" i="134"/>
  <c r="M112" i="134" s="1"/>
  <c r="N112" i="134" s="1"/>
  <c r="Z112" i="134"/>
  <c r="I113" i="134"/>
  <c r="L113" i="134"/>
  <c r="M113" i="134" s="1"/>
  <c r="I114" i="134"/>
  <c r="J114" i="134"/>
  <c r="L114" i="134"/>
  <c r="M114" i="134" s="1"/>
  <c r="Z114" i="134"/>
  <c r="I115" i="134"/>
  <c r="L115" i="134" s="1"/>
  <c r="M115" i="134" s="1"/>
  <c r="J115" i="134"/>
  <c r="N115" i="134" s="1"/>
  <c r="I116" i="134"/>
  <c r="I117" i="134"/>
  <c r="Z117" i="134" s="1"/>
  <c r="J117" i="134"/>
  <c r="I118" i="134"/>
  <c r="L118" i="134"/>
  <c r="M118" i="134" s="1"/>
  <c r="I119" i="134"/>
  <c r="J119" i="134"/>
  <c r="L119" i="134"/>
  <c r="M119" i="134" s="1"/>
  <c r="Z119" i="134"/>
  <c r="I120" i="134"/>
  <c r="L120" i="134"/>
  <c r="M120" i="134" s="1"/>
  <c r="I121" i="134"/>
  <c r="Z121" i="134" s="1"/>
  <c r="J121" i="134"/>
  <c r="I122" i="134"/>
  <c r="L122" i="134"/>
  <c r="M122" i="134" s="1"/>
  <c r="I123" i="134"/>
  <c r="J123" i="134"/>
  <c r="L123" i="134"/>
  <c r="M123" i="134"/>
  <c r="Z123" i="134"/>
  <c r="I124" i="134"/>
  <c r="J124" i="134" s="1"/>
  <c r="L124" i="134"/>
  <c r="M124" i="134" s="1"/>
  <c r="Z124" i="134"/>
  <c r="I125" i="134"/>
  <c r="J125" i="134"/>
  <c r="L125" i="134"/>
  <c r="M125" i="134"/>
  <c r="Z125" i="134"/>
  <c r="I126" i="134"/>
  <c r="J126" i="134" s="1"/>
  <c r="L126" i="134"/>
  <c r="M126" i="134" s="1"/>
  <c r="Z126" i="134"/>
  <c r="I127" i="134"/>
  <c r="J127" i="134"/>
  <c r="L127" i="134"/>
  <c r="M127" i="134"/>
  <c r="Z127" i="134"/>
  <c r="I128" i="134"/>
  <c r="J128" i="134" s="1"/>
  <c r="L128" i="134"/>
  <c r="M128" i="134" s="1"/>
  <c r="Z128" i="134"/>
  <c r="I129" i="134"/>
  <c r="J129" i="134"/>
  <c r="L129" i="134"/>
  <c r="M129" i="134" s="1"/>
  <c r="N129" i="134" s="1"/>
  <c r="Z129" i="134"/>
  <c r="I130" i="134"/>
  <c r="J130" i="134"/>
  <c r="L130" i="134"/>
  <c r="M130" i="134" s="1"/>
  <c r="N130" i="134" s="1"/>
  <c r="Z130" i="134"/>
  <c r="I131" i="134"/>
  <c r="J131" i="134"/>
  <c r="L131" i="134"/>
  <c r="M131" i="134"/>
  <c r="N131" i="134" s="1"/>
  <c r="Z131" i="134"/>
  <c r="I132" i="134"/>
  <c r="Z132" i="134" s="1"/>
  <c r="J132" i="134"/>
  <c r="L132" i="134"/>
  <c r="M132" i="134" s="1"/>
  <c r="N132" i="134" s="1"/>
  <c r="I133" i="134"/>
  <c r="J133" i="134"/>
  <c r="L133" i="134"/>
  <c r="M133" i="134" s="1"/>
  <c r="N133" i="134" s="1"/>
  <c r="Z133" i="134"/>
  <c r="I134" i="134"/>
  <c r="Z134" i="134" s="1"/>
  <c r="J134" i="134"/>
  <c r="I135" i="134"/>
  <c r="L135" i="134" s="1"/>
  <c r="M135" i="134" s="1"/>
  <c r="N135" i="134" s="1"/>
  <c r="J135" i="134"/>
  <c r="Z135" i="134"/>
  <c r="I136" i="134"/>
  <c r="I137" i="134"/>
  <c r="I138" i="134"/>
  <c r="J138" i="134"/>
  <c r="L138" i="134"/>
  <c r="M138" i="134" s="1"/>
  <c r="N138" i="134" s="1"/>
  <c r="Z138" i="134"/>
  <c r="I139" i="134"/>
  <c r="J139" i="134"/>
  <c r="L139" i="134"/>
  <c r="M139" i="134"/>
  <c r="N139" i="134" s="1"/>
  <c r="Z139" i="134"/>
  <c r="I140" i="134"/>
  <c r="Z140" i="134" s="1"/>
  <c r="J140" i="134"/>
  <c r="L140" i="134"/>
  <c r="M140" i="134" s="1"/>
  <c r="N140" i="134" s="1"/>
  <c r="I141" i="134"/>
  <c r="Z141" i="134" s="1"/>
  <c r="J141" i="134"/>
  <c r="L141" i="134"/>
  <c r="M141" i="134" s="1"/>
  <c r="N141" i="134" s="1"/>
  <c r="I142" i="134"/>
  <c r="Z142" i="134" s="1"/>
  <c r="J142" i="134"/>
  <c r="L142" i="134"/>
  <c r="M142" i="134" s="1"/>
  <c r="N142" i="134" s="1"/>
  <c r="I143" i="134"/>
  <c r="Z143" i="134" s="1"/>
  <c r="J143" i="134"/>
  <c r="L143" i="134"/>
  <c r="M143" i="134" s="1"/>
  <c r="N143" i="134" s="1"/>
  <c r="I144" i="134"/>
  <c r="Z144" i="134" s="1"/>
  <c r="J144" i="134"/>
  <c r="L144" i="134"/>
  <c r="M144" i="134" s="1"/>
  <c r="N144" i="134" s="1"/>
  <c r="I145" i="134"/>
  <c r="Z145" i="134" s="1"/>
  <c r="J145" i="134"/>
  <c r="L145" i="134"/>
  <c r="M145" i="134" s="1"/>
  <c r="N145" i="134" s="1"/>
  <c r="I146" i="134"/>
  <c r="J146" i="134"/>
  <c r="L146" i="134"/>
  <c r="M146" i="134" s="1"/>
  <c r="Z146" i="134"/>
  <c r="I147" i="134"/>
  <c r="J147" i="134" s="1"/>
  <c r="L147" i="134"/>
  <c r="M147" i="134" s="1"/>
  <c r="I148" i="134"/>
  <c r="J148" i="134"/>
  <c r="L148" i="134"/>
  <c r="M148" i="134" s="1"/>
  <c r="Z148" i="134"/>
  <c r="I149" i="134"/>
  <c r="J149" i="134" s="1"/>
  <c r="L149" i="134"/>
  <c r="M149" i="134" s="1"/>
  <c r="I150" i="134"/>
  <c r="J150" i="134"/>
  <c r="L150" i="134"/>
  <c r="M150" i="134" s="1"/>
  <c r="Z150" i="134"/>
  <c r="I151" i="134"/>
  <c r="J151" i="134" s="1"/>
  <c r="L151" i="134"/>
  <c r="M151" i="134" s="1"/>
  <c r="I152" i="134"/>
  <c r="J152" i="134"/>
  <c r="L152" i="134"/>
  <c r="M152" i="134" s="1"/>
  <c r="Z152" i="134"/>
  <c r="I153" i="134"/>
  <c r="J153" i="134" s="1"/>
  <c r="L153" i="134"/>
  <c r="M153" i="134" s="1"/>
  <c r="I154" i="134"/>
  <c r="J154" i="134"/>
  <c r="L154" i="134"/>
  <c r="M154" i="134" s="1"/>
  <c r="Z154" i="134"/>
  <c r="I155" i="134"/>
  <c r="J155" i="134" s="1"/>
  <c r="L155" i="134"/>
  <c r="M155" i="134" s="1"/>
  <c r="I156" i="134"/>
  <c r="J156" i="134"/>
  <c r="L156" i="134"/>
  <c r="M156" i="134" s="1"/>
  <c r="Z156" i="134"/>
  <c r="I157" i="134"/>
  <c r="J157" i="134" s="1"/>
  <c r="L157" i="134"/>
  <c r="M157" i="134" s="1"/>
  <c r="I158" i="134"/>
  <c r="J158" i="134"/>
  <c r="L158" i="134"/>
  <c r="M158" i="134" s="1"/>
  <c r="Z158" i="134"/>
  <c r="I159" i="134"/>
  <c r="J159" i="134" s="1"/>
  <c r="L159" i="134"/>
  <c r="M159" i="134" s="1"/>
  <c r="I160" i="134"/>
  <c r="J160" i="134"/>
  <c r="L160" i="134"/>
  <c r="M160" i="134" s="1"/>
  <c r="Z160" i="134"/>
  <c r="I161" i="134"/>
  <c r="J161" i="134" s="1"/>
  <c r="L161" i="134"/>
  <c r="M161" i="134" s="1"/>
  <c r="I162" i="134"/>
  <c r="J162" i="134"/>
  <c r="L162" i="134"/>
  <c r="M162" i="134" s="1"/>
  <c r="Z162" i="134"/>
  <c r="I163" i="134"/>
  <c r="J163" i="134" s="1"/>
  <c r="L163" i="134"/>
  <c r="M163" i="134" s="1"/>
  <c r="I164" i="134"/>
  <c r="J164" i="134"/>
  <c r="L164" i="134"/>
  <c r="M164" i="134" s="1"/>
  <c r="Z164" i="134"/>
  <c r="I165" i="134"/>
  <c r="J165" i="134" s="1"/>
  <c r="L165" i="134"/>
  <c r="M165" i="134" s="1"/>
  <c r="I166" i="134"/>
  <c r="J166" i="134"/>
  <c r="L166" i="134"/>
  <c r="M166" i="134" s="1"/>
  <c r="Z166" i="134"/>
  <c r="I167" i="134"/>
  <c r="J167" i="134" s="1"/>
  <c r="L167" i="134"/>
  <c r="M167" i="134" s="1"/>
  <c r="I168" i="134"/>
  <c r="J168" i="134"/>
  <c r="L168" i="134"/>
  <c r="M168" i="134" s="1"/>
  <c r="Z168" i="134"/>
  <c r="I169" i="134"/>
  <c r="J169" i="134" s="1"/>
  <c r="L169" i="134"/>
  <c r="M169" i="134" s="1"/>
  <c r="I170" i="134"/>
  <c r="J170" i="134"/>
  <c r="L170" i="134"/>
  <c r="M170" i="134" s="1"/>
  <c r="Z170" i="134"/>
  <c r="I171" i="134"/>
  <c r="J171" i="134" s="1"/>
  <c r="L171" i="134"/>
  <c r="M171" i="134" s="1"/>
  <c r="I172" i="134"/>
  <c r="J172" i="134"/>
  <c r="L172" i="134"/>
  <c r="M172" i="134" s="1"/>
  <c r="Z172" i="134"/>
  <c r="I173" i="134"/>
  <c r="J173" i="134" s="1"/>
  <c r="N173" i="134" s="1"/>
  <c r="L173" i="134"/>
  <c r="M173" i="134" s="1"/>
  <c r="I174" i="134"/>
  <c r="J174" i="134"/>
  <c r="L174" i="134"/>
  <c r="M174" i="134" s="1"/>
  <c r="Z174" i="134"/>
  <c r="I175" i="134"/>
  <c r="L175" i="134"/>
  <c r="M175" i="134" s="1"/>
  <c r="I176" i="134"/>
  <c r="J176" i="134"/>
  <c r="N176" i="134" s="1"/>
  <c r="L176" i="134"/>
  <c r="M176" i="134" s="1"/>
  <c r="Z176" i="134"/>
  <c r="I177" i="134"/>
  <c r="I178" i="134"/>
  <c r="J178" i="134"/>
  <c r="L178" i="134"/>
  <c r="M178" i="134" s="1"/>
  <c r="Z178" i="134"/>
  <c r="I179" i="134"/>
  <c r="L179" i="134"/>
  <c r="M179" i="134" s="1"/>
  <c r="I180" i="134"/>
  <c r="J180" i="134"/>
  <c r="N180" i="134" s="1"/>
  <c r="L180" i="134"/>
  <c r="M180" i="134" s="1"/>
  <c r="Z180" i="134"/>
  <c r="I181" i="134"/>
  <c r="I182" i="134"/>
  <c r="J182" i="134"/>
  <c r="L182" i="134"/>
  <c r="M182" i="134" s="1"/>
  <c r="Z182" i="134"/>
  <c r="I183" i="134"/>
  <c r="L183" i="134"/>
  <c r="M183" i="134" s="1"/>
  <c r="I184" i="134"/>
  <c r="J184" i="134"/>
  <c r="N184" i="134" s="1"/>
  <c r="L184" i="134"/>
  <c r="M184" i="134" s="1"/>
  <c r="Z184" i="134"/>
  <c r="I185" i="134"/>
  <c r="I186" i="134"/>
  <c r="J186" i="134"/>
  <c r="L186" i="134"/>
  <c r="M186" i="134" s="1"/>
  <c r="Z186" i="134"/>
  <c r="I187" i="134"/>
  <c r="L187" i="134"/>
  <c r="M187" i="134" s="1"/>
  <c r="I188" i="134"/>
  <c r="J188" i="134"/>
  <c r="N188" i="134" s="1"/>
  <c r="L188" i="134"/>
  <c r="M188" i="134" s="1"/>
  <c r="Z188" i="134"/>
  <c r="I189" i="134"/>
  <c r="I190" i="134"/>
  <c r="J190" i="134"/>
  <c r="L190" i="134"/>
  <c r="M190" i="134" s="1"/>
  <c r="Z190" i="134"/>
  <c r="I191" i="134"/>
  <c r="L191" i="134"/>
  <c r="M191" i="134" s="1"/>
  <c r="I192" i="134"/>
  <c r="J192" i="134"/>
  <c r="N192" i="134" s="1"/>
  <c r="L192" i="134"/>
  <c r="M192" i="134" s="1"/>
  <c r="Z192" i="134"/>
  <c r="I193" i="134"/>
  <c r="I194" i="134"/>
  <c r="J194" i="134"/>
  <c r="L194" i="134"/>
  <c r="M194" i="134" s="1"/>
  <c r="Z194" i="134"/>
  <c r="I195" i="134"/>
  <c r="L195" i="134"/>
  <c r="M195" i="134" s="1"/>
  <c r="I196" i="134"/>
  <c r="J196" i="134"/>
  <c r="N196" i="134" s="1"/>
  <c r="L196" i="134"/>
  <c r="M196" i="134" s="1"/>
  <c r="Z196" i="134"/>
  <c r="D197" i="134"/>
  <c r="I198" i="134"/>
  <c r="Z198" i="134"/>
  <c r="I199" i="134"/>
  <c r="J199" i="134" s="1"/>
  <c r="L199" i="134"/>
  <c r="M199" i="134" s="1"/>
  <c r="Z199" i="134"/>
  <c r="D200" i="134"/>
  <c r="I201" i="134"/>
  <c r="J201" i="134" s="1"/>
  <c r="L201" i="134"/>
  <c r="M201" i="134" s="1"/>
  <c r="Z201" i="134"/>
  <c r="I202" i="134"/>
  <c r="Z202" i="134" s="1"/>
  <c r="I203" i="134"/>
  <c r="J203" i="134" s="1"/>
  <c r="L203" i="134"/>
  <c r="M203" i="134" s="1"/>
  <c r="Z203" i="134"/>
  <c r="I204" i="134"/>
  <c r="Z204" i="134"/>
  <c r="I205" i="134"/>
  <c r="J205" i="134" s="1"/>
  <c r="L205" i="134"/>
  <c r="M205" i="134" s="1"/>
  <c r="Z205" i="134"/>
  <c r="I206" i="134"/>
  <c r="Z206" i="134" s="1"/>
  <c r="I207" i="134"/>
  <c r="J207" i="134" s="1"/>
  <c r="L207" i="134"/>
  <c r="M207" i="134" s="1"/>
  <c r="Z207" i="134"/>
  <c r="I208" i="134"/>
  <c r="Z208" i="134"/>
  <c r="D209" i="134"/>
  <c r="I210" i="134"/>
  <c r="J210" i="134"/>
  <c r="L210" i="134"/>
  <c r="M210" i="134" s="1"/>
  <c r="M211" i="134" s="1"/>
  <c r="Z210" i="134"/>
  <c r="D211" i="134"/>
  <c r="I212" i="134"/>
  <c r="J212" i="134"/>
  <c r="L212" i="134"/>
  <c r="M212" i="134" s="1"/>
  <c r="M213" i="134" s="1"/>
  <c r="Z212" i="134"/>
  <c r="D213" i="134"/>
  <c r="J213" i="134"/>
  <c r="I214" i="134"/>
  <c r="J214" i="134"/>
  <c r="L214" i="134"/>
  <c r="M214" i="134" s="1"/>
  <c r="Z214" i="134"/>
  <c r="I215" i="134"/>
  <c r="I216" i="134"/>
  <c r="J216" i="134"/>
  <c r="L216" i="134"/>
  <c r="M216" i="134" s="1"/>
  <c r="Z216" i="134"/>
  <c r="I217" i="134"/>
  <c r="I218" i="134"/>
  <c r="J218" i="134"/>
  <c r="N218" i="134" s="1"/>
  <c r="L218" i="134"/>
  <c r="M218" i="134" s="1"/>
  <c r="Z218" i="134"/>
  <c r="I219" i="134"/>
  <c r="I220" i="134"/>
  <c r="J220" i="134"/>
  <c r="N220" i="134" s="1"/>
  <c r="L220" i="134"/>
  <c r="M220" i="134" s="1"/>
  <c r="Z220" i="134"/>
  <c r="I221" i="134"/>
  <c r="I222" i="134"/>
  <c r="L222" i="134" s="1"/>
  <c r="M222" i="134" s="1"/>
  <c r="J222" i="134"/>
  <c r="I223" i="134"/>
  <c r="Z223" i="134"/>
  <c r="I224" i="134"/>
  <c r="L224" i="134" s="1"/>
  <c r="M224" i="134"/>
  <c r="Z224" i="134"/>
  <c r="I225" i="134"/>
  <c r="I226" i="134"/>
  <c r="L226" i="134" s="1"/>
  <c r="M226" i="134" s="1"/>
  <c r="J226" i="134"/>
  <c r="I227" i="134"/>
  <c r="Z227" i="134"/>
  <c r="I228" i="134"/>
  <c r="L228" i="134" s="1"/>
  <c r="M228" i="134"/>
  <c r="Z228" i="134"/>
  <c r="I229" i="134"/>
  <c r="I230" i="134"/>
  <c r="L230" i="134" s="1"/>
  <c r="M230" i="134" s="1"/>
  <c r="J230" i="134"/>
  <c r="D231" i="134"/>
  <c r="I232" i="134"/>
  <c r="J232" i="134"/>
  <c r="L232" i="134"/>
  <c r="M232" i="134"/>
  <c r="Z232" i="134"/>
  <c r="I233" i="134"/>
  <c r="J233" i="134" s="1"/>
  <c r="Z233" i="134"/>
  <c r="I234" i="134"/>
  <c r="J234" i="134"/>
  <c r="L234" i="134"/>
  <c r="M234" i="134"/>
  <c r="Z234" i="134"/>
  <c r="I235" i="134"/>
  <c r="J235" i="134" s="1"/>
  <c r="Z235" i="134"/>
  <c r="I236" i="134"/>
  <c r="J236" i="134"/>
  <c r="L236" i="134"/>
  <c r="M236" i="134"/>
  <c r="Z236" i="134"/>
  <c r="D237" i="134"/>
  <c r="I238" i="134"/>
  <c r="L238" i="134" s="1"/>
  <c r="J238" i="134"/>
  <c r="M238" i="134"/>
  <c r="Z238" i="134"/>
  <c r="I239" i="134"/>
  <c r="Z239" i="134"/>
  <c r="I240" i="134"/>
  <c r="I241" i="134"/>
  <c r="I242" i="134"/>
  <c r="L242" i="134" s="1"/>
  <c r="J242" i="134"/>
  <c r="M242" i="134"/>
  <c r="Z242" i="134"/>
  <c r="I243" i="134"/>
  <c r="Z243" i="134"/>
  <c r="I244" i="134"/>
  <c r="Z244" i="134"/>
  <c r="I245" i="134"/>
  <c r="I246" i="134"/>
  <c r="L246" i="134" s="1"/>
  <c r="J246" i="134"/>
  <c r="M246" i="134"/>
  <c r="Z246" i="134"/>
  <c r="I247" i="134"/>
  <c r="Z247" i="134"/>
  <c r="I248" i="134"/>
  <c r="Z248" i="134"/>
  <c r="I249" i="134"/>
  <c r="I250" i="134"/>
  <c r="L250" i="134" s="1"/>
  <c r="J250" i="134"/>
  <c r="M250" i="134"/>
  <c r="Z250" i="134"/>
  <c r="I251" i="134"/>
  <c r="Z251" i="134"/>
  <c r="I252" i="134"/>
  <c r="I253" i="134"/>
  <c r="I254" i="134"/>
  <c r="L254" i="134" s="1"/>
  <c r="J254" i="134"/>
  <c r="N254" i="134" s="1"/>
  <c r="M254" i="134"/>
  <c r="Z254" i="134"/>
  <c r="I255" i="134"/>
  <c r="Z255" i="134"/>
  <c r="I256" i="134"/>
  <c r="Z256" i="134"/>
  <c r="I257" i="134"/>
  <c r="I258" i="134"/>
  <c r="L258" i="134" s="1"/>
  <c r="J258" i="134"/>
  <c r="M258" i="134"/>
  <c r="Z258" i="134"/>
  <c r="I259" i="134"/>
  <c r="Z259" i="134"/>
  <c r="I260" i="134"/>
  <c r="Z260" i="134"/>
  <c r="I261" i="134"/>
  <c r="I262" i="134"/>
  <c r="L262" i="134" s="1"/>
  <c r="J262" i="134"/>
  <c r="M262" i="134"/>
  <c r="Z262" i="134"/>
  <c r="I263" i="134"/>
  <c r="Z263" i="134"/>
  <c r="I264" i="134"/>
  <c r="Z264" i="134"/>
  <c r="I265" i="134"/>
  <c r="I266" i="134"/>
  <c r="L266" i="134" s="1"/>
  <c r="J266" i="134"/>
  <c r="M266" i="134"/>
  <c r="Z266" i="134"/>
  <c r="I267" i="134"/>
  <c r="Z267" i="134"/>
  <c r="I268" i="134"/>
  <c r="I269" i="134"/>
  <c r="I270" i="134"/>
  <c r="L270" i="134" s="1"/>
  <c r="J270" i="134"/>
  <c r="N270" i="134" s="1"/>
  <c r="M270" i="134"/>
  <c r="Z270" i="134"/>
  <c r="I271" i="134"/>
  <c r="Z271" i="134"/>
  <c r="I272" i="134"/>
  <c r="Z272" i="134"/>
  <c r="I273" i="134"/>
  <c r="I274" i="134"/>
  <c r="L274" i="134" s="1"/>
  <c r="J274" i="134"/>
  <c r="N274" i="134" s="1"/>
  <c r="M274" i="134"/>
  <c r="Z274" i="134"/>
  <c r="I275" i="134"/>
  <c r="Z275" i="134"/>
  <c r="I276" i="134"/>
  <c r="Z276" i="134"/>
  <c r="I277" i="134"/>
  <c r="I278" i="134"/>
  <c r="L278" i="134" s="1"/>
  <c r="J278" i="134"/>
  <c r="M278" i="134"/>
  <c r="Z278" i="134"/>
  <c r="I279" i="134"/>
  <c r="Z279" i="134"/>
  <c r="I280" i="134"/>
  <c r="Z280" i="134"/>
  <c r="I281" i="134"/>
  <c r="I282" i="134"/>
  <c r="L282" i="134" s="1"/>
  <c r="J282" i="134"/>
  <c r="M282" i="134"/>
  <c r="Z282" i="134"/>
  <c r="I283" i="134"/>
  <c r="Z283" i="134"/>
  <c r="I284" i="134"/>
  <c r="I285" i="134"/>
  <c r="I286" i="134"/>
  <c r="L286" i="134" s="1"/>
  <c r="J286" i="134"/>
  <c r="N286" i="134" s="1"/>
  <c r="M286" i="134"/>
  <c r="Z286" i="134"/>
  <c r="I287" i="134"/>
  <c r="Z287" i="134"/>
  <c r="I288" i="134"/>
  <c r="L288" i="134" s="1"/>
  <c r="M288" i="134" s="1"/>
  <c r="Z288" i="134"/>
  <c r="I289" i="134"/>
  <c r="I290" i="134"/>
  <c r="L290" i="134" s="1"/>
  <c r="J290" i="134"/>
  <c r="M290" i="134"/>
  <c r="Z290" i="134"/>
  <c r="I291" i="134"/>
  <c r="Z291" i="134"/>
  <c r="I292" i="134"/>
  <c r="I293" i="134"/>
  <c r="Z293" i="134"/>
  <c r="I294" i="134"/>
  <c r="L294" i="134" s="1"/>
  <c r="J294" i="134"/>
  <c r="M294" i="134"/>
  <c r="Z294" i="134"/>
  <c r="I295" i="134"/>
  <c r="Z295" i="134"/>
  <c r="I296" i="134"/>
  <c r="L296" i="134" s="1"/>
  <c r="M296" i="134" s="1"/>
  <c r="J296" i="134"/>
  <c r="N296" i="134" s="1"/>
  <c r="I297" i="134"/>
  <c r="Z297" i="134"/>
  <c r="I298" i="134"/>
  <c r="L298" i="134" s="1"/>
  <c r="J298" i="134"/>
  <c r="N298" i="134" s="1"/>
  <c r="M298" i="134"/>
  <c r="Z298" i="134"/>
  <c r="I299" i="134"/>
  <c r="Z299" i="134"/>
  <c r="I300" i="134"/>
  <c r="L300" i="134" s="1"/>
  <c r="M300" i="134" s="1"/>
  <c r="J300" i="134"/>
  <c r="N300" i="134" s="1"/>
  <c r="Z300" i="134"/>
  <c r="I301" i="134"/>
  <c r="I302" i="134"/>
  <c r="L302" i="134"/>
  <c r="M302" i="134" s="1"/>
  <c r="I303" i="134"/>
  <c r="J303" i="134" s="1"/>
  <c r="Z303" i="134"/>
  <c r="I304" i="134"/>
  <c r="I305" i="134"/>
  <c r="I306" i="134"/>
  <c r="J306" i="134"/>
  <c r="L306" i="134"/>
  <c r="M306" i="134" s="1"/>
  <c r="Z306" i="134"/>
  <c r="I307" i="134"/>
  <c r="J307" i="134" s="1"/>
  <c r="Z307" i="134"/>
  <c r="I308" i="134"/>
  <c r="J308" i="134"/>
  <c r="L308" i="134"/>
  <c r="M308" i="134"/>
  <c r="Z308" i="134"/>
  <c r="I309" i="134"/>
  <c r="I310" i="134"/>
  <c r="I311" i="134"/>
  <c r="J311" i="134" s="1"/>
  <c r="Z311" i="134"/>
  <c r="I312" i="134"/>
  <c r="Z312" i="134"/>
  <c r="I313" i="134"/>
  <c r="I314" i="134"/>
  <c r="J314" i="134"/>
  <c r="L314" i="134"/>
  <c r="M314" i="134"/>
  <c r="Z314" i="134"/>
  <c r="I315" i="134"/>
  <c r="J315" i="134" s="1"/>
  <c r="Z315" i="134"/>
  <c r="I316" i="134"/>
  <c r="I317" i="134"/>
  <c r="J317" i="134" s="1"/>
  <c r="Z317" i="134"/>
  <c r="I318" i="134"/>
  <c r="L318" i="134" s="1"/>
  <c r="J318" i="134"/>
  <c r="M318" i="134"/>
  <c r="Z318" i="134"/>
  <c r="I319" i="134"/>
  <c r="I320" i="134"/>
  <c r="Z320" i="134" s="1"/>
  <c r="J320" i="134"/>
  <c r="I321" i="134"/>
  <c r="J321" i="134" s="1"/>
  <c r="I322" i="134"/>
  <c r="I323" i="134"/>
  <c r="L323" i="134" s="1"/>
  <c r="J323" i="134"/>
  <c r="M323" i="134"/>
  <c r="Z323" i="134"/>
  <c r="I324" i="134"/>
  <c r="Z324" i="134"/>
  <c r="I325" i="134"/>
  <c r="I326" i="134"/>
  <c r="I327" i="134"/>
  <c r="L327" i="134" s="1"/>
  <c r="J327" i="134"/>
  <c r="M327" i="134"/>
  <c r="Z327" i="134"/>
  <c r="I328" i="134"/>
  <c r="Z328" i="134"/>
  <c r="I329" i="134"/>
  <c r="I330" i="134"/>
  <c r="I331" i="134"/>
  <c r="L331" i="134" s="1"/>
  <c r="J331" i="134"/>
  <c r="M331" i="134"/>
  <c r="Z331" i="134"/>
  <c r="I332" i="134"/>
  <c r="Z332" i="134"/>
  <c r="I333" i="134"/>
  <c r="I334" i="134"/>
  <c r="I335" i="134"/>
  <c r="L335" i="134" s="1"/>
  <c r="J335" i="134"/>
  <c r="M335" i="134"/>
  <c r="Z335" i="134"/>
  <c r="I336" i="134"/>
  <c r="Z336" i="134"/>
  <c r="I337" i="134"/>
  <c r="I338" i="134"/>
  <c r="I339" i="134"/>
  <c r="L339" i="134" s="1"/>
  <c r="J339" i="134"/>
  <c r="M339" i="134"/>
  <c r="Z339" i="134"/>
  <c r="I340" i="134"/>
  <c r="Z340" i="134"/>
  <c r="I341" i="134"/>
  <c r="I342" i="134"/>
  <c r="I343" i="134"/>
  <c r="L343" i="134" s="1"/>
  <c r="J343" i="134"/>
  <c r="M343" i="134"/>
  <c r="Z343" i="134"/>
  <c r="I344" i="134"/>
  <c r="Z344" i="134"/>
  <c r="I345" i="134"/>
  <c r="I346" i="134"/>
  <c r="I347" i="134"/>
  <c r="L347" i="134" s="1"/>
  <c r="M347" i="134" s="1"/>
  <c r="J347" i="134"/>
  <c r="N347" i="134" s="1"/>
  <c r="Z347" i="134"/>
  <c r="I348" i="134"/>
  <c r="I349" i="134"/>
  <c r="L349" i="134" s="1"/>
  <c r="M349" i="134" s="1"/>
  <c r="J349" i="134"/>
  <c r="N349" i="134" s="1"/>
  <c r="Z349" i="134"/>
  <c r="I350" i="134"/>
  <c r="I351" i="134"/>
  <c r="L351" i="134" s="1"/>
  <c r="M351" i="134" s="1"/>
  <c r="J351" i="134"/>
  <c r="N351" i="134" s="1"/>
  <c r="Z351" i="134"/>
  <c r="I352" i="134"/>
  <c r="I353" i="134"/>
  <c r="L353" i="134" s="1"/>
  <c r="M353" i="134" s="1"/>
  <c r="J353" i="134"/>
  <c r="N353" i="134" s="1"/>
  <c r="Z353" i="134"/>
  <c r="I354" i="134"/>
  <c r="I355" i="134"/>
  <c r="L355" i="134" s="1"/>
  <c r="M355" i="134" s="1"/>
  <c r="J355" i="134"/>
  <c r="N355" i="134" s="1"/>
  <c r="Z355" i="134"/>
  <c r="I356" i="134"/>
  <c r="I357" i="134"/>
  <c r="L357" i="134" s="1"/>
  <c r="M357" i="134" s="1"/>
  <c r="J357" i="134"/>
  <c r="N357" i="134" s="1"/>
  <c r="Z357" i="134"/>
  <c r="I358" i="134"/>
  <c r="I359" i="134"/>
  <c r="L359" i="134" s="1"/>
  <c r="M359" i="134" s="1"/>
  <c r="J359" i="134"/>
  <c r="N359" i="134" s="1"/>
  <c r="Z359" i="134"/>
  <c r="I360" i="134"/>
  <c r="I361" i="134"/>
  <c r="L361" i="134" s="1"/>
  <c r="M361" i="134" s="1"/>
  <c r="J361" i="134"/>
  <c r="N361" i="134" s="1"/>
  <c r="Z361" i="134"/>
  <c r="I362" i="134"/>
  <c r="I363" i="134"/>
  <c r="L363" i="134" s="1"/>
  <c r="M363" i="134" s="1"/>
  <c r="J363" i="134"/>
  <c r="N363" i="134" s="1"/>
  <c r="Z363" i="134"/>
  <c r="I364" i="134"/>
  <c r="I365" i="134"/>
  <c r="L365" i="134" s="1"/>
  <c r="M365" i="134" s="1"/>
  <c r="J365" i="134"/>
  <c r="N365" i="134" s="1"/>
  <c r="Z365" i="134"/>
  <c r="D366" i="134"/>
  <c r="I367" i="134"/>
  <c r="J367" i="134" s="1"/>
  <c r="L367" i="134"/>
  <c r="M367" i="134"/>
  <c r="Z367" i="134"/>
  <c r="I368" i="134"/>
  <c r="J368" i="134" s="1"/>
  <c r="L368" i="134"/>
  <c r="M368" i="134" s="1"/>
  <c r="Z368" i="134"/>
  <c r="I369" i="134"/>
  <c r="J369" i="134" s="1"/>
  <c r="L369" i="134"/>
  <c r="M369" i="134"/>
  <c r="Z369" i="134"/>
  <c r="I370" i="134"/>
  <c r="J370" i="134" s="1"/>
  <c r="L370" i="134"/>
  <c r="M370" i="134" s="1"/>
  <c r="Z370" i="134"/>
  <c r="I371" i="134"/>
  <c r="J371" i="134" s="1"/>
  <c r="N371" i="134" s="1"/>
  <c r="L371" i="134"/>
  <c r="M371" i="134"/>
  <c r="Z371" i="134"/>
  <c r="I372" i="134"/>
  <c r="J372" i="134" s="1"/>
  <c r="L372" i="134"/>
  <c r="M372" i="134" s="1"/>
  <c r="Z372" i="134"/>
  <c r="I373" i="134"/>
  <c r="J373" i="134" s="1"/>
  <c r="N373" i="134" s="1"/>
  <c r="L373" i="134"/>
  <c r="M373" i="134"/>
  <c r="Z373" i="134"/>
  <c r="I374" i="134"/>
  <c r="J374" i="134" s="1"/>
  <c r="L374" i="134"/>
  <c r="M374" i="134" s="1"/>
  <c r="Z374" i="134"/>
  <c r="I375" i="134"/>
  <c r="J375" i="134" s="1"/>
  <c r="L375" i="134"/>
  <c r="M375" i="134"/>
  <c r="Z375" i="134"/>
  <c r="I376" i="134"/>
  <c r="J376" i="134" s="1"/>
  <c r="L376" i="134"/>
  <c r="M376" i="134" s="1"/>
  <c r="Z376" i="134"/>
  <c r="I377" i="134"/>
  <c r="J377" i="134" s="1"/>
  <c r="L377" i="134"/>
  <c r="M377" i="134"/>
  <c r="Z377" i="134"/>
  <c r="I378" i="134"/>
  <c r="J378" i="134" s="1"/>
  <c r="L378" i="134"/>
  <c r="M378" i="134" s="1"/>
  <c r="Z378" i="134"/>
  <c r="I379" i="134"/>
  <c r="J379" i="134" s="1"/>
  <c r="N379" i="134" s="1"/>
  <c r="L379" i="134"/>
  <c r="M379" i="134"/>
  <c r="Z379" i="134"/>
  <c r="I380" i="134"/>
  <c r="J380" i="134" s="1"/>
  <c r="L380" i="134"/>
  <c r="M380" i="134" s="1"/>
  <c r="Z380" i="134"/>
  <c r="I381" i="134"/>
  <c r="J381" i="134"/>
  <c r="L381" i="134"/>
  <c r="M381" i="134"/>
  <c r="Z381" i="134"/>
  <c r="I382" i="134"/>
  <c r="J382" i="134" s="1"/>
  <c r="L382" i="134"/>
  <c r="M382" i="134" s="1"/>
  <c r="Z382" i="134"/>
  <c r="I383" i="134"/>
  <c r="J383" i="134"/>
  <c r="L383" i="134"/>
  <c r="M383" i="134"/>
  <c r="Z383" i="134"/>
  <c r="I384" i="134"/>
  <c r="J384" i="134" s="1"/>
  <c r="L384" i="134"/>
  <c r="M384" i="134" s="1"/>
  <c r="Z384" i="134"/>
  <c r="I385" i="134"/>
  <c r="J385" i="134"/>
  <c r="L385" i="134"/>
  <c r="M385" i="134"/>
  <c r="Z385" i="134"/>
  <c r="I386" i="134"/>
  <c r="J386" i="134" s="1"/>
  <c r="L386" i="134"/>
  <c r="M386" i="134" s="1"/>
  <c r="Z386" i="134"/>
  <c r="I387" i="134"/>
  <c r="J387" i="134"/>
  <c r="L387" i="134"/>
  <c r="M387" i="134"/>
  <c r="Z387" i="134"/>
  <c r="I388" i="134"/>
  <c r="J388" i="134" s="1"/>
  <c r="L388" i="134"/>
  <c r="M388" i="134" s="1"/>
  <c r="Z388" i="134"/>
  <c r="I389" i="134"/>
  <c r="J389" i="134"/>
  <c r="L389" i="134"/>
  <c r="M389" i="134"/>
  <c r="Z389" i="134"/>
  <c r="I390" i="134"/>
  <c r="J390" i="134" s="1"/>
  <c r="L390" i="134"/>
  <c r="M390" i="134" s="1"/>
  <c r="Z390" i="134"/>
  <c r="I391" i="134"/>
  <c r="J391" i="134"/>
  <c r="L391" i="134"/>
  <c r="M391" i="134"/>
  <c r="Z391" i="134"/>
  <c r="I392" i="134"/>
  <c r="J392" i="134" s="1"/>
  <c r="L392" i="134"/>
  <c r="M392" i="134" s="1"/>
  <c r="Z392" i="134"/>
  <c r="I393" i="134"/>
  <c r="J393" i="134"/>
  <c r="L393" i="134"/>
  <c r="M393" i="134"/>
  <c r="Z393" i="134"/>
  <c r="I394" i="134"/>
  <c r="J394" i="134" s="1"/>
  <c r="L394" i="134"/>
  <c r="M394" i="134" s="1"/>
  <c r="Z394" i="134"/>
  <c r="I395" i="134"/>
  <c r="J395" i="134"/>
  <c r="L395" i="134"/>
  <c r="M395" i="134"/>
  <c r="Z395" i="134"/>
  <c r="I396" i="134"/>
  <c r="J396" i="134" s="1"/>
  <c r="L396" i="134"/>
  <c r="M396" i="134" s="1"/>
  <c r="Z396" i="134"/>
  <c r="I397" i="134"/>
  <c r="J397" i="134"/>
  <c r="L397" i="134"/>
  <c r="M397" i="134"/>
  <c r="Z397" i="134"/>
  <c r="I398" i="134"/>
  <c r="J398" i="134" s="1"/>
  <c r="L398" i="134"/>
  <c r="M398" i="134" s="1"/>
  <c r="Z398" i="134"/>
  <c r="I399" i="134"/>
  <c r="J399" i="134"/>
  <c r="L399" i="134"/>
  <c r="M399" i="134"/>
  <c r="Z399" i="134"/>
  <c r="I400" i="134"/>
  <c r="J400" i="134" s="1"/>
  <c r="L400" i="134"/>
  <c r="M400" i="134" s="1"/>
  <c r="Z400" i="134"/>
  <c r="I401" i="134"/>
  <c r="J401" i="134"/>
  <c r="L401" i="134"/>
  <c r="M401" i="134"/>
  <c r="Z401" i="134"/>
  <c r="I402" i="134"/>
  <c r="J402" i="134" s="1"/>
  <c r="L402" i="134"/>
  <c r="M402" i="134" s="1"/>
  <c r="Z402" i="134"/>
  <c r="D403" i="134"/>
  <c r="I404" i="134"/>
  <c r="J404" i="134" s="1"/>
  <c r="L404" i="134"/>
  <c r="M404" i="134" s="1"/>
  <c r="Z404" i="134"/>
  <c r="I405" i="134"/>
  <c r="J405" i="134"/>
  <c r="L405" i="134"/>
  <c r="M405" i="134"/>
  <c r="Z405" i="134"/>
  <c r="I406" i="134"/>
  <c r="J406" i="134" s="1"/>
  <c r="L406" i="134"/>
  <c r="M406" i="134" s="1"/>
  <c r="Z406" i="134"/>
  <c r="I407" i="134"/>
  <c r="J407" i="134"/>
  <c r="L407" i="134"/>
  <c r="M407" i="134" s="1"/>
  <c r="Z407" i="134"/>
  <c r="I408" i="134"/>
  <c r="J408" i="134" s="1"/>
  <c r="L408" i="134"/>
  <c r="M408" i="134" s="1"/>
  <c r="Z408" i="134"/>
  <c r="I409" i="134"/>
  <c r="J409" i="134"/>
  <c r="L409" i="134"/>
  <c r="M409" i="134" s="1"/>
  <c r="Z409" i="134"/>
  <c r="I410" i="134"/>
  <c r="J410" i="134" s="1"/>
  <c r="L410" i="134"/>
  <c r="M410" i="134" s="1"/>
  <c r="Z410" i="134"/>
  <c r="I411" i="134"/>
  <c r="J411" i="134"/>
  <c r="L411" i="134"/>
  <c r="M411" i="134" s="1"/>
  <c r="Z411" i="134"/>
  <c r="I412" i="134"/>
  <c r="J412" i="134" s="1"/>
  <c r="L412" i="134"/>
  <c r="M412" i="134" s="1"/>
  <c r="Z412" i="134"/>
  <c r="I413" i="134"/>
  <c r="J413" i="134"/>
  <c r="L413" i="134"/>
  <c r="M413" i="134" s="1"/>
  <c r="Z413" i="134"/>
  <c r="I414" i="134"/>
  <c r="J414" i="134" s="1"/>
  <c r="L414" i="134"/>
  <c r="M414" i="134" s="1"/>
  <c r="Z414" i="134"/>
  <c r="I415" i="134"/>
  <c r="J415" i="134"/>
  <c r="L415" i="134"/>
  <c r="M415" i="134" s="1"/>
  <c r="Z415" i="134"/>
  <c r="I416" i="134"/>
  <c r="J416" i="134" s="1"/>
  <c r="L416" i="134"/>
  <c r="M416" i="134" s="1"/>
  <c r="Z416" i="134"/>
  <c r="I417" i="134"/>
  <c r="J417" i="134"/>
  <c r="L417" i="134"/>
  <c r="M417" i="134" s="1"/>
  <c r="Z417" i="134"/>
  <c r="I418" i="134"/>
  <c r="J418" i="134" s="1"/>
  <c r="L418" i="134"/>
  <c r="M418" i="134" s="1"/>
  <c r="Z418" i="134"/>
  <c r="I419" i="134"/>
  <c r="J419" i="134"/>
  <c r="L419" i="134"/>
  <c r="M419" i="134" s="1"/>
  <c r="Z419" i="134"/>
  <c r="I420" i="134"/>
  <c r="J420" i="134" s="1"/>
  <c r="L420" i="134"/>
  <c r="M420" i="134" s="1"/>
  <c r="Z420" i="134"/>
  <c r="I421" i="134"/>
  <c r="J421" i="134"/>
  <c r="L421" i="134"/>
  <c r="M421" i="134" s="1"/>
  <c r="Z421" i="134"/>
  <c r="D422" i="134"/>
  <c r="I423" i="134"/>
  <c r="L423" i="134" s="1"/>
  <c r="M423" i="134" s="1"/>
  <c r="I424" i="134"/>
  <c r="I425" i="134"/>
  <c r="L425" i="134" s="1"/>
  <c r="M425" i="134" s="1"/>
  <c r="I426" i="134"/>
  <c r="I427" i="134"/>
  <c r="L427" i="134" s="1"/>
  <c r="M427" i="134" s="1"/>
  <c r="I428" i="134"/>
  <c r="I429" i="134"/>
  <c r="L429" i="134" s="1"/>
  <c r="M429" i="134" s="1"/>
  <c r="D430" i="134"/>
  <c r="I431" i="134"/>
  <c r="J431" i="134"/>
  <c r="L431" i="134"/>
  <c r="M431" i="134"/>
  <c r="M433" i="134" s="1"/>
  <c r="Z431" i="134"/>
  <c r="I432" i="134"/>
  <c r="J432" i="134" s="1"/>
  <c r="L432" i="134"/>
  <c r="M432" i="134" s="1"/>
  <c r="Z432" i="134"/>
  <c r="D433" i="134"/>
  <c r="I434" i="134"/>
  <c r="J434" i="134" s="1"/>
  <c r="L434" i="134"/>
  <c r="M434" i="134" s="1"/>
  <c r="Z434" i="134"/>
  <c r="I435" i="134"/>
  <c r="J435" i="134"/>
  <c r="L435" i="134"/>
  <c r="M435" i="134"/>
  <c r="Z435" i="134"/>
  <c r="I436" i="134"/>
  <c r="J436" i="134" s="1"/>
  <c r="L436" i="134"/>
  <c r="M436" i="134" s="1"/>
  <c r="Z436" i="134"/>
  <c r="I437" i="134"/>
  <c r="J437" i="134"/>
  <c r="L437" i="134"/>
  <c r="M437" i="134"/>
  <c r="Z437" i="134"/>
  <c r="D438" i="134"/>
  <c r="I439" i="134"/>
  <c r="L439" i="134" s="1"/>
  <c r="M439" i="134" s="1"/>
  <c r="J439" i="134"/>
  <c r="N439" i="134" s="1"/>
  <c r="Z439" i="134"/>
  <c r="I440" i="134"/>
  <c r="D441" i="134"/>
  <c r="I442" i="134"/>
  <c r="I443" i="134"/>
  <c r="L443" i="134" s="1"/>
  <c r="M443" i="134" s="1"/>
  <c r="I444" i="134"/>
  <c r="I445" i="134"/>
  <c r="L445" i="134" s="1"/>
  <c r="M445" i="134" s="1"/>
  <c r="I446" i="134"/>
  <c r="I447" i="134"/>
  <c r="L447" i="134" s="1"/>
  <c r="M447" i="134" s="1"/>
  <c r="I448" i="134"/>
  <c r="I449" i="134"/>
  <c r="L449" i="134" s="1"/>
  <c r="M449" i="134" s="1"/>
  <c r="I450" i="134"/>
  <c r="I451" i="134"/>
  <c r="L451" i="134" s="1"/>
  <c r="M451" i="134" s="1"/>
  <c r="I452" i="134"/>
  <c r="I453" i="134"/>
  <c r="L453" i="134" s="1"/>
  <c r="M453" i="134" s="1"/>
  <c r="I454" i="134"/>
  <c r="I455" i="134"/>
  <c r="L455" i="134" s="1"/>
  <c r="M455" i="134" s="1"/>
  <c r="I456" i="134"/>
  <c r="I457" i="134"/>
  <c r="L457" i="134" s="1"/>
  <c r="M457" i="134" s="1"/>
  <c r="I458" i="134"/>
  <c r="I459" i="134"/>
  <c r="L459" i="134" s="1"/>
  <c r="M459" i="134" s="1"/>
  <c r="I460" i="134"/>
  <c r="I461" i="134"/>
  <c r="L461" i="134" s="1"/>
  <c r="M461" i="134" s="1"/>
  <c r="I462" i="134"/>
  <c r="I463" i="134"/>
  <c r="L463" i="134" s="1"/>
  <c r="M463" i="134" s="1"/>
  <c r="I464" i="134"/>
  <c r="I465" i="134"/>
  <c r="L465" i="134" s="1"/>
  <c r="M465" i="134" s="1"/>
  <c r="I466" i="134"/>
  <c r="I467" i="134"/>
  <c r="L467" i="134" s="1"/>
  <c r="M467" i="134" s="1"/>
  <c r="I468" i="134"/>
  <c r="I469" i="134"/>
  <c r="L469" i="134" s="1"/>
  <c r="M469" i="134" s="1"/>
  <c r="I470" i="134"/>
  <c r="I471" i="134"/>
  <c r="L471" i="134" s="1"/>
  <c r="M471" i="134" s="1"/>
  <c r="I472" i="134"/>
  <c r="I473" i="134"/>
  <c r="L473" i="134" s="1"/>
  <c r="M473" i="134" s="1"/>
  <c r="I474" i="134"/>
  <c r="I475" i="134"/>
  <c r="L475" i="134" s="1"/>
  <c r="M475" i="134" s="1"/>
  <c r="I476" i="134"/>
  <c r="I477" i="134"/>
  <c r="L477" i="134" s="1"/>
  <c r="M477" i="134" s="1"/>
  <c r="I478" i="134"/>
  <c r="I479" i="134"/>
  <c r="L479" i="134" s="1"/>
  <c r="M479" i="134" s="1"/>
  <c r="I480" i="134"/>
  <c r="I481" i="134"/>
  <c r="L481" i="134" s="1"/>
  <c r="M481" i="134" s="1"/>
  <c r="I482" i="134"/>
  <c r="I483" i="134"/>
  <c r="L483" i="134" s="1"/>
  <c r="M483" i="134" s="1"/>
  <c r="I484" i="134"/>
  <c r="I485" i="134"/>
  <c r="L485" i="134" s="1"/>
  <c r="M485" i="134" s="1"/>
  <c r="I486" i="134"/>
  <c r="I487" i="134"/>
  <c r="L487" i="134" s="1"/>
  <c r="M487" i="134" s="1"/>
  <c r="I488" i="134"/>
  <c r="I489" i="134"/>
  <c r="L489" i="134" s="1"/>
  <c r="M489" i="134" s="1"/>
  <c r="I490" i="134"/>
  <c r="I491" i="134"/>
  <c r="L491" i="134" s="1"/>
  <c r="M491" i="134" s="1"/>
  <c r="I492" i="134"/>
  <c r="I493" i="134"/>
  <c r="L493" i="134" s="1"/>
  <c r="M493" i="134" s="1"/>
  <c r="I494" i="134"/>
  <c r="I495" i="134"/>
  <c r="L495" i="134" s="1"/>
  <c r="M495" i="134" s="1"/>
  <c r="I496" i="134"/>
  <c r="I497" i="134"/>
  <c r="L497" i="134" s="1"/>
  <c r="M497" i="134" s="1"/>
  <c r="I498" i="134"/>
  <c r="I499" i="134"/>
  <c r="L499" i="134" s="1"/>
  <c r="M499" i="134" s="1"/>
  <c r="I500" i="134"/>
  <c r="I501" i="134"/>
  <c r="J501" i="134"/>
  <c r="L501" i="134"/>
  <c r="M501" i="134" s="1"/>
  <c r="Z501" i="134"/>
  <c r="I502" i="134"/>
  <c r="J502" i="134" s="1"/>
  <c r="L502" i="134"/>
  <c r="M502" i="134" s="1"/>
  <c r="Z502" i="134"/>
  <c r="I503" i="134"/>
  <c r="J503" i="134"/>
  <c r="L503" i="134"/>
  <c r="M503" i="134" s="1"/>
  <c r="Z503" i="134"/>
  <c r="I504" i="134"/>
  <c r="J504" i="134" s="1"/>
  <c r="L504" i="134"/>
  <c r="M504" i="134" s="1"/>
  <c r="Z504" i="134"/>
  <c r="I505" i="134"/>
  <c r="J505" i="134"/>
  <c r="L505" i="134"/>
  <c r="M505" i="134" s="1"/>
  <c r="Z505" i="134"/>
  <c r="I506" i="134"/>
  <c r="J506" i="134" s="1"/>
  <c r="Z506" i="134"/>
  <c r="I507" i="134"/>
  <c r="J507" i="134" s="1"/>
  <c r="Z507" i="134"/>
  <c r="I508" i="134"/>
  <c r="J508" i="134" s="1"/>
  <c r="Z508" i="134"/>
  <c r="I509" i="134"/>
  <c r="Z509" i="134"/>
  <c r="I510" i="134"/>
  <c r="J510" i="134" s="1"/>
  <c r="I511" i="134"/>
  <c r="J511" i="134"/>
  <c r="L511" i="134"/>
  <c r="M511" i="134" s="1"/>
  <c r="Z511" i="134"/>
  <c r="I512" i="134"/>
  <c r="I513" i="134"/>
  <c r="J513" i="134"/>
  <c r="L513" i="134"/>
  <c r="M513" i="134" s="1"/>
  <c r="Z513" i="134"/>
  <c r="I514" i="134"/>
  <c r="J514" i="134" s="1"/>
  <c r="Z514" i="134"/>
  <c r="I515" i="134"/>
  <c r="J515" i="134" s="1"/>
  <c r="Z515" i="134"/>
  <c r="I516" i="134"/>
  <c r="J516" i="134"/>
  <c r="L516" i="134"/>
  <c r="M516" i="134" s="1"/>
  <c r="Z516" i="134"/>
  <c r="I517" i="134"/>
  <c r="J517" i="134" s="1"/>
  <c r="L517" i="134"/>
  <c r="M517" i="134" s="1"/>
  <c r="Z517" i="134"/>
  <c r="I518" i="134"/>
  <c r="J518" i="134"/>
  <c r="L518" i="134"/>
  <c r="M518" i="134" s="1"/>
  <c r="Z518" i="134"/>
  <c r="I519" i="134"/>
  <c r="J519" i="134" s="1"/>
  <c r="L519" i="134"/>
  <c r="M519" i="134" s="1"/>
  <c r="Z519" i="134"/>
  <c r="I520" i="134"/>
  <c r="J520" i="134"/>
  <c r="L520" i="134"/>
  <c r="M520" i="134" s="1"/>
  <c r="Z520" i="134"/>
  <c r="I521" i="134"/>
  <c r="J521" i="134" s="1"/>
  <c r="L521" i="134"/>
  <c r="M521" i="134" s="1"/>
  <c r="Z521" i="134"/>
  <c r="I522" i="134"/>
  <c r="J522" i="134"/>
  <c r="L522" i="134"/>
  <c r="M522" i="134" s="1"/>
  <c r="Z522" i="134"/>
  <c r="I523" i="134"/>
  <c r="J523" i="134" s="1"/>
  <c r="L523" i="134"/>
  <c r="M523" i="134" s="1"/>
  <c r="Z523" i="134"/>
  <c r="I524" i="134"/>
  <c r="J524" i="134"/>
  <c r="L524" i="134"/>
  <c r="M524" i="134" s="1"/>
  <c r="Z524" i="134"/>
  <c r="I525" i="134"/>
  <c r="J525" i="134" s="1"/>
  <c r="L525" i="134"/>
  <c r="M525" i="134" s="1"/>
  <c r="Z525" i="134"/>
  <c r="I526" i="134"/>
  <c r="J526" i="134"/>
  <c r="L526" i="134"/>
  <c r="M526" i="134" s="1"/>
  <c r="Z526" i="134"/>
  <c r="I527" i="134"/>
  <c r="J527" i="134" s="1"/>
  <c r="L527" i="134"/>
  <c r="M527" i="134" s="1"/>
  <c r="Z527" i="134"/>
  <c r="I528" i="134"/>
  <c r="J528" i="134"/>
  <c r="L528" i="134"/>
  <c r="M528" i="134" s="1"/>
  <c r="Z528" i="134"/>
  <c r="I529" i="134"/>
  <c r="J529" i="134" s="1"/>
  <c r="L529" i="134"/>
  <c r="M529" i="134" s="1"/>
  <c r="Z529" i="134"/>
  <c r="I530" i="134"/>
  <c r="J530" i="134"/>
  <c r="L530" i="134"/>
  <c r="M530" i="134"/>
  <c r="Z530" i="134"/>
  <c r="I531" i="134"/>
  <c r="J531" i="134" s="1"/>
  <c r="L531" i="134"/>
  <c r="M531" i="134" s="1"/>
  <c r="Z531" i="134"/>
  <c r="I532" i="134"/>
  <c r="J532" i="134"/>
  <c r="L532" i="134"/>
  <c r="M532" i="134"/>
  <c r="Z532" i="134"/>
  <c r="I533" i="134"/>
  <c r="J533" i="134" s="1"/>
  <c r="L533" i="134"/>
  <c r="M533" i="134" s="1"/>
  <c r="Z533" i="134"/>
  <c r="I534" i="134"/>
  <c r="J534" i="134"/>
  <c r="L534" i="134"/>
  <c r="M534" i="134"/>
  <c r="Z534" i="134"/>
  <c r="I535" i="134"/>
  <c r="J535" i="134" s="1"/>
  <c r="L535" i="134"/>
  <c r="M535" i="134" s="1"/>
  <c r="Z535" i="134"/>
  <c r="I536" i="134"/>
  <c r="J536" i="134"/>
  <c r="L536" i="134"/>
  <c r="M536" i="134"/>
  <c r="Z536" i="134"/>
  <c r="I537" i="134"/>
  <c r="J537" i="134" s="1"/>
  <c r="L537" i="134"/>
  <c r="M537" i="134" s="1"/>
  <c r="Z537" i="134"/>
  <c r="I538" i="134"/>
  <c r="J538" i="134"/>
  <c r="L538" i="134"/>
  <c r="M538" i="134"/>
  <c r="Z538" i="134"/>
  <c r="I539" i="134"/>
  <c r="J539" i="134" s="1"/>
  <c r="L539" i="134"/>
  <c r="M539" i="134" s="1"/>
  <c r="Z539" i="134"/>
  <c r="I540" i="134"/>
  <c r="J540" i="134"/>
  <c r="L540" i="134"/>
  <c r="M540" i="134"/>
  <c r="Z540" i="134"/>
  <c r="I541" i="134"/>
  <c r="J541" i="134" s="1"/>
  <c r="L541" i="134"/>
  <c r="M541" i="134" s="1"/>
  <c r="Z541" i="134"/>
  <c r="I542" i="134"/>
  <c r="J542" i="134"/>
  <c r="L542" i="134"/>
  <c r="M542" i="134"/>
  <c r="Z542" i="134"/>
  <c r="I543" i="134"/>
  <c r="J543" i="134" s="1"/>
  <c r="L543" i="134"/>
  <c r="M543" i="134" s="1"/>
  <c r="Z543" i="134"/>
  <c r="I544" i="134"/>
  <c r="J544" i="134"/>
  <c r="L544" i="134"/>
  <c r="M544" i="134"/>
  <c r="Z544" i="134"/>
  <c r="I545" i="134"/>
  <c r="J545" i="134" s="1"/>
  <c r="L545" i="134"/>
  <c r="M545" i="134" s="1"/>
  <c r="Z545" i="134"/>
  <c r="I546" i="134"/>
  <c r="J546" i="134"/>
  <c r="L546" i="134"/>
  <c r="M546" i="134"/>
  <c r="Z546" i="134"/>
  <c r="I547" i="134"/>
  <c r="J547" i="134" s="1"/>
  <c r="L547" i="134"/>
  <c r="M547" i="134" s="1"/>
  <c r="Z547" i="134"/>
  <c r="I548" i="134"/>
  <c r="J548" i="134"/>
  <c r="L548" i="134"/>
  <c r="M548" i="134"/>
  <c r="Z548" i="134"/>
  <c r="I549" i="134"/>
  <c r="J549" i="134" s="1"/>
  <c r="L549" i="134"/>
  <c r="M549" i="134" s="1"/>
  <c r="Z549" i="134"/>
  <c r="I550" i="134"/>
  <c r="J550" i="134"/>
  <c r="L550" i="134"/>
  <c r="M550" i="134"/>
  <c r="Z550" i="134"/>
  <c r="I551" i="134"/>
  <c r="J551" i="134" s="1"/>
  <c r="L551" i="134"/>
  <c r="M551" i="134" s="1"/>
  <c r="Z551" i="134"/>
  <c r="I552" i="134"/>
  <c r="J552" i="134"/>
  <c r="L552" i="134"/>
  <c r="M552" i="134"/>
  <c r="Z552" i="134"/>
  <c r="I553" i="134"/>
  <c r="J553" i="134" s="1"/>
  <c r="L553" i="134"/>
  <c r="M553" i="134" s="1"/>
  <c r="Z553" i="134"/>
  <c r="I554" i="134"/>
  <c r="J554" i="134"/>
  <c r="L554" i="134"/>
  <c r="M554" i="134"/>
  <c r="Z554" i="134"/>
  <c r="I555" i="134"/>
  <c r="J555" i="134" s="1"/>
  <c r="L555" i="134"/>
  <c r="M555" i="134" s="1"/>
  <c r="Z555" i="134"/>
  <c r="I556" i="134"/>
  <c r="J556" i="134"/>
  <c r="L556" i="134"/>
  <c r="M556" i="134"/>
  <c r="Z556" i="134"/>
  <c r="I557" i="134"/>
  <c r="J557" i="134" s="1"/>
  <c r="L557" i="134"/>
  <c r="M557" i="134" s="1"/>
  <c r="Z557" i="134"/>
  <c r="I558" i="134"/>
  <c r="J558" i="134"/>
  <c r="L558" i="134"/>
  <c r="M558" i="134"/>
  <c r="Z558" i="134"/>
  <c r="I559" i="134"/>
  <c r="J559" i="134" s="1"/>
  <c r="L559" i="134"/>
  <c r="M559" i="134" s="1"/>
  <c r="Z559" i="134"/>
  <c r="I560" i="134"/>
  <c r="J560" i="134"/>
  <c r="L560" i="134"/>
  <c r="M560" i="134"/>
  <c r="Z560" i="134"/>
  <c r="I561" i="134"/>
  <c r="J561" i="134" s="1"/>
  <c r="L561" i="134"/>
  <c r="M561" i="134" s="1"/>
  <c r="Z561" i="134"/>
  <c r="I562" i="134"/>
  <c r="J562" i="134"/>
  <c r="L562" i="134"/>
  <c r="M562" i="134"/>
  <c r="Z562" i="134"/>
  <c r="I563" i="134"/>
  <c r="J563" i="134" s="1"/>
  <c r="L563" i="134"/>
  <c r="M563" i="134" s="1"/>
  <c r="Z563" i="134"/>
  <c r="I564" i="134"/>
  <c r="J564" i="134"/>
  <c r="L564" i="134"/>
  <c r="M564" i="134"/>
  <c r="Z564" i="134"/>
  <c r="I565" i="134"/>
  <c r="J565" i="134" s="1"/>
  <c r="L565" i="134"/>
  <c r="M565" i="134" s="1"/>
  <c r="Z565" i="134"/>
  <c r="I566" i="134"/>
  <c r="J566" i="134"/>
  <c r="L566" i="134"/>
  <c r="M566" i="134"/>
  <c r="Z566" i="134"/>
  <c r="I567" i="134"/>
  <c r="J567" i="134" s="1"/>
  <c r="L567" i="134"/>
  <c r="M567" i="134" s="1"/>
  <c r="Z567" i="134"/>
  <c r="I568" i="134"/>
  <c r="J568" i="134"/>
  <c r="L568" i="134"/>
  <c r="M568" i="134"/>
  <c r="Z568" i="134"/>
  <c r="I569" i="134"/>
  <c r="J569" i="134" s="1"/>
  <c r="L569" i="134"/>
  <c r="M569" i="134" s="1"/>
  <c r="Z569" i="134"/>
  <c r="I570" i="134"/>
  <c r="J570" i="134"/>
  <c r="L570" i="134"/>
  <c r="M570" i="134"/>
  <c r="Z570" i="134"/>
  <c r="I571" i="134"/>
  <c r="J571" i="134" s="1"/>
  <c r="L571" i="134"/>
  <c r="M571" i="134" s="1"/>
  <c r="Z571" i="134"/>
  <c r="I572" i="134"/>
  <c r="J572" i="134"/>
  <c r="L572" i="134"/>
  <c r="M572" i="134"/>
  <c r="Z572" i="134"/>
  <c r="I573" i="134"/>
  <c r="J573" i="134" s="1"/>
  <c r="L573" i="134"/>
  <c r="M573" i="134" s="1"/>
  <c r="Z573" i="134"/>
  <c r="I574" i="134"/>
  <c r="J574" i="134"/>
  <c r="L574" i="134"/>
  <c r="M574" i="134"/>
  <c r="Z574" i="134"/>
  <c r="I575" i="134"/>
  <c r="J575" i="134" s="1"/>
  <c r="L575" i="134"/>
  <c r="M575" i="134" s="1"/>
  <c r="Z575" i="134"/>
  <c r="I576" i="134"/>
  <c r="J576" i="134"/>
  <c r="L576" i="134"/>
  <c r="M576" i="134"/>
  <c r="Z576" i="134"/>
  <c r="I577" i="134"/>
  <c r="J577" i="134" s="1"/>
  <c r="L577" i="134"/>
  <c r="M577" i="134" s="1"/>
  <c r="Z577" i="134"/>
  <c r="I578" i="134"/>
  <c r="J578" i="134"/>
  <c r="L578" i="134"/>
  <c r="M578" i="134"/>
  <c r="Z578" i="134"/>
  <c r="I579" i="134"/>
  <c r="J579" i="134" s="1"/>
  <c r="L579" i="134"/>
  <c r="M579" i="134" s="1"/>
  <c r="Z579" i="134"/>
  <c r="I580" i="134"/>
  <c r="J580" i="134"/>
  <c r="L580" i="134"/>
  <c r="M580" i="134"/>
  <c r="Z580" i="134"/>
  <c r="I581" i="134"/>
  <c r="J581" i="134" s="1"/>
  <c r="L581" i="134"/>
  <c r="M581" i="134" s="1"/>
  <c r="Z581" i="134"/>
  <c r="I582" i="134"/>
  <c r="J582" i="134"/>
  <c r="L582" i="134"/>
  <c r="M582" i="134"/>
  <c r="Z582" i="134"/>
  <c r="I583" i="134"/>
  <c r="J583" i="134" s="1"/>
  <c r="L583" i="134"/>
  <c r="M583" i="134" s="1"/>
  <c r="Z583" i="134"/>
  <c r="I584" i="134"/>
  <c r="J584" i="134"/>
  <c r="L584" i="134"/>
  <c r="M584" i="134"/>
  <c r="Z584" i="134"/>
  <c r="I585" i="134"/>
  <c r="J585" i="134" s="1"/>
  <c r="L585" i="134"/>
  <c r="M585" i="134" s="1"/>
  <c r="Z585" i="134"/>
  <c r="I586" i="134"/>
  <c r="J586" i="134"/>
  <c r="L586" i="134"/>
  <c r="M586" i="134"/>
  <c r="Z586" i="134"/>
  <c r="I587" i="134"/>
  <c r="J587" i="134" s="1"/>
  <c r="L587" i="134"/>
  <c r="M587" i="134" s="1"/>
  <c r="Z587" i="134"/>
  <c r="I588" i="134"/>
  <c r="J588" i="134"/>
  <c r="L588" i="134"/>
  <c r="M588" i="134"/>
  <c r="Z588" i="134"/>
  <c r="I589" i="134"/>
  <c r="J589" i="134" s="1"/>
  <c r="L589" i="134"/>
  <c r="M589" i="134" s="1"/>
  <c r="Z589" i="134"/>
  <c r="I590" i="134"/>
  <c r="J590" i="134"/>
  <c r="L590" i="134"/>
  <c r="M590" i="134"/>
  <c r="Z590" i="134"/>
  <c r="I591" i="134"/>
  <c r="J591" i="134" s="1"/>
  <c r="L591" i="134"/>
  <c r="M591" i="134" s="1"/>
  <c r="Z591" i="134"/>
  <c r="I592" i="134"/>
  <c r="J592" i="134"/>
  <c r="L592" i="134"/>
  <c r="M592" i="134"/>
  <c r="Z592" i="134"/>
  <c r="I593" i="134"/>
  <c r="J593" i="134" s="1"/>
  <c r="L593" i="134"/>
  <c r="M593" i="134" s="1"/>
  <c r="Z593" i="134"/>
  <c r="I594" i="134"/>
  <c r="J594" i="134"/>
  <c r="L594" i="134"/>
  <c r="M594" i="134"/>
  <c r="Z594" i="134"/>
  <c r="I595" i="134"/>
  <c r="J595" i="134" s="1"/>
  <c r="L595" i="134"/>
  <c r="M595" i="134" s="1"/>
  <c r="Z595" i="134"/>
  <c r="I596" i="134"/>
  <c r="J596" i="134"/>
  <c r="L596" i="134"/>
  <c r="M596" i="134"/>
  <c r="Z596" i="134"/>
  <c r="I597" i="134"/>
  <c r="J597" i="134" s="1"/>
  <c r="L597" i="134"/>
  <c r="M597" i="134" s="1"/>
  <c r="Z597" i="134"/>
  <c r="I598" i="134"/>
  <c r="J598" i="134"/>
  <c r="L598" i="134"/>
  <c r="M598" i="134"/>
  <c r="Z598" i="134"/>
  <c r="I599" i="134"/>
  <c r="J599" i="134" s="1"/>
  <c r="L599" i="134"/>
  <c r="M599" i="134" s="1"/>
  <c r="Z599" i="134"/>
  <c r="I600" i="134"/>
  <c r="J600" i="134"/>
  <c r="L600" i="134"/>
  <c r="M600" i="134"/>
  <c r="Z600" i="134"/>
  <c r="I601" i="134"/>
  <c r="J601" i="134" s="1"/>
  <c r="L601" i="134"/>
  <c r="M601" i="134" s="1"/>
  <c r="Z601" i="134"/>
  <c r="I602" i="134"/>
  <c r="J602" i="134"/>
  <c r="L602" i="134"/>
  <c r="M602" i="134"/>
  <c r="Z602" i="134"/>
  <c r="I603" i="134"/>
  <c r="J603" i="134" s="1"/>
  <c r="L603" i="134"/>
  <c r="M603" i="134" s="1"/>
  <c r="Z603" i="134"/>
  <c r="I604" i="134"/>
  <c r="J604" i="134"/>
  <c r="L604" i="134"/>
  <c r="M604" i="134"/>
  <c r="Z604" i="134"/>
  <c r="I605" i="134"/>
  <c r="J605" i="134" s="1"/>
  <c r="L605" i="134"/>
  <c r="M605" i="134" s="1"/>
  <c r="Z605" i="134"/>
  <c r="I606" i="134"/>
  <c r="J606" i="134"/>
  <c r="L606" i="134"/>
  <c r="M606" i="134"/>
  <c r="Z606" i="134"/>
  <c r="I607" i="134"/>
  <c r="J607" i="134" s="1"/>
  <c r="L607" i="134"/>
  <c r="M607" i="134" s="1"/>
  <c r="Z607" i="134"/>
  <c r="I608" i="134"/>
  <c r="J608" i="134"/>
  <c r="L608" i="134"/>
  <c r="M608" i="134"/>
  <c r="Z608" i="134"/>
  <c r="I609" i="134"/>
  <c r="J609" i="134" s="1"/>
  <c r="L609" i="134"/>
  <c r="M609" i="134" s="1"/>
  <c r="Z609" i="134"/>
  <c r="I610" i="134"/>
  <c r="J610" i="134"/>
  <c r="L610" i="134"/>
  <c r="M610" i="134"/>
  <c r="Z610" i="134"/>
  <c r="I611" i="134"/>
  <c r="J611" i="134" s="1"/>
  <c r="L611" i="134"/>
  <c r="M611" i="134" s="1"/>
  <c r="Z611" i="134"/>
  <c r="I612" i="134"/>
  <c r="J612" i="134"/>
  <c r="L612" i="134"/>
  <c r="M612" i="134"/>
  <c r="Z612" i="134"/>
  <c r="I613" i="134"/>
  <c r="J613" i="134" s="1"/>
  <c r="L613" i="134"/>
  <c r="M613" i="134" s="1"/>
  <c r="Z613" i="134"/>
  <c r="I614" i="134"/>
  <c r="J614" i="134"/>
  <c r="L614" i="134"/>
  <c r="M614" i="134"/>
  <c r="Z614" i="134"/>
  <c r="I615" i="134"/>
  <c r="J615" i="134" s="1"/>
  <c r="L615" i="134"/>
  <c r="M615" i="134" s="1"/>
  <c r="Z615" i="134"/>
  <c r="I616" i="134"/>
  <c r="J616" i="134"/>
  <c r="L616" i="134"/>
  <c r="M616" i="134"/>
  <c r="Z616" i="134"/>
  <c r="I617" i="134"/>
  <c r="J617" i="134" s="1"/>
  <c r="L617" i="134"/>
  <c r="M617" i="134" s="1"/>
  <c r="Z617" i="134"/>
  <c r="I618" i="134"/>
  <c r="J618" i="134"/>
  <c r="L618" i="134"/>
  <c r="M618" i="134"/>
  <c r="Z618" i="134"/>
  <c r="I619" i="134"/>
  <c r="J619" i="134" s="1"/>
  <c r="L619" i="134"/>
  <c r="M619" i="134" s="1"/>
  <c r="Z619" i="134"/>
  <c r="I620" i="134"/>
  <c r="J620" i="134"/>
  <c r="L620" i="134"/>
  <c r="M620" i="134"/>
  <c r="Z620" i="134"/>
  <c r="I621" i="134"/>
  <c r="J621" i="134" s="1"/>
  <c r="L621" i="134"/>
  <c r="M621" i="134" s="1"/>
  <c r="Z621" i="134"/>
  <c r="I622" i="134"/>
  <c r="J622" i="134"/>
  <c r="L622" i="134"/>
  <c r="M622" i="134"/>
  <c r="Z622" i="134"/>
  <c r="I623" i="134"/>
  <c r="J623" i="134" s="1"/>
  <c r="L623" i="134"/>
  <c r="M623" i="134" s="1"/>
  <c r="Z623" i="134"/>
  <c r="I624" i="134"/>
  <c r="J624" i="134"/>
  <c r="L624" i="134"/>
  <c r="M624" i="134"/>
  <c r="Z624" i="134"/>
  <c r="I625" i="134"/>
  <c r="J625" i="134" s="1"/>
  <c r="L625" i="134"/>
  <c r="M625" i="134" s="1"/>
  <c r="Z625" i="134"/>
  <c r="I626" i="134"/>
  <c r="J626" i="134"/>
  <c r="L626" i="134"/>
  <c r="M626" i="134"/>
  <c r="Z626" i="134"/>
  <c r="I627" i="134"/>
  <c r="J627" i="134" s="1"/>
  <c r="L627" i="134"/>
  <c r="M627" i="134" s="1"/>
  <c r="Z627" i="134"/>
  <c r="I628" i="134"/>
  <c r="J628" i="134"/>
  <c r="L628" i="134"/>
  <c r="M628" i="134"/>
  <c r="Z628" i="134"/>
  <c r="I629" i="134"/>
  <c r="J629" i="134" s="1"/>
  <c r="L629" i="134"/>
  <c r="M629" i="134" s="1"/>
  <c r="Z629" i="134"/>
  <c r="I630" i="134"/>
  <c r="J630" i="134"/>
  <c r="L630" i="134"/>
  <c r="M630" i="134"/>
  <c r="Z630" i="134"/>
  <c r="I631" i="134"/>
  <c r="J631" i="134" s="1"/>
  <c r="L631" i="134"/>
  <c r="M631" i="134" s="1"/>
  <c r="Z631" i="134"/>
  <c r="I632" i="134"/>
  <c r="J632" i="134"/>
  <c r="L632" i="134"/>
  <c r="M632" i="134"/>
  <c r="Z632" i="134"/>
  <c r="I633" i="134"/>
  <c r="J633" i="134" s="1"/>
  <c r="L633" i="134"/>
  <c r="M633" i="134" s="1"/>
  <c r="Z633" i="134"/>
  <c r="I634" i="134"/>
  <c r="J634" i="134"/>
  <c r="L634" i="134"/>
  <c r="M634" i="134"/>
  <c r="Z634" i="134"/>
  <c r="I635" i="134"/>
  <c r="J635" i="134" s="1"/>
  <c r="L635" i="134"/>
  <c r="M635" i="134" s="1"/>
  <c r="Z635" i="134"/>
  <c r="I636" i="134"/>
  <c r="J636" i="134"/>
  <c r="L636" i="134"/>
  <c r="M636" i="134"/>
  <c r="Z636" i="134"/>
  <c r="I637" i="134"/>
  <c r="J637" i="134" s="1"/>
  <c r="L637" i="134"/>
  <c r="M637" i="134" s="1"/>
  <c r="Z637" i="134"/>
  <c r="I638" i="134"/>
  <c r="J638" i="134"/>
  <c r="L638" i="134"/>
  <c r="M638" i="134"/>
  <c r="Z638" i="134"/>
  <c r="I639" i="134"/>
  <c r="J639" i="134" s="1"/>
  <c r="L639" i="134"/>
  <c r="M639" i="134" s="1"/>
  <c r="Z639" i="134"/>
  <c r="I640" i="134"/>
  <c r="J640" i="134"/>
  <c r="L640" i="134"/>
  <c r="M640" i="134"/>
  <c r="Z640" i="134"/>
  <c r="I641" i="134"/>
  <c r="J641" i="134" s="1"/>
  <c r="L641" i="134"/>
  <c r="M641" i="134" s="1"/>
  <c r="Z641" i="134"/>
  <c r="I642" i="134"/>
  <c r="J642" i="134"/>
  <c r="L642" i="134"/>
  <c r="M642" i="134"/>
  <c r="Z642" i="134"/>
  <c r="I643" i="134"/>
  <c r="J643" i="134" s="1"/>
  <c r="L643" i="134"/>
  <c r="M643" i="134" s="1"/>
  <c r="Z643" i="134"/>
  <c r="I644" i="134"/>
  <c r="J644" i="134"/>
  <c r="L644" i="134"/>
  <c r="M644" i="134"/>
  <c r="Z644" i="134"/>
  <c r="I645" i="134"/>
  <c r="J645" i="134" s="1"/>
  <c r="L645" i="134"/>
  <c r="M645" i="134" s="1"/>
  <c r="Z645" i="134"/>
  <c r="I646" i="134"/>
  <c r="J646" i="134"/>
  <c r="L646" i="134"/>
  <c r="M646" i="134"/>
  <c r="Z646" i="134"/>
  <c r="I647" i="134"/>
  <c r="J647" i="134" s="1"/>
  <c r="L647" i="134"/>
  <c r="M647" i="134" s="1"/>
  <c r="Z647" i="134"/>
  <c r="I648" i="134"/>
  <c r="J648" i="134"/>
  <c r="L648" i="134"/>
  <c r="M648" i="134"/>
  <c r="Z648" i="134"/>
  <c r="I649" i="134"/>
  <c r="J649" i="134" s="1"/>
  <c r="L649" i="134"/>
  <c r="M649" i="134" s="1"/>
  <c r="Z649" i="134"/>
  <c r="I650" i="134"/>
  <c r="J650" i="134"/>
  <c r="L650" i="134"/>
  <c r="M650" i="134"/>
  <c r="Z650" i="134"/>
  <c r="I651" i="134"/>
  <c r="J651" i="134" s="1"/>
  <c r="L651" i="134"/>
  <c r="M651" i="134" s="1"/>
  <c r="Z651" i="134"/>
  <c r="I652" i="134"/>
  <c r="J652" i="134"/>
  <c r="L652" i="134"/>
  <c r="M652" i="134"/>
  <c r="Z652" i="134"/>
  <c r="I653" i="134"/>
  <c r="J653" i="134" s="1"/>
  <c r="L653" i="134"/>
  <c r="M653" i="134" s="1"/>
  <c r="Z653" i="134"/>
  <c r="I654" i="134"/>
  <c r="J654" i="134"/>
  <c r="L654" i="134"/>
  <c r="M654" i="134"/>
  <c r="Z654" i="134"/>
  <c r="I655" i="134"/>
  <c r="J655" i="134" s="1"/>
  <c r="L655" i="134"/>
  <c r="M655" i="134" s="1"/>
  <c r="Z655" i="134"/>
  <c r="I656" i="134"/>
  <c r="J656" i="134"/>
  <c r="L656" i="134"/>
  <c r="M656" i="134"/>
  <c r="Z656" i="134"/>
  <c r="I657" i="134"/>
  <c r="J657" i="134" s="1"/>
  <c r="L657" i="134"/>
  <c r="M657" i="134" s="1"/>
  <c r="Z657" i="134"/>
  <c r="I658" i="134"/>
  <c r="J658" i="134"/>
  <c r="L658" i="134"/>
  <c r="M658" i="134"/>
  <c r="Z658" i="134"/>
  <c r="I659" i="134"/>
  <c r="J659" i="134" s="1"/>
  <c r="L659" i="134"/>
  <c r="M659" i="134" s="1"/>
  <c r="Z659" i="134"/>
  <c r="I660" i="134"/>
  <c r="J660" i="134"/>
  <c r="L660" i="134"/>
  <c r="M660" i="134"/>
  <c r="Z660" i="134"/>
  <c r="I661" i="134"/>
  <c r="J661" i="134" s="1"/>
  <c r="L661" i="134"/>
  <c r="M661" i="134" s="1"/>
  <c r="Z661" i="134"/>
  <c r="I662" i="134"/>
  <c r="J662" i="134"/>
  <c r="L662" i="134"/>
  <c r="M662" i="134"/>
  <c r="Z662" i="134"/>
  <c r="I663" i="134"/>
  <c r="J663" i="134" s="1"/>
  <c r="L663" i="134"/>
  <c r="M663" i="134" s="1"/>
  <c r="Z663" i="134"/>
  <c r="I664" i="134"/>
  <c r="J664" i="134"/>
  <c r="L664" i="134"/>
  <c r="M664" i="134"/>
  <c r="Z664" i="134"/>
  <c r="I665" i="134"/>
  <c r="J665" i="134" s="1"/>
  <c r="L665" i="134"/>
  <c r="M665" i="134" s="1"/>
  <c r="Z665" i="134"/>
  <c r="I666" i="134"/>
  <c r="J666" i="134"/>
  <c r="L666" i="134"/>
  <c r="M666" i="134"/>
  <c r="Z666" i="134"/>
  <c r="I667" i="134"/>
  <c r="J667" i="134" s="1"/>
  <c r="L667" i="134"/>
  <c r="M667" i="134" s="1"/>
  <c r="Z667" i="134"/>
  <c r="I668" i="134"/>
  <c r="J668" i="134"/>
  <c r="L668" i="134"/>
  <c r="M668" i="134"/>
  <c r="Z668" i="134"/>
  <c r="I669" i="134"/>
  <c r="J669" i="134" s="1"/>
  <c r="L669" i="134"/>
  <c r="M669" i="134" s="1"/>
  <c r="Z669" i="134"/>
  <c r="I670" i="134"/>
  <c r="J670" i="134"/>
  <c r="L670" i="134"/>
  <c r="M670" i="134"/>
  <c r="Z670" i="134"/>
  <c r="I671" i="134"/>
  <c r="J671" i="134" s="1"/>
  <c r="L671" i="134"/>
  <c r="M671" i="134" s="1"/>
  <c r="Z671" i="134"/>
  <c r="I672" i="134"/>
  <c r="J672" i="134"/>
  <c r="L672" i="134"/>
  <c r="M672" i="134"/>
  <c r="Z672" i="134"/>
  <c r="I673" i="134"/>
  <c r="J673" i="134" s="1"/>
  <c r="L673" i="134"/>
  <c r="M673" i="134" s="1"/>
  <c r="Z673" i="134"/>
  <c r="I674" i="134"/>
  <c r="J674" i="134"/>
  <c r="L674" i="134"/>
  <c r="M674" i="134"/>
  <c r="Z674" i="134"/>
  <c r="I675" i="134"/>
  <c r="J675" i="134" s="1"/>
  <c r="L675" i="134"/>
  <c r="M675" i="134" s="1"/>
  <c r="Z675" i="134"/>
  <c r="I676" i="134"/>
  <c r="J676" i="134"/>
  <c r="L676" i="134"/>
  <c r="M676" i="134"/>
  <c r="Z676" i="134"/>
  <c r="I677" i="134"/>
  <c r="J677" i="134" s="1"/>
  <c r="L677" i="134"/>
  <c r="M677" i="134" s="1"/>
  <c r="Z677" i="134"/>
  <c r="I678" i="134"/>
  <c r="J678" i="134"/>
  <c r="L678" i="134"/>
  <c r="M678" i="134"/>
  <c r="Z678" i="134"/>
  <c r="I679" i="134"/>
  <c r="J679" i="134" s="1"/>
  <c r="L679" i="134"/>
  <c r="M679" i="134" s="1"/>
  <c r="Z679" i="134"/>
  <c r="I680" i="134"/>
  <c r="J680" i="134"/>
  <c r="L680" i="134"/>
  <c r="M680" i="134"/>
  <c r="Z680" i="134"/>
  <c r="I681" i="134"/>
  <c r="J681" i="134" s="1"/>
  <c r="L681" i="134"/>
  <c r="M681" i="134" s="1"/>
  <c r="Z681" i="134"/>
  <c r="I682" i="134"/>
  <c r="J682" i="134"/>
  <c r="L682" i="134"/>
  <c r="M682" i="134"/>
  <c r="Z682" i="134"/>
  <c r="I683" i="134"/>
  <c r="J683" i="134" s="1"/>
  <c r="L683" i="134"/>
  <c r="M683" i="134" s="1"/>
  <c r="Z683" i="134"/>
  <c r="D684" i="134"/>
  <c r="I685" i="134"/>
  <c r="J685" i="134" s="1"/>
  <c r="L685" i="134"/>
  <c r="M685" i="134" s="1"/>
  <c r="Z685" i="134"/>
  <c r="I686" i="134"/>
  <c r="J686" i="134"/>
  <c r="L686" i="134"/>
  <c r="M686" i="134"/>
  <c r="Z686" i="134"/>
  <c r="I687" i="134"/>
  <c r="J687" i="134" s="1"/>
  <c r="L687" i="134"/>
  <c r="M687" i="134" s="1"/>
  <c r="Z687" i="134"/>
  <c r="I688" i="134"/>
  <c r="J688" i="134"/>
  <c r="L688" i="134"/>
  <c r="M688" i="134"/>
  <c r="Z688" i="134"/>
  <c r="I689" i="134"/>
  <c r="J689" i="134" s="1"/>
  <c r="L689" i="134"/>
  <c r="M689" i="134" s="1"/>
  <c r="Z689" i="134"/>
  <c r="I690" i="134"/>
  <c r="J690" i="134"/>
  <c r="L690" i="134"/>
  <c r="M690" i="134"/>
  <c r="Z690" i="134"/>
  <c r="I691" i="134"/>
  <c r="J691" i="134" s="1"/>
  <c r="L691" i="134"/>
  <c r="M691" i="134" s="1"/>
  <c r="Z691" i="134"/>
  <c r="I692" i="134"/>
  <c r="J692" i="134"/>
  <c r="L692" i="134"/>
  <c r="M692" i="134"/>
  <c r="Z692" i="134"/>
  <c r="I693" i="134"/>
  <c r="J693" i="134" s="1"/>
  <c r="L693" i="134"/>
  <c r="M693" i="134" s="1"/>
  <c r="Z693" i="134"/>
  <c r="I694" i="134"/>
  <c r="J694" i="134"/>
  <c r="L694" i="134"/>
  <c r="M694" i="134"/>
  <c r="Z694" i="134"/>
  <c r="I695" i="134"/>
  <c r="J695" i="134" s="1"/>
  <c r="L695" i="134"/>
  <c r="M695" i="134" s="1"/>
  <c r="Z695" i="134"/>
  <c r="I696" i="134"/>
  <c r="J696" i="134"/>
  <c r="L696" i="134"/>
  <c r="M696" i="134"/>
  <c r="Z696" i="134"/>
  <c r="I697" i="134"/>
  <c r="J697" i="134" s="1"/>
  <c r="L697" i="134"/>
  <c r="M697" i="134" s="1"/>
  <c r="Z697" i="134"/>
  <c r="I698" i="134"/>
  <c r="J698" i="134"/>
  <c r="L698" i="134"/>
  <c r="M698" i="134"/>
  <c r="Z698" i="134"/>
  <c r="I699" i="134"/>
  <c r="J699" i="134" s="1"/>
  <c r="L699" i="134"/>
  <c r="M699" i="134" s="1"/>
  <c r="Z699" i="134"/>
  <c r="I700" i="134"/>
  <c r="J700" i="134"/>
  <c r="L700" i="134"/>
  <c r="M700" i="134"/>
  <c r="Z700" i="134"/>
  <c r="I701" i="134"/>
  <c r="J701" i="134" s="1"/>
  <c r="L701" i="134"/>
  <c r="M701" i="134" s="1"/>
  <c r="Z701" i="134"/>
  <c r="I702" i="134"/>
  <c r="J702" i="134"/>
  <c r="L702" i="134"/>
  <c r="M702" i="134"/>
  <c r="Z702" i="134"/>
  <c r="I703" i="134"/>
  <c r="J703" i="134" s="1"/>
  <c r="L703" i="134"/>
  <c r="M703" i="134" s="1"/>
  <c r="Z703" i="134"/>
  <c r="I704" i="134"/>
  <c r="J704" i="134"/>
  <c r="L704" i="134"/>
  <c r="M704" i="134"/>
  <c r="Z704" i="134"/>
  <c r="D705" i="134"/>
  <c r="I706" i="134"/>
  <c r="L706" i="134" s="1"/>
  <c r="M706" i="134" s="1"/>
  <c r="M707" i="134" s="1"/>
  <c r="J706" i="134"/>
  <c r="N706" i="134" s="1"/>
  <c r="D707" i="134"/>
  <c r="D975" i="134" s="1"/>
  <c r="I708" i="134"/>
  <c r="J708" i="134"/>
  <c r="L708" i="134"/>
  <c r="M708" i="134" s="1"/>
  <c r="Z708" i="134"/>
  <c r="I709" i="134"/>
  <c r="J709" i="134" s="1"/>
  <c r="Z709" i="134"/>
  <c r="I710" i="134"/>
  <c r="J710" i="134"/>
  <c r="L710" i="134"/>
  <c r="M710" i="134"/>
  <c r="Z710" i="134"/>
  <c r="I711" i="134"/>
  <c r="J711" i="134" s="1"/>
  <c r="Z711" i="134"/>
  <c r="I712" i="134"/>
  <c r="Z712" i="134"/>
  <c r="I713" i="134"/>
  <c r="J713" i="134" s="1"/>
  <c r="Z713" i="134"/>
  <c r="I714" i="134"/>
  <c r="L714" i="134" s="1"/>
  <c r="M714" i="134" s="1"/>
  <c r="J714" i="134"/>
  <c r="Z714" i="134"/>
  <c r="I715" i="134"/>
  <c r="Z715" i="134"/>
  <c r="I716" i="134"/>
  <c r="J716" i="134" s="1"/>
  <c r="L716" i="134"/>
  <c r="M716" i="134" s="1"/>
  <c r="Z716" i="134"/>
  <c r="D717" i="134"/>
  <c r="I718" i="134"/>
  <c r="J718" i="134" s="1"/>
  <c r="L718" i="134"/>
  <c r="M718" i="134" s="1"/>
  <c r="Z718" i="134"/>
  <c r="I719" i="134"/>
  <c r="I720" i="134"/>
  <c r="J720" i="134" s="1"/>
  <c r="L720" i="134"/>
  <c r="M720" i="134" s="1"/>
  <c r="Z720" i="134"/>
  <c r="I721" i="134"/>
  <c r="Z721" i="134"/>
  <c r="I722" i="134"/>
  <c r="J722" i="134"/>
  <c r="L722" i="134"/>
  <c r="M722" i="134"/>
  <c r="Z722" i="134"/>
  <c r="I723" i="134"/>
  <c r="J723" i="134" s="1"/>
  <c r="L723" i="134"/>
  <c r="M723" i="134" s="1"/>
  <c r="Z723" i="134"/>
  <c r="I724" i="134"/>
  <c r="J724" i="134"/>
  <c r="L724" i="134"/>
  <c r="M724" i="134"/>
  <c r="Z724" i="134"/>
  <c r="I725" i="134"/>
  <c r="J725" i="134" s="1"/>
  <c r="L725" i="134"/>
  <c r="M725" i="134" s="1"/>
  <c r="Z725" i="134"/>
  <c r="I726" i="134"/>
  <c r="J726" i="134"/>
  <c r="L726" i="134"/>
  <c r="M726" i="134"/>
  <c r="Z726" i="134"/>
  <c r="I727" i="134"/>
  <c r="J727" i="134" s="1"/>
  <c r="L727" i="134"/>
  <c r="M727" i="134" s="1"/>
  <c r="Z727" i="134"/>
  <c r="I728" i="134"/>
  <c r="J728" i="134"/>
  <c r="L728" i="134"/>
  <c r="M728" i="134"/>
  <c r="Z728" i="134"/>
  <c r="I729" i="134"/>
  <c r="J729" i="134" s="1"/>
  <c r="L729" i="134"/>
  <c r="M729" i="134" s="1"/>
  <c r="Z729" i="134"/>
  <c r="I730" i="134"/>
  <c r="J730" i="134"/>
  <c r="L730" i="134"/>
  <c r="M730" i="134"/>
  <c r="Z730" i="134"/>
  <c r="I731" i="134"/>
  <c r="J731" i="134" s="1"/>
  <c r="L731" i="134"/>
  <c r="M731" i="134" s="1"/>
  <c r="Z731" i="134"/>
  <c r="I732" i="134"/>
  <c r="J732" i="134"/>
  <c r="L732" i="134"/>
  <c r="M732" i="134"/>
  <c r="Z732" i="134"/>
  <c r="I733" i="134"/>
  <c r="J733" i="134" s="1"/>
  <c r="L733" i="134"/>
  <c r="M733" i="134" s="1"/>
  <c r="Z733" i="134"/>
  <c r="I734" i="134"/>
  <c r="J734" i="134"/>
  <c r="L734" i="134"/>
  <c r="M734" i="134"/>
  <c r="Z734" i="134"/>
  <c r="D735" i="134"/>
  <c r="I736" i="134"/>
  <c r="L736" i="134" s="1"/>
  <c r="M736" i="134" s="1"/>
  <c r="J736" i="134"/>
  <c r="N736" i="134" s="1"/>
  <c r="I737" i="134"/>
  <c r="I738" i="134"/>
  <c r="L738" i="134" s="1"/>
  <c r="M738" i="134" s="1"/>
  <c r="J738" i="134"/>
  <c r="N738" i="134" s="1"/>
  <c r="D739" i="134"/>
  <c r="I740" i="134"/>
  <c r="J740" i="134"/>
  <c r="L740" i="134"/>
  <c r="M740" i="134"/>
  <c r="Z740" i="134"/>
  <c r="I741" i="134"/>
  <c r="J741" i="134" s="1"/>
  <c r="L741" i="134"/>
  <c r="M741" i="134" s="1"/>
  <c r="Z741" i="134"/>
  <c r="I742" i="134"/>
  <c r="J742" i="134"/>
  <c r="L742" i="134"/>
  <c r="M742" i="134"/>
  <c r="Z742" i="134"/>
  <c r="I743" i="134"/>
  <c r="J743" i="134" s="1"/>
  <c r="L743" i="134"/>
  <c r="M743" i="134" s="1"/>
  <c r="Z743" i="134"/>
  <c r="I744" i="134"/>
  <c r="J744" i="134"/>
  <c r="L744" i="134"/>
  <c r="M744" i="134"/>
  <c r="Z744" i="134"/>
  <c r="I745" i="134"/>
  <c r="J745" i="134" s="1"/>
  <c r="L745" i="134"/>
  <c r="M745" i="134" s="1"/>
  <c r="Z745" i="134"/>
  <c r="I746" i="134"/>
  <c r="J746" i="134"/>
  <c r="L746" i="134"/>
  <c r="M746" i="134"/>
  <c r="Z746" i="134"/>
  <c r="D747" i="134"/>
  <c r="I748" i="134"/>
  <c r="L748" i="134" s="1"/>
  <c r="M748" i="134" s="1"/>
  <c r="J748" i="134"/>
  <c r="N748" i="134" s="1"/>
  <c r="Z748" i="134"/>
  <c r="I749" i="134"/>
  <c r="I750" i="134"/>
  <c r="L750" i="134" s="1"/>
  <c r="M750" i="134" s="1"/>
  <c r="J750" i="134"/>
  <c r="N750" i="134" s="1"/>
  <c r="Z750" i="134"/>
  <c r="I751" i="134"/>
  <c r="I752" i="134"/>
  <c r="L752" i="134" s="1"/>
  <c r="M752" i="134" s="1"/>
  <c r="J752" i="134"/>
  <c r="N752" i="134" s="1"/>
  <c r="Z752" i="134"/>
  <c r="I753" i="134"/>
  <c r="I754" i="134"/>
  <c r="L754" i="134" s="1"/>
  <c r="M754" i="134" s="1"/>
  <c r="J754" i="134"/>
  <c r="N754" i="134" s="1"/>
  <c r="Z754" i="134"/>
  <c r="I755" i="134"/>
  <c r="I756" i="134"/>
  <c r="L756" i="134" s="1"/>
  <c r="M756" i="134" s="1"/>
  <c r="J756" i="134"/>
  <c r="N756" i="134" s="1"/>
  <c r="D757" i="134"/>
  <c r="I758" i="134"/>
  <c r="J758" i="134"/>
  <c r="L758" i="134"/>
  <c r="M758" i="134"/>
  <c r="Z758" i="134"/>
  <c r="I759" i="134"/>
  <c r="J759" i="134" s="1"/>
  <c r="L759" i="134"/>
  <c r="M759" i="134" s="1"/>
  <c r="Z759" i="134"/>
  <c r="I760" i="134"/>
  <c r="J760" i="134"/>
  <c r="L760" i="134"/>
  <c r="M760" i="134"/>
  <c r="Z760" i="134"/>
  <c r="I761" i="134"/>
  <c r="J761" i="134" s="1"/>
  <c r="L761" i="134"/>
  <c r="M761" i="134" s="1"/>
  <c r="Z761" i="134"/>
  <c r="I762" i="134"/>
  <c r="J762" i="134"/>
  <c r="L762" i="134"/>
  <c r="M762" i="134"/>
  <c r="Z762" i="134"/>
  <c r="I763" i="134"/>
  <c r="J763" i="134" s="1"/>
  <c r="L763" i="134"/>
  <c r="M763" i="134" s="1"/>
  <c r="Z763" i="134"/>
  <c r="D764" i="134"/>
  <c r="I765" i="134"/>
  <c r="J765" i="134" s="1"/>
  <c r="L765" i="134"/>
  <c r="M765" i="134" s="1"/>
  <c r="Z765" i="134"/>
  <c r="I766" i="134"/>
  <c r="J766" i="134"/>
  <c r="L766" i="134"/>
  <c r="M766" i="134"/>
  <c r="Z766" i="134"/>
  <c r="I767" i="134"/>
  <c r="J767" i="134" s="1"/>
  <c r="L767" i="134"/>
  <c r="M767" i="134" s="1"/>
  <c r="Z767" i="134"/>
  <c r="I768" i="134"/>
  <c r="J768" i="134"/>
  <c r="L768" i="134"/>
  <c r="M768" i="134"/>
  <c r="Z768" i="134"/>
  <c r="I769" i="134"/>
  <c r="J769" i="134" s="1"/>
  <c r="L769" i="134"/>
  <c r="M769" i="134" s="1"/>
  <c r="Z769" i="134"/>
  <c r="I770" i="134"/>
  <c r="J770" i="134"/>
  <c r="L770" i="134"/>
  <c r="M770" i="134"/>
  <c r="Z770" i="134"/>
  <c r="I771" i="134"/>
  <c r="J771" i="134" s="1"/>
  <c r="L771" i="134"/>
  <c r="M771" i="134" s="1"/>
  <c r="Z771" i="134"/>
  <c r="I772" i="134"/>
  <c r="J772" i="134"/>
  <c r="L772" i="134"/>
  <c r="M772" i="134"/>
  <c r="Z772" i="134"/>
  <c r="D773" i="134"/>
  <c r="I774" i="134"/>
  <c r="L774" i="134" s="1"/>
  <c r="M774" i="134" s="1"/>
  <c r="J774" i="134"/>
  <c r="N774" i="134" s="1"/>
  <c r="I775" i="134"/>
  <c r="I776" i="134"/>
  <c r="L776" i="134" s="1"/>
  <c r="M776" i="134" s="1"/>
  <c r="J776" i="134"/>
  <c r="N776" i="134" s="1"/>
  <c r="I777" i="134"/>
  <c r="I778" i="134"/>
  <c r="L778" i="134" s="1"/>
  <c r="M778" i="134" s="1"/>
  <c r="J778" i="134"/>
  <c r="N778" i="134" s="1"/>
  <c r="I779" i="134"/>
  <c r="I780" i="134"/>
  <c r="L780" i="134" s="1"/>
  <c r="M780" i="134" s="1"/>
  <c r="J780" i="134"/>
  <c r="N780" i="134" s="1"/>
  <c r="I781" i="134"/>
  <c r="I782" i="134"/>
  <c r="L782" i="134" s="1"/>
  <c r="M782" i="134" s="1"/>
  <c r="J782" i="134"/>
  <c r="N782" i="134" s="1"/>
  <c r="I783" i="134"/>
  <c r="I784" i="134"/>
  <c r="L784" i="134" s="1"/>
  <c r="M784" i="134" s="1"/>
  <c r="J784" i="134"/>
  <c r="N784" i="134" s="1"/>
  <c r="I785" i="134"/>
  <c r="I786" i="134"/>
  <c r="L786" i="134" s="1"/>
  <c r="M786" i="134" s="1"/>
  <c r="J786" i="134"/>
  <c r="N786" i="134" s="1"/>
  <c r="I787" i="134"/>
  <c r="I788" i="134"/>
  <c r="L788" i="134" s="1"/>
  <c r="M788" i="134" s="1"/>
  <c r="J788" i="134"/>
  <c r="N788" i="134" s="1"/>
  <c r="I789" i="134"/>
  <c r="I790" i="134"/>
  <c r="L790" i="134" s="1"/>
  <c r="M790" i="134" s="1"/>
  <c r="J790" i="134"/>
  <c r="N790" i="134" s="1"/>
  <c r="I791" i="134"/>
  <c r="I792" i="134"/>
  <c r="L792" i="134" s="1"/>
  <c r="M792" i="134" s="1"/>
  <c r="J792" i="134"/>
  <c r="N792" i="134" s="1"/>
  <c r="I793" i="134"/>
  <c r="I794" i="134"/>
  <c r="L794" i="134" s="1"/>
  <c r="M794" i="134" s="1"/>
  <c r="J794" i="134"/>
  <c r="N794" i="134" s="1"/>
  <c r="I795" i="134"/>
  <c r="I796" i="134"/>
  <c r="L796" i="134" s="1"/>
  <c r="M796" i="134" s="1"/>
  <c r="J796" i="134"/>
  <c r="N796" i="134" s="1"/>
  <c r="I797" i="134"/>
  <c r="I798" i="134"/>
  <c r="L798" i="134" s="1"/>
  <c r="M798" i="134" s="1"/>
  <c r="J798" i="134"/>
  <c r="N798" i="134" s="1"/>
  <c r="I799" i="134"/>
  <c r="I800" i="134"/>
  <c r="L800" i="134" s="1"/>
  <c r="M800" i="134" s="1"/>
  <c r="J800" i="134"/>
  <c r="N800" i="134" s="1"/>
  <c r="I801" i="134"/>
  <c r="I802" i="134"/>
  <c r="L802" i="134" s="1"/>
  <c r="M802" i="134" s="1"/>
  <c r="J802" i="134"/>
  <c r="N802" i="134" s="1"/>
  <c r="I803" i="134"/>
  <c r="I804" i="134"/>
  <c r="L804" i="134" s="1"/>
  <c r="M804" i="134" s="1"/>
  <c r="J804" i="134"/>
  <c r="N804" i="134" s="1"/>
  <c r="I805" i="134"/>
  <c r="I806" i="134"/>
  <c r="L806" i="134" s="1"/>
  <c r="M806" i="134" s="1"/>
  <c r="J806" i="134"/>
  <c r="N806" i="134" s="1"/>
  <c r="I807" i="134"/>
  <c r="I808" i="134"/>
  <c r="L808" i="134" s="1"/>
  <c r="M808" i="134" s="1"/>
  <c r="J808" i="134"/>
  <c r="N808" i="134" s="1"/>
  <c r="I809" i="134"/>
  <c r="I810" i="134"/>
  <c r="L810" i="134" s="1"/>
  <c r="M810" i="134" s="1"/>
  <c r="J810" i="134"/>
  <c r="N810" i="134" s="1"/>
  <c r="I811" i="134"/>
  <c r="I812" i="134"/>
  <c r="L812" i="134" s="1"/>
  <c r="M812" i="134" s="1"/>
  <c r="J812" i="134"/>
  <c r="N812" i="134" s="1"/>
  <c r="I813" i="134"/>
  <c r="I814" i="134"/>
  <c r="L814" i="134" s="1"/>
  <c r="M814" i="134" s="1"/>
  <c r="J814" i="134"/>
  <c r="N814" i="134" s="1"/>
  <c r="D815" i="134"/>
  <c r="I816" i="134"/>
  <c r="J816" i="134"/>
  <c r="L816" i="134"/>
  <c r="M816" i="134"/>
  <c r="Z816" i="134"/>
  <c r="I817" i="134"/>
  <c r="J817" i="134" s="1"/>
  <c r="L817" i="134"/>
  <c r="M817" i="134" s="1"/>
  <c r="Z817" i="134"/>
  <c r="I818" i="134"/>
  <c r="J818" i="134"/>
  <c r="L818" i="134"/>
  <c r="M818" i="134"/>
  <c r="Z818" i="134"/>
  <c r="I819" i="134"/>
  <c r="J819" i="134" s="1"/>
  <c r="L819" i="134"/>
  <c r="M819" i="134" s="1"/>
  <c r="Z819" i="134"/>
  <c r="I820" i="134"/>
  <c r="J820" i="134"/>
  <c r="L820" i="134"/>
  <c r="M820" i="134"/>
  <c r="Z820" i="134"/>
  <c r="I821" i="134"/>
  <c r="J821" i="134" s="1"/>
  <c r="L821" i="134"/>
  <c r="M821" i="134" s="1"/>
  <c r="Z821" i="134"/>
  <c r="I822" i="134"/>
  <c r="J822" i="134"/>
  <c r="L822" i="134"/>
  <c r="M822" i="134"/>
  <c r="Z822" i="134"/>
  <c r="I823" i="134"/>
  <c r="J823" i="134" s="1"/>
  <c r="L823" i="134"/>
  <c r="M823" i="134" s="1"/>
  <c r="Z823" i="134"/>
  <c r="D824" i="134"/>
  <c r="I825" i="134"/>
  <c r="J825" i="134" s="1"/>
  <c r="L825" i="134"/>
  <c r="M825" i="134" s="1"/>
  <c r="Z825" i="134"/>
  <c r="I826" i="134"/>
  <c r="J826" i="134"/>
  <c r="L826" i="134"/>
  <c r="M826" i="134"/>
  <c r="Z826" i="134"/>
  <c r="I827" i="134"/>
  <c r="J827" i="134" s="1"/>
  <c r="L827" i="134"/>
  <c r="M827" i="134" s="1"/>
  <c r="Z827" i="134"/>
  <c r="I828" i="134"/>
  <c r="J828" i="134"/>
  <c r="L828" i="134"/>
  <c r="M828" i="134"/>
  <c r="Z828" i="134"/>
  <c r="I829" i="134"/>
  <c r="J829" i="134" s="1"/>
  <c r="L829" i="134"/>
  <c r="M829" i="134" s="1"/>
  <c r="Z829" i="134"/>
  <c r="I830" i="134"/>
  <c r="J830" i="134"/>
  <c r="L830" i="134"/>
  <c r="M830" i="134"/>
  <c r="Z830" i="134"/>
  <c r="I831" i="134"/>
  <c r="J831" i="134" s="1"/>
  <c r="L831" i="134"/>
  <c r="M831" i="134" s="1"/>
  <c r="Z831" i="134"/>
  <c r="I832" i="134"/>
  <c r="J832" i="134"/>
  <c r="L832" i="134"/>
  <c r="M832" i="134"/>
  <c r="Z832" i="134"/>
  <c r="I833" i="134"/>
  <c r="J833" i="134" s="1"/>
  <c r="L833" i="134"/>
  <c r="M833" i="134" s="1"/>
  <c r="Z833" i="134"/>
  <c r="I834" i="134"/>
  <c r="J834" i="134"/>
  <c r="L834" i="134"/>
  <c r="M834" i="134"/>
  <c r="Z834" i="134"/>
  <c r="I835" i="134"/>
  <c r="J835" i="134" s="1"/>
  <c r="L835" i="134"/>
  <c r="M835" i="134" s="1"/>
  <c r="Z835" i="134"/>
  <c r="I836" i="134"/>
  <c r="J836" i="134"/>
  <c r="L836" i="134"/>
  <c r="M836" i="134"/>
  <c r="Z836" i="134"/>
  <c r="I837" i="134"/>
  <c r="J837" i="134" s="1"/>
  <c r="L837" i="134"/>
  <c r="M837" i="134" s="1"/>
  <c r="Z837" i="134"/>
  <c r="I838" i="134"/>
  <c r="J838" i="134"/>
  <c r="L838" i="134"/>
  <c r="M838" i="134"/>
  <c r="Z838" i="134"/>
  <c r="I839" i="134"/>
  <c r="J839" i="134" s="1"/>
  <c r="L839" i="134"/>
  <c r="M839" i="134" s="1"/>
  <c r="Z839" i="134"/>
  <c r="I840" i="134"/>
  <c r="J840" i="134"/>
  <c r="L840" i="134"/>
  <c r="M840" i="134"/>
  <c r="Z840" i="134"/>
  <c r="I841" i="134"/>
  <c r="J841" i="134" s="1"/>
  <c r="L841" i="134"/>
  <c r="M841" i="134" s="1"/>
  <c r="Z841" i="134"/>
  <c r="I842" i="134"/>
  <c r="J842" i="134"/>
  <c r="L842" i="134"/>
  <c r="M842" i="134"/>
  <c r="Z842" i="134"/>
  <c r="I843" i="134"/>
  <c r="J843" i="134" s="1"/>
  <c r="L843" i="134"/>
  <c r="M843" i="134" s="1"/>
  <c r="Z843" i="134"/>
  <c r="D844" i="134"/>
  <c r="I845" i="134"/>
  <c r="J845" i="134" s="1"/>
  <c r="L845" i="134"/>
  <c r="M845" i="134" s="1"/>
  <c r="Z845" i="134"/>
  <c r="I846" i="134"/>
  <c r="J846" i="134"/>
  <c r="L846" i="134"/>
  <c r="M846" i="134"/>
  <c r="Z846" i="134"/>
  <c r="I847" i="134"/>
  <c r="J847" i="134" s="1"/>
  <c r="L847" i="134"/>
  <c r="M847" i="134" s="1"/>
  <c r="Z847" i="134"/>
  <c r="D848" i="134"/>
  <c r="I849" i="134"/>
  <c r="J849" i="134" s="1"/>
  <c r="L849" i="134"/>
  <c r="M849" i="134" s="1"/>
  <c r="Z849" i="134"/>
  <c r="I850" i="134"/>
  <c r="J850" i="134"/>
  <c r="L850" i="134"/>
  <c r="M850" i="134"/>
  <c r="Z850" i="134"/>
  <c r="I851" i="134"/>
  <c r="J851" i="134" s="1"/>
  <c r="L851" i="134"/>
  <c r="M851" i="134" s="1"/>
  <c r="Z851" i="134"/>
  <c r="I852" i="134"/>
  <c r="J852" i="134"/>
  <c r="L852" i="134"/>
  <c r="M852" i="134"/>
  <c r="Z852" i="134"/>
  <c r="I853" i="134"/>
  <c r="J853" i="134" s="1"/>
  <c r="L853" i="134"/>
  <c r="M853" i="134" s="1"/>
  <c r="Z853" i="134"/>
  <c r="I854" i="134"/>
  <c r="J854" i="134"/>
  <c r="L854" i="134"/>
  <c r="M854" i="134"/>
  <c r="Z854" i="134"/>
  <c r="I855" i="134"/>
  <c r="J855" i="134" s="1"/>
  <c r="L855" i="134"/>
  <c r="M855" i="134" s="1"/>
  <c r="Z855" i="134"/>
  <c r="I856" i="134"/>
  <c r="J856" i="134"/>
  <c r="L856" i="134"/>
  <c r="M856" i="134"/>
  <c r="Z856" i="134"/>
  <c r="I857" i="134"/>
  <c r="J857" i="134" s="1"/>
  <c r="L857" i="134"/>
  <c r="M857" i="134" s="1"/>
  <c r="Z857" i="134"/>
  <c r="I858" i="134"/>
  <c r="J858" i="134"/>
  <c r="L858" i="134"/>
  <c r="M858" i="134"/>
  <c r="Z858" i="134"/>
  <c r="I859" i="134"/>
  <c r="J859" i="134" s="1"/>
  <c r="L859" i="134"/>
  <c r="M859" i="134" s="1"/>
  <c r="Z859" i="134"/>
  <c r="I860" i="134"/>
  <c r="J860" i="134"/>
  <c r="L860" i="134"/>
  <c r="M860" i="134"/>
  <c r="Z860" i="134"/>
  <c r="I861" i="134"/>
  <c r="J861" i="134" s="1"/>
  <c r="L861" i="134"/>
  <c r="M861" i="134" s="1"/>
  <c r="Z861" i="134"/>
  <c r="I862" i="134"/>
  <c r="J862" i="134"/>
  <c r="L862" i="134"/>
  <c r="M862" i="134" s="1"/>
  <c r="Z862" i="134"/>
  <c r="I863" i="134"/>
  <c r="J863" i="134" s="1"/>
  <c r="L863" i="134"/>
  <c r="M863" i="134" s="1"/>
  <c r="Z863" i="134"/>
  <c r="I864" i="134"/>
  <c r="J864" i="134"/>
  <c r="L864" i="134"/>
  <c r="M864" i="134" s="1"/>
  <c r="Z864" i="134"/>
  <c r="I865" i="134"/>
  <c r="J865" i="134" s="1"/>
  <c r="L865" i="134"/>
  <c r="M865" i="134" s="1"/>
  <c r="Z865" i="134"/>
  <c r="I866" i="134"/>
  <c r="J866" i="134"/>
  <c r="L866" i="134"/>
  <c r="M866" i="134" s="1"/>
  <c r="Z866" i="134"/>
  <c r="D867" i="134"/>
  <c r="I868" i="134"/>
  <c r="L868" i="134" s="1"/>
  <c r="M868" i="134" s="1"/>
  <c r="I869" i="134"/>
  <c r="I870" i="134"/>
  <c r="L870" i="134" s="1"/>
  <c r="M870" i="134" s="1"/>
  <c r="I871" i="134"/>
  <c r="I872" i="134"/>
  <c r="L872" i="134" s="1"/>
  <c r="M872" i="134" s="1"/>
  <c r="I873" i="134"/>
  <c r="I874" i="134"/>
  <c r="L874" i="134" s="1"/>
  <c r="M874" i="134" s="1"/>
  <c r="I875" i="134"/>
  <c r="I876" i="134"/>
  <c r="L876" i="134" s="1"/>
  <c r="M876" i="134" s="1"/>
  <c r="I877" i="134"/>
  <c r="I878" i="134"/>
  <c r="L878" i="134" s="1"/>
  <c r="M878" i="134" s="1"/>
  <c r="I879" i="134"/>
  <c r="I880" i="134"/>
  <c r="L880" i="134" s="1"/>
  <c r="M880" i="134" s="1"/>
  <c r="D881" i="134"/>
  <c r="I882" i="134"/>
  <c r="J882" i="134"/>
  <c r="L882" i="134"/>
  <c r="M882" i="134"/>
  <c r="Z882" i="134"/>
  <c r="I883" i="134"/>
  <c r="J883" i="134" s="1"/>
  <c r="L883" i="134"/>
  <c r="M883" i="134" s="1"/>
  <c r="Z883" i="134"/>
  <c r="I884" i="134"/>
  <c r="J884" i="134"/>
  <c r="L884" i="134"/>
  <c r="M884" i="134"/>
  <c r="Z884" i="134"/>
  <c r="I885" i="134"/>
  <c r="J885" i="134" s="1"/>
  <c r="L885" i="134"/>
  <c r="M885" i="134" s="1"/>
  <c r="Z885" i="134"/>
  <c r="I886" i="134"/>
  <c r="J886" i="134"/>
  <c r="L886" i="134"/>
  <c r="M886" i="134"/>
  <c r="Z886" i="134"/>
  <c r="I887" i="134"/>
  <c r="J887" i="134" s="1"/>
  <c r="L887" i="134"/>
  <c r="M887" i="134" s="1"/>
  <c r="Z887" i="134"/>
  <c r="I888" i="134"/>
  <c r="J888" i="134"/>
  <c r="L888" i="134"/>
  <c r="M888" i="134"/>
  <c r="Z888" i="134"/>
  <c r="I889" i="134"/>
  <c r="J889" i="134" s="1"/>
  <c r="L889" i="134"/>
  <c r="M889" i="134" s="1"/>
  <c r="Z889" i="134"/>
  <c r="I890" i="134"/>
  <c r="J890" i="134"/>
  <c r="L890" i="134"/>
  <c r="M890" i="134"/>
  <c r="Z890" i="134"/>
  <c r="I891" i="134"/>
  <c r="J891" i="134" s="1"/>
  <c r="L891" i="134"/>
  <c r="M891" i="134" s="1"/>
  <c r="Z891" i="134"/>
  <c r="I892" i="134"/>
  <c r="J892" i="134"/>
  <c r="L892" i="134"/>
  <c r="M892" i="134"/>
  <c r="Z892" i="134"/>
  <c r="I893" i="134"/>
  <c r="J893" i="134" s="1"/>
  <c r="L893" i="134"/>
  <c r="M893" i="134" s="1"/>
  <c r="Z893" i="134"/>
  <c r="I894" i="134"/>
  <c r="J894" i="134"/>
  <c r="L894" i="134"/>
  <c r="M894" i="134"/>
  <c r="Z894" i="134"/>
  <c r="D895" i="134"/>
  <c r="I896" i="134"/>
  <c r="L896" i="134" s="1"/>
  <c r="M896" i="134" s="1"/>
  <c r="J896" i="134"/>
  <c r="N896" i="134" s="1"/>
  <c r="I897" i="134"/>
  <c r="I898" i="134"/>
  <c r="L898" i="134" s="1"/>
  <c r="M898" i="134" s="1"/>
  <c r="J898" i="134"/>
  <c r="N898" i="134" s="1"/>
  <c r="I899" i="134"/>
  <c r="I900" i="134"/>
  <c r="L900" i="134" s="1"/>
  <c r="M900" i="134" s="1"/>
  <c r="J900" i="134"/>
  <c r="N900" i="134" s="1"/>
  <c r="I901" i="134"/>
  <c r="I902" i="134"/>
  <c r="L902" i="134" s="1"/>
  <c r="M902" i="134" s="1"/>
  <c r="J902" i="134"/>
  <c r="I903" i="134"/>
  <c r="Z903" i="134"/>
  <c r="I904" i="134"/>
  <c r="D905" i="134"/>
  <c r="I906" i="134"/>
  <c r="J906" i="134"/>
  <c r="L906" i="134"/>
  <c r="M906" i="134" s="1"/>
  <c r="Z906" i="134"/>
  <c r="I907" i="134"/>
  <c r="I908" i="134"/>
  <c r="L908" i="134" s="1"/>
  <c r="M908" i="134" s="1"/>
  <c r="J908" i="134"/>
  <c r="Z908" i="134"/>
  <c r="I909" i="134"/>
  <c r="D910" i="134"/>
  <c r="I911" i="134"/>
  <c r="J911" i="134" s="1"/>
  <c r="L911" i="134"/>
  <c r="M911" i="134" s="1"/>
  <c r="M912" i="134" s="1"/>
  <c r="Z911" i="134"/>
  <c r="D912" i="134"/>
  <c r="I913" i="134"/>
  <c r="J913" i="134" s="1"/>
  <c r="L913" i="134"/>
  <c r="M913" i="134" s="1"/>
  <c r="Z913" i="134"/>
  <c r="I914" i="134"/>
  <c r="J914" i="134"/>
  <c r="L914" i="134"/>
  <c r="M914" i="134" s="1"/>
  <c r="Z914" i="134"/>
  <c r="I915" i="134"/>
  <c r="J915" i="134" s="1"/>
  <c r="L915" i="134"/>
  <c r="M915" i="134" s="1"/>
  <c r="Z915" i="134"/>
  <c r="I916" i="134"/>
  <c r="J916" i="134"/>
  <c r="L916" i="134"/>
  <c r="M916" i="134" s="1"/>
  <c r="Z916" i="134"/>
  <c r="I917" i="134"/>
  <c r="J917" i="134" s="1"/>
  <c r="L917" i="134"/>
  <c r="M917" i="134" s="1"/>
  <c r="Z917" i="134"/>
  <c r="I918" i="134"/>
  <c r="J918" i="134"/>
  <c r="L918" i="134"/>
  <c r="M918" i="134" s="1"/>
  <c r="Z918" i="134"/>
  <c r="I919" i="134"/>
  <c r="J919" i="134" s="1"/>
  <c r="L919" i="134"/>
  <c r="M919" i="134" s="1"/>
  <c r="Z919" i="134"/>
  <c r="I920" i="134"/>
  <c r="J920" i="134"/>
  <c r="L920" i="134"/>
  <c r="M920" i="134" s="1"/>
  <c r="Z920" i="134"/>
  <c r="I921" i="134"/>
  <c r="J921" i="134" s="1"/>
  <c r="L921" i="134"/>
  <c r="M921" i="134" s="1"/>
  <c r="Z921" i="134"/>
  <c r="I922" i="134"/>
  <c r="J922" i="134"/>
  <c r="L922" i="134"/>
  <c r="M922" i="134" s="1"/>
  <c r="Z922" i="134"/>
  <c r="I923" i="134"/>
  <c r="J923" i="134" s="1"/>
  <c r="L923" i="134"/>
  <c r="M923" i="134" s="1"/>
  <c r="Z923" i="134"/>
  <c r="I924" i="134"/>
  <c r="J924" i="134"/>
  <c r="L924" i="134"/>
  <c r="M924" i="134" s="1"/>
  <c r="Z924" i="134"/>
  <c r="D925" i="134"/>
  <c r="I926" i="134"/>
  <c r="L926" i="134" s="1"/>
  <c r="M926" i="134" s="1"/>
  <c r="I927" i="134"/>
  <c r="I928" i="134"/>
  <c r="L928" i="134" s="1"/>
  <c r="M928" i="134" s="1"/>
  <c r="I929" i="134"/>
  <c r="I930" i="134"/>
  <c r="L930" i="134" s="1"/>
  <c r="M930" i="134" s="1"/>
  <c r="I931" i="134"/>
  <c r="I932" i="134"/>
  <c r="L932" i="134" s="1"/>
  <c r="M932" i="134" s="1"/>
  <c r="I933" i="134"/>
  <c r="I934" i="134"/>
  <c r="L934" i="134" s="1"/>
  <c r="M934" i="134" s="1"/>
  <c r="I935" i="134"/>
  <c r="I936" i="134"/>
  <c r="L936" i="134" s="1"/>
  <c r="M936" i="134" s="1"/>
  <c r="I937" i="134"/>
  <c r="Z937" i="134" s="1"/>
  <c r="I938" i="134"/>
  <c r="Z938" i="134"/>
  <c r="I939" i="134"/>
  <c r="Z939" i="134" s="1"/>
  <c r="I940" i="134"/>
  <c r="Z940" i="134"/>
  <c r="D941" i="134"/>
  <c r="I942" i="134"/>
  <c r="J942" i="134"/>
  <c r="L942" i="134"/>
  <c r="M942" i="134" s="1"/>
  <c r="Z942" i="134"/>
  <c r="I943" i="134"/>
  <c r="J943" i="134"/>
  <c r="L943" i="134"/>
  <c r="M943" i="134" s="1"/>
  <c r="N943" i="134" s="1"/>
  <c r="Z943" i="134"/>
  <c r="I944" i="134"/>
  <c r="J944" i="134"/>
  <c r="L944" i="134"/>
  <c r="M944" i="134" s="1"/>
  <c r="N944" i="134" s="1"/>
  <c r="Z944" i="134"/>
  <c r="I945" i="134"/>
  <c r="J945" i="134"/>
  <c r="L945" i="134"/>
  <c r="M945" i="134" s="1"/>
  <c r="N945" i="134" s="1"/>
  <c r="Z945" i="134"/>
  <c r="I946" i="134"/>
  <c r="J946" i="134"/>
  <c r="L946" i="134"/>
  <c r="M946" i="134" s="1"/>
  <c r="N946" i="134" s="1"/>
  <c r="Z946" i="134"/>
  <c r="D947" i="134"/>
  <c r="J947" i="134"/>
  <c r="I948" i="134"/>
  <c r="L948" i="134"/>
  <c r="M948" i="134" s="1"/>
  <c r="I949" i="134"/>
  <c r="J949" i="134"/>
  <c r="L949" i="134"/>
  <c r="M949" i="134" s="1"/>
  <c r="Z949" i="134"/>
  <c r="I950" i="134"/>
  <c r="I951" i="134"/>
  <c r="J951" i="134"/>
  <c r="N951" i="134" s="1"/>
  <c r="L951" i="134"/>
  <c r="M951" i="134" s="1"/>
  <c r="Z951" i="134"/>
  <c r="I952" i="134"/>
  <c r="L952" i="134"/>
  <c r="M952" i="134" s="1"/>
  <c r="I953" i="134"/>
  <c r="J953" i="134"/>
  <c r="L953" i="134"/>
  <c r="M953" i="134" s="1"/>
  <c r="N953" i="134" s="1"/>
  <c r="Z953" i="134"/>
  <c r="I954" i="134"/>
  <c r="I955" i="134"/>
  <c r="J955" i="134"/>
  <c r="L955" i="134"/>
  <c r="M955" i="134" s="1"/>
  <c r="Z955" i="134"/>
  <c r="I956" i="134"/>
  <c r="J956" i="134"/>
  <c r="I957" i="134"/>
  <c r="I958" i="134"/>
  <c r="J958" i="134"/>
  <c r="I959" i="134"/>
  <c r="L959" i="134" s="1"/>
  <c r="M959" i="134" s="1"/>
  <c r="I960" i="134"/>
  <c r="L960" i="134" s="1"/>
  <c r="M960" i="134" s="1"/>
  <c r="I961" i="134"/>
  <c r="L961" i="134" s="1"/>
  <c r="J961" i="134"/>
  <c r="M961" i="134"/>
  <c r="I962" i="134"/>
  <c r="J962" i="134" s="1"/>
  <c r="L962" i="134"/>
  <c r="M962" i="134" s="1"/>
  <c r="N962" i="134" s="1"/>
  <c r="Z962" i="134"/>
  <c r="I963" i="134"/>
  <c r="J963" i="134" s="1"/>
  <c r="L963" i="134"/>
  <c r="M963" i="134"/>
  <c r="N963" i="134" s="1"/>
  <c r="Z963" i="134"/>
  <c r="I964" i="134"/>
  <c r="J964" i="134"/>
  <c r="L964" i="134"/>
  <c r="M964" i="134" s="1"/>
  <c r="N964" i="134" s="1"/>
  <c r="Z964" i="134"/>
  <c r="I965" i="134"/>
  <c r="J965" i="134"/>
  <c r="L965" i="134"/>
  <c r="M965" i="134" s="1"/>
  <c r="N965" i="134" s="1"/>
  <c r="Z965" i="134"/>
  <c r="I966" i="134"/>
  <c r="J966" i="134"/>
  <c r="L966" i="134"/>
  <c r="M966" i="134" s="1"/>
  <c r="N966" i="134" s="1"/>
  <c r="Z966" i="134"/>
  <c r="I967" i="134"/>
  <c r="J967" i="134"/>
  <c r="L967" i="134"/>
  <c r="M967" i="134" s="1"/>
  <c r="N967" i="134" s="1"/>
  <c r="Z967" i="134"/>
  <c r="I968" i="134"/>
  <c r="J968" i="134"/>
  <c r="L968" i="134"/>
  <c r="M968" i="134" s="1"/>
  <c r="N968" i="134" s="1"/>
  <c r="Z968" i="134"/>
  <c r="I969" i="134"/>
  <c r="J969" i="134"/>
  <c r="L969" i="134"/>
  <c r="M969" i="134" s="1"/>
  <c r="N969" i="134" s="1"/>
  <c r="Z969" i="134"/>
  <c r="I970" i="134"/>
  <c r="J970" i="134"/>
  <c r="L970" i="134"/>
  <c r="M970" i="134" s="1"/>
  <c r="N970" i="134" s="1"/>
  <c r="Z970" i="134"/>
  <c r="I971" i="134"/>
  <c r="J971" i="134"/>
  <c r="L971" i="134"/>
  <c r="M971" i="134" s="1"/>
  <c r="N971" i="134" s="1"/>
  <c r="Z971" i="134"/>
  <c r="I972" i="134"/>
  <c r="J972" i="134"/>
  <c r="L972" i="134"/>
  <c r="M972" i="134" s="1"/>
  <c r="N972" i="134" s="1"/>
  <c r="Z972" i="134"/>
  <c r="I973" i="134"/>
  <c r="Z973" i="134" s="1"/>
  <c r="J973" i="134"/>
  <c r="L973" i="134"/>
  <c r="M973" i="134" s="1"/>
  <c r="D974" i="134"/>
  <c r="C69" i="125"/>
  <c r="C67" i="125"/>
  <c r="C45" i="125"/>
  <c r="C38" i="125"/>
  <c r="C9" i="125"/>
  <c r="C23" i="125"/>
  <c r="J935" i="134" l="1"/>
  <c r="Z935" i="134"/>
  <c r="L935" i="134"/>
  <c r="M935" i="134" s="1"/>
  <c r="J929" i="134"/>
  <c r="Z929" i="134"/>
  <c r="L929" i="134"/>
  <c r="M929" i="134" s="1"/>
  <c r="Z907" i="134"/>
  <c r="L907" i="134"/>
  <c r="M907" i="134" s="1"/>
  <c r="J877" i="134"/>
  <c r="Z877" i="134"/>
  <c r="L877" i="134"/>
  <c r="M877" i="134" s="1"/>
  <c r="J873" i="134"/>
  <c r="Z873" i="134"/>
  <c r="L873" i="134"/>
  <c r="M873" i="134" s="1"/>
  <c r="N973" i="134"/>
  <c r="N961" i="134"/>
  <c r="J960" i="134"/>
  <c r="Z957" i="134"/>
  <c r="L957" i="134"/>
  <c r="M957" i="134" s="1"/>
  <c r="N955" i="134"/>
  <c r="J954" i="134"/>
  <c r="Z954" i="134"/>
  <c r="J950" i="134"/>
  <c r="Z950" i="134"/>
  <c r="N936" i="134"/>
  <c r="Q936" i="134" s="1"/>
  <c r="S936" i="134" s="1"/>
  <c r="U936" i="134" s="1"/>
  <c r="L909" i="134"/>
  <c r="M909" i="134" s="1"/>
  <c r="J909" i="134"/>
  <c r="J907" i="134"/>
  <c r="J910" i="134"/>
  <c r="Z902" i="134"/>
  <c r="Z900" i="134"/>
  <c r="Z898" i="134"/>
  <c r="Z896" i="134"/>
  <c r="Z814" i="134"/>
  <c r="Z812" i="134"/>
  <c r="Z810" i="134"/>
  <c r="Z808" i="134"/>
  <c r="Z806" i="134"/>
  <c r="Z804" i="134"/>
  <c r="Z802" i="134"/>
  <c r="Z800" i="134"/>
  <c r="Z798" i="134"/>
  <c r="Z796" i="134"/>
  <c r="Z794" i="134"/>
  <c r="Z792" i="134"/>
  <c r="Z790" i="134"/>
  <c r="Z788" i="134"/>
  <c r="Z786" i="134"/>
  <c r="Z784" i="134"/>
  <c r="Z782" i="134"/>
  <c r="Z780" i="134"/>
  <c r="Z778" i="134"/>
  <c r="Z776" i="134"/>
  <c r="Z774" i="134"/>
  <c r="Z738" i="134"/>
  <c r="Z736" i="134"/>
  <c r="N960" i="134"/>
  <c r="Q960" i="134" s="1"/>
  <c r="S960" i="134" s="1"/>
  <c r="U960" i="134" s="1"/>
  <c r="L937" i="134"/>
  <c r="M937" i="134" s="1"/>
  <c r="N937" i="134" s="1"/>
  <c r="Q937" i="134" s="1"/>
  <c r="S937" i="134" s="1"/>
  <c r="U937" i="134" s="1"/>
  <c r="J937" i="134"/>
  <c r="J927" i="134"/>
  <c r="Z927" i="134"/>
  <c r="L927" i="134"/>
  <c r="M927" i="134" s="1"/>
  <c r="J879" i="134"/>
  <c r="Z879" i="134"/>
  <c r="L879" i="134"/>
  <c r="M879" i="134" s="1"/>
  <c r="J869" i="134"/>
  <c r="N869" i="134" s="1"/>
  <c r="Z869" i="134"/>
  <c r="L869" i="134"/>
  <c r="M869" i="134" s="1"/>
  <c r="Z932" i="134"/>
  <c r="Z880" i="134"/>
  <c r="Z878" i="134"/>
  <c r="Z876" i="134"/>
  <c r="Z874" i="134"/>
  <c r="Z872" i="134"/>
  <c r="Z870" i="134"/>
  <c r="Z868" i="134"/>
  <c r="Z756" i="134"/>
  <c r="Z706" i="134"/>
  <c r="L939" i="134"/>
  <c r="M939" i="134" s="1"/>
  <c r="N939" i="134" s="1"/>
  <c r="J939" i="134"/>
  <c r="J933" i="134"/>
  <c r="N933" i="134" s="1"/>
  <c r="Z933" i="134"/>
  <c r="L933" i="134"/>
  <c r="M933" i="134" s="1"/>
  <c r="J931" i="134"/>
  <c r="Z931" i="134"/>
  <c r="L931" i="134"/>
  <c r="M931" i="134" s="1"/>
  <c r="L904" i="134"/>
  <c r="M904" i="134" s="1"/>
  <c r="N904" i="134" s="1"/>
  <c r="J904" i="134"/>
  <c r="J875" i="134"/>
  <c r="N875" i="134" s="1"/>
  <c r="R875" i="134" s="1"/>
  <c r="T875" i="134" s="1"/>
  <c r="V875" i="134" s="1"/>
  <c r="Z875" i="134"/>
  <c r="L875" i="134"/>
  <c r="M875" i="134" s="1"/>
  <c r="J871" i="134"/>
  <c r="Z871" i="134"/>
  <c r="L871" i="134"/>
  <c r="M871" i="134" s="1"/>
  <c r="J755" i="134"/>
  <c r="Z755" i="134"/>
  <c r="L755" i="134"/>
  <c r="M755" i="134" s="1"/>
  <c r="J753" i="134"/>
  <c r="N753" i="134" s="1"/>
  <c r="R753" i="134" s="1"/>
  <c r="T753" i="134" s="1"/>
  <c r="V753" i="134" s="1"/>
  <c r="W753" i="134" s="1"/>
  <c r="Z753" i="134"/>
  <c r="L753" i="134"/>
  <c r="M753" i="134" s="1"/>
  <c r="J751" i="134"/>
  <c r="Z751" i="134"/>
  <c r="L751" i="134"/>
  <c r="M751" i="134" s="1"/>
  <c r="J749" i="134"/>
  <c r="Z749" i="134"/>
  <c r="L749" i="134"/>
  <c r="M749" i="134" s="1"/>
  <c r="L719" i="134"/>
  <c r="M719" i="134" s="1"/>
  <c r="J719" i="134"/>
  <c r="Z959" i="134"/>
  <c r="Z958" i="134"/>
  <c r="L958" i="134"/>
  <c r="M958" i="134" s="1"/>
  <c r="N958" i="134" s="1"/>
  <c r="Z956" i="134"/>
  <c r="L956" i="134"/>
  <c r="M956" i="134" s="1"/>
  <c r="N956" i="134" s="1"/>
  <c r="Q956" i="134" s="1"/>
  <c r="S956" i="134" s="1"/>
  <c r="U956" i="134" s="1"/>
  <c r="J952" i="134"/>
  <c r="Z952" i="134"/>
  <c r="J948" i="134"/>
  <c r="Z948" i="134"/>
  <c r="Z936" i="134"/>
  <c r="Z934" i="134"/>
  <c r="Z930" i="134"/>
  <c r="Z928" i="134"/>
  <c r="Z926" i="134"/>
  <c r="N902" i="134"/>
  <c r="Z961" i="134"/>
  <c r="Z960" i="134"/>
  <c r="J959" i="134"/>
  <c r="N959" i="134" s="1"/>
  <c r="J957" i="134"/>
  <c r="L954" i="134"/>
  <c r="M954" i="134" s="1"/>
  <c r="L950" i="134"/>
  <c r="M950" i="134" s="1"/>
  <c r="N950" i="134" s="1"/>
  <c r="N949" i="134"/>
  <c r="R949" i="134" s="1"/>
  <c r="T949" i="134" s="1"/>
  <c r="V949" i="134" s="1"/>
  <c r="L940" i="134"/>
  <c r="M940" i="134" s="1"/>
  <c r="N940" i="134" s="1"/>
  <c r="J940" i="134"/>
  <c r="L938" i="134"/>
  <c r="M938" i="134" s="1"/>
  <c r="J938" i="134"/>
  <c r="J936" i="134"/>
  <c r="J934" i="134"/>
  <c r="N934" i="134" s="1"/>
  <c r="J932" i="134"/>
  <c r="N932" i="134" s="1"/>
  <c r="Q932" i="134" s="1"/>
  <c r="S932" i="134" s="1"/>
  <c r="U932" i="134" s="1"/>
  <c r="J930" i="134"/>
  <c r="J928" i="134"/>
  <c r="N928" i="134" s="1"/>
  <c r="J926" i="134"/>
  <c r="N926" i="134" s="1"/>
  <c r="Z909" i="134"/>
  <c r="N908" i="134"/>
  <c r="Q908" i="134" s="1"/>
  <c r="S908" i="134" s="1"/>
  <c r="U908" i="134" s="1"/>
  <c r="N906" i="134"/>
  <c r="Z904" i="134"/>
  <c r="L903" i="134"/>
  <c r="M903" i="134" s="1"/>
  <c r="J903" i="134"/>
  <c r="J901" i="134"/>
  <c r="Z901" i="134"/>
  <c r="L901" i="134"/>
  <c r="M901" i="134" s="1"/>
  <c r="M905" i="134" s="1"/>
  <c r="J899" i="134"/>
  <c r="N899" i="134" s="1"/>
  <c r="Z899" i="134"/>
  <c r="L899" i="134"/>
  <c r="M899" i="134" s="1"/>
  <c r="J897" i="134"/>
  <c r="Z897" i="134"/>
  <c r="L897" i="134"/>
  <c r="M897" i="134" s="1"/>
  <c r="J880" i="134"/>
  <c r="N880" i="134" s="1"/>
  <c r="J878" i="134"/>
  <c r="N878" i="134" s="1"/>
  <c r="R878" i="134" s="1"/>
  <c r="T878" i="134" s="1"/>
  <c r="V878" i="134" s="1"/>
  <c r="J876" i="134"/>
  <c r="N876" i="134" s="1"/>
  <c r="R876" i="134" s="1"/>
  <c r="T876" i="134" s="1"/>
  <c r="V876" i="134" s="1"/>
  <c r="J874" i="134"/>
  <c r="N874" i="134" s="1"/>
  <c r="J872" i="134"/>
  <c r="N872" i="134" s="1"/>
  <c r="J870" i="134"/>
  <c r="N870" i="134" s="1"/>
  <c r="R870" i="134" s="1"/>
  <c r="T870" i="134" s="1"/>
  <c r="V870" i="134" s="1"/>
  <c r="J868" i="134"/>
  <c r="N868" i="134" s="1"/>
  <c r="R868" i="134" s="1"/>
  <c r="J813" i="134"/>
  <c r="Z813" i="134"/>
  <c r="L813" i="134"/>
  <c r="M813" i="134" s="1"/>
  <c r="J811" i="134"/>
  <c r="N811" i="134" s="1"/>
  <c r="R811" i="134" s="1"/>
  <c r="T811" i="134" s="1"/>
  <c r="V811" i="134" s="1"/>
  <c r="Z811" i="134"/>
  <c r="L811" i="134"/>
  <c r="M811" i="134" s="1"/>
  <c r="J809" i="134"/>
  <c r="N809" i="134" s="1"/>
  <c r="R809" i="134" s="1"/>
  <c r="T809" i="134" s="1"/>
  <c r="V809" i="134" s="1"/>
  <c r="Z809" i="134"/>
  <c r="L809" i="134"/>
  <c r="M809" i="134" s="1"/>
  <c r="J807" i="134"/>
  <c r="Z807" i="134"/>
  <c r="L807" i="134"/>
  <c r="M807" i="134" s="1"/>
  <c r="J805" i="134"/>
  <c r="Z805" i="134"/>
  <c r="L805" i="134"/>
  <c r="M805" i="134" s="1"/>
  <c r="J803" i="134"/>
  <c r="N803" i="134" s="1"/>
  <c r="R803" i="134" s="1"/>
  <c r="T803" i="134" s="1"/>
  <c r="V803" i="134" s="1"/>
  <c r="Z803" i="134"/>
  <c r="L803" i="134"/>
  <c r="M803" i="134" s="1"/>
  <c r="J801" i="134"/>
  <c r="N801" i="134" s="1"/>
  <c r="R801" i="134" s="1"/>
  <c r="T801" i="134" s="1"/>
  <c r="V801" i="134" s="1"/>
  <c r="Z801" i="134"/>
  <c r="L801" i="134"/>
  <c r="M801" i="134" s="1"/>
  <c r="J799" i="134"/>
  <c r="Z799" i="134"/>
  <c r="L799" i="134"/>
  <c r="M799" i="134" s="1"/>
  <c r="J797" i="134"/>
  <c r="Z797" i="134"/>
  <c r="L797" i="134"/>
  <c r="M797" i="134" s="1"/>
  <c r="J795" i="134"/>
  <c r="N795" i="134" s="1"/>
  <c r="R795" i="134" s="1"/>
  <c r="T795" i="134" s="1"/>
  <c r="V795" i="134" s="1"/>
  <c r="Z795" i="134"/>
  <c r="L795" i="134"/>
  <c r="M795" i="134" s="1"/>
  <c r="J793" i="134"/>
  <c r="N793" i="134" s="1"/>
  <c r="R793" i="134" s="1"/>
  <c r="T793" i="134" s="1"/>
  <c r="V793" i="134" s="1"/>
  <c r="Z793" i="134"/>
  <c r="L793" i="134"/>
  <c r="M793" i="134" s="1"/>
  <c r="J791" i="134"/>
  <c r="Z791" i="134"/>
  <c r="L791" i="134"/>
  <c r="M791" i="134" s="1"/>
  <c r="J789" i="134"/>
  <c r="Z789" i="134"/>
  <c r="L789" i="134"/>
  <c r="M789" i="134" s="1"/>
  <c r="J787" i="134"/>
  <c r="N787" i="134" s="1"/>
  <c r="R787" i="134" s="1"/>
  <c r="T787" i="134" s="1"/>
  <c r="V787" i="134" s="1"/>
  <c r="Z787" i="134"/>
  <c r="L787" i="134"/>
  <c r="M787" i="134" s="1"/>
  <c r="J785" i="134"/>
  <c r="N785" i="134" s="1"/>
  <c r="R785" i="134" s="1"/>
  <c r="T785" i="134" s="1"/>
  <c r="V785" i="134" s="1"/>
  <c r="Z785" i="134"/>
  <c r="L785" i="134"/>
  <c r="M785" i="134" s="1"/>
  <c r="J783" i="134"/>
  <c r="Z783" i="134"/>
  <c r="L783" i="134"/>
  <c r="M783" i="134" s="1"/>
  <c r="J781" i="134"/>
  <c r="Z781" i="134"/>
  <c r="L781" i="134"/>
  <c r="M781" i="134" s="1"/>
  <c r="J779" i="134"/>
  <c r="N779" i="134" s="1"/>
  <c r="R779" i="134" s="1"/>
  <c r="T779" i="134" s="1"/>
  <c r="V779" i="134" s="1"/>
  <c r="Z779" i="134"/>
  <c r="L779" i="134"/>
  <c r="M779" i="134" s="1"/>
  <c r="J777" i="134"/>
  <c r="Z777" i="134"/>
  <c r="L777" i="134"/>
  <c r="M777" i="134" s="1"/>
  <c r="J775" i="134"/>
  <c r="Z775" i="134"/>
  <c r="L775" i="134"/>
  <c r="M775" i="134" s="1"/>
  <c r="M815" i="134" s="1"/>
  <c r="J737" i="134"/>
  <c r="Z737" i="134"/>
  <c r="L737" i="134"/>
  <c r="M737" i="134" s="1"/>
  <c r="M739" i="134" s="1"/>
  <c r="L721" i="134"/>
  <c r="M721" i="134" s="1"/>
  <c r="J721" i="134"/>
  <c r="Z719" i="134"/>
  <c r="L715" i="134"/>
  <c r="M715" i="134" s="1"/>
  <c r="J715" i="134"/>
  <c r="L712" i="134"/>
  <c r="M712" i="134" s="1"/>
  <c r="J712" i="134"/>
  <c r="N720" i="134"/>
  <c r="R720" i="134" s="1"/>
  <c r="T720" i="134" s="1"/>
  <c r="V720" i="134" s="1"/>
  <c r="W720" i="134" s="1"/>
  <c r="J500" i="134"/>
  <c r="N500" i="134" s="1"/>
  <c r="Q500" i="134" s="1"/>
  <c r="S500" i="134" s="1"/>
  <c r="U500" i="134" s="1"/>
  <c r="L500" i="134"/>
  <c r="M500" i="134" s="1"/>
  <c r="Z500" i="134"/>
  <c r="J496" i="134"/>
  <c r="N496" i="134" s="1"/>
  <c r="Q496" i="134" s="1"/>
  <c r="S496" i="134" s="1"/>
  <c r="U496" i="134" s="1"/>
  <c r="Z496" i="134"/>
  <c r="L496" i="134"/>
  <c r="M496" i="134" s="1"/>
  <c r="J492" i="134"/>
  <c r="Z492" i="134"/>
  <c r="L492" i="134"/>
  <c r="M492" i="134" s="1"/>
  <c r="J488" i="134"/>
  <c r="Z488" i="134"/>
  <c r="L488" i="134"/>
  <c r="M488" i="134" s="1"/>
  <c r="J484" i="134"/>
  <c r="N484" i="134" s="1"/>
  <c r="Q484" i="134" s="1"/>
  <c r="S484" i="134" s="1"/>
  <c r="U484" i="134" s="1"/>
  <c r="Z484" i="134"/>
  <c r="L484" i="134"/>
  <c r="M484" i="134" s="1"/>
  <c r="J480" i="134"/>
  <c r="N480" i="134" s="1"/>
  <c r="Q480" i="134" s="1"/>
  <c r="S480" i="134" s="1"/>
  <c r="U480" i="134" s="1"/>
  <c r="Z480" i="134"/>
  <c r="L480" i="134"/>
  <c r="M480" i="134" s="1"/>
  <c r="J476" i="134"/>
  <c r="Z476" i="134"/>
  <c r="L476" i="134"/>
  <c r="M476" i="134" s="1"/>
  <c r="J472" i="134"/>
  <c r="Z472" i="134"/>
  <c r="L472" i="134"/>
  <c r="M472" i="134" s="1"/>
  <c r="J468" i="134"/>
  <c r="N468" i="134" s="1"/>
  <c r="Q468" i="134" s="1"/>
  <c r="S468" i="134" s="1"/>
  <c r="U468" i="134" s="1"/>
  <c r="Z468" i="134"/>
  <c r="L468" i="134"/>
  <c r="M468" i="134" s="1"/>
  <c r="J464" i="134"/>
  <c r="N464" i="134" s="1"/>
  <c r="Q464" i="134" s="1"/>
  <c r="S464" i="134" s="1"/>
  <c r="U464" i="134" s="1"/>
  <c r="Z464" i="134"/>
  <c r="L464" i="134"/>
  <c r="M464" i="134" s="1"/>
  <c r="J460" i="134"/>
  <c r="Z460" i="134"/>
  <c r="L460" i="134"/>
  <c r="M460" i="134" s="1"/>
  <c r="J456" i="134"/>
  <c r="Z456" i="134"/>
  <c r="L456" i="134"/>
  <c r="M456" i="134" s="1"/>
  <c r="J452" i="134"/>
  <c r="N452" i="134" s="1"/>
  <c r="Q452" i="134" s="1"/>
  <c r="S452" i="134" s="1"/>
  <c r="U452" i="134" s="1"/>
  <c r="Z452" i="134"/>
  <c r="L452" i="134"/>
  <c r="M452" i="134" s="1"/>
  <c r="J448" i="134"/>
  <c r="N448" i="134" s="1"/>
  <c r="Q448" i="134" s="1"/>
  <c r="S448" i="134" s="1"/>
  <c r="U448" i="134" s="1"/>
  <c r="Z448" i="134"/>
  <c r="L448" i="134"/>
  <c r="M448" i="134" s="1"/>
  <c r="J444" i="134"/>
  <c r="Z444" i="134"/>
  <c r="L444" i="134"/>
  <c r="M444" i="134" s="1"/>
  <c r="J428" i="134"/>
  <c r="Z428" i="134"/>
  <c r="L428" i="134"/>
  <c r="M428" i="134" s="1"/>
  <c r="J424" i="134"/>
  <c r="N424" i="134" s="1"/>
  <c r="R424" i="134" s="1"/>
  <c r="T424" i="134" s="1"/>
  <c r="V424" i="134" s="1"/>
  <c r="Z424" i="134"/>
  <c r="L424" i="134"/>
  <c r="M424" i="134" s="1"/>
  <c r="L509" i="134"/>
  <c r="M509" i="134" s="1"/>
  <c r="J509" i="134"/>
  <c r="N509" i="134" s="1"/>
  <c r="J498" i="134"/>
  <c r="Z498" i="134"/>
  <c r="L498" i="134"/>
  <c r="M498" i="134" s="1"/>
  <c r="J494" i="134"/>
  <c r="N494" i="134" s="1"/>
  <c r="Q494" i="134" s="1"/>
  <c r="S494" i="134" s="1"/>
  <c r="U494" i="134" s="1"/>
  <c r="Z494" i="134"/>
  <c r="L494" i="134"/>
  <c r="M494" i="134" s="1"/>
  <c r="J490" i="134"/>
  <c r="N490" i="134" s="1"/>
  <c r="Q490" i="134" s="1"/>
  <c r="S490" i="134" s="1"/>
  <c r="U490" i="134" s="1"/>
  <c r="Z490" i="134"/>
  <c r="L490" i="134"/>
  <c r="M490" i="134" s="1"/>
  <c r="J486" i="134"/>
  <c r="Z486" i="134"/>
  <c r="L486" i="134"/>
  <c r="M486" i="134" s="1"/>
  <c r="J482" i="134"/>
  <c r="Z482" i="134"/>
  <c r="L482" i="134"/>
  <c r="M482" i="134" s="1"/>
  <c r="J478" i="134"/>
  <c r="N478" i="134" s="1"/>
  <c r="Q478" i="134" s="1"/>
  <c r="S478" i="134" s="1"/>
  <c r="U478" i="134" s="1"/>
  <c r="Z478" i="134"/>
  <c r="L478" i="134"/>
  <c r="M478" i="134" s="1"/>
  <c r="J474" i="134"/>
  <c r="N474" i="134" s="1"/>
  <c r="Q474" i="134" s="1"/>
  <c r="S474" i="134" s="1"/>
  <c r="U474" i="134" s="1"/>
  <c r="Z474" i="134"/>
  <c r="L474" i="134"/>
  <c r="M474" i="134" s="1"/>
  <c r="J470" i="134"/>
  <c r="Z470" i="134"/>
  <c r="L470" i="134"/>
  <c r="M470" i="134" s="1"/>
  <c r="J466" i="134"/>
  <c r="Z466" i="134"/>
  <c r="L466" i="134"/>
  <c r="M466" i="134" s="1"/>
  <c r="J462" i="134"/>
  <c r="N462" i="134" s="1"/>
  <c r="Q462" i="134" s="1"/>
  <c r="S462" i="134" s="1"/>
  <c r="U462" i="134" s="1"/>
  <c r="Z462" i="134"/>
  <c r="L462" i="134"/>
  <c r="M462" i="134" s="1"/>
  <c r="J458" i="134"/>
  <c r="N458" i="134" s="1"/>
  <c r="Q458" i="134" s="1"/>
  <c r="S458" i="134" s="1"/>
  <c r="U458" i="134" s="1"/>
  <c r="Z458" i="134"/>
  <c r="L458" i="134"/>
  <c r="M458" i="134" s="1"/>
  <c r="J454" i="134"/>
  <c r="Z454" i="134"/>
  <c r="L454" i="134"/>
  <c r="M454" i="134" s="1"/>
  <c r="J450" i="134"/>
  <c r="Z450" i="134"/>
  <c r="L450" i="134"/>
  <c r="M450" i="134" s="1"/>
  <c r="J446" i="134"/>
  <c r="N446" i="134" s="1"/>
  <c r="Q446" i="134" s="1"/>
  <c r="S446" i="134" s="1"/>
  <c r="U446" i="134" s="1"/>
  <c r="Z446" i="134"/>
  <c r="L446" i="134"/>
  <c r="M446" i="134" s="1"/>
  <c r="J442" i="134"/>
  <c r="N442" i="134" s="1"/>
  <c r="Q442" i="134" s="1"/>
  <c r="Z442" i="134"/>
  <c r="L442" i="134"/>
  <c r="M442" i="134" s="1"/>
  <c r="J426" i="134"/>
  <c r="Z426" i="134"/>
  <c r="L426" i="134"/>
  <c r="M426" i="134" s="1"/>
  <c r="L345" i="134"/>
  <c r="M345" i="134" s="1"/>
  <c r="Z345" i="134"/>
  <c r="J345" i="134"/>
  <c r="N345" i="134" s="1"/>
  <c r="R345" i="134" s="1"/>
  <c r="T345" i="134" s="1"/>
  <c r="V345" i="134" s="1"/>
  <c r="L341" i="134"/>
  <c r="M341" i="134" s="1"/>
  <c r="Z341" i="134"/>
  <c r="J341" i="134"/>
  <c r="L337" i="134"/>
  <c r="M337" i="134" s="1"/>
  <c r="Z337" i="134"/>
  <c r="J337" i="134"/>
  <c r="L333" i="134"/>
  <c r="M333" i="134" s="1"/>
  <c r="Z333" i="134"/>
  <c r="J333" i="134"/>
  <c r="N333" i="134" s="1"/>
  <c r="R333" i="134" s="1"/>
  <c r="T333" i="134" s="1"/>
  <c r="V333" i="134" s="1"/>
  <c r="L329" i="134"/>
  <c r="M329" i="134" s="1"/>
  <c r="Z329" i="134"/>
  <c r="J329" i="134"/>
  <c r="N329" i="134" s="1"/>
  <c r="R329" i="134" s="1"/>
  <c r="T329" i="134" s="1"/>
  <c r="V329" i="134" s="1"/>
  <c r="L325" i="134"/>
  <c r="M325" i="134" s="1"/>
  <c r="Z325" i="134"/>
  <c r="J325" i="134"/>
  <c r="L292" i="134"/>
  <c r="M292" i="134" s="1"/>
  <c r="Z292" i="134"/>
  <c r="J292" i="134"/>
  <c r="L268" i="134"/>
  <c r="M268" i="134" s="1"/>
  <c r="J268" i="134"/>
  <c r="N268" i="134" s="1"/>
  <c r="R268" i="134" s="1"/>
  <c r="T268" i="134" s="1"/>
  <c r="V268" i="134" s="1"/>
  <c r="Z268" i="134"/>
  <c r="J261" i="134"/>
  <c r="N261" i="134" s="1"/>
  <c r="L261" i="134"/>
  <c r="M261" i="134" s="1"/>
  <c r="Z261" i="134"/>
  <c r="N924" i="134"/>
  <c r="Q924" i="134" s="1"/>
  <c r="S924" i="134" s="1"/>
  <c r="U924" i="134" s="1"/>
  <c r="N923" i="134"/>
  <c r="N922" i="134"/>
  <c r="N921" i="134"/>
  <c r="Q921" i="134" s="1"/>
  <c r="S921" i="134" s="1"/>
  <c r="U921" i="134" s="1"/>
  <c r="N920" i="134"/>
  <c r="Q920" i="134" s="1"/>
  <c r="S920" i="134" s="1"/>
  <c r="U920" i="134" s="1"/>
  <c r="N919" i="134"/>
  <c r="N918" i="134"/>
  <c r="N917" i="134"/>
  <c r="Q917" i="134" s="1"/>
  <c r="S917" i="134" s="1"/>
  <c r="U917" i="134" s="1"/>
  <c r="N916" i="134"/>
  <c r="Q916" i="134" s="1"/>
  <c r="S916" i="134" s="1"/>
  <c r="U916" i="134" s="1"/>
  <c r="N915" i="134"/>
  <c r="N914" i="134"/>
  <c r="N894" i="134"/>
  <c r="N893" i="134"/>
  <c r="N892" i="134"/>
  <c r="N891" i="134"/>
  <c r="N890" i="134"/>
  <c r="N889" i="134"/>
  <c r="N888" i="134"/>
  <c r="N887" i="134"/>
  <c r="N886" i="134"/>
  <c r="N885" i="134"/>
  <c r="N884" i="134"/>
  <c r="N882" i="134"/>
  <c r="N866" i="134"/>
  <c r="Q866" i="134" s="1"/>
  <c r="S866" i="134" s="1"/>
  <c r="U866" i="134" s="1"/>
  <c r="N865" i="134"/>
  <c r="Q865" i="134" s="1"/>
  <c r="S865" i="134" s="1"/>
  <c r="U865" i="134" s="1"/>
  <c r="N864" i="134"/>
  <c r="N863" i="134"/>
  <c r="N862" i="134"/>
  <c r="Q862" i="134" s="1"/>
  <c r="S862" i="134" s="1"/>
  <c r="U862" i="134" s="1"/>
  <c r="N861" i="134"/>
  <c r="R861" i="134" s="1"/>
  <c r="T861" i="134" s="1"/>
  <c r="V861" i="134" s="1"/>
  <c r="W861" i="134" s="1"/>
  <c r="N860" i="134"/>
  <c r="N859" i="134"/>
  <c r="N858" i="134"/>
  <c r="Q858" i="134" s="1"/>
  <c r="S858" i="134" s="1"/>
  <c r="U858" i="134" s="1"/>
  <c r="N857" i="134"/>
  <c r="Q857" i="134" s="1"/>
  <c r="S857" i="134" s="1"/>
  <c r="U857" i="134" s="1"/>
  <c r="N856" i="134"/>
  <c r="N855" i="134"/>
  <c r="N854" i="134"/>
  <c r="Q854" i="134" s="1"/>
  <c r="S854" i="134" s="1"/>
  <c r="U854" i="134" s="1"/>
  <c r="N853" i="134"/>
  <c r="R853" i="134" s="1"/>
  <c r="T853" i="134" s="1"/>
  <c r="V853" i="134" s="1"/>
  <c r="N852" i="134"/>
  <c r="N851" i="134"/>
  <c r="N850" i="134"/>
  <c r="Q850" i="134" s="1"/>
  <c r="S850" i="134" s="1"/>
  <c r="U850" i="134" s="1"/>
  <c r="N847" i="134"/>
  <c r="N846" i="134"/>
  <c r="N843" i="134"/>
  <c r="N842" i="134"/>
  <c r="Q842" i="134" s="1"/>
  <c r="S842" i="134" s="1"/>
  <c r="U842" i="134" s="1"/>
  <c r="N841" i="134"/>
  <c r="Q841" i="134" s="1"/>
  <c r="S841" i="134" s="1"/>
  <c r="U841" i="134" s="1"/>
  <c r="N840" i="134"/>
  <c r="N839" i="134"/>
  <c r="N838" i="134"/>
  <c r="Q838" i="134" s="1"/>
  <c r="S838" i="134" s="1"/>
  <c r="U838" i="134" s="1"/>
  <c r="N837" i="134"/>
  <c r="R837" i="134" s="1"/>
  <c r="T837" i="134" s="1"/>
  <c r="V837" i="134" s="1"/>
  <c r="W837" i="134" s="1"/>
  <c r="N836" i="134"/>
  <c r="N835" i="134"/>
  <c r="N834" i="134"/>
  <c r="Q834" i="134" s="1"/>
  <c r="S834" i="134" s="1"/>
  <c r="U834" i="134" s="1"/>
  <c r="N833" i="134"/>
  <c r="Q833" i="134" s="1"/>
  <c r="S833" i="134" s="1"/>
  <c r="U833" i="134" s="1"/>
  <c r="N832" i="134"/>
  <c r="N831" i="134"/>
  <c r="N830" i="134"/>
  <c r="Q830" i="134" s="1"/>
  <c r="S830" i="134" s="1"/>
  <c r="U830" i="134" s="1"/>
  <c r="N829" i="134"/>
  <c r="R829" i="134" s="1"/>
  <c r="T829" i="134" s="1"/>
  <c r="V829" i="134" s="1"/>
  <c r="W829" i="134" s="1"/>
  <c r="N828" i="134"/>
  <c r="N827" i="134"/>
  <c r="N826" i="134"/>
  <c r="Q826" i="134" s="1"/>
  <c r="S826" i="134" s="1"/>
  <c r="U826" i="134" s="1"/>
  <c r="N823" i="134"/>
  <c r="N822" i="134"/>
  <c r="N821" i="134"/>
  <c r="N820" i="134"/>
  <c r="N819" i="134"/>
  <c r="N818" i="134"/>
  <c r="N816" i="134"/>
  <c r="N772" i="134"/>
  <c r="R772" i="134" s="1"/>
  <c r="T772" i="134" s="1"/>
  <c r="V772" i="134" s="1"/>
  <c r="N771" i="134"/>
  <c r="R771" i="134" s="1"/>
  <c r="T771" i="134" s="1"/>
  <c r="V771" i="134" s="1"/>
  <c r="N770" i="134"/>
  <c r="N769" i="134"/>
  <c r="N768" i="134"/>
  <c r="R768" i="134" s="1"/>
  <c r="T768" i="134" s="1"/>
  <c r="V768" i="134" s="1"/>
  <c r="N766" i="134"/>
  <c r="Q766" i="134" s="1"/>
  <c r="S766" i="134" s="1"/>
  <c r="U766" i="134" s="1"/>
  <c r="N763" i="134"/>
  <c r="N762" i="134"/>
  <c r="N761" i="134"/>
  <c r="R761" i="134" s="1"/>
  <c r="T761" i="134" s="1"/>
  <c r="V761" i="134" s="1"/>
  <c r="N760" i="134"/>
  <c r="R760" i="134" s="1"/>
  <c r="T760" i="134" s="1"/>
  <c r="V760" i="134" s="1"/>
  <c r="N758" i="134"/>
  <c r="N746" i="134"/>
  <c r="N744" i="134"/>
  <c r="N742" i="134"/>
  <c r="N740" i="134"/>
  <c r="N734" i="134"/>
  <c r="N733" i="134"/>
  <c r="R733" i="134" s="1"/>
  <c r="T733" i="134" s="1"/>
  <c r="V733" i="134" s="1"/>
  <c r="N732" i="134"/>
  <c r="R732" i="134" s="1"/>
  <c r="T732" i="134" s="1"/>
  <c r="V732" i="134" s="1"/>
  <c r="N731" i="134"/>
  <c r="N730" i="134"/>
  <c r="N729" i="134"/>
  <c r="R729" i="134" s="1"/>
  <c r="T729" i="134" s="1"/>
  <c r="V729" i="134" s="1"/>
  <c r="N728" i="134"/>
  <c r="R728" i="134" s="1"/>
  <c r="T728" i="134" s="1"/>
  <c r="V728" i="134" s="1"/>
  <c r="N726" i="134"/>
  <c r="N724" i="134"/>
  <c r="N722" i="134"/>
  <c r="Q722" i="134" s="1"/>
  <c r="S722" i="134" s="1"/>
  <c r="U722" i="134" s="1"/>
  <c r="N704" i="134"/>
  <c r="N703" i="134"/>
  <c r="N702" i="134"/>
  <c r="N701" i="134"/>
  <c r="Q701" i="134" s="1"/>
  <c r="S701" i="134" s="1"/>
  <c r="U701" i="134" s="1"/>
  <c r="N700" i="134"/>
  <c r="R700" i="134" s="1"/>
  <c r="T700" i="134" s="1"/>
  <c r="V700" i="134" s="1"/>
  <c r="N699" i="134"/>
  <c r="N698" i="134"/>
  <c r="N697" i="134"/>
  <c r="Q697" i="134" s="1"/>
  <c r="S697" i="134" s="1"/>
  <c r="U697" i="134" s="1"/>
  <c r="N696" i="134"/>
  <c r="N695" i="134"/>
  <c r="N694" i="134"/>
  <c r="N693" i="134"/>
  <c r="Q693" i="134" s="1"/>
  <c r="S693" i="134" s="1"/>
  <c r="U693" i="134" s="1"/>
  <c r="N692" i="134"/>
  <c r="R692" i="134" s="1"/>
  <c r="T692" i="134" s="1"/>
  <c r="V692" i="134" s="1"/>
  <c r="N691" i="134"/>
  <c r="N690" i="134"/>
  <c r="N689" i="134"/>
  <c r="Q689" i="134" s="1"/>
  <c r="S689" i="134" s="1"/>
  <c r="U689" i="134" s="1"/>
  <c r="N688" i="134"/>
  <c r="N687" i="134"/>
  <c r="N686" i="134"/>
  <c r="N683" i="134"/>
  <c r="N682" i="134"/>
  <c r="N681" i="134"/>
  <c r="N680" i="134"/>
  <c r="N679" i="134"/>
  <c r="N678" i="134"/>
  <c r="N677" i="134"/>
  <c r="N676" i="134"/>
  <c r="N675" i="134"/>
  <c r="N674" i="134"/>
  <c r="N673" i="134"/>
  <c r="N672" i="134"/>
  <c r="N671" i="134"/>
  <c r="N670" i="134"/>
  <c r="N669" i="134"/>
  <c r="N668" i="134"/>
  <c r="N667" i="134"/>
  <c r="N666" i="134"/>
  <c r="N665" i="134"/>
  <c r="N664" i="134"/>
  <c r="N663" i="134"/>
  <c r="N662" i="134"/>
  <c r="N661" i="134"/>
  <c r="N660" i="134"/>
  <c r="N659" i="134"/>
  <c r="N658" i="134"/>
  <c r="N657" i="134"/>
  <c r="N656" i="134"/>
  <c r="N655" i="134"/>
  <c r="N654" i="134"/>
  <c r="N653" i="134"/>
  <c r="N652" i="134"/>
  <c r="N651" i="134"/>
  <c r="N650" i="134"/>
  <c r="N649" i="134"/>
  <c r="N648" i="134"/>
  <c r="N647" i="134"/>
  <c r="N646" i="134"/>
  <c r="N645" i="134"/>
  <c r="N644" i="134"/>
  <c r="N643" i="134"/>
  <c r="N642" i="134"/>
  <c r="N641" i="134"/>
  <c r="N640" i="134"/>
  <c r="N639" i="134"/>
  <c r="N638" i="134"/>
  <c r="N637" i="134"/>
  <c r="N636" i="134"/>
  <c r="N635" i="134"/>
  <c r="N634" i="134"/>
  <c r="N633" i="134"/>
  <c r="N632" i="134"/>
  <c r="N631" i="134"/>
  <c r="N630" i="134"/>
  <c r="N629" i="134"/>
  <c r="N628" i="134"/>
  <c r="N627" i="134"/>
  <c r="N626" i="134"/>
  <c r="N625" i="134"/>
  <c r="N624" i="134"/>
  <c r="N623" i="134"/>
  <c r="N622" i="134"/>
  <c r="N621" i="134"/>
  <c r="N620" i="134"/>
  <c r="N619" i="134"/>
  <c r="N618" i="134"/>
  <c r="N617" i="134"/>
  <c r="N616" i="134"/>
  <c r="N615" i="134"/>
  <c r="N614" i="134"/>
  <c r="N613" i="134"/>
  <c r="N612" i="134"/>
  <c r="N611" i="134"/>
  <c r="N610" i="134"/>
  <c r="N609" i="134"/>
  <c r="N608" i="134"/>
  <c r="N607" i="134"/>
  <c r="N606" i="134"/>
  <c r="N605" i="134"/>
  <c r="N604" i="134"/>
  <c r="N603" i="134"/>
  <c r="N602" i="134"/>
  <c r="N601" i="134"/>
  <c r="N600" i="134"/>
  <c r="N599" i="134"/>
  <c r="N598" i="134"/>
  <c r="N597" i="134"/>
  <c r="N596" i="134"/>
  <c r="N595" i="134"/>
  <c r="N594" i="134"/>
  <c r="N593" i="134"/>
  <c r="N592" i="134"/>
  <c r="N591" i="134"/>
  <c r="N590" i="134"/>
  <c r="N589" i="134"/>
  <c r="N588" i="134"/>
  <c r="N587" i="134"/>
  <c r="N586" i="134"/>
  <c r="N585" i="134"/>
  <c r="N584" i="134"/>
  <c r="N583" i="134"/>
  <c r="N582" i="134"/>
  <c r="N581" i="134"/>
  <c r="N580" i="134"/>
  <c r="N579" i="134"/>
  <c r="N578" i="134"/>
  <c r="N577" i="134"/>
  <c r="N576" i="134"/>
  <c r="N575" i="134"/>
  <c r="N574" i="134"/>
  <c r="N573" i="134"/>
  <c r="N572" i="134"/>
  <c r="N571" i="134"/>
  <c r="N570" i="134"/>
  <c r="N569" i="134"/>
  <c r="N568" i="134"/>
  <c r="N567" i="134"/>
  <c r="N566" i="134"/>
  <c r="N565" i="134"/>
  <c r="N564" i="134"/>
  <c r="N563" i="134"/>
  <c r="N562" i="134"/>
  <c r="N561" i="134"/>
  <c r="N560" i="134"/>
  <c r="N559" i="134"/>
  <c r="N558" i="134"/>
  <c r="N557" i="134"/>
  <c r="J512" i="134"/>
  <c r="Z512" i="134"/>
  <c r="N377" i="134"/>
  <c r="Q377" i="134" s="1"/>
  <c r="S377" i="134" s="1"/>
  <c r="U377" i="134" s="1"/>
  <c r="N369" i="134"/>
  <c r="J364" i="134"/>
  <c r="Z364" i="134"/>
  <c r="L364" i="134"/>
  <c r="M364" i="134" s="1"/>
  <c r="J362" i="134"/>
  <c r="Z362" i="134"/>
  <c r="L362" i="134"/>
  <c r="M362" i="134" s="1"/>
  <c r="J360" i="134"/>
  <c r="N360" i="134" s="1"/>
  <c r="R360" i="134" s="1"/>
  <c r="T360" i="134" s="1"/>
  <c r="V360" i="134" s="1"/>
  <c r="Z360" i="134"/>
  <c r="L360" i="134"/>
  <c r="M360" i="134" s="1"/>
  <c r="J358" i="134"/>
  <c r="N358" i="134" s="1"/>
  <c r="R358" i="134" s="1"/>
  <c r="T358" i="134" s="1"/>
  <c r="V358" i="134" s="1"/>
  <c r="Z358" i="134"/>
  <c r="L358" i="134"/>
  <c r="M358" i="134" s="1"/>
  <c r="J356" i="134"/>
  <c r="Z356" i="134"/>
  <c r="L356" i="134"/>
  <c r="M356" i="134" s="1"/>
  <c r="J354" i="134"/>
  <c r="Z354" i="134"/>
  <c r="L354" i="134"/>
  <c r="M354" i="134" s="1"/>
  <c r="J352" i="134"/>
  <c r="N352" i="134" s="1"/>
  <c r="R352" i="134" s="1"/>
  <c r="T352" i="134" s="1"/>
  <c r="V352" i="134" s="1"/>
  <c r="Z352" i="134"/>
  <c r="L352" i="134"/>
  <c r="M352" i="134" s="1"/>
  <c r="J350" i="134"/>
  <c r="N350" i="134" s="1"/>
  <c r="R350" i="134" s="1"/>
  <c r="T350" i="134" s="1"/>
  <c r="V350" i="134" s="1"/>
  <c r="Z350" i="134"/>
  <c r="L350" i="134"/>
  <c r="M350" i="134" s="1"/>
  <c r="J348" i="134"/>
  <c r="Z348" i="134"/>
  <c r="L348" i="134"/>
  <c r="M348" i="134" s="1"/>
  <c r="J346" i="134"/>
  <c r="Z346" i="134"/>
  <c r="L346" i="134"/>
  <c r="M346" i="134" s="1"/>
  <c r="J342" i="134"/>
  <c r="N342" i="134" s="1"/>
  <c r="R342" i="134" s="1"/>
  <c r="T342" i="134" s="1"/>
  <c r="V342" i="134" s="1"/>
  <c r="L342" i="134"/>
  <c r="M342" i="134" s="1"/>
  <c r="Z342" i="134"/>
  <c r="J338" i="134"/>
  <c r="L338" i="134"/>
  <c r="M338" i="134" s="1"/>
  <c r="Z338" i="134"/>
  <c r="J334" i="134"/>
  <c r="L334" i="134"/>
  <c r="M334" i="134" s="1"/>
  <c r="Z334" i="134"/>
  <c r="J330" i="134"/>
  <c r="N330" i="134" s="1"/>
  <c r="L330" i="134"/>
  <c r="M330" i="134" s="1"/>
  <c r="Z330" i="134"/>
  <c r="J326" i="134"/>
  <c r="N326" i="134" s="1"/>
  <c r="R326" i="134" s="1"/>
  <c r="T326" i="134" s="1"/>
  <c r="V326" i="134" s="1"/>
  <c r="L326" i="134"/>
  <c r="M326" i="134" s="1"/>
  <c r="Z326" i="134"/>
  <c r="J322" i="134"/>
  <c r="L322" i="134"/>
  <c r="M322" i="134" s="1"/>
  <c r="Z322" i="134"/>
  <c r="J310" i="134"/>
  <c r="Z310" i="134"/>
  <c r="L310" i="134"/>
  <c r="M310" i="134" s="1"/>
  <c r="J289" i="134"/>
  <c r="N289" i="134" s="1"/>
  <c r="L289" i="134"/>
  <c r="M289" i="134" s="1"/>
  <c r="Z289" i="134"/>
  <c r="L252" i="134"/>
  <c r="M252" i="134" s="1"/>
  <c r="J252" i="134"/>
  <c r="Z252" i="134"/>
  <c r="J245" i="134"/>
  <c r="L245" i="134"/>
  <c r="M245" i="134" s="1"/>
  <c r="Z245" i="134"/>
  <c r="N556" i="134"/>
  <c r="N555" i="134"/>
  <c r="N554" i="134"/>
  <c r="N553" i="134"/>
  <c r="N552" i="134"/>
  <c r="N551" i="134"/>
  <c r="N550" i="134"/>
  <c r="N549" i="134"/>
  <c r="N548" i="134"/>
  <c r="N547" i="134"/>
  <c r="N546" i="134"/>
  <c r="N545" i="134"/>
  <c r="N544" i="134"/>
  <c r="N543" i="134"/>
  <c r="N542" i="134"/>
  <c r="N541" i="134"/>
  <c r="N540" i="134"/>
  <c r="N539" i="134"/>
  <c r="N538" i="134"/>
  <c r="N537" i="134"/>
  <c r="N536" i="134"/>
  <c r="N535" i="134"/>
  <c r="N534" i="134"/>
  <c r="N533" i="134"/>
  <c r="N532" i="134"/>
  <c r="N531" i="134"/>
  <c r="N530" i="134"/>
  <c r="N529" i="134"/>
  <c r="N528" i="134"/>
  <c r="N527" i="134"/>
  <c r="N526" i="134"/>
  <c r="N525" i="134"/>
  <c r="N524" i="134"/>
  <c r="N523" i="134"/>
  <c r="N522" i="134"/>
  <c r="N521" i="134"/>
  <c r="N520" i="134"/>
  <c r="N519" i="134"/>
  <c r="N518" i="134"/>
  <c r="N516" i="134"/>
  <c r="L515" i="134"/>
  <c r="M515" i="134" s="1"/>
  <c r="L507" i="134"/>
  <c r="M507" i="134" s="1"/>
  <c r="N507" i="134" s="1"/>
  <c r="N504" i="134"/>
  <c r="Q504" i="134" s="1"/>
  <c r="S504" i="134" s="1"/>
  <c r="U504" i="134" s="1"/>
  <c r="N503" i="134"/>
  <c r="N502" i="134"/>
  <c r="N501" i="134"/>
  <c r="Q501" i="134" s="1"/>
  <c r="S501" i="134" s="1"/>
  <c r="U501" i="134" s="1"/>
  <c r="Z499" i="134"/>
  <c r="Z497" i="134"/>
  <c r="Z495" i="134"/>
  <c r="Z493" i="134"/>
  <c r="Z491" i="134"/>
  <c r="Z489" i="134"/>
  <c r="Z487" i="134"/>
  <c r="Z485" i="134"/>
  <c r="Z483" i="134"/>
  <c r="Z481" i="134"/>
  <c r="Z479" i="134"/>
  <c r="Z477" i="134"/>
  <c r="Z475" i="134"/>
  <c r="Z473" i="134"/>
  <c r="Z471" i="134"/>
  <c r="Z469" i="134"/>
  <c r="Z467" i="134"/>
  <c r="Z465" i="134"/>
  <c r="Z463" i="134"/>
  <c r="Z461" i="134"/>
  <c r="Z459" i="134"/>
  <c r="Z457" i="134"/>
  <c r="Z455" i="134"/>
  <c r="Z453" i="134"/>
  <c r="Z451" i="134"/>
  <c r="Z449" i="134"/>
  <c r="Z447" i="134"/>
  <c r="Z445" i="134"/>
  <c r="Z443" i="134"/>
  <c r="Z429" i="134"/>
  <c r="Z427" i="134"/>
  <c r="Z425" i="134"/>
  <c r="Z423" i="134"/>
  <c r="L304" i="134"/>
  <c r="M304" i="134" s="1"/>
  <c r="J304" i="134"/>
  <c r="N304" i="134" s="1"/>
  <c r="Z304" i="134"/>
  <c r="L284" i="134"/>
  <c r="M284" i="134" s="1"/>
  <c r="J284" i="134"/>
  <c r="Z284" i="134"/>
  <c r="J277" i="134"/>
  <c r="N277" i="134" s="1"/>
  <c r="R277" i="134" s="1"/>
  <c r="T277" i="134" s="1"/>
  <c r="V277" i="134" s="1"/>
  <c r="L277" i="134"/>
  <c r="M277" i="134" s="1"/>
  <c r="Z277" i="134"/>
  <c r="J189" i="134"/>
  <c r="N189" i="134" s="1"/>
  <c r="R189" i="134" s="1"/>
  <c r="T189" i="134" s="1"/>
  <c r="V189" i="134" s="1"/>
  <c r="Z189" i="134"/>
  <c r="L189" i="134"/>
  <c r="M189" i="134" s="1"/>
  <c r="L136" i="134"/>
  <c r="M136" i="134" s="1"/>
  <c r="Z136" i="134"/>
  <c r="J136" i="134"/>
  <c r="Z510" i="134"/>
  <c r="J499" i="134"/>
  <c r="N499" i="134" s="1"/>
  <c r="Q499" i="134" s="1"/>
  <c r="S499" i="134" s="1"/>
  <c r="U499" i="134" s="1"/>
  <c r="J497" i="134"/>
  <c r="N497" i="134" s="1"/>
  <c r="Q497" i="134" s="1"/>
  <c r="S497" i="134" s="1"/>
  <c r="U497" i="134" s="1"/>
  <c r="J495" i="134"/>
  <c r="N495" i="134" s="1"/>
  <c r="J493" i="134"/>
  <c r="N493" i="134" s="1"/>
  <c r="J491" i="134"/>
  <c r="N491" i="134" s="1"/>
  <c r="Q491" i="134" s="1"/>
  <c r="S491" i="134" s="1"/>
  <c r="U491" i="134" s="1"/>
  <c r="J489" i="134"/>
  <c r="N489" i="134" s="1"/>
  <c r="Q489" i="134" s="1"/>
  <c r="S489" i="134" s="1"/>
  <c r="U489" i="134" s="1"/>
  <c r="J487" i="134"/>
  <c r="N487" i="134" s="1"/>
  <c r="J485" i="134"/>
  <c r="N485" i="134" s="1"/>
  <c r="J483" i="134"/>
  <c r="N483" i="134" s="1"/>
  <c r="Q483" i="134" s="1"/>
  <c r="S483" i="134" s="1"/>
  <c r="U483" i="134" s="1"/>
  <c r="J481" i="134"/>
  <c r="N481" i="134" s="1"/>
  <c r="Q481" i="134" s="1"/>
  <c r="S481" i="134" s="1"/>
  <c r="U481" i="134" s="1"/>
  <c r="J479" i="134"/>
  <c r="N479" i="134" s="1"/>
  <c r="J477" i="134"/>
  <c r="N477" i="134" s="1"/>
  <c r="J475" i="134"/>
  <c r="N475" i="134" s="1"/>
  <c r="Q475" i="134" s="1"/>
  <c r="S475" i="134" s="1"/>
  <c r="U475" i="134" s="1"/>
  <c r="J473" i="134"/>
  <c r="N473" i="134" s="1"/>
  <c r="Q473" i="134" s="1"/>
  <c r="S473" i="134" s="1"/>
  <c r="U473" i="134" s="1"/>
  <c r="J471" i="134"/>
  <c r="N471" i="134" s="1"/>
  <c r="J469" i="134"/>
  <c r="N469" i="134" s="1"/>
  <c r="J467" i="134"/>
  <c r="N467" i="134" s="1"/>
  <c r="Q467" i="134" s="1"/>
  <c r="S467" i="134" s="1"/>
  <c r="U467" i="134" s="1"/>
  <c r="J465" i="134"/>
  <c r="N465" i="134" s="1"/>
  <c r="Q465" i="134" s="1"/>
  <c r="S465" i="134" s="1"/>
  <c r="U465" i="134" s="1"/>
  <c r="J463" i="134"/>
  <c r="N463" i="134" s="1"/>
  <c r="J461" i="134"/>
  <c r="N461" i="134" s="1"/>
  <c r="J459" i="134"/>
  <c r="N459" i="134" s="1"/>
  <c r="Q459" i="134" s="1"/>
  <c r="S459" i="134" s="1"/>
  <c r="U459" i="134" s="1"/>
  <c r="J457" i="134"/>
  <c r="N457" i="134" s="1"/>
  <c r="Q457" i="134" s="1"/>
  <c r="S457" i="134" s="1"/>
  <c r="U457" i="134" s="1"/>
  <c r="J455" i="134"/>
  <c r="N455" i="134" s="1"/>
  <c r="J453" i="134"/>
  <c r="N453" i="134" s="1"/>
  <c r="J451" i="134"/>
  <c r="N451" i="134" s="1"/>
  <c r="Q451" i="134" s="1"/>
  <c r="S451" i="134" s="1"/>
  <c r="U451" i="134" s="1"/>
  <c r="J449" i="134"/>
  <c r="N449" i="134" s="1"/>
  <c r="Q449" i="134" s="1"/>
  <c r="S449" i="134" s="1"/>
  <c r="U449" i="134" s="1"/>
  <c r="J447" i="134"/>
  <c r="N447" i="134" s="1"/>
  <c r="J445" i="134"/>
  <c r="N445" i="134" s="1"/>
  <c r="J443" i="134"/>
  <c r="N443" i="134" s="1"/>
  <c r="Q443" i="134" s="1"/>
  <c r="S443" i="134" s="1"/>
  <c r="U443" i="134" s="1"/>
  <c r="J440" i="134"/>
  <c r="J441" i="134" s="1"/>
  <c r="Z440" i="134"/>
  <c r="L440" i="134"/>
  <c r="M440" i="134" s="1"/>
  <c r="M441" i="134" s="1"/>
  <c r="J429" i="134"/>
  <c r="N429" i="134" s="1"/>
  <c r="R429" i="134" s="1"/>
  <c r="T429" i="134" s="1"/>
  <c r="V429" i="134" s="1"/>
  <c r="J427" i="134"/>
  <c r="N427" i="134" s="1"/>
  <c r="R427" i="134" s="1"/>
  <c r="T427" i="134" s="1"/>
  <c r="V427" i="134" s="1"/>
  <c r="J425" i="134"/>
  <c r="N425" i="134" s="1"/>
  <c r="J423" i="134"/>
  <c r="N423" i="134" s="1"/>
  <c r="N375" i="134"/>
  <c r="N367" i="134"/>
  <c r="J316" i="134"/>
  <c r="Z316" i="134"/>
  <c r="L316" i="134"/>
  <c r="M316" i="134" s="1"/>
  <c r="J313" i="134"/>
  <c r="Z313" i="134"/>
  <c r="L320" i="134"/>
  <c r="M320" i="134" s="1"/>
  <c r="L312" i="134"/>
  <c r="M312" i="134" s="1"/>
  <c r="J312" i="134"/>
  <c r="N312" i="134" s="1"/>
  <c r="J301" i="134"/>
  <c r="N301" i="134" s="1"/>
  <c r="Q301" i="134" s="1"/>
  <c r="S301" i="134" s="1"/>
  <c r="U301" i="134" s="1"/>
  <c r="L301" i="134"/>
  <c r="M301" i="134" s="1"/>
  <c r="Z301" i="134"/>
  <c r="Z296" i="134"/>
  <c r="J281" i="134"/>
  <c r="N281" i="134" s="1"/>
  <c r="L281" i="134"/>
  <c r="M281" i="134" s="1"/>
  <c r="Z281" i="134"/>
  <c r="L272" i="134"/>
  <c r="M272" i="134" s="1"/>
  <c r="J272" i="134"/>
  <c r="J265" i="134"/>
  <c r="L265" i="134"/>
  <c r="M265" i="134" s="1"/>
  <c r="Z265" i="134"/>
  <c r="N258" i="134"/>
  <c r="L256" i="134"/>
  <c r="M256" i="134" s="1"/>
  <c r="J256" i="134"/>
  <c r="N256" i="134" s="1"/>
  <c r="R256" i="134" s="1"/>
  <c r="T256" i="134" s="1"/>
  <c r="V256" i="134" s="1"/>
  <c r="W256" i="134" s="1"/>
  <c r="J249" i="134"/>
  <c r="N249" i="134" s="1"/>
  <c r="R249" i="134" s="1"/>
  <c r="T249" i="134" s="1"/>
  <c r="V249" i="134" s="1"/>
  <c r="L249" i="134"/>
  <c r="M249" i="134" s="1"/>
  <c r="Z249" i="134"/>
  <c r="R220" i="134"/>
  <c r="T220" i="134" s="1"/>
  <c r="V220" i="134" s="1"/>
  <c r="Q220" i="134"/>
  <c r="S220" i="134" s="1"/>
  <c r="U220" i="134" s="1"/>
  <c r="W220" i="134" s="1"/>
  <c r="J215" i="134"/>
  <c r="Z215" i="134"/>
  <c r="L215" i="134"/>
  <c r="M215" i="134" s="1"/>
  <c r="M231" i="134" s="1"/>
  <c r="J185" i="134"/>
  <c r="N185" i="134" s="1"/>
  <c r="Z185" i="134"/>
  <c r="L185" i="134"/>
  <c r="M185" i="134" s="1"/>
  <c r="N343" i="134"/>
  <c r="R343" i="134" s="1"/>
  <c r="T343" i="134" s="1"/>
  <c r="V343" i="134" s="1"/>
  <c r="N339" i="134"/>
  <c r="R339" i="134" s="1"/>
  <c r="T339" i="134" s="1"/>
  <c r="V339" i="134" s="1"/>
  <c r="N335" i="134"/>
  <c r="N331" i="134"/>
  <c r="N327" i="134"/>
  <c r="R327" i="134" s="1"/>
  <c r="T327" i="134" s="1"/>
  <c r="V327" i="134" s="1"/>
  <c r="N323" i="134"/>
  <c r="R323" i="134" s="1"/>
  <c r="T323" i="134" s="1"/>
  <c r="V323" i="134" s="1"/>
  <c r="J309" i="134"/>
  <c r="Z309" i="134"/>
  <c r="J305" i="134"/>
  <c r="Z305" i="134"/>
  <c r="J302" i="134"/>
  <c r="Z302" i="134"/>
  <c r="J293" i="134"/>
  <c r="L293" i="134"/>
  <c r="M293" i="134" s="1"/>
  <c r="N290" i="134"/>
  <c r="N282" i="134"/>
  <c r="L280" i="134"/>
  <c r="M280" i="134" s="1"/>
  <c r="J280" i="134"/>
  <c r="N280" i="134" s="1"/>
  <c r="R280" i="134" s="1"/>
  <c r="T280" i="134" s="1"/>
  <c r="V280" i="134" s="1"/>
  <c r="J273" i="134"/>
  <c r="N273" i="134" s="1"/>
  <c r="L273" i="134"/>
  <c r="M273" i="134" s="1"/>
  <c r="Z273" i="134"/>
  <c r="N266" i="134"/>
  <c r="R266" i="134" s="1"/>
  <c r="T266" i="134" s="1"/>
  <c r="V266" i="134" s="1"/>
  <c r="L264" i="134"/>
  <c r="M264" i="134" s="1"/>
  <c r="J264" i="134"/>
  <c r="J257" i="134"/>
  <c r="L257" i="134"/>
  <c r="M257" i="134" s="1"/>
  <c r="Z257" i="134"/>
  <c r="N250" i="134"/>
  <c r="L248" i="134"/>
  <c r="M248" i="134" s="1"/>
  <c r="J248" i="134"/>
  <c r="N248" i="134" s="1"/>
  <c r="R248" i="134" s="1"/>
  <c r="T248" i="134" s="1"/>
  <c r="V248" i="134" s="1"/>
  <c r="J241" i="134"/>
  <c r="L241" i="134"/>
  <c r="M241" i="134" s="1"/>
  <c r="Z241" i="134"/>
  <c r="J219" i="134"/>
  <c r="Z219" i="134"/>
  <c r="L219" i="134"/>
  <c r="M219" i="134" s="1"/>
  <c r="N216" i="134"/>
  <c r="Q216" i="134" s="1"/>
  <c r="S216" i="134" s="1"/>
  <c r="U216" i="134" s="1"/>
  <c r="J193" i="134"/>
  <c r="N193" i="134" s="1"/>
  <c r="Z193" i="134"/>
  <c r="L193" i="134"/>
  <c r="M193" i="134" s="1"/>
  <c r="J177" i="134"/>
  <c r="N177" i="134" s="1"/>
  <c r="R177" i="134" s="1"/>
  <c r="T177" i="134" s="1"/>
  <c r="V177" i="134" s="1"/>
  <c r="Z177" i="134"/>
  <c r="L177" i="134"/>
  <c r="M177" i="134" s="1"/>
  <c r="N437" i="134"/>
  <c r="N436" i="134"/>
  <c r="N435" i="134"/>
  <c r="N431" i="134"/>
  <c r="N421" i="134"/>
  <c r="N420" i="134"/>
  <c r="N419" i="134"/>
  <c r="N418" i="134"/>
  <c r="N417" i="134"/>
  <c r="N416" i="134"/>
  <c r="N415" i="134"/>
  <c r="N414" i="134"/>
  <c r="N413" i="134"/>
  <c r="N412" i="134"/>
  <c r="N411" i="134"/>
  <c r="N410" i="134"/>
  <c r="N409" i="134"/>
  <c r="N408" i="134"/>
  <c r="N407" i="134"/>
  <c r="N406" i="134"/>
  <c r="N405" i="134"/>
  <c r="N402" i="134"/>
  <c r="R402" i="134" s="1"/>
  <c r="T402" i="134" s="1"/>
  <c r="V402" i="134" s="1"/>
  <c r="N401" i="134"/>
  <c r="N400" i="134"/>
  <c r="N399" i="134"/>
  <c r="N398" i="134"/>
  <c r="R398" i="134" s="1"/>
  <c r="T398" i="134" s="1"/>
  <c r="V398" i="134" s="1"/>
  <c r="N397" i="134"/>
  <c r="N396" i="134"/>
  <c r="N395" i="134"/>
  <c r="N394" i="134"/>
  <c r="R394" i="134" s="1"/>
  <c r="T394" i="134" s="1"/>
  <c r="V394" i="134" s="1"/>
  <c r="N393" i="134"/>
  <c r="N392" i="134"/>
  <c r="N391" i="134"/>
  <c r="N390" i="134"/>
  <c r="R390" i="134" s="1"/>
  <c r="T390" i="134" s="1"/>
  <c r="V390" i="134" s="1"/>
  <c r="N389" i="134"/>
  <c r="N388" i="134"/>
  <c r="N387" i="134"/>
  <c r="N386" i="134"/>
  <c r="R386" i="134" s="1"/>
  <c r="T386" i="134" s="1"/>
  <c r="V386" i="134" s="1"/>
  <c r="N385" i="134"/>
  <c r="N384" i="134"/>
  <c r="N383" i="134"/>
  <c r="N382" i="134"/>
  <c r="R382" i="134" s="1"/>
  <c r="T382" i="134" s="1"/>
  <c r="V382" i="134" s="1"/>
  <c r="N381" i="134"/>
  <c r="N380" i="134"/>
  <c r="N378" i="134"/>
  <c r="N376" i="134"/>
  <c r="R376" i="134" s="1"/>
  <c r="T376" i="134" s="1"/>
  <c r="V376" i="134" s="1"/>
  <c r="N374" i="134"/>
  <c r="N372" i="134"/>
  <c r="N370" i="134"/>
  <c r="J344" i="134"/>
  <c r="L344" i="134"/>
  <c r="M344" i="134" s="1"/>
  <c r="J340" i="134"/>
  <c r="N340" i="134" s="1"/>
  <c r="L340" i="134"/>
  <c r="M340" i="134" s="1"/>
  <c r="J336" i="134"/>
  <c r="L336" i="134"/>
  <c r="M336" i="134" s="1"/>
  <c r="J332" i="134"/>
  <c r="N332" i="134" s="1"/>
  <c r="L332" i="134"/>
  <c r="M332" i="134" s="1"/>
  <c r="J328" i="134"/>
  <c r="L328" i="134"/>
  <c r="M328" i="134" s="1"/>
  <c r="J324" i="134"/>
  <c r="N324" i="134" s="1"/>
  <c r="L324" i="134"/>
  <c r="M324" i="134" s="1"/>
  <c r="J319" i="134"/>
  <c r="Z319" i="134"/>
  <c r="J297" i="134"/>
  <c r="N297" i="134" s="1"/>
  <c r="L297" i="134"/>
  <c r="M297" i="134" s="1"/>
  <c r="N294" i="134"/>
  <c r="R294" i="134" s="1"/>
  <c r="T294" i="134" s="1"/>
  <c r="V294" i="134" s="1"/>
  <c r="J288" i="134"/>
  <c r="N288" i="134" s="1"/>
  <c r="R288" i="134" s="1"/>
  <c r="T288" i="134" s="1"/>
  <c r="V288" i="134" s="1"/>
  <c r="J285" i="134"/>
  <c r="N285" i="134" s="1"/>
  <c r="L285" i="134"/>
  <c r="M285" i="134" s="1"/>
  <c r="Z285" i="134"/>
  <c r="N278" i="134"/>
  <c r="R278" i="134" s="1"/>
  <c r="T278" i="134" s="1"/>
  <c r="V278" i="134" s="1"/>
  <c r="L276" i="134"/>
  <c r="M276" i="134" s="1"/>
  <c r="J276" i="134"/>
  <c r="J269" i="134"/>
  <c r="L269" i="134"/>
  <c r="M269" i="134" s="1"/>
  <c r="Z269" i="134"/>
  <c r="N262" i="134"/>
  <c r="L260" i="134"/>
  <c r="M260" i="134" s="1"/>
  <c r="J260" i="134"/>
  <c r="N260" i="134" s="1"/>
  <c r="R260" i="134" s="1"/>
  <c r="T260" i="134" s="1"/>
  <c r="V260" i="134" s="1"/>
  <c r="J253" i="134"/>
  <c r="N253" i="134" s="1"/>
  <c r="L253" i="134"/>
  <c r="M253" i="134" s="1"/>
  <c r="Z253" i="134"/>
  <c r="N246" i="134"/>
  <c r="R246" i="134" s="1"/>
  <c r="T246" i="134" s="1"/>
  <c r="V246" i="134" s="1"/>
  <c r="L244" i="134"/>
  <c r="M244" i="134" s="1"/>
  <c r="J244" i="134"/>
  <c r="L240" i="134"/>
  <c r="M240" i="134" s="1"/>
  <c r="Z240" i="134"/>
  <c r="J240" i="134"/>
  <c r="N230" i="134"/>
  <c r="N226" i="134"/>
  <c r="Q226" i="134" s="1"/>
  <c r="S226" i="134" s="1"/>
  <c r="U226" i="134" s="1"/>
  <c r="N222" i="134"/>
  <c r="Q222" i="134" s="1"/>
  <c r="S222" i="134" s="1"/>
  <c r="U222" i="134" s="1"/>
  <c r="J217" i="134"/>
  <c r="Z217" i="134"/>
  <c r="L217" i="134"/>
  <c r="M217" i="134" s="1"/>
  <c r="N217" i="134" s="1"/>
  <c r="J181" i="134"/>
  <c r="N181" i="134" s="1"/>
  <c r="Z181" i="134"/>
  <c r="L181" i="134"/>
  <c r="M181" i="134" s="1"/>
  <c r="N236" i="134"/>
  <c r="Q236" i="134" s="1"/>
  <c r="S236" i="134" s="1"/>
  <c r="U236" i="134" s="1"/>
  <c r="N234" i="134"/>
  <c r="R234" i="134" s="1"/>
  <c r="T234" i="134" s="1"/>
  <c r="V234" i="134" s="1"/>
  <c r="N232" i="134"/>
  <c r="J229" i="134"/>
  <c r="L229" i="134"/>
  <c r="M229" i="134" s="1"/>
  <c r="J225" i="134"/>
  <c r="N225" i="134" s="1"/>
  <c r="L225" i="134"/>
  <c r="M225" i="134" s="1"/>
  <c r="J221" i="134"/>
  <c r="L221" i="134"/>
  <c r="M221" i="134" s="1"/>
  <c r="L208" i="134"/>
  <c r="M208" i="134" s="1"/>
  <c r="J208" i="134"/>
  <c r="L204" i="134"/>
  <c r="M204" i="134" s="1"/>
  <c r="J204" i="134"/>
  <c r="N204" i="134" s="1"/>
  <c r="R204" i="134" s="1"/>
  <c r="T204" i="134" s="1"/>
  <c r="V204" i="134" s="1"/>
  <c r="W204" i="134" s="1"/>
  <c r="L198" i="134"/>
  <c r="M198" i="134" s="1"/>
  <c r="M200" i="134" s="1"/>
  <c r="J198" i="134"/>
  <c r="L137" i="134"/>
  <c r="M137" i="134" s="1"/>
  <c r="J137" i="134"/>
  <c r="N242" i="134"/>
  <c r="R242" i="134" s="1"/>
  <c r="T242" i="134" s="1"/>
  <c r="V242" i="134" s="1"/>
  <c r="N238" i="134"/>
  <c r="J227" i="134"/>
  <c r="L227" i="134"/>
  <c r="M227" i="134" s="1"/>
  <c r="J223" i="134"/>
  <c r="N223" i="134" s="1"/>
  <c r="L223" i="134"/>
  <c r="M223" i="134" s="1"/>
  <c r="L206" i="134"/>
  <c r="M206" i="134" s="1"/>
  <c r="J206" i="134"/>
  <c r="N206" i="134" s="1"/>
  <c r="R206" i="134" s="1"/>
  <c r="T206" i="134" s="1"/>
  <c r="V206" i="134" s="1"/>
  <c r="W206" i="134" s="1"/>
  <c r="L202" i="134"/>
  <c r="M202" i="134" s="1"/>
  <c r="J202" i="134"/>
  <c r="N194" i="134"/>
  <c r="N190" i="134"/>
  <c r="N186" i="134"/>
  <c r="N182" i="134"/>
  <c r="N178" i="134"/>
  <c r="N174" i="134"/>
  <c r="J299" i="134"/>
  <c r="N299" i="134" s="1"/>
  <c r="R299" i="134" s="1"/>
  <c r="T299" i="134" s="1"/>
  <c r="V299" i="134" s="1"/>
  <c r="L299" i="134"/>
  <c r="M299" i="134" s="1"/>
  <c r="J295" i="134"/>
  <c r="L295" i="134"/>
  <c r="M295" i="134" s="1"/>
  <c r="J291" i="134"/>
  <c r="N291" i="134" s="1"/>
  <c r="R291" i="134" s="1"/>
  <c r="T291" i="134" s="1"/>
  <c r="V291" i="134" s="1"/>
  <c r="L291" i="134"/>
  <c r="M291" i="134" s="1"/>
  <c r="J287" i="134"/>
  <c r="L287" i="134"/>
  <c r="M287" i="134" s="1"/>
  <c r="J283" i="134"/>
  <c r="N283" i="134" s="1"/>
  <c r="R283" i="134" s="1"/>
  <c r="T283" i="134" s="1"/>
  <c r="V283" i="134" s="1"/>
  <c r="L283" i="134"/>
  <c r="M283" i="134" s="1"/>
  <c r="J279" i="134"/>
  <c r="L279" i="134"/>
  <c r="M279" i="134" s="1"/>
  <c r="J275" i="134"/>
  <c r="N275" i="134" s="1"/>
  <c r="R275" i="134" s="1"/>
  <c r="T275" i="134" s="1"/>
  <c r="V275" i="134" s="1"/>
  <c r="L275" i="134"/>
  <c r="M275" i="134" s="1"/>
  <c r="J271" i="134"/>
  <c r="L271" i="134"/>
  <c r="M271" i="134" s="1"/>
  <c r="J267" i="134"/>
  <c r="N267" i="134" s="1"/>
  <c r="R267" i="134" s="1"/>
  <c r="T267" i="134" s="1"/>
  <c r="V267" i="134" s="1"/>
  <c r="L267" i="134"/>
  <c r="M267" i="134" s="1"/>
  <c r="J263" i="134"/>
  <c r="L263" i="134"/>
  <c r="M263" i="134" s="1"/>
  <c r="J259" i="134"/>
  <c r="N259" i="134" s="1"/>
  <c r="R259" i="134" s="1"/>
  <c r="T259" i="134" s="1"/>
  <c r="V259" i="134" s="1"/>
  <c r="L259" i="134"/>
  <c r="M259" i="134" s="1"/>
  <c r="J255" i="134"/>
  <c r="L255" i="134"/>
  <c r="M255" i="134" s="1"/>
  <c r="J251" i="134"/>
  <c r="N251" i="134" s="1"/>
  <c r="R251" i="134" s="1"/>
  <c r="T251" i="134" s="1"/>
  <c r="V251" i="134" s="1"/>
  <c r="L251" i="134"/>
  <c r="M251" i="134" s="1"/>
  <c r="J247" i="134"/>
  <c r="L247" i="134"/>
  <c r="M247" i="134" s="1"/>
  <c r="J243" i="134"/>
  <c r="N243" i="134" s="1"/>
  <c r="R243" i="134" s="1"/>
  <c r="T243" i="134" s="1"/>
  <c r="V243" i="134" s="1"/>
  <c r="L243" i="134"/>
  <c r="M243" i="134" s="1"/>
  <c r="J239" i="134"/>
  <c r="L239" i="134"/>
  <c r="M239" i="134" s="1"/>
  <c r="N239" i="134" s="1"/>
  <c r="L235" i="134"/>
  <c r="M235" i="134" s="1"/>
  <c r="N235" i="134" s="1"/>
  <c r="L233" i="134"/>
  <c r="M233" i="134" s="1"/>
  <c r="Z230" i="134"/>
  <c r="Z229" i="134"/>
  <c r="J228" i="134"/>
  <c r="N228" i="134" s="1"/>
  <c r="R228" i="134" s="1"/>
  <c r="T228" i="134" s="1"/>
  <c r="V228" i="134" s="1"/>
  <c r="Z226" i="134"/>
  <c r="Z225" i="134"/>
  <c r="J224" i="134"/>
  <c r="N224" i="134" s="1"/>
  <c r="R224" i="134" s="1"/>
  <c r="T224" i="134" s="1"/>
  <c r="V224" i="134" s="1"/>
  <c r="Z222" i="134"/>
  <c r="Z221" i="134"/>
  <c r="N210" i="134"/>
  <c r="J195" i="134"/>
  <c r="N195" i="134" s="1"/>
  <c r="R195" i="134" s="1"/>
  <c r="T195" i="134" s="1"/>
  <c r="V195" i="134" s="1"/>
  <c r="Z195" i="134"/>
  <c r="J191" i="134"/>
  <c r="N191" i="134" s="1"/>
  <c r="Z191" i="134"/>
  <c r="J187" i="134"/>
  <c r="N187" i="134" s="1"/>
  <c r="R187" i="134" s="1"/>
  <c r="T187" i="134" s="1"/>
  <c r="V187" i="134" s="1"/>
  <c r="Z187" i="134"/>
  <c r="J183" i="134"/>
  <c r="N183" i="134" s="1"/>
  <c r="Z183" i="134"/>
  <c r="J179" i="134"/>
  <c r="N179" i="134" s="1"/>
  <c r="R179" i="134" s="1"/>
  <c r="T179" i="134" s="1"/>
  <c r="V179" i="134" s="1"/>
  <c r="Z179" i="134"/>
  <c r="J175" i="134"/>
  <c r="N175" i="134" s="1"/>
  <c r="Z175" i="134"/>
  <c r="Z137" i="134"/>
  <c r="N117" i="134"/>
  <c r="N207" i="134"/>
  <c r="N205" i="134"/>
  <c r="N203" i="134"/>
  <c r="R203" i="134" s="1"/>
  <c r="T203" i="134" s="1"/>
  <c r="V203" i="134" s="1"/>
  <c r="Z173" i="134"/>
  <c r="Z171" i="134"/>
  <c r="Z169" i="134"/>
  <c r="Z167" i="134"/>
  <c r="Z165" i="134"/>
  <c r="Z163" i="134"/>
  <c r="Z161" i="134"/>
  <c r="Z159" i="134"/>
  <c r="Z157" i="134"/>
  <c r="Z155" i="134"/>
  <c r="Z153" i="134"/>
  <c r="Z151" i="134"/>
  <c r="Z149" i="134"/>
  <c r="Z147" i="134"/>
  <c r="L134" i="134"/>
  <c r="M134" i="134" s="1"/>
  <c r="N134" i="134" s="1"/>
  <c r="L121" i="134"/>
  <c r="M121" i="134" s="1"/>
  <c r="N121" i="134" s="1"/>
  <c r="R121" i="134" s="1"/>
  <c r="T121" i="134" s="1"/>
  <c r="V121" i="134" s="1"/>
  <c r="J120" i="134"/>
  <c r="N120" i="134" s="1"/>
  <c r="Z120" i="134"/>
  <c r="L117" i="134"/>
  <c r="M117" i="134" s="1"/>
  <c r="Z115" i="134"/>
  <c r="J113" i="134"/>
  <c r="N113" i="134" s="1"/>
  <c r="Q113" i="134" s="1"/>
  <c r="S113" i="134" s="1"/>
  <c r="U113" i="134" s="1"/>
  <c r="Z113" i="134"/>
  <c r="J109" i="134"/>
  <c r="N109" i="134" s="1"/>
  <c r="Z109" i="134"/>
  <c r="J105" i="134"/>
  <c r="Z105" i="134"/>
  <c r="N62" i="134"/>
  <c r="Q62" i="134" s="1"/>
  <c r="S62" i="134" s="1"/>
  <c r="U62" i="134" s="1"/>
  <c r="J45" i="134"/>
  <c r="J49" i="134" s="1"/>
  <c r="Z45" i="134"/>
  <c r="L45" i="134"/>
  <c r="M45" i="134" s="1"/>
  <c r="N37" i="134"/>
  <c r="N33" i="134"/>
  <c r="R33" i="134" s="1"/>
  <c r="T33" i="134" s="1"/>
  <c r="V33" i="134" s="1"/>
  <c r="N29" i="134"/>
  <c r="N172" i="134"/>
  <c r="N171" i="134"/>
  <c r="N170" i="134"/>
  <c r="N169" i="134"/>
  <c r="N168" i="134"/>
  <c r="N167" i="134"/>
  <c r="N166" i="134"/>
  <c r="N165" i="134"/>
  <c r="N164" i="134"/>
  <c r="N163" i="134"/>
  <c r="N162" i="134"/>
  <c r="N161" i="134"/>
  <c r="N160" i="134"/>
  <c r="N159" i="134"/>
  <c r="N158" i="134"/>
  <c r="N157" i="134"/>
  <c r="N156" i="134"/>
  <c r="N155" i="134"/>
  <c r="N154" i="134"/>
  <c r="N153" i="134"/>
  <c r="N152" i="134"/>
  <c r="N151" i="134"/>
  <c r="N150" i="134"/>
  <c r="N148" i="134"/>
  <c r="N146" i="134"/>
  <c r="J122" i="134"/>
  <c r="Z122" i="134"/>
  <c r="J118" i="134"/>
  <c r="N118" i="134" s="1"/>
  <c r="Z118" i="134"/>
  <c r="J111" i="134"/>
  <c r="N111" i="134" s="1"/>
  <c r="Z111" i="134"/>
  <c r="J107" i="134"/>
  <c r="N107" i="134" s="1"/>
  <c r="Q107" i="134" s="1"/>
  <c r="S107" i="134" s="1"/>
  <c r="U107" i="134" s="1"/>
  <c r="Z107" i="134"/>
  <c r="N96" i="134"/>
  <c r="N94" i="134"/>
  <c r="R94" i="134" s="1"/>
  <c r="T94" i="134" s="1"/>
  <c r="V94" i="134" s="1"/>
  <c r="W94" i="134" s="1"/>
  <c r="N66" i="134"/>
  <c r="L57" i="134"/>
  <c r="M57" i="134" s="1"/>
  <c r="J57" i="134"/>
  <c r="N57" i="134" s="1"/>
  <c r="L55" i="134"/>
  <c r="M55" i="134" s="1"/>
  <c r="J55" i="134"/>
  <c r="N55" i="134" s="1"/>
  <c r="L53" i="134"/>
  <c r="M53" i="134" s="1"/>
  <c r="J53" i="134"/>
  <c r="N53" i="134" s="1"/>
  <c r="J47" i="134"/>
  <c r="Z47" i="134"/>
  <c r="L47" i="134"/>
  <c r="M47" i="134" s="1"/>
  <c r="J43" i="134"/>
  <c r="Z43" i="134"/>
  <c r="L43" i="134"/>
  <c r="M43" i="134" s="1"/>
  <c r="N39" i="134"/>
  <c r="N35" i="134"/>
  <c r="N31" i="134"/>
  <c r="N27" i="134"/>
  <c r="N214" i="134"/>
  <c r="N212" i="134"/>
  <c r="N127" i="134"/>
  <c r="N125" i="134"/>
  <c r="N123" i="134"/>
  <c r="N119" i="134"/>
  <c r="R119" i="134" s="1"/>
  <c r="T119" i="134" s="1"/>
  <c r="V119" i="134" s="1"/>
  <c r="J116" i="134"/>
  <c r="N116" i="134" s="1"/>
  <c r="Z116" i="134"/>
  <c r="L116" i="134"/>
  <c r="M116" i="134" s="1"/>
  <c r="N108" i="134"/>
  <c r="Q108" i="134" s="1"/>
  <c r="S108" i="134" s="1"/>
  <c r="U108" i="134" s="1"/>
  <c r="N104" i="134"/>
  <c r="Q104" i="134" s="1"/>
  <c r="S104" i="134" s="1"/>
  <c r="U104" i="134" s="1"/>
  <c r="J97" i="134"/>
  <c r="Z97" i="134"/>
  <c r="L97" i="134"/>
  <c r="M97" i="134" s="1"/>
  <c r="J95" i="134"/>
  <c r="N95" i="134" s="1"/>
  <c r="Z95" i="134"/>
  <c r="L95" i="134"/>
  <c r="M95" i="134" s="1"/>
  <c r="L90" i="134"/>
  <c r="M90" i="134" s="1"/>
  <c r="J90" i="134"/>
  <c r="N90" i="134" s="1"/>
  <c r="L88" i="134"/>
  <c r="M88" i="134" s="1"/>
  <c r="J88" i="134"/>
  <c r="N88" i="134" s="1"/>
  <c r="L86" i="134"/>
  <c r="M86" i="134" s="1"/>
  <c r="J86" i="134"/>
  <c r="N86" i="134" s="1"/>
  <c r="L84" i="134"/>
  <c r="M84" i="134" s="1"/>
  <c r="J84" i="134"/>
  <c r="N84" i="134" s="1"/>
  <c r="L82" i="134"/>
  <c r="M82" i="134" s="1"/>
  <c r="J82" i="134"/>
  <c r="N82" i="134" s="1"/>
  <c r="L80" i="134"/>
  <c r="M80" i="134" s="1"/>
  <c r="J80" i="134"/>
  <c r="N80" i="134" s="1"/>
  <c r="N64" i="134"/>
  <c r="R64" i="134" s="1"/>
  <c r="T64" i="134" s="1"/>
  <c r="V64" i="134" s="1"/>
  <c r="M61" i="134"/>
  <c r="N59" i="134"/>
  <c r="L12" i="134"/>
  <c r="M12" i="134" s="1"/>
  <c r="M15" i="134" s="1"/>
  <c r="J12" i="134"/>
  <c r="N12" i="134" s="1"/>
  <c r="L93" i="134"/>
  <c r="M93" i="134" s="1"/>
  <c r="M99" i="134" s="1"/>
  <c r="Z77" i="134"/>
  <c r="Z75" i="134"/>
  <c r="Z73" i="134"/>
  <c r="Z71" i="134"/>
  <c r="Z69" i="134"/>
  <c r="Z67" i="134"/>
  <c r="Z65" i="134"/>
  <c r="Z63" i="134"/>
  <c r="N56" i="134"/>
  <c r="Z24" i="134"/>
  <c r="N101" i="134"/>
  <c r="Q101" i="134" s="1"/>
  <c r="S101" i="134" s="1"/>
  <c r="U101" i="134" s="1"/>
  <c r="N100" i="134"/>
  <c r="Q100" i="134" s="1"/>
  <c r="N74" i="134"/>
  <c r="N72" i="134"/>
  <c r="N70" i="134"/>
  <c r="Z56" i="134"/>
  <c r="Z54" i="134"/>
  <c r="Z52" i="134"/>
  <c r="Z50" i="134"/>
  <c r="N40" i="134"/>
  <c r="Q40" i="134" s="1"/>
  <c r="S40" i="134" s="1"/>
  <c r="U40" i="134" s="1"/>
  <c r="N38" i="134"/>
  <c r="N36" i="134"/>
  <c r="N34" i="134"/>
  <c r="L22" i="134"/>
  <c r="M22" i="134" s="1"/>
  <c r="N22" i="134" s="1"/>
  <c r="R22" i="134" s="1"/>
  <c r="T22" i="134" s="1"/>
  <c r="V22" i="134" s="1"/>
  <c r="L20" i="134"/>
  <c r="M20" i="134" s="1"/>
  <c r="L18" i="134"/>
  <c r="M18" i="134" s="1"/>
  <c r="L16" i="134"/>
  <c r="M16" i="134" s="1"/>
  <c r="Z11" i="134"/>
  <c r="L89" i="134"/>
  <c r="M89" i="134" s="1"/>
  <c r="L87" i="134"/>
  <c r="M87" i="134" s="1"/>
  <c r="L85" i="134"/>
  <c r="M85" i="134" s="1"/>
  <c r="N85" i="134" s="1"/>
  <c r="L83" i="134"/>
  <c r="M83" i="134" s="1"/>
  <c r="N83" i="134" s="1"/>
  <c r="L81" i="134"/>
  <c r="M81" i="134" s="1"/>
  <c r="N42" i="134"/>
  <c r="N21" i="134"/>
  <c r="R21" i="134" s="1"/>
  <c r="T21" i="134" s="1"/>
  <c r="V21" i="134" s="1"/>
  <c r="N20" i="134"/>
  <c r="N19" i="134"/>
  <c r="N18" i="134"/>
  <c r="R18" i="134" s="1"/>
  <c r="T18" i="134" s="1"/>
  <c r="V18" i="134" s="1"/>
  <c r="N17" i="134"/>
  <c r="R17" i="134" s="1"/>
  <c r="T17" i="134" s="1"/>
  <c r="V17" i="134" s="1"/>
  <c r="Q971" i="134"/>
  <c r="S971" i="134" s="1"/>
  <c r="U971" i="134" s="1"/>
  <c r="R971" i="134"/>
  <c r="T971" i="134" s="1"/>
  <c r="V971" i="134" s="1"/>
  <c r="W971" i="134" s="1"/>
  <c r="R970" i="134"/>
  <c r="T970" i="134" s="1"/>
  <c r="V970" i="134" s="1"/>
  <c r="Q970" i="134"/>
  <c r="S970" i="134" s="1"/>
  <c r="U970" i="134" s="1"/>
  <c r="Q969" i="134"/>
  <c r="S969" i="134" s="1"/>
  <c r="U969" i="134" s="1"/>
  <c r="R969" i="134"/>
  <c r="T969" i="134" s="1"/>
  <c r="V969" i="134" s="1"/>
  <c r="W969" i="134" s="1"/>
  <c r="R968" i="134"/>
  <c r="T968" i="134" s="1"/>
  <c r="V968" i="134" s="1"/>
  <c r="Q968" i="134"/>
  <c r="S968" i="134" s="1"/>
  <c r="U968" i="134" s="1"/>
  <c r="Q967" i="134"/>
  <c r="S967" i="134" s="1"/>
  <c r="U967" i="134" s="1"/>
  <c r="R967" i="134"/>
  <c r="T967" i="134" s="1"/>
  <c r="V967" i="134" s="1"/>
  <c r="R966" i="134"/>
  <c r="T966" i="134" s="1"/>
  <c r="V966" i="134" s="1"/>
  <c r="Q966" i="134"/>
  <c r="S966" i="134" s="1"/>
  <c r="U966" i="134" s="1"/>
  <c r="Q965" i="134"/>
  <c r="S965" i="134" s="1"/>
  <c r="U965" i="134" s="1"/>
  <c r="R965" i="134"/>
  <c r="T965" i="134" s="1"/>
  <c r="V965" i="134" s="1"/>
  <c r="R964" i="134"/>
  <c r="T964" i="134" s="1"/>
  <c r="V964" i="134" s="1"/>
  <c r="Q964" i="134"/>
  <c r="S964" i="134" s="1"/>
  <c r="U964" i="134" s="1"/>
  <c r="Q963" i="134"/>
  <c r="S963" i="134" s="1"/>
  <c r="U963" i="134" s="1"/>
  <c r="R963" i="134"/>
  <c r="T963" i="134" s="1"/>
  <c r="V963" i="134" s="1"/>
  <c r="R960" i="134"/>
  <c r="T960" i="134" s="1"/>
  <c r="V960" i="134" s="1"/>
  <c r="R958" i="134"/>
  <c r="T958" i="134" s="1"/>
  <c r="V958" i="134" s="1"/>
  <c r="Q958" i="134"/>
  <c r="S958" i="134" s="1"/>
  <c r="U958" i="134" s="1"/>
  <c r="R956" i="134"/>
  <c r="T956" i="134" s="1"/>
  <c r="V956" i="134" s="1"/>
  <c r="Q955" i="134"/>
  <c r="S955" i="134" s="1"/>
  <c r="U955" i="134" s="1"/>
  <c r="R955" i="134"/>
  <c r="T955" i="134" s="1"/>
  <c r="V955" i="134" s="1"/>
  <c r="Q953" i="134"/>
  <c r="S953" i="134" s="1"/>
  <c r="U953" i="134" s="1"/>
  <c r="R953" i="134"/>
  <c r="T953" i="134" s="1"/>
  <c r="V953" i="134" s="1"/>
  <c r="Q951" i="134"/>
  <c r="S951" i="134" s="1"/>
  <c r="U951" i="134" s="1"/>
  <c r="R951" i="134"/>
  <c r="T951" i="134" s="1"/>
  <c r="V951" i="134" s="1"/>
  <c r="W951" i="134" s="1"/>
  <c r="Q949" i="134"/>
  <c r="S949" i="134" s="1"/>
  <c r="U949" i="134" s="1"/>
  <c r="N948" i="134"/>
  <c r="R946" i="134"/>
  <c r="T946" i="134" s="1"/>
  <c r="V946" i="134" s="1"/>
  <c r="Q946" i="134"/>
  <c r="S946" i="134" s="1"/>
  <c r="U946" i="134" s="1"/>
  <c r="Q945" i="134"/>
  <c r="S945" i="134" s="1"/>
  <c r="U945" i="134" s="1"/>
  <c r="R945" i="134"/>
  <c r="T945" i="134" s="1"/>
  <c r="V945" i="134" s="1"/>
  <c r="W945" i="134" s="1"/>
  <c r="R944" i="134"/>
  <c r="T944" i="134" s="1"/>
  <c r="V944" i="134" s="1"/>
  <c r="Q944" i="134"/>
  <c r="S944" i="134" s="1"/>
  <c r="U944" i="134" s="1"/>
  <c r="Q943" i="134"/>
  <c r="S943" i="134" s="1"/>
  <c r="U943" i="134" s="1"/>
  <c r="R943" i="134"/>
  <c r="T943" i="134" s="1"/>
  <c r="V943" i="134" s="1"/>
  <c r="W943" i="134" s="1"/>
  <c r="N942" i="134"/>
  <c r="M947" i="134"/>
  <c r="N907" i="134"/>
  <c r="R906" i="134"/>
  <c r="Q906" i="134"/>
  <c r="R904" i="134"/>
  <c r="T904" i="134" s="1"/>
  <c r="V904" i="134" s="1"/>
  <c r="Q904" i="134"/>
  <c r="S904" i="134" s="1"/>
  <c r="U904" i="134" s="1"/>
  <c r="Q720" i="134"/>
  <c r="S720" i="134" s="1"/>
  <c r="U720" i="134" s="1"/>
  <c r="N718" i="134"/>
  <c r="J735" i="134"/>
  <c r="N716" i="134"/>
  <c r="N954" i="134"/>
  <c r="M925" i="134"/>
  <c r="M895" i="134"/>
  <c r="M867" i="134"/>
  <c r="M848" i="134"/>
  <c r="M844" i="134"/>
  <c r="M824" i="134"/>
  <c r="M773" i="134"/>
  <c r="M764" i="134"/>
  <c r="M747" i="134"/>
  <c r="R972" i="134"/>
  <c r="T972" i="134" s="1"/>
  <c r="V972" i="134" s="1"/>
  <c r="Q972" i="134"/>
  <c r="S972" i="134" s="1"/>
  <c r="U972" i="134" s="1"/>
  <c r="R962" i="134"/>
  <c r="T962" i="134" s="1"/>
  <c r="V962" i="134" s="1"/>
  <c r="Q962" i="134"/>
  <c r="S962" i="134" s="1"/>
  <c r="U962" i="134" s="1"/>
  <c r="Q961" i="134"/>
  <c r="S961" i="134" s="1"/>
  <c r="U961" i="134" s="1"/>
  <c r="R961" i="134"/>
  <c r="T961" i="134" s="1"/>
  <c r="V961" i="134" s="1"/>
  <c r="R940" i="134"/>
  <c r="T940" i="134" s="1"/>
  <c r="V940" i="134" s="1"/>
  <c r="Q940" i="134"/>
  <c r="S940" i="134" s="1"/>
  <c r="U940" i="134" s="1"/>
  <c r="Q939" i="134"/>
  <c r="S939" i="134" s="1"/>
  <c r="U939" i="134" s="1"/>
  <c r="R939" i="134"/>
  <c r="T939" i="134" s="1"/>
  <c r="V939" i="134" s="1"/>
  <c r="R937" i="134"/>
  <c r="T937" i="134" s="1"/>
  <c r="V937" i="134" s="1"/>
  <c r="R934" i="134"/>
  <c r="T934" i="134" s="1"/>
  <c r="V934" i="134" s="1"/>
  <c r="Q934" i="134"/>
  <c r="S934" i="134" s="1"/>
  <c r="U934" i="134" s="1"/>
  <c r="Q933" i="134"/>
  <c r="S933" i="134" s="1"/>
  <c r="U933" i="134" s="1"/>
  <c r="R933" i="134"/>
  <c r="T933" i="134" s="1"/>
  <c r="V933" i="134" s="1"/>
  <c r="R928" i="134"/>
  <c r="T928" i="134" s="1"/>
  <c r="V928" i="134" s="1"/>
  <c r="Q928" i="134"/>
  <c r="S928" i="134" s="1"/>
  <c r="U928" i="134" s="1"/>
  <c r="R926" i="134"/>
  <c r="Q926" i="134"/>
  <c r="Q923" i="134"/>
  <c r="S923" i="134" s="1"/>
  <c r="U923" i="134" s="1"/>
  <c r="R923" i="134"/>
  <c r="T923" i="134" s="1"/>
  <c r="V923" i="134" s="1"/>
  <c r="R922" i="134"/>
  <c r="T922" i="134" s="1"/>
  <c r="V922" i="134" s="1"/>
  <c r="W922" i="134" s="1"/>
  <c r="Q922" i="134"/>
  <c r="S922" i="134" s="1"/>
  <c r="U922" i="134" s="1"/>
  <c r="R921" i="134"/>
  <c r="T921" i="134" s="1"/>
  <c r="V921" i="134" s="1"/>
  <c r="R920" i="134"/>
  <c r="T920" i="134" s="1"/>
  <c r="V920" i="134" s="1"/>
  <c r="W920" i="134" s="1"/>
  <c r="Q919" i="134"/>
  <c r="S919" i="134" s="1"/>
  <c r="U919" i="134" s="1"/>
  <c r="R919" i="134"/>
  <c r="T919" i="134" s="1"/>
  <c r="V919" i="134" s="1"/>
  <c r="W919" i="134" s="1"/>
  <c r="R918" i="134"/>
  <c r="T918" i="134" s="1"/>
  <c r="V918" i="134" s="1"/>
  <c r="W918" i="134" s="1"/>
  <c r="Q918" i="134"/>
  <c r="S918" i="134" s="1"/>
  <c r="U918" i="134" s="1"/>
  <c r="R917" i="134"/>
  <c r="T917" i="134" s="1"/>
  <c r="V917" i="134" s="1"/>
  <c r="Q915" i="134"/>
  <c r="S915" i="134" s="1"/>
  <c r="U915" i="134" s="1"/>
  <c r="R915" i="134"/>
  <c r="T915" i="134" s="1"/>
  <c r="V915" i="134" s="1"/>
  <c r="W915" i="134" s="1"/>
  <c r="R914" i="134"/>
  <c r="T914" i="134" s="1"/>
  <c r="V914" i="134" s="1"/>
  <c r="W914" i="134" s="1"/>
  <c r="Q914" i="134"/>
  <c r="S914" i="134" s="1"/>
  <c r="U914" i="134" s="1"/>
  <c r="J925" i="134"/>
  <c r="N913" i="134"/>
  <c r="N911" i="134"/>
  <c r="J912" i="134"/>
  <c r="R902" i="134"/>
  <c r="T902" i="134" s="1"/>
  <c r="V902" i="134" s="1"/>
  <c r="W902" i="134" s="1"/>
  <c r="Q902" i="134"/>
  <c r="S902" i="134" s="1"/>
  <c r="U902" i="134" s="1"/>
  <c r="R900" i="134"/>
  <c r="T900" i="134" s="1"/>
  <c r="V900" i="134" s="1"/>
  <c r="W900" i="134" s="1"/>
  <c r="Q900" i="134"/>
  <c r="S900" i="134" s="1"/>
  <c r="U900" i="134" s="1"/>
  <c r="R898" i="134"/>
  <c r="T898" i="134" s="1"/>
  <c r="V898" i="134" s="1"/>
  <c r="W898" i="134" s="1"/>
  <c r="Q898" i="134"/>
  <c r="S898" i="134" s="1"/>
  <c r="U898" i="134" s="1"/>
  <c r="N897" i="134"/>
  <c r="R896" i="134"/>
  <c r="Q896" i="134"/>
  <c r="R894" i="134"/>
  <c r="T894" i="134" s="1"/>
  <c r="V894" i="134" s="1"/>
  <c r="Q894" i="134"/>
  <c r="S894" i="134" s="1"/>
  <c r="U894" i="134" s="1"/>
  <c r="R892" i="134"/>
  <c r="T892" i="134" s="1"/>
  <c r="V892" i="134" s="1"/>
  <c r="Q892" i="134"/>
  <c r="S892" i="134" s="1"/>
  <c r="U892" i="134" s="1"/>
  <c r="Q891" i="134"/>
  <c r="S891" i="134" s="1"/>
  <c r="U891" i="134" s="1"/>
  <c r="R891" i="134"/>
  <c r="T891" i="134" s="1"/>
  <c r="V891" i="134" s="1"/>
  <c r="R890" i="134"/>
  <c r="T890" i="134" s="1"/>
  <c r="V890" i="134" s="1"/>
  <c r="Q890" i="134"/>
  <c r="S890" i="134" s="1"/>
  <c r="U890" i="134" s="1"/>
  <c r="R888" i="134"/>
  <c r="T888" i="134" s="1"/>
  <c r="V888" i="134" s="1"/>
  <c r="Q888" i="134"/>
  <c r="S888" i="134" s="1"/>
  <c r="U888" i="134" s="1"/>
  <c r="Q887" i="134"/>
  <c r="S887" i="134" s="1"/>
  <c r="U887" i="134" s="1"/>
  <c r="R887" i="134"/>
  <c r="T887" i="134" s="1"/>
  <c r="V887" i="134" s="1"/>
  <c r="R886" i="134"/>
  <c r="T886" i="134" s="1"/>
  <c r="V886" i="134" s="1"/>
  <c r="Q886" i="134"/>
  <c r="S886" i="134" s="1"/>
  <c r="U886" i="134" s="1"/>
  <c r="R884" i="134"/>
  <c r="T884" i="134" s="1"/>
  <c r="V884" i="134" s="1"/>
  <c r="Q884" i="134"/>
  <c r="S884" i="134" s="1"/>
  <c r="U884" i="134" s="1"/>
  <c r="J895" i="134"/>
  <c r="N883" i="134"/>
  <c r="R882" i="134"/>
  <c r="N895" i="134"/>
  <c r="Q882" i="134"/>
  <c r="R880" i="134"/>
  <c r="T880" i="134" s="1"/>
  <c r="V880" i="134" s="1"/>
  <c r="Q880" i="134"/>
  <c r="S880" i="134" s="1"/>
  <c r="U880" i="134" s="1"/>
  <c r="Q878" i="134"/>
  <c r="S878" i="134" s="1"/>
  <c r="U878" i="134" s="1"/>
  <c r="Q875" i="134"/>
  <c r="S875" i="134" s="1"/>
  <c r="U875" i="134" s="1"/>
  <c r="R874" i="134"/>
  <c r="T874" i="134" s="1"/>
  <c r="V874" i="134" s="1"/>
  <c r="Q874" i="134"/>
  <c r="S874" i="134" s="1"/>
  <c r="U874" i="134" s="1"/>
  <c r="R872" i="134"/>
  <c r="T872" i="134" s="1"/>
  <c r="V872" i="134" s="1"/>
  <c r="Q872" i="134"/>
  <c r="S872" i="134" s="1"/>
  <c r="U872" i="134" s="1"/>
  <c r="Q870" i="134"/>
  <c r="S870" i="134" s="1"/>
  <c r="U870" i="134" s="1"/>
  <c r="J881" i="134"/>
  <c r="R865" i="134"/>
  <c r="T865" i="134" s="1"/>
  <c r="V865" i="134" s="1"/>
  <c r="R864" i="134"/>
  <c r="T864" i="134" s="1"/>
  <c r="V864" i="134" s="1"/>
  <c r="Q864" i="134"/>
  <c r="S864" i="134" s="1"/>
  <c r="U864" i="134" s="1"/>
  <c r="Q863" i="134"/>
  <c r="S863" i="134" s="1"/>
  <c r="U863" i="134" s="1"/>
  <c r="R863" i="134"/>
  <c r="T863" i="134" s="1"/>
  <c r="V863" i="134" s="1"/>
  <c r="Q861" i="134"/>
  <c r="S861" i="134" s="1"/>
  <c r="U861" i="134" s="1"/>
  <c r="R860" i="134"/>
  <c r="T860" i="134" s="1"/>
  <c r="V860" i="134" s="1"/>
  <c r="Q860" i="134"/>
  <c r="S860" i="134" s="1"/>
  <c r="U860" i="134" s="1"/>
  <c r="Q859" i="134"/>
  <c r="S859" i="134" s="1"/>
  <c r="U859" i="134" s="1"/>
  <c r="R859" i="134"/>
  <c r="T859" i="134" s="1"/>
  <c r="V859" i="134" s="1"/>
  <c r="R857" i="134"/>
  <c r="T857" i="134" s="1"/>
  <c r="V857" i="134" s="1"/>
  <c r="R856" i="134"/>
  <c r="T856" i="134" s="1"/>
  <c r="V856" i="134" s="1"/>
  <c r="Q856" i="134"/>
  <c r="S856" i="134" s="1"/>
  <c r="U856" i="134" s="1"/>
  <c r="Q855" i="134"/>
  <c r="S855" i="134" s="1"/>
  <c r="U855" i="134" s="1"/>
  <c r="R855" i="134"/>
  <c r="T855" i="134" s="1"/>
  <c r="V855" i="134" s="1"/>
  <c r="Q853" i="134"/>
  <c r="S853" i="134" s="1"/>
  <c r="U853" i="134" s="1"/>
  <c r="R852" i="134"/>
  <c r="T852" i="134" s="1"/>
  <c r="V852" i="134" s="1"/>
  <c r="Q852" i="134"/>
  <c r="S852" i="134" s="1"/>
  <c r="U852" i="134" s="1"/>
  <c r="Q851" i="134"/>
  <c r="S851" i="134" s="1"/>
  <c r="U851" i="134" s="1"/>
  <c r="R851" i="134"/>
  <c r="T851" i="134" s="1"/>
  <c r="V851" i="134" s="1"/>
  <c r="J867" i="134"/>
  <c r="N849" i="134"/>
  <c r="R846" i="134"/>
  <c r="T846" i="134" s="1"/>
  <c r="V846" i="134" s="1"/>
  <c r="W846" i="134" s="1"/>
  <c r="Q846" i="134"/>
  <c r="S846" i="134" s="1"/>
  <c r="U846" i="134" s="1"/>
  <c r="N845" i="134"/>
  <c r="J848" i="134"/>
  <c r="Q843" i="134"/>
  <c r="S843" i="134" s="1"/>
  <c r="U843" i="134" s="1"/>
  <c r="R843" i="134"/>
  <c r="T843" i="134" s="1"/>
  <c r="V843" i="134" s="1"/>
  <c r="R841" i="134"/>
  <c r="T841" i="134" s="1"/>
  <c r="V841" i="134" s="1"/>
  <c r="R840" i="134"/>
  <c r="T840" i="134" s="1"/>
  <c r="V840" i="134" s="1"/>
  <c r="Q840" i="134"/>
  <c r="S840" i="134" s="1"/>
  <c r="U840" i="134" s="1"/>
  <c r="Q839" i="134"/>
  <c r="S839" i="134" s="1"/>
  <c r="U839" i="134" s="1"/>
  <c r="R839" i="134"/>
  <c r="T839" i="134" s="1"/>
  <c r="V839" i="134" s="1"/>
  <c r="Q837" i="134"/>
  <c r="S837" i="134" s="1"/>
  <c r="U837" i="134" s="1"/>
  <c r="R836" i="134"/>
  <c r="T836" i="134" s="1"/>
  <c r="V836" i="134" s="1"/>
  <c r="Q836" i="134"/>
  <c r="S836" i="134" s="1"/>
  <c r="U836" i="134" s="1"/>
  <c r="Q835" i="134"/>
  <c r="S835" i="134" s="1"/>
  <c r="U835" i="134" s="1"/>
  <c r="R835" i="134"/>
  <c r="T835" i="134" s="1"/>
  <c r="V835" i="134" s="1"/>
  <c r="R833" i="134"/>
  <c r="T833" i="134" s="1"/>
  <c r="V833" i="134" s="1"/>
  <c r="R832" i="134"/>
  <c r="T832" i="134" s="1"/>
  <c r="V832" i="134" s="1"/>
  <c r="Q832" i="134"/>
  <c r="S832" i="134" s="1"/>
  <c r="U832" i="134" s="1"/>
  <c r="Q831" i="134"/>
  <c r="S831" i="134" s="1"/>
  <c r="U831" i="134" s="1"/>
  <c r="R831" i="134"/>
  <c r="T831" i="134" s="1"/>
  <c r="V831" i="134" s="1"/>
  <c r="W831" i="134" s="1"/>
  <c r="Q829" i="134"/>
  <c r="S829" i="134" s="1"/>
  <c r="U829" i="134" s="1"/>
  <c r="R828" i="134"/>
  <c r="T828" i="134" s="1"/>
  <c r="V828" i="134" s="1"/>
  <c r="Q828" i="134"/>
  <c r="S828" i="134" s="1"/>
  <c r="U828" i="134" s="1"/>
  <c r="Q827" i="134"/>
  <c r="S827" i="134" s="1"/>
  <c r="U827" i="134" s="1"/>
  <c r="R827" i="134"/>
  <c r="T827" i="134" s="1"/>
  <c r="V827" i="134" s="1"/>
  <c r="N825" i="134"/>
  <c r="J844" i="134"/>
  <c r="R822" i="134"/>
  <c r="T822" i="134" s="1"/>
  <c r="V822" i="134" s="1"/>
  <c r="Q822" i="134"/>
  <c r="S822" i="134" s="1"/>
  <c r="U822" i="134" s="1"/>
  <c r="Q821" i="134"/>
  <c r="S821" i="134" s="1"/>
  <c r="U821" i="134" s="1"/>
  <c r="R821" i="134"/>
  <c r="T821" i="134" s="1"/>
  <c r="V821" i="134" s="1"/>
  <c r="W821" i="134" s="1"/>
  <c r="R820" i="134"/>
  <c r="T820" i="134" s="1"/>
  <c r="V820" i="134" s="1"/>
  <c r="Q820" i="134"/>
  <c r="S820" i="134" s="1"/>
  <c r="U820" i="134" s="1"/>
  <c r="R818" i="134"/>
  <c r="T818" i="134" s="1"/>
  <c r="V818" i="134" s="1"/>
  <c r="Q818" i="134"/>
  <c r="S818" i="134" s="1"/>
  <c r="U818" i="134" s="1"/>
  <c r="N817" i="134"/>
  <c r="J824" i="134"/>
  <c r="R816" i="134"/>
  <c r="Q816" i="134"/>
  <c r="R814" i="134"/>
  <c r="T814" i="134" s="1"/>
  <c r="V814" i="134" s="1"/>
  <c r="Q814" i="134"/>
  <c r="S814" i="134" s="1"/>
  <c r="U814" i="134" s="1"/>
  <c r="R812" i="134"/>
  <c r="T812" i="134" s="1"/>
  <c r="V812" i="134" s="1"/>
  <c r="Q812" i="134"/>
  <c r="S812" i="134" s="1"/>
  <c r="U812" i="134" s="1"/>
  <c r="R810" i="134"/>
  <c r="T810" i="134" s="1"/>
  <c r="V810" i="134" s="1"/>
  <c r="Q810" i="134"/>
  <c r="S810" i="134" s="1"/>
  <c r="U810" i="134" s="1"/>
  <c r="Q809" i="134"/>
  <c r="S809" i="134" s="1"/>
  <c r="U809" i="134" s="1"/>
  <c r="R808" i="134"/>
  <c r="T808" i="134" s="1"/>
  <c r="V808" i="134" s="1"/>
  <c r="Q808" i="134"/>
  <c r="S808" i="134" s="1"/>
  <c r="U808" i="134" s="1"/>
  <c r="R806" i="134"/>
  <c r="T806" i="134" s="1"/>
  <c r="V806" i="134" s="1"/>
  <c r="Q806" i="134"/>
  <c r="S806" i="134" s="1"/>
  <c r="U806" i="134" s="1"/>
  <c r="R804" i="134"/>
  <c r="T804" i="134" s="1"/>
  <c r="V804" i="134" s="1"/>
  <c r="Q804" i="134"/>
  <c r="S804" i="134" s="1"/>
  <c r="U804" i="134" s="1"/>
  <c r="R802" i="134"/>
  <c r="T802" i="134" s="1"/>
  <c r="V802" i="134" s="1"/>
  <c r="Q802" i="134"/>
  <c r="S802" i="134" s="1"/>
  <c r="U802" i="134" s="1"/>
  <c r="Q801" i="134"/>
  <c r="S801" i="134" s="1"/>
  <c r="U801" i="134" s="1"/>
  <c r="R800" i="134"/>
  <c r="T800" i="134" s="1"/>
  <c r="V800" i="134" s="1"/>
  <c r="Q800" i="134"/>
  <c r="S800" i="134" s="1"/>
  <c r="U800" i="134" s="1"/>
  <c r="R798" i="134"/>
  <c r="T798" i="134" s="1"/>
  <c r="V798" i="134" s="1"/>
  <c r="Q798" i="134"/>
  <c r="S798" i="134" s="1"/>
  <c r="U798" i="134" s="1"/>
  <c r="R796" i="134"/>
  <c r="T796" i="134" s="1"/>
  <c r="V796" i="134" s="1"/>
  <c r="Q796" i="134"/>
  <c r="S796" i="134" s="1"/>
  <c r="U796" i="134" s="1"/>
  <c r="R794" i="134"/>
  <c r="T794" i="134" s="1"/>
  <c r="V794" i="134" s="1"/>
  <c r="Q794" i="134"/>
  <c r="S794" i="134" s="1"/>
  <c r="U794" i="134" s="1"/>
  <c r="Q793" i="134"/>
  <c r="S793" i="134" s="1"/>
  <c r="U793" i="134" s="1"/>
  <c r="R792" i="134"/>
  <c r="T792" i="134" s="1"/>
  <c r="V792" i="134" s="1"/>
  <c r="Q792" i="134"/>
  <c r="S792" i="134" s="1"/>
  <c r="U792" i="134" s="1"/>
  <c r="R790" i="134"/>
  <c r="T790" i="134" s="1"/>
  <c r="V790" i="134" s="1"/>
  <c r="Q790" i="134"/>
  <c r="S790" i="134" s="1"/>
  <c r="U790" i="134" s="1"/>
  <c r="R788" i="134"/>
  <c r="T788" i="134" s="1"/>
  <c r="V788" i="134" s="1"/>
  <c r="Q788" i="134"/>
  <c r="S788" i="134" s="1"/>
  <c r="U788" i="134" s="1"/>
  <c r="R786" i="134"/>
  <c r="T786" i="134" s="1"/>
  <c r="V786" i="134" s="1"/>
  <c r="Q786" i="134"/>
  <c r="S786" i="134" s="1"/>
  <c r="U786" i="134" s="1"/>
  <c r="Q785" i="134"/>
  <c r="S785" i="134" s="1"/>
  <c r="U785" i="134" s="1"/>
  <c r="R784" i="134"/>
  <c r="T784" i="134" s="1"/>
  <c r="V784" i="134" s="1"/>
  <c r="Q784" i="134"/>
  <c r="S784" i="134" s="1"/>
  <c r="U784" i="134" s="1"/>
  <c r="R782" i="134"/>
  <c r="T782" i="134" s="1"/>
  <c r="V782" i="134" s="1"/>
  <c r="Q782" i="134"/>
  <c r="S782" i="134" s="1"/>
  <c r="U782" i="134" s="1"/>
  <c r="R780" i="134"/>
  <c r="T780" i="134" s="1"/>
  <c r="V780" i="134" s="1"/>
  <c r="Q780" i="134"/>
  <c r="S780" i="134" s="1"/>
  <c r="U780" i="134" s="1"/>
  <c r="R778" i="134"/>
  <c r="T778" i="134" s="1"/>
  <c r="V778" i="134" s="1"/>
  <c r="Q778" i="134"/>
  <c r="S778" i="134" s="1"/>
  <c r="U778" i="134" s="1"/>
  <c r="R776" i="134"/>
  <c r="T776" i="134" s="1"/>
  <c r="V776" i="134" s="1"/>
  <c r="W776" i="134" s="1"/>
  <c r="Q776" i="134"/>
  <c r="S776" i="134" s="1"/>
  <c r="U776" i="134" s="1"/>
  <c r="R774" i="134"/>
  <c r="Q774" i="134"/>
  <c r="Q772" i="134"/>
  <c r="S772" i="134" s="1"/>
  <c r="U772" i="134" s="1"/>
  <c r="R770" i="134"/>
  <c r="T770" i="134" s="1"/>
  <c r="V770" i="134" s="1"/>
  <c r="Q770" i="134"/>
  <c r="S770" i="134" s="1"/>
  <c r="U770" i="134" s="1"/>
  <c r="Q769" i="134"/>
  <c r="S769" i="134" s="1"/>
  <c r="U769" i="134" s="1"/>
  <c r="R769" i="134"/>
  <c r="T769" i="134" s="1"/>
  <c r="V769" i="134" s="1"/>
  <c r="Q768" i="134"/>
  <c r="S768" i="134" s="1"/>
  <c r="U768" i="134" s="1"/>
  <c r="R766" i="134"/>
  <c r="T766" i="134" s="1"/>
  <c r="V766" i="134" s="1"/>
  <c r="J773" i="134"/>
  <c r="N765" i="134"/>
  <c r="Q763" i="134"/>
  <c r="S763" i="134" s="1"/>
  <c r="U763" i="134" s="1"/>
  <c r="R763" i="134"/>
  <c r="T763" i="134" s="1"/>
  <c r="V763" i="134" s="1"/>
  <c r="R762" i="134"/>
  <c r="T762" i="134" s="1"/>
  <c r="V762" i="134" s="1"/>
  <c r="Q762" i="134"/>
  <c r="S762" i="134" s="1"/>
  <c r="U762" i="134" s="1"/>
  <c r="Q761" i="134"/>
  <c r="S761" i="134" s="1"/>
  <c r="U761" i="134" s="1"/>
  <c r="Q760" i="134"/>
  <c r="S760" i="134" s="1"/>
  <c r="U760" i="134" s="1"/>
  <c r="N759" i="134"/>
  <c r="J764" i="134"/>
  <c r="R758" i="134"/>
  <c r="Q758" i="134"/>
  <c r="R756" i="134"/>
  <c r="T756" i="134" s="1"/>
  <c r="V756" i="134" s="1"/>
  <c r="Q756" i="134"/>
  <c r="S756" i="134" s="1"/>
  <c r="U756" i="134" s="1"/>
  <c r="R754" i="134"/>
  <c r="T754" i="134" s="1"/>
  <c r="V754" i="134" s="1"/>
  <c r="Q754" i="134"/>
  <c r="S754" i="134" s="1"/>
  <c r="U754" i="134" s="1"/>
  <c r="Q753" i="134"/>
  <c r="S753" i="134" s="1"/>
  <c r="U753" i="134" s="1"/>
  <c r="R752" i="134"/>
  <c r="T752" i="134" s="1"/>
  <c r="V752" i="134" s="1"/>
  <c r="Q752" i="134"/>
  <c r="S752" i="134" s="1"/>
  <c r="U752" i="134" s="1"/>
  <c r="R750" i="134"/>
  <c r="T750" i="134" s="1"/>
  <c r="V750" i="134" s="1"/>
  <c r="W750" i="134" s="1"/>
  <c r="Q750" i="134"/>
  <c r="S750" i="134" s="1"/>
  <c r="U750" i="134" s="1"/>
  <c r="R748" i="134"/>
  <c r="Q748" i="134"/>
  <c r="R746" i="134"/>
  <c r="T746" i="134" s="1"/>
  <c r="V746" i="134" s="1"/>
  <c r="Q746" i="134"/>
  <c r="S746" i="134" s="1"/>
  <c r="U746" i="134" s="1"/>
  <c r="R744" i="134"/>
  <c r="T744" i="134" s="1"/>
  <c r="V744" i="134" s="1"/>
  <c r="Q744" i="134"/>
  <c r="S744" i="134" s="1"/>
  <c r="U744" i="134" s="1"/>
  <c r="J747" i="134"/>
  <c r="N741" i="134"/>
  <c r="R740" i="134"/>
  <c r="Q740" i="134"/>
  <c r="R738" i="134"/>
  <c r="T738" i="134" s="1"/>
  <c r="V738" i="134" s="1"/>
  <c r="Q738" i="134"/>
  <c r="S738" i="134" s="1"/>
  <c r="U738" i="134" s="1"/>
  <c r="R736" i="134"/>
  <c r="Q736" i="134"/>
  <c r="R734" i="134"/>
  <c r="T734" i="134" s="1"/>
  <c r="V734" i="134" s="1"/>
  <c r="Q734" i="134"/>
  <c r="S734" i="134" s="1"/>
  <c r="U734" i="134" s="1"/>
  <c r="Q733" i="134"/>
  <c r="S733" i="134" s="1"/>
  <c r="U733" i="134" s="1"/>
  <c r="Q732" i="134"/>
  <c r="S732" i="134" s="1"/>
  <c r="U732" i="134" s="1"/>
  <c r="Q731" i="134"/>
  <c r="S731" i="134" s="1"/>
  <c r="U731" i="134" s="1"/>
  <c r="R731" i="134"/>
  <c r="T731" i="134" s="1"/>
  <c r="V731" i="134" s="1"/>
  <c r="R730" i="134"/>
  <c r="T730" i="134" s="1"/>
  <c r="V730" i="134" s="1"/>
  <c r="Q730" i="134"/>
  <c r="S730" i="134" s="1"/>
  <c r="U730" i="134" s="1"/>
  <c r="Q729" i="134"/>
  <c r="S729" i="134" s="1"/>
  <c r="U729" i="134" s="1"/>
  <c r="R726" i="134"/>
  <c r="T726" i="134" s="1"/>
  <c r="V726" i="134" s="1"/>
  <c r="W726" i="134" s="1"/>
  <c r="Q726" i="134"/>
  <c r="S726" i="134" s="1"/>
  <c r="U726" i="134" s="1"/>
  <c r="R724" i="134"/>
  <c r="T724" i="134" s="1"/>
  <c r="V724" i="134" s="1"/>
  <c r="Q724" i="134"/>
  <c r="S724" i="134" s="1"/>
  <c r="U724" i="134" s="1"/>
  <c r="R722" i="134"/>
  <c r="T722" i="134" s="1"/>
  <c r="V722" i="134" s="1"/>
  <c r="W722" i="134" s="1"/>
  <c r="N777" i="134"/>
  <c r="N767" i="134"/>
  <c r="N745" i="134"/>
  <c r="N743" i="134"/>
  <c r="N727" i="134"/>
  <c r="N725" i="134"/>
  <c r="N723" i="134"/>
  <c r="M735" i="134"/>
  <c r="L713" i="134"/>
  <c r="M713" i="134" s="1"/>
  <c r="N713" i="134" s="1"/>
  <c r="L711" i="134"/>
  <c r="M711" i="134" s="1"/>
  <c r="N711" i="134" s="1"/>
  <c r="L709" i="134"/>
  <c r="M709" i="134" s="1"/>
  <c r="N709" i="134" s="1"/>
  <c r="M705" i="134"/>
  <c r="Q706" i="134"/>
  <c r="R706" i="134"/>
  <c r="N707" i="134"/>
  <c r="Q704" i="134"/>
  <c r="S704" i="134" s="1"/>
  <c r="U704" i="134" s="1"/>
  <c r="R704" i="134"/>
  <c r="T704" i="134" s="1"/>
  <c r="V704" i="134" s="1"/>
  <c r="R703" i="134"/>
  <c r="T703" i="134" s="1"/>
  <c r="V703" i="134" s="1"/>
  <c r="Q703" i="134"/>
  <c r="S703" i="134" s="1"/>
  <c r="U703" i="134" s="1"/>
  <c r="Q702" i="134"/>
  <c r="S702" i="134" s="1"/>
  <c r="U702" i="134" s="1"/>
  <c r="R702" i="134"/>
  <c r="T702" i="134" s="1"/>
  <c r="V702" i="134" s="1"/>
  <c r="W702" i="134" s="1"/>
  <c r="R699" i="134"/>
  <c r="T699" i="134" s="1"/>
  <c r="V699" i="134" s="1"/>
  <c r="Q699" i="134"/>
  <c r="S699" i="134" s="1"/>
  <c r="U699" i="134" s="1"/>
  <c r="Q698" i="134"/>
  <c r="S698" i="134" s="1"/>
  <c r="U698" i="134" s="1"/>
  <c r="R698" i="134"/>
  <c r="T698" i="134" s="1"/>
  <c r="V698" i="134" s="1"/>
  <c r="Q696" i="134"/>
  <c r="S696" i="134" s="1"/>
  <c r="U696" i="134" s="1"/>
  <c r="R696" i="134"/>
  <c r="T696" i="134" s="1"/>
  <c r="V696" i="134" s="1"/>
  <c r="W696" i="134" s="1"/>
  <c r="R695" i="134"/>
  <c r="T695" i="134" s="1"/>
  <c r="V695" i="134" s="1"/>
  <c r="Q695" i="134"/>
  <c r="S695" i="134" s="1"/>
  <c r="U695" i="134" s="1"/>
  <c r="Q694" i="134"/>
  <c r="S694" i="134" s="1"/>
  <c r="U694" i="134" s="1"/>
  <c r="R694" i="134"/>
  <c r="T694" i="134" s="1"/>
  <c r="V694" i="134" s="1"/>
  <c r="W694" i="134" s="1"/>
  <c r="R691" i="134"/>
  <c r="T691" i="134" s="1"/>
  <c r="V691" i="134" s="1"/>
  <c r="Q691" i="134"/>
  <c r="S691" i="134" s="1"/>
  <c r="U691" i="134" s="1"/>
  <c r="Q690" i="134"/>
  <c r="S690" i="134" s="1"/>
  <c r="U690" i="134" s="1"/>
  <c r="R690" i="134"/>
  <c r="T690" i="134" s="1"/>
  <c r="V690" i="134" s="1"/>
  <c r="Q688" i="134"/>
  <c r="S688" i="134" s="1"/>
  <c r="U688" i="134" s="1"/>
  <c r="R688" i="134"/>
  <c r="T688" i="134" s="1"/>
  <c r="V688" i="134" s="1"/>
  <c r="W688" i="134" s="1"/>
  <c r="R687" i="134"/>
  <c r="T687" i="134" s="1"/>
  <c r="V687" i="134" s="1"/>
  <c r="Q687" i="134"/>
  <c r="S687" i="134" s="1"/>
  <c r="U687" i="134" s="1"/>
  <c r="Q686" i="134"/>
  <c r="S686" i="134" s="1"/>
  <c r="U686" i="134" s="1"/>
  <c r="R686" i="134"/>
  <c r="T686" i="134" s="1"/>
  <c r="V686" i="134" s="1"/>
  <c r="W686" i="134" s="1"/>
  <c r="N685" i="134"/>
  <c r="J705" i="134"/>
  <c r="R683" i="134"/>
  <c r="T683" i="134" s="1"/>
  <c r="V683" i="134" s="1"/>
  <c r="Q683" i="134"/>
  <c r="S683" i="134" s="1"/>
  <c r="U683" i="134" s="1"/>
  <c r="R681" i="134"/>
  <c r="T681" i="134" s="1"/>
  <c r="V681" i="134" s="1"/>
  <c r="Q681" i="134"/>
  <c r="S681" i="134" s="1"/>
  <c r="U681" i="134" s="1"/>
  <c r="Q680" i="134"/>
  <c r="S680" i="134" s="1"/>
  <c r="U680" i="134" s="1"/>
  <c r="R680" i="134"/>
  <c r="T680" i="134" s="1"/>
  <c r="V680" i="134" s="1"/>
  <c r="W680" i="134" s="1"/>
  <c r="R679" i="134"/>
  <c r="T679" i="134" s="1"/>
  <c r="V679" i="134" s="1"/>
  <c r="Q679" i="134"/>
  <c r="S679" i="134" s="1"/>
  <c r="U679" i="134" s="1"/>
  <c r="R677" i="134"/>
  <c r="T677" i="134" s="1"/>
  <c r="V677" i="134" s="1"/>
  <c r="Q677" i="134"/>
  <c r="S677" i="134" s="1"/>
  <c r="U677" i="134" s="1"/>
  <c r="Q676" i="134"/>
  <c r="S676" i="134" s="1"/>
  <c r="U676" i="134" s="1"/>
  <c r="R676" i="134"/>
  <c r="T676" i="134" s="1"/>
  <c r="V676" i="134" s="1"/>
  <c r="W676" i="134" s="1"/>
  <c r="R675" i="134"/>
  <c r="T675" i="134" s="1"/>
  <c r="V675" i="134" s="1"/>
  <c r="Q675" i="134"/>
  <c r="S675" i="134" s="1"/>
  <c r="U675" i="134" s="1"/>
  <c r="R673" i="134"/>
  <c r="T673" i="134" s="1"/>
  <c r="V673" i="134" s="1"/>
  <c r="Q673" i="134"/>
  <c r="S673" i="134" s="1"/>
  <c r="U673" i="134" s="1"/>
  <c r="Q672" i="134"/>
  <c r="S672" i="134" s="1"/>
  <c r="U672" i="134" s="1"/>
  <c r="R672" i="134"/>
  <c r="T672" i="134" s="1"/>
  <c r="V672" i="134" s="1"/>
  <c r="W672" i="134" s="1"/>
  <c r="R671" i="134"/>
  <c r="T671" i="134" s="1"/>
  <c r="V671" i="134" s="1"/>
  <c r="Q671" i="134"/>
  <c r="S671" i="134" s="1"/>
  <c r="U671" i="134" s="1"/>
  <c r="R669" i="134"/>
  <c r="T669" i="134" s="1"/>
  <c r="V669" i="134" s="1"/>
  <c r="Q669" i="134"/>
  <c r="S669" i="134" s="1"/>
  <c r="U669" i="134" s="1"/>
  <c r="Q668" i="134"/>
  <c r="S668" i="134" s="1"/>
  <c r="U668" i="134" s="1"/>
  <c r="R668" i="134"/>
  <c r="T668" i="134" s="1"/>
  <c r="V668" i="134" s="1"/>
  <c r="R667" i="134"/>
  <c r="T667" i="134" s="1"/>
  <c r="V667" i="134" s="1"/>
  <c r="Q667" i="134"/>
  <c r="S667" i="134" s="1"/>
  <c r="U667" i="134" s="1"/>
  <c r="R665" i="134"/>
  <c r="T665" i="134" s="1"/>
  <c r="V665" i="134" s="1"/>
  <c r="Q665" i="134"/>
  <c r="S665" i="134" s="1"/>
  <c r="U665" i="134" s="1"/>
  <c r="Q664" i="134"/>
  <c r="S664" i="134" s="1"/>
  <c r="U664" i="134" s="1"/>
  <c r="R664" i="134"/>
  <c r="T664" i="134" s="1"/>
  <c r="V664" i="134" s="1"/>
  <c r="R663" i="134"/>
  <c r="T663" i="134" s="1"/>
  <c r="V663" i="134" s="1"/>
  <c r="W663" i="134" s="1"/>
  <c r="Q663" i="134"/>
  <c r="S663" i="134" s="1"/>
  <c r="U663" i="134" s="1"/>
  <c r="R661" i="134"/>
  <c r="T661" i="134" s="1"/>
  <c r="V661" i="134" s="1"/>
  <c r="Q661" i="134"/>
  <c r="S661" i="134" s="1"/>
  <c r="U661" i="134" s="1"/>
  <c r="Q660" i="134"/>
  <c r="S660" i="134" s="1"/>
  <c r="U660" i="134" s="1"/>
  <c r="R660" i="134"/>
  <c r="T660" i="134" s="1"/>
  <c r="V660" i="134" s="1"/>
  <c r="R659" i="134"/>
  <c r="T659" i="134" s="1"/>
  <c r="V659" i="134" s="1"/>
  <c r="Q659" i="134"/>
  <c r="S659" i="134" s="1"/>
  <c r="U659" i="134" s="1"/>
  <c r="R657" i="134"/>
  <c r="T657" i="134" s="1"/>
  <c r="V657" i="134" s="1"/>
  <c r="Q657" i="134"/>
  <c r="S657" i="134" s="1"/>
  <c r="U657" i="134" s="1"/>
  <c r="Q656" i="134"/>
  <c r="S656" i="134" s="1"/>
  <c r="U656" i="134" s="1"/>
  <c r="R656" i="134"/>
  <c r="T656" i="134" s="1"/>
  <c r="V656" i="134" s="1"/>
  <c r="R655" i="134"/>
  <c r="T655" i="134" s="1"/>
  <c r="V655" i="134" s="1"/>
  <c r="Q655" i="134"/>
  <c r="S655" i="134" s="1"/>
  <c r="U655" i="134" s="1"/>
  <c r="R653" i="134"/>
  <c r="T653" i="134" s="1"/>
  <c r="V653" i="134" s="1"/>
  <c r="Q653" i="134"/>
  <c r="S653" i="134" s="1"/>
  <c r="U653" i="134" s="1"/>
  <c r="Q652" i="134"/>
  <c r="S652" i="134" s="1"/>
  <c r="U652" i="134" s="1"/>
  <c r="R652" i="134"/>
  <c r="T652" i="134" s="1"/>
  <c r="V652" i="134" s="1"/>
  <c r="W652" i="134" s="1"/>
  <c r="R651" i="134"/>
  <c r="T651" i="134" s="1"/>
  <c r="V651" i="134" s="1"/>
  <c r="Q651" i="134"/>
  <c r="S651" i="134" s="1"/>
  <c r="U651" i="134" s="1"/>
  <c r="R649" i="134"/>
  <c r="T649" i="134" s="1"/>
  <c r="V649" i="134" s="1"/>
  <c r="Q649" i="134"/>
  <c r="S649" i="134" s="1"/>
  <c r="U649" i="134" s="1"/>
  <c r="Q648" i="134"/>
  <c r="S648" i="134" s="1"/>
  <c r="U648" i="134" s="1"/>
  <c r="R648" i="134"/>
  <c r="T648" i="134" s="1"/>
  <c r="V648" i="134" s="1"/>
  <c r="W648" i="134" s="1"/>
  <c r="R647" i="134"/>
  <c r="T647" i="134" s="1"/>
  <c r="V647" i="134" s="1"/>
  <c r="W647" i="134" s="1"/>
  <c r="Q647" i="134"/>
  <c r="S647" i="134" s="1"/>
  <c r="U647" i="134" s="1"/>
  <c r="R645" i="134"/>
  <c r="T645" i="134" s="1"/>
  <c r="V645" i="134" s="1"/>
  <c r="Q645" i="134"/>
  <c r="S645" i="134" s="1"/>
  <c r="U645" i="134" s="1"/>
  <c r="Q644" i="134"/>
  <c r="S644" i="134" s="1"/>
  <c r="U644" i="134" s="1"/>
  <c r="R644" i="134"/>
  <c r="T644" i="134" s="1"/>
  <c r="V644" i="134" s="1"/>
  <c r="W644" i="134" s="1"/>
  <c r="R643" i="134"/>
  <c r="T643" i="134" s="1"/>
  <c r="V643" i="134" s="1"/>
  <c r="Q643" i="134"/>
  <c r="S643" i="134" s="1"/>
  <c r="U643" i="134" s="1"/>
  <c r="R641" i="134"/>
  <c r="T641" i="134" s="1"/>
  <c r="V641" i="134" s="1"/>
  <c r="W641" i="134" s="1"/>
  <c r="Q641" i="134"/>
  <c r="S641" i="134" s="1"/>
  <c r="U641" i="134" s="1"/>
  <c r="Q640" i="134"/>
  <c r="S640" i="134" s="1"/>
  <c r="U640" i="134" s="1"/>
  <c r="R640" i="134"/>
  <c r="T640" i="134" s="1"/>
  <c r="V640" i="134" s="1"/>
  <c r="W640" i="134" s="1"/>
  <c r="R639" i="134"/>
  <c r="T639" i="134" s="1"/>
  <c r="V639" i="134" s="1"/>
  <c r="Q639" i="134"/>
  <c r="S639" i="134" s="1"/>
  <c r="U639" i="134" s="1"/>
  <c r="R637" i="134"/>
  <c r="T637" i="134" s="1"/>
  <c r="V637" i="134" s="1"/>
  <c r="Q637" i="134"/>
  <c r="S637" i="134" s="1"/>
  <c r="U637" i="134" s="1"/>
  <c r="Q636" i="134"/>
  <c r="S636" i="134" s="1"/>
  <c r="U636" i="134" s="1"/>
  <c r="R636" i="134"/>
  <c r="T636" i="134" s="1"/>
  <c r="V636" i="134" s="1"/>
  <c r="W636" i="134" s="1"/>
  <c r="R635" i="134"/>
  <c r="T635" i="134" s="1"/>
  <c r="V635" i="134" s="1"/>
  <c r="Q635" i="134"/>
  <c r="S635" i="134" s="1"/>
  <c r="U635" i="134" s="1"/>
  <c r="R633" i="134"/>
  <c r="T633" i="134" s="1"/>
  <c r="V633" i="134" s="1"/>
  <c r="W633" i="134" s="1"/>
  <c r="Q633" i="134"/>
  <c r="S633" i="134" s="1"/>
  <c r="U633" i="134" s="1"/>
  <c r="Q632" i="134"/>
  <c r="S632" i="134" s="1"/>
  <c r="U632" i="134" s="1"/>
  <c r="R632" i="134"/>
  <c r="T632" i="134" s="1"/>
  <c r="V632" i="134" s="1"/>
  <c r="W632" i="134" s="1"/>
  <c r="R631" i="134"/>
  <c r="T631" i="134" s="1"/>
  <c r="V631" i="134" s="1"/>
  <c r="W631" i="134" s="1"/>
  <c r="Q631" i="134"/>
  <c r="S631" i="134" s="1"/>
  <c r="U631" i="134" s="1"/>
  <c r="R629" i="134"/>
  <c r="T629" i="134" s="1"/>
  <c r="V629" i="134" s="1"/>
  <c r="Q629" i="134"/>
  <c r="S629" i="134" s="1"/>
  <c r="U629" i="134" s="1"/>
  <c r="Q628" i="134"/>
  <c r="S628" i="134" s="1"/>
  <c r="U628" i="134" s="1"/>
  <c r="R628" i="134"/>
  <c r="T628" i="134" s="1"/>
  <c r="V628" i="134" s="1"/>
  <c r="W628" i="134" s="1"/>
  <c r="R627" i="134"/>
  <c r="T627" i="134" s="1"/>
  <c r="V627" i="134" s="1"/>
  <c r="Q627" i="134"/>
  <c r="S627" i="134" s="1"/>
  <c r="U627" i="134" s="1"/>
  <c r="R625" i="134"/>
  <c r="T625" i="134" s="1"/>
  <c r="V625" i="134" s="1"/>
  <c r="W625" i="134" s="1"/>
  <c r="Q625" i="134"/>
  <c r="S625" i="134" s="1"/>
  <c r="U625" i="134" s="1"/>
  <c r="Q624" i="134"/>
  <c r="S624" i="134" s="1"/>
  <c r="U624" i="134" s="1"/>
  <c r="R624" i="134"/>
  <c r="T624" i="134" s="1"/>
  <c r="V624" i="134" s="1"/>
  <c r="W624" i="134" s="1"/>
  <c r="R623" i="134"/>
  <c r="T623" i="134" s="1"/>
  <c r="V623" i="134" s="1"/>
  <c r="W623" i="134" s="1"/>
  <c r="Q623" i="134"/>
  <c r="S623" i="134" s="1"/>
  <c r="U623" i="134" s="1"/>
  <c r="R621" i="134"/>
  <c r="T621" i="134" s="1"/>
  <c r="V621" i="134" s="1"/>
  <c r="Q621" i="134"/>
  <c r="S621" i="134" s="1"/>
  <c r="U621" i="134" s="1"/>
  <c r="Q620" i="134"/>
  <c r="S620" i="134" s="1"/>
  <c r="U620" i="134" s="1"/>
  <c r="R620" i="134"/>
  <c r="T620" i="134" s="1"/>
  <c r="V620" i="134" s="1"/>
  <c r="W620" i="134" s="1"/>
  <c r="R619" i="134"/>
  <c r="T619" i="134" s="1"/>
  <c r="V619" i="134" s="1"/>
  <c r="Q619" i="134"/>
  <c r="S619" i="134" s="1"/>
  <c r="U619" i="134" s="1"/>
  <c r="R617" i="134"/>
  <c r="T617" i="134" s="1"/>
  <c r="V617" i="134" s="1"/>
  <c r="W617" i="134" s="1"/>
  <c r="Q617" i="134"/>
  <c r="S617" i="134" s="1"/>
  <c r="U617" i="134" s="1"/>
  <c r="Q616" i="134"/>
  <c r="S616" i="134" s="1"/>
  <c r="U616" i="134" s="1"/>
  <c r="R616" i="134"/>
  <c r="T616" i="134" s="1"/>
  <c r="V616" i="134" s="1"/>
  <c r="W616" i="134" s="1"/>
  <c r="R615" i="134"/>
  <c r="T615" i="134" s="1"/>
  <c r="V615" i="134" s="1"/>
  <c r="W615" i="134" s="1"/>
  <c r="Q615" i="134"/>
  <c r="S615" i="134" s="1"/>
  <c r="U615" i="134" s="1"/>
  <c r="R613" i="134"/>
  <c r="T613" i="134" s="1"/>
  <c r="V613" i="134" s="1"/>
  <c r="Q613" i="134"/>
  <c r="S613" i="134" s="1"/>
  <c r="U613" i="134" s="1"/>
  <c r="Q612" i="134"/>
  <c r="S612" i="134" s="1"/>
  <c r="U612" i="134" s="1"/>
  <c r="R612" i="134"/>
  <c r="T612" i="134" s="1"/>
  <c r="V612" i="134" s="1"/>
  <c r="R611" i="134"/>
  <c r="T611" i="134" s="1"/>
  <c r="V611" i="134" s="1"/>
  <c r="Q611" i="134"/>
  <c r="S611" i="134" s="1"/>
  <c r="U611" i="134" s="1"/>
  <c r="R609" i="134"/>
  <c r="T609" i="134" s="1"/>
  <c r="V609" i="134" s="1"/>
  <c r="Q609" i="134"/>
  <c r="S609" i="134" s="1"/>
  <c r="U609" i="134" s="1"/>
  <c r="Q608" i="134"/>
  <c r="S608" i="134" s="1"/>
  <c r="U608" i="134" s="1"/>
  <c r="R608" i="134"/>
  <c r="T608" i="134" s="1"/>
  <c r="V608" i="134" s="1"/>
  <c r="W608" i="134" s="1"/>
  <c r="R607" i="134"/>
  <c r="T607" i="134" s="1"/>
  <c r="V607" i="134" s="1"/>
  <c r="W607" i="134" s="1"/>
  <c r="Q607" i="134"/>
  <c r="S607" i="134" s="1"/>
  <c r="U607" i="134" s="1"/>
  <c r="R605" i="134"/>
  <c r="T605" i="134" s="1"/>
  <c r="V605" i="134" s="1"/>
  <c r="Q605" i="134"/>
  <c r="S605" i="134" s="1"/>
  <c r="U605" i="134" s="1"/>
  <c r="Q604" i="134"/>
  <c r="S604" i="134" s="1"/>
  <c r="U604" i="134" s="1"/>
  <c r="R604" i="134"/>
  <c r="T604" i="134" s="1"/>
  <c r="V604" i="134" s="1"/>
  <c r="W604" i="134" s="1"/>
  <c r="R603" i="134"/>
  <c r="T603" i="134" s="1"/>
  <c r="V603" i="134" s="1"/>
  <c r="Q603" i="134"/>
  <c r="S603" i="134" s="1"/>
  <c r="U603" i="134" s="1"/>
  <c r="R601" i="134"/>
  <c r="T601" i="134" s="1"/>
  <c r="V601" i="134" s="1"/>
  <c r="W601" i="134" s="1"/>
  <c r="Q601" i="134"/>
  <c r="S601" i="134" s="1"/>
  <c r="U601" i="134" s="1"/>
  <c r="Q600" i="134"/>
  <c r="S600" i="134" s="1"/>
  <c r="U600" i="134" s="1"/>
  <c r="R600" i="134"/>
  <c r="T600" i="134" s="1"/>
  <c r="V600" i="134" s="1"/>
  <c r="W600" i="134" s="1"/>
  <c r="R599" i="134"/>
  <c r="T599" i="134" s="1"/>
  <c r="V599" i="134" s="1"/>
  <c r="W599" i="134" s="1"/>
  <c r="Q599" i="134"/>
  <c r="S599" i="134" s="1"/>
  <c r="U599" i="134" s="1"/>
  <c r="R597" i="134"/>
  <c r="T597" i="134" s="1"/>
  <c r="V597" i="134" s="1"/>
  <c r="Q597" i="134"/>
  <c r="S597" i="134" s="1"/>
  <c r="U597" i="134" s="1"/>
  <c r="Q596" i="134"/>
  <c r="S596" i="134" s="1"/>
  <c r="U596" i="134" s="1"/>
  <c r="R596" i="134"/>
  <c r="T596" i="134" s="1"/>
  <c r="V596" i="134" s="1"/>
  <c r="R595" i="134"/>
  <c r="T595" i="134" s="1"/>
  <c r="V595" i="134" s="1"/>
  <c r="Q595" i="134"/>
  <c r="S595" i="134" s="1"/>
  <c r="U595" i="134" s="1"/>
  <c r="R593" i="134"/>
  <c r="T593" i="134" s="1"/>
  <c r="V593" i="134" s="1"/>
  <c r="W593" i="134" s="1"/>
  <c r="Q593" i="134"/>
  <c r="S593" i="134" s="1"/>
  <c r="U593" i="134" s="1"/>
  <c r="Q592" i="134"/>
  <c r="S592" i="134" s="1"/>
  <c r="U592" i="134" s="1"/>
  <c r="R592" i="134"/>
  <c r="T592" i="134" s="1"/>
  <c r="V592" i="134" s="1"/>
  <c r="W592" i="134" s="1"/>
  <c r="R591" i="134"/>
  <c r="T591" i="134" s="1"/>
  <c r="V591" i="134" s="1"/>
  <c r="Q591" i="134"/>
  <c r="S591" i="134" s="1"/>
  <c r="U591" i="134" s="1"/>
  <c r="R589" i="134"/>
  <c r="T589" i="134" s="1"/>
  <c r="V589" i="134" s="1"/>
  <c r="Q589" i="134"/>
  <c r="S589" i="134" s="1"/>
  <c r="U589" i="134" s="1"/>
  <c r="Q588" i="134"/>
  <c r="S588" i="134" s="1"/>
  <c r="U588" i="134" s="1"/>
  <c r="R588" i="134"/>
  <c r="T588" i="134" s="1"/>
  <c r="V588" i="134" s="1"/>
  <c r="W588" i="134" s="1"/>
  <c r="R587" i="134"/>
  <c r="T587" i="134" s="1"/>
  <c r="V587" i="134" s="1"/>
  <c r="Q587" i="134"/>
  <c r="S587" i="134" s="1"/>
  <c r="U587" i="134" s="1"/>
  <c r="R585" i="134"/>
  <c r="T585" i="134" s="1"/>
  <c r="V585" i="134" s="1"/>
  <c r="Q585" i="134"/>
  <c r="S585" i="134" s="1"/>
  <c r="U585" i="134" s="1"/>
  <c r="Q584" i="134"/>
  <c r="S584" i="134" s="1"/>
  <c r="U584" i="134" s="1"/>
  <c r="R584" i="134"/>
  <c r="T584" i="134" s="1"/>
  <c r="V584" i="134" s="1"/>
  <c r="W584" i="134" s="1"/>
  <c r="R583" i="134"/>
  <c r="T583" i="134" s="1"/>
  <c r="V583" i="134" s="1"/>
  <c r="Q583" i="134"/>
  <c r="S583" i="134" s="1"/>
  <c r="U583" i="134" s="1"/>
  <c r="R581" i="134"/>
  <c r="T581" i="134" s="1"/>
  <c r="V581" i="134" s="1"/>
  <c r="Q581" i="134"/>
  <c r="S581" i="134" s="1"/>
  <c r="U581" i="134" s="1"/>
  <c r="Q580" i="134"/>
  <c r="S580" i="134" s="1"/>
  <c r="U580" i="134" s="1"/>
  <c r="R580" i="134"/>
  <c r="T580" i="134" s="1"/>
  <c r="V580" i="134" s="1"/>
  <c r="R579" i="134"/>
  <c r="T579" i="134" s="1"/>
  <c r="V579" i="134" s="1"/>
  <c r="Q579" i="134"/>
  <c r="S579" i="134" s="1"/>
  <c r="U579" i="134" s="1"/>
  <c r="R577" i="134"/>
  <c r="T577" i="134" s="1"/>
  <c r="V577" i="134" s="1"/>
  <c r="Q577" i="134"/>
  <c r="S577" i="134" s="1"/>
  <c r="U577" i="134" s="1"/>
  <c r="Q576" i="134"/>
  <c r="S576" i="134" s="1"/>
  <c r="U576" i="134" s="1"/>
  <c r="R576" i="134"/>
  <c r="T576" i="134" s="1"/>
  <c r="V576" i="134" s="1"/>
  <c r="R575" i="134"/>
  <c r="T575" i="134" s="1"/>
  <c r="V575" i="134" s="1"/>
  <c r="Q575" i="134"/>
  <c r="S575" i="134" s="1"/>
  <c r="U575" i="134" s="1"/>
  <c r="R573" i="134"/>
  <c r="T573" i="134" s="1"/>
  <c r="V573" i="134" s="1"/>
  <c r="Q573" i="134"/>
  <c r="S573" i="134" s="1"/>
  <c r="U573" i="134" s="1"/>
  <c r="Q572" i="134"/>
  <c r="S572" i="134" s="1"/>
  <c r="U572" i="134" s="1"/>
  <c r="R572" i="134"/>
  <c r="T572" i="134" s="1"/>
  <c r="V572" i="134" s="1"/>
  <c r="W572" i="134" s="1"/>
  <c r="R571" i="134"/>
  <c r="T571" i="134" s="1"/>
  <c r="V571" i="134" s="1"/>
  <c r="Q571" i="134"/>
  <c r="S571" i="134" s="1"/>
  <c r="U571" i="134" s="1"/>
  <c r="R569" i="134"/>
  <c r="T569" i="134" s="1"/>
  <c r="V569" i="134" s="1"/>
  <c r="W569" i="134" s="1"/>
  <c r="Q569" i="134"/>
  <c r="S569" i="134" s="1"/>
  <c r="U569" i="134" s="1"/>
  <c r="Q568" i="134"/>
  <c r="S568" i="134" s="1"/>
  <c r="U568" i="134" s="1"/>
  <c r="R568" i="134"/>
  <c r="T568" i="134" s="1"/>
  <c r="V568" i="134" s="1"/>
  <c r="W568" i="134" s="1"/>
  <c r="R567" i="134"/>
  <c r="T567" i="134" s="1"/>
  <c r="V567" i="134" s="1"/>
  <c r="Q567" i="134"/>
  <c r="S567" i="134" s="1"/>
  <c r="U567" i="134" s="1"/>
  <c r="R565" i="134"/>
  <c r="T565" i="134" s="1"/>
  <c r="V565" i="134" s="1"/>
  <c r="Q565" i="134"/>
  <c r="S565" i="134" s="1"/>
  <c r="U565" i="134" s="1"/>
  <c r="Q564" i="134"/>
  <c r="S564" i="134" s="1"/>
  <c r="U564" i="134" s="1"/>
  <c r="R564" i="134"/>
  <c r="T564" i="134" s="1"/>
  <c r="V564" i="134" s="1"/>
  <c r="W564" i="134" s="1"/>
  <c r="R563" i="134"/>
  <c r="T563" i="134" s="1"/>
  <c r="V563" i="134" s="1"/>
  <c r="Q563" i="134"/>
  <c r="S563" i="134" s="1"/>
  <c r="U563" i="134" s="1"/>
  <c r="R561" i="134"/>
  <c r="T561" i="134" s="1"/>
  <c r="V561" i="134" s="1"/>
  <c r="Q561" i="134"/>
  <c r="S561" i="134" s="1"/>
  <c r="U561" i="134" s="1"/>
  <c r="Q560" i="134"/>
  <c r="S560" i="134" s="1"/>
  <c r="U560" i="134" s="1"/>
  <c r="R560" i="134"/>
  <c r="T560" i="134" s="1"/>
  <c r="V560" i="134" s="1"/>
  <c r="R559" i="134"/>
  <c r="T559" i="134" s="1"/>
  <c r="V559" i="134" s="1"/>
  <c r="Q559" i="134"/>
  <c r="S559" i="134" s="1"/>
  <c r="U559" i="134" s="1"/>
  <c r="R557" i="134"/>
  <c r="T557" i="134" s="1"/>
  <c r="V557" i="134" s="1"/>
  <c r="Q557" i="134"/>
  <c r="S557" i="134" s="1"/>
  <c r="U557" i="134" s="1"/>
  <c r="Q556" i="134"/>
  <c r="S556" i="134" s="1"/>
  <c r="U556" i="134" s="1"/>
  <c r="R556" i="134"/>
  <c r="T556" i="134" s="1"/>
  <c r="V556" i="134" s="1"/>
  <c r="R555" i="134"/>
  <c r="T555" i="134" s="1"/>
  <c r="V555" i="134" s="1"/>
  <c r="Q555" i="134"/>
  <c r="S555" i="134" s="1"/>
  <c r="U555" i="134" s="1"/>
  <c r="R553" i="134"/>
  <c r="T553" i="134" s="1"/>
  <c r="V553" i="134" s="1"/>
  <c r="W553" i="134" s="1"/>
  <c r="Q553" i="134"/>
  <c r="S553" i="134" s="1"/>
  <c r="U553" i="134" s="1"/>
  <c r="Q552" i="134"/>
  <c r="S552" i="134" s="1"/>
  <c r="U552" i="134" s="1"/>
  <c r="R552" i="134"/>
  <c r="T552" i="134" s="1"/>
  <c r="V552" i="134" s="1"/>
  <c r="W552" i="134" s="1"/>
  <c r="R551" i="134"/>
  <c r="T551" i="134" s="1"/>
  <c r="V551" i="134" s="1"/>
  <c r="Q551" i="134"/>
  <c r="S551" i="134" s="1"/>
  <c r="U551" i="134" s="1"/>
  <c r="R549" i="134"/>
  <c r="T549" i="134" s="1"/>
  <c r="V549" i="134" s="1"/>
  <c r="Q549" i="134"/>
  <c r="S549" i="134" s="1"/>
  <c r="U549" i="134" s="1"/>
  <c r="Q548" i="134"/>
  <c r="S548" i="134" s="1"/>
  <c r="U548" i="134" s="1"/>
  <c r="R548" i="134"/>
  <c r="T548" i="134" s="1"/>
  <c r="V548" i="134" s="1"/>
  <c r="W548" i="134" s="1"/>
  <c r="R547" i="134"/>
  <c r="T547" i="134" s="1"/>
  <c r="V547" i="134" s="1"/>
  <c r="Q547" i="134"/>
  <c r="S547" i="134" s="1"/>
  <c r="U547" i="134" s="1"/>
  <c r="R545" i="134"/>
  <c r="T545" i="134" s="1"/>
  <c r="V545" i="134" s="1"/>
  <c r="W545" i="134" s="1"/>
  <c r="Q545" i="134"/>
  <c r="S545" i="134" s="1"/>
  <c r="U545" i="134" s="1"/>
  <c r="Q544" i="134"/>
  <c r="S544" i="134" s="1"/>
  <c r="U544" i="134" s="1"/>
  <c r="R544" i="134"/>
  <c r="T544" i="134" s="1"/>
  <c r="V544" i="134" s="1"/>
  <c r="W544" i="134" s="1"/>
  <c r="R543" i="134"/>
  <c r="T543" i="134" s="1"/>
  <c r="V543" i="134" s="1"/>
  <c r="Q543" i="134"/>
  <c r="S543" i="134" s="1"/>
  <c r="U543" i="134" s="1"/>
  <c r="R541" i="134"/>
  <c r="T541" i="134" s="1"/>
  <c r="V541" i="134" s="1"/>
  <c r="Q541" i="134"/>
  <c r="S541" i="134" s="1"/>
  <c r="U541" i="134" s="1"/>
  <c r="Q540" i="134"/>
  <c r="S540" i="134" s="1"/>
  <c r="U540" i="134" s="1"/>
  <c r="R540" i="134"/>
  <c r="T540" i="134" s="1"/>
  <c r="V540" i="134" s="1"/>
  <c r="W540" i="134" s="1"/>
  <c r="R539" i="134"/>
  <c r="T539" i="134" s="1"/>
  <c r="V539" i="134" s="1"/>
  <c r="Q539" i="134"/>
  <c r="S539" i="134" s="1"/>
  <c r="U539" i="134" s="1"/>
  <c r="R537" i="134"/>
  <c r="T537" i="134" s="1"/>
  <c r="V537" i="134" s="1"/>
  <c r="W537" i="134" s="1"/>
  <c r="Q537" i="134"/>
  <c r="S537" i="134" s="1"/>
  <c r="U537" i="134" s="1"/>
  <c r="Q536" i="134"/>
  <c r="S536" i="134" s="1"/>
  <c r="U536" i="134" s="1"/>
  <c r="R536" i="134"/>
  <c r="T536" i="134" s="1"/>
  <c r="V536" i="134" s="1"/>
  <c r="W536" i="134" s="1"/>
  <c r="R535" i="134"/>
  <c r="T535" i="134" s="1"/>
  <c r="V535" i="134" s="1"/>
  <c r="W535" i="134" s="1"/>
  <c r="Q535" i="134"/>
  <c r="S535" i="134" s="1"/>
  <c r="U535" i="134" s="1"/>
  <c r="R533" i="134"/>
  <c r="T533" i="134" s="1"/>
  <c r="V533" i="134" s="1"/>
  <c r="Q533" i="134"/>
  <c r="S533" i="134" s="1"/>
  <c r="U533" i="134" s="1"/>
  <c r="Q532" i="134"/>
  <c r="S532" i="134" s="1"/>
  <c r="U532" i="134" s="1"/>
  <c r="R532" i="134"/>
  <c r="T532" i="134" s="1"/>
  <c r="V532" i="134" s="1"/>
  <c r="W532" i="134" s="1"/>
  <c r="R531" i="134"/>
  <c r="T531" i="134" s="1"/>
  <c r="V531" i="134" s="1"/>
  <c r="Q531" i="134"/>
  <c r="S531" i="134" s="1"/>
  <c r="U531" i="134" s="1"/>
  <c r="R529" i="134"/>
  <c r="T529" i="134" s="1"/>
  <c r="V529" i="134" s="1"/>
  <c r="W529" i="134" s="1"/>
  <c r="Q529" i="134"/>
  <c r="S529" i="134" s="1"/>
  <c r="U529" i="134" s="1"/>
  <c r="Q528" i="134"/>
  <c r="S528" i="134" s="1"/>
  <c r="U528" i="134" s="1"/>
  <c r="R528" i="134"/>
  <c r="T528" i="134" s="1"/>
  <c r="V528" i="134" s="1"/>
  <c r="W528" i="134" s="1"/>
  <c r="R527" i="134"/>
  <c r="T527" i="134" s="1"/>
  <c r="V527" i="134" s="1"/>
  <c r="W527" i="134" s="1"/>
  <c r="Q527" i="134"/>
  <c r="S527" i="134" s="1"/>
  <c r="U527" i="134" s="1"/>
  <c r="R525" i="134"/>
  <c r="T525" i="134" s="1"/>
  <c r="V525" i="134" s="1"/>
  <c r="Q525" i="134"/>
  <c r="S525" i="134" s="1"/>
  <c r="U525" i="134" s="1"/>
  <c r="Q524" i="134"/>
  <c r="S524" i="134" s="1"/>
  <c r="U524" i="134" s="1"/>
  <c r="R524" i="134"/>
  <c r="T524" i="134" s="1"/>
  <c r="V524" i="134" s="1"/>
  <c r="R523" i="134"/>
  <c r="T523" i="134" s="1"/>
  <c r="V523" i="134" s="1"/>
  <c r="Q523" i="134"/>
  <c r="S523" i="134" s="1"/>
  <c r="U523" i="134" s="1"/>
  <c r="R521" i="134"/>
  <c r="T521" i="134" s="1"/>
  <c r="V521" i="134" s="1"/>
  <c r="W521" i="134" s="1"/>
  <c r="Q521" i="134"/>
  <c r="S521" i="134" s="1"/>
  <c r="U521" i="134" s="1"/>
  <c r="Q520" i="134"/>
  <c r="S520" i="134" s="1"/>
  <c r="U520" i="134" s="1"/>
  <c r="R520" i="134"/>
  <c r="T520" i="134" s="1"/>
  <c r="V520" i="134" s="1"/>
  <c r="W520" i="134" s="1"/>
  <c r="R519" i="134"/>
  <c r="T519" i="134" s="1"/>
  <c r="V519" i="134" s="1"/>
  <c r="Q519" i="134"/>
  <c r="S519" i="134" s="1"/>
  <c r="U519" i="134" s="1"/>
  <c r="N517" i="134"/>
  <c r="J684" i="134"/>
  <c r="Q516" i="134"/>
  <c r="S516" i="134" s="1"/>
  <c r="U516" i="134" s="1"/>
  <c r="R516" i="134"/>
  <c r="T516" i="134" s="1"/>
  <c r="V516" i="134" s="1"/>
  <c r="W516" i="134" s="1"/>
  <c r="J739" i="134"/>
  <c r="N714" i="134"/>
  <c r="N712" i="134"/>
  <c r="N710" i="134"/>
  <c r="N708" i="134"/>
  <c r="J707" i="134"/>
  <c r="L514" i="134"/>
  <c r="M514" i="134" s="1"/>
  <c r="N514" i="134" s="1"/>
  <c r="L512" i="134"/>
  <c r="M512" i="134" s="1"/>
  <c r="N512" i="134" s="1"/>
  <c r="L510" i="134"/>
  <c r="M510" i="134" s="1"/>
  <c r="N510" i="134" s="1"/>
  <c r="L508" i="134"/>
  <c r="M508" i="134" s="1"/>
  <c r="N508" i="134" s="1"/>
  <c r="L506" i="134"/>
  <c r="M506" i="134" s="1"/>
  <c r="M438" i="134"/>
  <c r="M430" i="134"/>
  <c r="M422" i="134"/>
  <c r="M403" i="134"/>
  <c r="R503" i="134"/>
  <c r="T503" i="134" s="1"/>
  <c r="V503" i="134" s="1"/>
  <c r="W503" i="134" s="1"/>
  <c r="Q503" i="134"/>
  <c r="S503" i="134" s="1"/>
  <c r="U503" i="134" s="1"/>
  <c r="Q502" i="134"/>
  <c r="S502" i="134" s="1"/>
  <c r="U502" i="134" s="1"/>
  <c r="R502" i="134"/>
  <c r="T502" i="134" s="1"/>
  <c r="V502" i="134" s="1"/>
  <c r="R501" i="134"/>
  <c r="T501" i="134" s="1"/>
  <c r="V501" i="134" s="1"/>
  <c r="W501" i="134" s="1"/>
  <c r="R500" i="134"/>
  <c r="T500" i="134" s="1"/>
  <c r="V500" i="134" s="1"/>
  <c r="R499" i="134"/>
  <c r="T499" i="134" s="1"/>
  <c r="V499" i="134" s="1"/>
  <c r="R497" i="134"/>
  <c r="T497" i="134" s="1"/>
  <c r="V497" i="134" s="1"/>
  <c r="W497" i="134" s="1"/>
  <c r="R496" i="134"/>
  <c r="T496" i="134" s="1"/>
  <c r="V496" i="134" s="1"/>
  <c r="R495" i="134"/>
  <c r="T495" i="134" s="1"/>
  <c r="V495" i="134" s="1"/>
  <c r="W495" i="134" s="1"/>
  <c r="Q495" i="134"/>
  <c r="S495" i="134" s="1"/>
  <c r="U495" i="134" s="1"/>
  <c r="R494" i="134"/>
  <c r="T494" i="134" s="1"/>
  <c r="V494" i="134" s="1"/>
  <c r="R493" i="134"/>
  <c r="T493" i="134" s="1"/>
  <c r="V493" i="134" s="1"/>
  <c r="W493" i="134" s="1"/>
  <c r="Q493" i="134"/>
  <c r="S493" i="134" s="1"/>
  <c r="U493" i="134" s="1"/>
  <c r="R491" i="134"/>
  <c r="T491" i="134" s="1"/>
  <c r="V491" i="134" s="1"/>
  <c r="R490" i="134"/>
  <c r="T490" i="134" s="1"/>
  <c r="V490" i="134" s="1"/>
  <c r="R489" i="134"/>
  <c r="T489" i="134" s="1"/>
  <c r="V489" i="134" s="1"/>
  <c r="W489" i="134" s="1"/>
  <c r="R487" i="134"/>
  <c r="T487" i="134" s="1"/>
  <c r="V487" i="134" s="1"/>
  <c r="W487" i="134" s="1"/>
  <c r="Q487" i="134"/>
  <c r="S487" i="134" s="1"/>
  <c r="U487" i="134" s="1"/>
  <c r="R485" i="134"/>
  <c r="T485" i="134" s="1"/>
  <c r="V485" i="134" s="1"/>
  <c r="W485" i="134" s="1"/>
  <c r="Q485" i="134"/>
  <c r="S485" i="134" s="1"/>
  <c r="U485" i="134" s="1"/>
  <c r="R484" i="134"/>
  <c r="T484" i="134" s="1"/>
  <c r="V484" i="134" s="1"/>
  <c r="R483" i="134"/>
  <c r="T483" i="134" s="1"/>
  <c r="V483" i="134" s="1"/>
  <c r="R481" i="134"/>
  <c r="T481" i="134" s="1"/>
  <c r="V481" i="134" s="1"/>
  <c r="W481" i="134" s="1"/>
  <c r="R480" i="134"/>
  <c r="T480" i="134" s="1"/>
  <c r="V480" i="134" s="1"/>
  <c r="R479" i="134"/>
  <c r="T479" i="134" s="1"/>
  <c r="V479" i="134" s="1"/>
  <c r="W479" i="134" s="1"/>
  <c r="Q479" i="134"/>
  <c r="S479" i="134" s="1"/>
  <c r="U479" i="134" s="1"/>
  <c r="R478" i="134"/>
  <c r="T478" i="134" s="1"/>
  <c r="V478" i="134" s="1"/>
  <c r="R477" i="134"/>
  <c r="T477" i="134" s="1"/>
  <c r="V477" i="134" s="1"/>
  <c r="W477" i="134" s="1"/>
  <c r="Q477" i="134"/>
  <c r="S477" i="134" s="1"/>
  <c r="U477" i="134" s="1"/>
  <c r="R475" i="134"/>
  <c r="T475" i="134" s="1"/>
  <c r="V475" i="134" s="1"/>
  <c r="R474" i="134"/>
  <c r="T474" i="134" s="1"/>
  <c r="V474" i="134" s="1"/>
  <c r="R473" i="134"/>
  <c r="T473" i="134" s="1"/>
  <c r="V473" i="134" s="1"/>
  <c r="W473" i="134" s="1"/>
  <c r="R471" i="134"/>
  <c r="T471" i="134" s="1"/>
  <c r="V471" i="134" s="1"/>
  <c r="W471" i="134" s="1"/>
  <c r="Q471" i="134"/>
  <c r="S471" i="134" s="1"/>
  <c r="U471" i="134" s="1"/>
  <c r="R469" i="134"/>
  <c r="T469" i="134" s="1"/>
  <c r="V469" i="134" s="1"/>
  <c r="W469" i="134" s="1"/>
  <c r="Q469" i="134"/>
  <c r="S469" i="134" s="1"/>
  <c r="U469" i="134" s="1"/>
  <c r="R468" i="134"/>
  <c r="T468" i="134" s="1"/>
  <c r="V468" i="134" s="1"/>
  <c r="R467" i="134"/>
  <c r="T467" i="134" s="1"/>
  <c r="V467" i="134" s="1"/>
  <c r="R465" i="134"/>
  <c r="T465" i="134" s="1"/>
  <c r="V465" i="134" s="1"/>
  <c r="W465" i="134" s="1"/>
  <c r="R464" i="134"/>
  <c r="T464" i="134" s="1"/>
  <c r="V464" i="134" s="1"/>
  <c r="R463" i="134"/>
  <c r="T463" i="134" s="1"/>
  <c r="V463" i="134" s="1"/>
  <c r="W463" i="134" s="1"/>
  <c r="Q463" i="134"/>
  <c r="S463" i="134" s="1"/>
  <c r="U463" i="134" s="1"/>
  <c r="R462" i="134"/>
  <c r="T462" i="134" s="1"/>
  <c r="V462" i="134" s="1"/>
  <c r="R461" i="134"/>
  <c r="T461" i="134" s="1"/>
  <c r="V461" i="134" s="1"/>
  <c r="W461" i="134" s="1"/>
  <c r="Q461" i="134"/>
  <c r="S461" i="134" s="1"/>
  <c r="U461" i="134" s="1"/>
  <c r="R459" i="134"/>
  <c r="T459" i="134" s="1"/>
  <c r="V459" i="134" s="1"/>
  <c r="R458" i="134"/>
  <c r="T458" i="134" s="1"/>
  <c r="V458" i="134" s="1"/>
  <c r="R457" i="134"/>
  <c r="T457" i="134" s="1"/>
  <c r="V457" i="134" s="1"/>
  <c r="W457" i="134" s="1"/>
  <c r="R455" i="134"/>
  <c r="T455" i="134" s="1"/>
  <c r="V455" i="134" s="1"/>
  <c r="W455" i="134" s="1"/>
  <c r="Q455" i="134"/>
  <c r="S455" i="134" s="1"/>
  <c r="U455" i="134" s="1"/>
  <c r="R453" i="134"/>
  <c r="T453" i="134" s="1"/>
  <c r="V453" i="134" s="1"/>
  <c r="W453" i="134" s="1"/>
  <c r="Q453" i="134"/>
  <c r="S453" i="134" s="1"/>
  <c r="U453" i="134" s="1"/>
  <c r="R452" i="134"/>
  <c r="T452" i="134" s="1"/>
  <c r="V452" i="134" s="1"/>
  <c r="R451" i="134"/>
  <c r="T451" i="134" s="1"/>
  <c r="V451" i="134" s="1"/>
  <c r="R449" i="134"/>
  <c r="T449" i="134" s="1"/>
  <c r="V449" i="134" s="1"/>
  <c r="W449" i="134" s="1"/>
  <c r="R448" i="134"/>
  <c r="T448" i="134" s="1"/>
  <c r="V448" i="134" s="1"/>
  <c r="R447" i="134"/>
  <c r="T447" i="134" s="1"/>
  <c r="V447" i="134" s="1"/>
  <c r="W447" i="134" s="1"/>
  <c r="Q447" i="134"/>
  <c r="S447" i="134" s="1"/>
  <c r="U447" i="134" s="1"/>
  <c r="R446" i="134"/>
  <c r="T446" i="134" s="1"/>
  <c r="V446" i="134" s="1"/>
  <c r="R445" i="134"/>
  <c r="T445" i="134" s="1"/>
  <c r="V445" i="134" s="1"/>
  <c r="W445" i="134" s="1"/>
  <c r="Q445" i="134"/>
  <c r="S445" i="134" s="1"/>
  <c r="U445" i="134" s="1"/>
  <c r="R443" i="134"/>
  <c r="T443" i="134" s="1"/>
  <c r="V443" i="134" s="1"/>
  <c r="R442" i="134"/>
  <c r="N440" i="134"/>
  <c r="R439" i="134"/>
  <c r="Q439" i="134"/>
  <c r="N441" i="134"/>
  <c r="R437" i="134"/>
  <c r="T437" i="134" s="1"/>
  <c r="V437" i="134" s="1"/>
  <c r="Q437" i="134"/>
  <c r="S437" i="134" s="1"/>
  <c r="U437" i="134" s="1"/>
  <c r="Q436" i="134"/>
  <c r="S436" i="134" s="1"/>
  <c r="U436" i="134" s="1"/>
  <c r="R436" i="134"/>
  <c r="T436" i="134" s="1"/>
  <c r="V436" i="134" s="1"/>
  <c r="W436" i="134" s="1"/>
  <c r="J438" i="134"/>
  <c r="N434" i="134"/>
  <c r="N432" i="134"/>
  <c r="J433" i="134"/>
  <c r="R431" i="134"/>
  <c r="Q431" i="134"/>
  <c r="N433" i="134"/>
  <c r="Q429" i="134"/>
  <c r="S429" i="134" s="1"/>
  <c r="U429" i="134" s="1"/>
  <c r="Q427" i="134"/>
  <c r="S427" i="134" s="1"/>
  <c r="U427" i="134" s="1"/>
  <c r="R425" i="134"/>
  <c r="T425" i="134" s="1"/>
  <c r="V425" i="134" s="1"/>
  <c r="Q425" i="134"/>
  <c r="S425" i="134" s="1"/>
  <c r="U425" i="134" s="1"/>
  <c r="R423" i="134"/>
  <c r="Q423" i="134"/>
  <c r="R421" i="134"/>
  <c r="T421" i="134" s="1"/>
  <c r="V421" i="134" s="1"/>
  <c r="Q421" i="134"/>
  <c r="S421" i="134" s="1"/>
  <c r="U421" i="134" s="1"/>
  <c r="Q420" i="134"/>
  <c r="S420" i="134" s="1"/>
  <c r="U420" i="134" s="1"/>
  <c r="R420" i="134"/>
  <c r="T420" i="134" s="1"/>
  <c r="V420" i="134" s="1"/>
  <c r="Q418" i="134"/>
  <c r="S418" i="134" s="1"/>
  <c r="U418" i="134" s="1"/>
  <c r="R418" i="134"/>
  <c r="T418" i="134" s="1"/>
  <c r="V418" i="134" s="1"/>
  <c r="W418" i="134" s="1"/>
  <c r="R417" i="134"/>
  <c r="T417" i="134" s="1"/>
  <c r="V417" i="134" s="1"/>
  <c r="Q417" i="134"/>
  <c r="S417" i="134" s="1"/>
  <c r="U417" i="134" s="1"/>
  <c r="Q416" i="134"/>
  <c r="S416" i="134" s="1"/>
  <c r="U416" i="134" s="1"/>
  <c r="R416" i="134"/>
  <c r="T416" i="134" s="1"/>
  <c r="V416" i="134" s="1"/>
  <c r="W416" i="134" s="1"/>
  <c r="Q414" i="134"/>
  <c r="S414" i="134" s="1"/>
  <c r="U414" i="134" s="1"/>
  <c r="R414" i="134"/>
  <c r="T414" i="134" s="1"/>
  <c r="V414" i="134" s="1"/>
  <c r="R413" i="134"/>
  <c r="T413" i="134" s="1"/>
  <c r="V413" i="134" s="1"/>
  <c r="Q413" i="134"/>
  <c r="S413" i="134" s="1"/>
  <c r="U413" i="134" s="1"/>
  <c r="Q412" i="134"/>
  <c r="S412" i="134" s="1"/>
  <c r="U412" i="134" s="1"/>
  <c r="R412" i="134"/>
  <c r="T412" i="134" s="1"/>
  <c r="V412" i="134" s="1"/>
  <c r="Q410" i="134"/>
  <c r="S410" i="134" s="1"/>
  <c r="U410" i="134" s="1"/>
  <c r="R410" i="134"/>
  <c r="T410" i="134" s="1"/>
  <c r="V410" i="134" s="1"/>
  <c r="R409" i="134"/>
  <c r="T409" i="134" s="1"/>
  <c r="V409" i="134" s="1"/>
  <c r="Q409" i="134"/>
  <c r="S409" i="134" s="1"/>
  <c r="U409" i="134" s="1"/>
  <c r="Q408" i="134"/>
  <c r="S408" i="134" s="1"/>
  <c r="U408" i="134" s="1"/>
  <c r="R408" i="134"/>
  <c r="T408" i="134" s="1"/>
  <c r="V408" i="134" s="1"/>
  <c r="Q406" i="134"/>
  <c r="S406" i="134" s="1"/>
  <c r="U406" i="134" s="1"/>
  <c r="R406" i="134"/>
  <c r="T406" i="134" s="1"/>
  <c r="V406" i="134" s="1"/>
  <c r="R405" i="134"/>
  <c r="T405" i="134" s="1"/>
  <c r="V405" i="134" s="1"/>
  <c r="Q405" i="134"/>
  <c r="S405" i="134" s="1"/>
  <c r="U405" i="134" s="1"/>
  <c r="J422" i="134"/>
  <c r="N404" i="134"/>
  <c r="R401" i="134"/>
  <c r="T401" i="134" s="1"/>
  <c r="V401" i="134" s="1"/>
  <c r="Q401" i="134"/>
  <c r="S401" i="134" s="1"/>
  <c r="U401" i="134" s="1"/>
  <c r="Q400" i="134"/>
  <c r="S400" i="134" s="1"/>
  <c r="U400" i="134" s="1"/>
  <c r="R400" i="134"/>
  <c r="T400" i="134" s="1"/>
  <c r="V400" i="134" s="1"/>
  <c r="R399" i="134"/>
  <c r="T399" i="134" s="1"/>
  <c r="V399" i="134" s="1"/>
  <c r="Q399" i="134"/>
  <c r="S399" i="134" s="1"/>
  <c r="U399" i="134" s="1"/>
  <c r="R397" i="134"/>
  <c r="T397" i="134" s="1"/>
  <c r="V397" i="134" s="1"/>
  <c r="W397" i="134" s="1"/>
  <c r="Q397" i="134"/>
  <c r="S397" i="134" s="1"/>
  <c r="U397" i="134" s="1"/>
  <c r="Q396" i="134"/>
  <c r="S396" i="134" s="1"/>
  <c r="U396" i="134" s="1"/>
  <c r="R396" i="134"/>
  <c r="T396" i="134" s="1"/>
  <c r="V396" i="134" s="1"/>
  <c r="R395" i="134"/>
  <c r="T395" i="134" s="1"/>
  <c r="V395" i="134" s="1"/>
  <c r="W395" i="134" s="1"/>
  <c r="Q395" i="134"/>
  <c r="S395" i="134" s="1"/>
  <c r="U395" i="134" s="1"/>
  <c r="R393" i="134"/>
  <c r="T393" i="134" s="1"/>
  <c r="V393" i="134" s="1"/>
  <c r="Q393" i="134"/>
  <c r="S393" i="134" s="1"/>
  <c r="U393" i="134" s="1"/>
  <c r="Q392" i="134"/>
  <c r="S392" i="134" s="1"/>
  <c r="U392" i="134" s="1"/>
  <c r="R392" i="134"/>
  <c r="T392" i="134" s="1"/>
  <c r="V392" i="134" s="1"/>
  <c r="R391" i="134"/>
  <c r="T391" i="134" s="1"/>
  <c r="V391" i="134" s="1"/>
  <c r="Q391" i="134"/>
  <c r="S391" i="134" s="1"/>
  <c r="U391" i="134" s="1"/>
  <c r="R389" i="134"/>
  <c r="T389" i="134" s="1"/>
  <c r="V389" i="134" s="1"/>
  <c r="W389" i="134" s="1"/>
  <c r="Q389" i="134"/>
  <c r="S389" i="134" s="1"/>
  <c r="U389" i="134" s="1"/>
  <c r="Q388" i="134"/>
  <c r="S388" i="134" s="1"/>
  <c r="U388" i="134" s="1"/>
  <c r="R388" i="134"/>
  <c r="T388" i="134" s="1"/>
  <c r="V388" i="134" s="1"/>
  <c r="R387" i="134"/>
  <c r="T387" i="134" s="1"/>
  <c r="V387" i="134" s="1"/>
  <c r="W387" i="134" s="1"/>
  <c r="Q387" i="134"/>
  <c r="S387" i="134" s="1"/>
  <c r="U387" i="134" s="1"/>
  <c r="R385" i="134"/>
  <c r="T385" i="134" s="1"/>
  <c r="V385" i="134" s="1"/>
  <c r="Q385" i="134"/>
  <c r="S385" i="134" s="1"/>
  <c r="U385" i="134" s="1"/>
  <c r="Q384" i="134"/>
  <c r="S384" i="134" s="1"/>
  <c r="U384" i="134" s="1"/>
  <c r="R384" i="134"/>
  <c r="T384" i="134" s="1"/>
  <c r="V384" i="134" s="1"/>
  <c r="R383" i="134"/>
  <c r="T383" i="134" s="1"/>
  <c r="V383" i="134" s="1"/>
  <c r="Q383" i="134"/>
  <c r="S383" i="134" s="1"/>
  <c r="U383" i="134" s="1"/>
  <c r="R381" i="134"/>
  <c r="T381" i="134" s="1"/>
  <c r="V381" i="134" s="1"/>
  <c r="W381" i="134" s="1"/>
  <c r="Q381" i="134"/>
  <c r="S381" i="134" s="1"/>
  <c r="U381" i="134" s="1"/>
  <c r="Q380" i="134"/>
  <c r="S380" i="134" s="1"/>
  <c r="U380" i="134" s="1"/>
  <c r="R380" i="134"/>
  <c r="T380" i="134" s="1"/>
  <c r="V380" i="134" s="1"/>
  <c r="R379" i="134"/>
  <c r="T379" i="134" s="1"/>
  <c r="V379" i="134" s="1"/>
  <c r="W379" i="134" s="1"/>
  <c r="Q379" i="134"/>
  <c r="S379" i="134" s="1"/>
  <c r="U379" i="134" s="1"/>
  <c r="Q378" i="134"/>
  <c r="S378" i="134" s="1"/>
  <c r="U378" i="134" s="1"/>
  <c r="R378" i="134"/>
  <c r="T378" i="134" s="1"/>
  <c r="V378" i="134" s="1"/>
  <c r="R377" i="134"/>
  <c r="T377" i="134" s="1"/>
  <c r="V377" i="134" s="1"/>
  <c r="R375" i="134"/>
  <c r="T375" i="134" s="1"/>
  <c r="V375" i="134" s="1"/>
  <c r="Q375" i="134"/>
  <c r="S375" i="134" s="1"/>
  <c r="U375" i="134" s="1"/>
  <c r="R373" i="134"/>
  <c r="T373" i="134" s="1"/>
  <c r="V373" i="134" s="1"/>
  <c r="W373" i="134" s="1"/>
  <c r="Q373" i="134"/>
  <c r="S373" i="134" s="1"/>
  <c r="U373" i="134" s="1"/>
  <c r="Q372" i="134"/>
  <c r="S372" i="134" s="1"/>
  <c r="U372" i="134" s="1"/>
  <c r="R372" i="134"/>
  <c r="T372" i="134" s="1"/>
  <c r="V372" i="134" s="1"/>
  <c r="R371" i="134"/>
  <c r="T371" i="134" s="1"/>
  <c r="V371" i="134" s="1"/>
  <c r="W371" i="134" s="1"/>
  <c r="Q371" i="134"/>
  <c r="S371" i="134" s="1"/>
  <c r="U371" i="134" s="1"/>
  <c r="Q370" i="134"/>
  <c r="S370" i="134" s="1"/>
  <c r="U370" i="134" s="1"/>
  <c r="R370" i="134"/>
  <c r="T370" i="134" s="1"/>
  <c r="V370" i="134" s="1"/>
  <c r="R369" i="134"/>
  <c r="T369" i="134" s="1"/>
  <c r="V369" i="134" s="1"/>
  <c r="W369" i="134" s="1"/>
  <c r="Q369" i="134"/>
  <c r="S369" i="134" s="1"/>
  <c r="U369" i="134" s="1"/>
  <c r="N368" i="134"/>
  <c r="J403" i="134"/>
  <c r="R367" i="134"/>
  <c r="Q367" i="134"/>
  <c r="R365" i="134"/>
  <c r="T365" i="134" s="1"/>
  <c r="V365" i="134" s="1"/>
  <c r="Q365" i="134"/>
  <c r="S365" i="134" s="1"/>
  <c r="U365" i="134" s="1"/>
  <c r="R363" i="134"/>
  <c r="T363" i="134" s="1"/>
  <c r="V363" i="134" s="1"/>
  <c r="Q363" i="134"/>
  <c r="S363" i="134" s="1"/>
  <c r="U363" i="134" s="1"/>
  <c r="R361" i="134"/>
  <c r="T361" i="134" s="1"/>
  <c r="V361" i="134" s="1"/>
  <c r="Q361" i="134"/>
  <c r="S361" i="134" s="1"/>
  <c r="U361" i="134" s="1"/>
  <c r="R359" i="134"/>
  <c r="T359" i="134" s="1"/>
  <c r="V359" i="134" s="1"/>
  <c r="Q359" i="134"/>
  <c r="S359" i="134" s="1"/>
  <c r="U359" i="134" s="1"/>
  <c r="Q358" i="134"/>
  <c r="S358" i="134" s="1"/>
  <c r="U358" i="134" s="1"/>
  <c r="R357" i="134"/>
  <c r="T357" i="134" s="1"/>
  <c r="V357" i="134" s="1"/>
  <c r="Q357" i="134"/>
  <c r="S357" i="134" s="1"/>
  <c r="U357" i="134" s="1"/>
  <c r="R355" i="134"/>
  <c r="T355" i="134" s="1"/>
  <c r="V355" i="134" s="1"/>
  <c r="Q355" i="134"/>
  <c r="S355" i="134" s="1"/>
  <c r="U355" i="134" s="1"/>
  <c r="R353" i="134"/>
  <c r="T353" i="134" s="1"/>
  <c r="V353" i="134" s="1"/>
  <c r="Q353" i="134"/>
  <c r="S353" i="134" s="1"/>
  <c r="U353" i="134" s="1"/>
  <c r="R351" i="134"/>
  <c r="T351" i="134" s="1"/>
  <c r="V351" i="134" s="1"/>
  <c r="Q351" i="134"/>
  <c r="S351" i="134" s="1"/>
  <c r="U351" i="134" s="1"/>
  <c r="Q350" i="134"/>
  <c r="S350" i="134" s="1"/>
  <c r="U350" i="134" s="1"/>
  <c r="R349" i="134"/>
  <c r="T349" i="134" s="1"/>
  <c r="V349" i="134" s="1"/>
  <c r="Q349" i="134"/>
  <c r="S349" i="134" s="1"/>
  <c r="U349" i="134" s="1"/>
  <c r="R347" i="134"/>
  <c r="T347" i="134" s="1"/>
  <c r="V347" i="134" s="1"/>
  <c r="Q347" i="134"/>
  <c r="S347" i="134" s="1"/>
  <c r="U347" i="134" s="1"/>
  <c r="Q345" i="134"/>
  <c r="S345" i="134" s="1"/>
  <c r="U345" i="134" s="1"/>
  <c r="Q343" i="134"/>
  <c r="S343" i="134" s="1"/>
  <c r="U343" i="134" s="1"/>
  <c r="Q342" i="134"/>
  <c r="S342" i="134" s="1"/>
  <c r="U342" i="134" s="1"/>
  <c r="Q340" i="134"/>
  <c r="S340" i="134" s="1"/>
  <c r="U340" i="134" s="1"/>
  <c r="R340" i="134"/>
  <c r="T340" i="134" s="1"/>
  <c r="V340" i="134" s="1"/>
  <c r="Q339" i="134"/>
  <c r="S339" i="134" s="1"/>
  <c r="U339" i="134" s="1"/>
  <c r="R335" i="134"/>
  <c r="T335" i="134" s="1"/>
  <c r="V335" i="134" s="1"/>
  <c r="Q335" i="134"/>
  <c r="S335" i="134" s="1"/>
  <c r="U335" i="134" s="1"/>
  <c r="Q332" i="134"/>
  <c r="S332" i="134" s="1"/>
  <c r="U332" i="134" s="1"/>
  <c r="R332" i="134"/>
  <c r="T332" i="134" s="1"/>
  <c r="V332" i="134" s="1"/>
  <c r="R331" i="134"/>
  <c r="T331" i="134" s="1"/>
  <c r="V331" i="134" s="1"/>
  <c r="Q331" i="134"/>
  <c r="S331" i="134" s="1"/>
  <c r="U331" i="134" s="1"/>
  <c r="Q330" i="134"/>
  <c r="S330" i="134" s="1"/>
  <c r="U330" i="134" s="1"/>
  <c r="R330" i="134"/>
  <c r="T330" i="134" s="1"/>
  <c r="V330" i="134" s="1"/>
  <c r="Q329" i="134"/>
  <c r="S329" i="134" s="1"/>
  <c r="U329" i="134" s="1"/>
  <c r="Q327" i="134"/>
  <c r="S327" i="134" s="1"/>
  <c r="U327" i="134" s="1"/>
  <c r="Q326" i="134"/>
  <c r="S326" i="134" s="1"/>
  <c r="U326" i="134" s="1"/>
  <c r="Q324" i="134"/>
  <c r="S324" i="134" s="1"/>
  <c r="U324" i="134" s="1"/>
  <c r="R324" i="134"/>
  <c r="T324" i="134" s="1"/>
  <c r="V324" i="134" s="1"/>
  <c r="Q323" i="134"/>
  <c r="S323" i="134" s="1"/>
  <c r="U323" i="134" s="1"/>
  <c r="N515" i="134"/>
  <c r="N513" i="134"/>
  <c r="N511" i="134"/>
  <c r="N505" i="134"/>
  <c r="Q300" i="134"/>
  <c r="S300" i="134" s="1"/>
  <c r="U300" i="134" s="1"/>
  <c r="R300" i="134"/>
  <c r="T300" i="134" s="1"/>
  <c r="V300" i="134" s="1"/>
  <c r="Q299" i="134"/>
  <c r="S299" i="134" s="1"/>
  <c r="U299" i="134" s="1"/>
  <c r="Q298" i="134"/>
  <c r="S298" i="134" s="1"/>
  <c r="U298" i="134" s="1"/>
  <c r="R298" i="134"/>
  <c r="T298" i="134" s="1"/>
  <c r="V298" i="134" s="1"/>
  <c r="R297" i="134"/>
  <c r="T297" i="134" s="1"/>
  <c r="V297" i="134" s="1"/>
  <c r="Q297" i="134"/>
  <c r="S297" i="134" s="1"/>
  <c r="U297" i="134" s="1"/>
  <c r="Q296" i="134"/>
  <c r="S296" i="134" s="1"/>
  <c r="U296" i="134" s="1"/>
  <c r="R296" i="134"/>
  <c r="T296" i="134" s="1"/>
  <c r="V296" i="134" s="1"/>
  <c r="Q294" i="134"/>
  <c r="S294" i="134" s="1"/>
  <c r="U294" i="134" s="1"/>
  <c r="Q291" i="134"/>
  <c r="S291" i="134" s="1"/>
  <c r="U291" i="134" s="1"/>
  <c r="Q290" i="134"/>
  <c r="S290" i="134" s="1"/>
  <c r="U290" i="134" s="1"/>
  <c r="R290" i="134"/>
  <c r="T290" i="134" s="1"/>
  <c r="V290" i="134" s="1"/>
  <c r="R289" i="134"/>
  <c r="T289" i="134" s="1"/>
  <c r="V289" i="134" s="1"/>
  <c r="Q289" i="134"/>
  <c r="S289" i="134" s="1"/>
  <c r="U289" i="134" s="1"/>
  <c r="Q288" i="134"/>
  <c r="S288" i="134" s="1"/>
  <c r="U288" i="134" s="1"/>
  <c r="Q286" i="134"/>
  <c r="S286" i="134" s="1"/>
  <c r="U286" i="134" s="1"/>
  <c r="R286" i="134"/>
  <c r="T286" i="134" s="1"/>
  <c r="V286" i="134" s="1"/>
  <c r="R285" i="134"/>
  <c r="T285" i="134" s="1"/>
  <c r="V285" i="134" s="1"/>
  <c r="Q285" i="134"/>
  <c r="S285" i="134" s="1"/>
  <c r="U285" i="134" s="1"/>
  <c r="Q283" i="134"/>
  <c r="S283" i="134" s="1"/>
  <c r="U283" i="134" s="1"/>
  <c r="Q282" i="134"/>
  <c r="S282" i="134" s="1"/>
  <c r="U282" i="134" s="1"/>
  <c r="R282" i="134"/>
  <c r="T282" i="134" s="1"/>
  <c r="V282" i="134" s="1"/>
  <c r="R281" i="134"/>
  <c r="T281" i="134" s="1"/>
  <c r="V281" i="134" s="1"/>
  <c r="Q281" i="134"/>
  <c r="S281" i="134" s="1"/>
  <c r="U281" i="134" s="1"/>
  <c r="Q280" i="134"/>
  <c r="S280" i="134" s="1"/>
  <c r="U280" i="134" s="1"/>
  <c r="Q278" i="134"/>
  <c r="S278" i="134" s="1"/>
  <c r="U278" i="134" s="1"/>
  <c r="Q277" i="134"/>
  <c r="S277" i="134" s="1"/>
  <c r="U277" i="134" s="1"/>
  <c r="Q275" i="134"/>
  <c r="S275" i="134" s="1"/>
  <c r="U275" i="134" s="1"/>
  <c r="Q274" i="134"/>
  <c r="S274" i="134" s="1"/>
  <c r="U274" i="134" s="1"/>
  <c r="R274" i="134"/>
  <c r="T274" i="134" s="1"/>
  <c r="V274" i="134" s="1"/>
  <c r="R273" i="134"/>
  <c r="T273" i="134" s="1"/>
  <c r="V273" i="134" s="1"/>
  <c r="Q273" i="134"/>
  <c r="S273" i="134" s="1"/>
  <c r="U273" i="134" s="1"/>
  <c r="Q270" i="134"/>
  <c r="S270" i="134" s="1"/>
  <c r="U270" i="134" s="1"/>
  <c r="R270" i="134"/>
  <c r="T270" i="134" s="1"/>
  <c r="V270" i="134" s="1"/>
  <c r="Q268" i="134"/>
  <c r="S268" i="134" s="1"/>
  <c r="U268" i="134" s="1"/>
  <c r="Q267" i="134"/>
  <c r="S267" i="134" s="1"/>
  <c r="U267" i="134" s="1"/>
  <c r="Q266" i="134"/>
  <c r="S266" i="134" s="1"/>
  <c r="U266" i="134" s="1"/>
  <c r="Q262" i="134"/>
  <c r="S262" i="134" s="1"/>
  <c r="U262" i="134" s="1"/>
  <c r="R262" i="134"/>
  <c r="T262" i="134" s="1"/>
  <c r="V262" i="134" s="1"/>
  <c r="R261" i="134"/>
  <c r="T261" i="134" s="1"/>
  <c r="V261" i="134" s="1"/>
  <c r="Q261" i="134"/>
  <c r="S261" i="134" s="1"/>
  <c r="U261" i="134" s="1"/>
  <c r="Q260" i="134"/>
  <c r="S260" i="134" s="1"/>
  <c r="U260" i="134" s="1"/>
  <c r="Q259" i="134"/>
  <c r="S259" i="134" s="1"/>
  <c r="U259" i="134" s="1"/>
  <c r="Q258" i="134"/>
  <c r="S258" i="134" s="1"/>
  <c r="U258" i="134" s="1"/>
  <c r="R258" i="134"/>
  <c r="T258" i="134" s="1"/>
  <c r="V258" i="134" s="1"/>
  <c r="Q256" i="134"/>
  <c r="S256" i="134" s="1"/>
  <c r="U256" i="134" s="1"/>
  <c r="Q254" i="134"/>
  <c r="S254" i="134" s="1"/>
  <c r="U254" i="134" s="1"/>
  <c r="R254" i="134"/>
  <c r="T254" i="134" s="1"/>
  <c r="V254" i="134" s="1"/>
  <c r="R253" i="134"/>
  <c r="T253" i="134" s="1"/>
  <c r="V253" i="134" s="1"/>
  <c r="Q253" i="134"/>
  <c r="S253" i="134" s="1"/>
  <c r="U253" i="134" s="1"/>
  <c r="Q251" i="134"/>
  <c r="S251" i="134" s="1"/>
  <c r="U251" i="134" s="1"/>
  <c r="Q250" i="134"/>
  <c r="S250" i="134" s="1"/>
  <c r="U250" i="134" s="1"/>
  <c r="R250" i="134"/>
  <c r="T250" i="134" s="1"/>
  <c r="V250" i="134" s="1"/>
  <c r="Q249" i="134"/>
  <c r="S249" i="134" s="1"/>
  <c r="U249" i="134" s="1"/>
  <c r="Q248" i="134"/>
  <c r="S248" i="134" s="1"/>
  <c r="U248" i="134" s="1"/>
  <c r="Q246" i="134"/>
  <c r="S246" i="134" s="1"/>
  <c r="U246" i="134" s="1"/>
  <c r="Q243" i="134"/>
  <c r="S243" i="134" s="1"/>
  <c r="U243" i="134" s="1"/>
  <c r="Q242" i="134"/>
  <c r="S242" i="134" s="1"/>
  <c r="U242" i="134" s="1"/>
  <c r="Q238" i="134"/>
  <c r="R238" i="134"/>
  <c r="R236" i="134"/>
  <c r="T236" i="134" s="1"/>
  <c r="V236" i="134" s="1"/>
  <c r="Q234" i="134"/>
  <c r="S234" i="134" s="1"/>
  <c r="U234" i="134" s="1"/>
  <c r="N233" i="134"/>
  <c r="J237" i="134"/>
  <c r="Q232" i="134"/>
  <c r="R232" i="134"/>
  <c r="Q230" i="134"/>
  <c r="S230" i="134" s="1"/>
  <c r="U230" i="134" s="1"/>
  <c r="R230" i="134"/>
  <c r="T230" i="134" s="1"/>
  <c r="V230" i="134" s="1"/>
  <c r="Q228" i="134"/>
  <c r="S228" i="134" s="1"/>
  <c r="U228" i="134" s="1"/>
  <c r="R226" i="134"/>
  <c r="T226" i="134" s="1"/>
  <c r="V226" i="134" s="1"/>
  <c r="Q224" i="134"/>
  <c r="S224" i="134" s="1"/>
  <c r="U224" i="134" s="1"/>
  <c r="R222" i="134"/>
  <c r="T222" i="134" s="1"/>
  <c r="V222" i="134" s="1"/>
  <c r="N221" i="134"/>
  <c r="N320" i="134"/>
  <c r="N318" i="134"/>
  <c r="N316" i="134"/>
  <c r="N314" i="134"/>
  <c r="N310" i="134"/>
  <c r="N308" i="134"/>
  <c r="N306" i="134"/>
  <c r="N302" i="134"/>
  <c r="N241" i="134"/>
  <c r="N229" i="134"/>
  <c r="N227" i="134"/>
  <c r="J430" i="134"/>
  <c r="Z321" i="134"/>
  <c r="L321" i="134"/>
  <c r="M321" i="134" s="1"/>
  <c r="N321" i="134" s="1"/>
  <c r="L319" i="134"/>
  <c r="M319" i="134" s="1"/>
  <c r="L317" i="134"/>
  <c r="M317" i="134" s="1"/>
  <c r="N317" i="134" s="1"/>
  <c r="L315" i="134"/>
  <c r="M315" i="134" s="1"/>
  <c r="N315" i="134" s="1"/>
  <c r="L313" i="134"/>
  <c r="M313" i="134" s="1"/>
  <c r="L311" i="134"/>
  <c r="M311" i="134" s="1"/>
  <c r="N311" i="134" s="1"/>
  <c r="L309" i="134"/>
  <c r="M309" i="134" s="1"/>
  <c r="N309" i="134" s="1"/>
  <c r="L307" i="134"/>
  <c r="M307" i="134" s="1"/>
  <c r="N307" i="134" s="1"/>
  <c r="L305" i="134"/>
  <c r="M305" i="134" s="1"/>
  <c r="L303" i="134"/>
  <c r="M303" i="134" s="1"/>
  <c r="R301" i="134"/>
  <c r="T301" i="134" s="1"/>
  <c r="V301" i="134" s="1"/>
  <c r="W301" i="134" s="1"/>
  <c r="M237" i="134"/>
  <c r="R218" i="134"/>
  <c r="T218" i="134" s="1"/>
  <c r="V218" i="134" s="1"/>
  <c r="Q218" i="134"/>
  <c r="S218" i="134" s="1"/>
  <c r="U218" i="134" s="1"/>
  <c r="R216" i="134"/>
  <c r="T216" i="134" s="1"/>
  <c r="V216" i="134" s="1"/>
  <c r="R214" i="134"/>
  <c r="Q214" i="134"/>
  <c r="R212" i="134"/>
  <c r="N213" i="134"/>
  <c r="Q212" i="134"/>
  <c r="Q145" i="134"/>
  <c r="S145" i="134" s="1"/>
  <c r="U145" i="134" s="1"/>
  <c r="R145" i="134"/>
  <c r="T145" i="134" s="1"/>
  <c r="V145" i="134" s="1"/>
  <c r="R144" i="134"/>
  <c r="T144" i="134" s="1"/>
  <c r="V144" i="134" s="1"/>
  <c r="Q144" i="134"/>
  <c r="S144" i="134" s="1"/>
  <c r="U144" i="134" s="1"/>
  <c r="Q143" i="134"/>
  <c r="S143" i="134" s="1"/>
  <c r="U143" i="134" s="1"/>
  <c r="R143" i="134"/>
  <c r="T143" i="134" s="1"/>
  <c r="V143" i="134" s="1"/>
  <c r="R142" i="134"/>
  <c r="T142" i="134" s="1"/>
  <c r="V142" i="134" s="1"/>
  <c r="Q142" i="134"/>
  <c r="S142" i="134" s="1"/>
  <c r="U142" i="134" s="1"/>
  <c r="Q141" i="134"/>
  <c r="S141" i="134" s="1"/>
  <c r="U141" i="134" s="1"/>
  <c r="R141" i="134"/>
  <c r="T141" i="134" s="1"/>
  <c r="V141" i="134" s="1"/>
  <c r="R140" i="134"/>
  <c r="T140" i="134" s="1"/>
  <c r="V140" i="134" s="1"/>
  <c r="Q140" i="134"/>
  <c r="S140" i="134" s="1"/>
  <c r="U140" i="134" s="1"/>
  <c r="Q139" i="134"/>
  <c r="S139" i="134" s="1"/>
  <c r="U139" i="134" s="1"/>
  <c r="R139" i="134"/>
  <c r="T139" i="134" s="1"/>
  <c r="V139" i="134" s="1"/>
  <c r="Q135" i="134"/>
  <c r="S135" i="134" s="1"/>
  <c r="U135" i="134" s="1"/>
  <c r="R135" i="134"/>
  <c r="T135" i="134" s="1"/>
  <c r="V135" i="134" s="1"/>
  <c r="W135" i="134" s="1"/>
  <c r="R132" i="134"/>
  <c r="T132" i="134" s="1"/>
  <c r="V132" i="134" s="1"/>
  <c r="Q132" i="134"/>
  <c r="S132" i="134" s="1"/>
  <c r="U132" i="134" s="1"/>
  <c r="Q131" i="134"/>
  <c r="S131" i="134" s="1"/>
  <c r="U131" i="134" s="1"/>
  <c r="R131" i="134"/>
  <c r="T131" i="134" s="1"/>
  <c r="V131" i="134" s="1"/>
  <c r="W131" i="134" s="1"/>
  <c r="Q125" i="134"/>
  <c r="S125" i="134" s="1"/>
  <c r="U125" i="134" s="1"/>
  <c r="R125" i="134"/>
  <c r="T125" i="134" s="1"/>
  <c r="V125" i="134" s="1"/>
  <c r="Q123" i="134"/>
  <c r="S123" i="134" s="1"/>
  <c r="U123" i="134" s="1"/>
  <c r="R123" i="134"/>
  <c r="T123" i="134" s="1"/>
  <c r="V123" i="134" s="1"/>
  <c r="W123" i="134" s="1"/>
  <c r="Q117" i="134"/>
  <c r="S117" i="134" s="1"/>
  <c r="U117" i="134" s="1"/>
  <c r="R117" i="134"/>
  <c r="T117" i="134" s="1"/>
  <c r="V117" i="134" s="1"/>
  <c r="W117" i="134" s="1"/>
  <c r="Q115" i="134"/>
  <c r="S115" i="134" s="1"/>
  <c r="U115" i="134" s="1"/>
  <c r="R115" i="134"/>
  <c r="T115" i="134" s="1"/>
  <c r="V115" i="134" s="1"/>
  <c r="N215" i="134"/>
  <c r="M209" i="134"/>
  <c r="N128" i="134"/>
  <c r="N126" i="134"/>
  <c r="N124" i="134"/>
  <c r="N122" i="134"/>
  <c r="R210" i="134"/>
  <c r="N211" i="134"/>
  <c r="Q210" i="134"/>
  <c r="Q207" i="134"/>
  <c r="S207" i="134" s="1"/>
  <c r="U207" i="134" s="1"/>
  <c r="R207" i="134"/>
  <c r="T207" i="134" s="1"/>
  <c r="V207" i="134" s="1"/>
  <c r="Q206" i="134"/>
  <c r="S206" i="134" s="1"/>
  <c r="U206" i="134" s="1"/>
  <c r="Q205" i="134"/>
  <c r="S205" i="134" s="1"/>
  <c r="U205" i="134" s="1"/>
  <c r="R205" i="134"/>
  <c r="T205" i="134" s="1"/>
  <c r="V205" i="134" s="1"/>
  <c r="Q204" i="134"/>
  <c r="S204" i="134" s="1"/>
  <c r="U204" i="134" s="1"/>
  <c r="Q203" i="134"/>
  <c r="S203" i="134" s="1"/>
  <c r="U203" i="134" s="1"/>
  <c r="J209" i="134"/>
  <c r="N201" i="134"/>
  <c r="N199" i="134"/>
  <c r="J200" i="134"/>
  <c r="R196" i="134"/>
  <c r="T196" i="134" s="1"/>
  <c r="V196" i="134" s="1"/>
  <c r="Q196" i="134"/>
  <c r="S196" i="134" s="1"/>
  <c r="U196" i="134" s="1"/>
  <c r="R194" i="134"/>
  <c r="T194" i="134" s="1"/>
  <c r="V194" i="134" s="1"/>
  <c r="Q194" i="134"/>
  <c r="S194" i="134" s="1"/>
  <c r="U194" i="134" s="1"/>
  <c r="R192" i="134"/>
  <c r="T192" i="134" s="1"/>
  <c r="V192" i="134" s="1"/>
  <c r="Q192" i="134"/>
  <c r="S192" i="134" s="1"/>
  <c r="U192" i="134" s="1"/>
  <c r="Q191" i="134"/>
  <c r="S191" i="134" s="1"/>
  <c r="U191" i="134" s="1"/>
  <c r="R191" i="134"/>
  <c r="T191" i="134" s="1"/>
  <c r="V191" i="134" s="1"/>
  <c r="W191" i="134" s="1"/>
  <c r="R190" i="134"/>
  <c r="T190" i="134" s="1"/>
  <c r="V190" i="134" s="1"/>
  <c r="Q190" i="134"/>
  <c r="S190" i="134" s="1"/>
  <c r="U190" i="134" s="1"/>
  <c r="R188" i="134"/>
  <c r="T188" i="134" s="1"/>
  <c r="V188" i="134" s="1"/>
  <c r="Q188" i="134"/>
  <c r="S188" i="134" s="1"/>
  <c r="U188" i="134" s="1"/>
  <c r="R186" i="134"/>
  <c r="T186" i="134" s="1"/>
  <c r="V186" i="134" s="1"/>
  <c r="Q186" i="134"/>
  <c r="S186" i="134" s="1"/>
  <c r="U186" i="134" s="1"/>
  <c r="R184" i="134"/>
  <c r="T184" i="134" s="1"/>
  <c r="V184" i="134" s="1"/>
  <c r="Q184" i="134"/>
  <c r="S184" i="134" s="1"/>
  <c r="U184" i="134" s="1"/>
  <c r="Q183" i="134"/>
  <c r="S183" i="134" s="1"/>
  <c r="U183" i="134" s="1"/>
  <c r="R183" i="134"/>
  <c r="T183" i="134" s="1"/>
  <c r="V183" i="134" s="1"/>
  <c r="W183" i="134" s="1"/>
  <c r="R182" i="134"/>
  <c r="T182" i="134" s="1"/>
  <c r="V182" i="134" s="1"/>
  <c r="Q182" i="134"/>
  <c r="S182" i="134" s="1"/>
  <c r="U182" i="134" s="1"/>
  <c r="R180" i="134"/>
  <c r="T180" i="134" s="1"/>
  <c r="V180" i="134" s="1"/>
  <c r="Q180" i="134"/>
  <c r="S180" i="134" s="1"/>
  <c r="U180" i="134" s="1"/>
  <c r="R178" i="134"/>
  <c r="T178" i="134" s="1"/>
  <c r="V178" i="134" s="1"/>
  <c r="Q178" i="134"/>
  <c r="S178" i="134" s="1"/>
  <c r="U178" i="134" s="1"/>
  <c r="R176" i="134"/>
  <c r="T176" i="134" s="1"/>
  <c r="V176" i="134" s="1"/>
  <c r="Q176" i="134"/>
  <c r="S176" i="134" s="1"/>
  <c r="U176" i="134" s="1"/>
  <c r="Q175" i="134"/>
  <c r="S175" i="134" s="1"/>
  <c r="U175" i="134" s="1"/>
  <c r="R175" i="134"/>
  <c r="T175" i="134" s="1"/>
  <c r="V175" i="134" s="1"/>
  <c r="W175" i="134" s="1"/>
  <c r="R174" i="134"/>
  <c r="T174" i="134" s="1"/>
  <c r="V174" i="134" s="1"/>
  <c r="Q174" i="134"/>
  <c r="S174" i="134" s="1"/>
  <c r="U174" i="134" s="1"/>
  <c r="Q173" i="134"/>
  <c r="S173" i="134" s="1"/>
  <c r="U173" i="134" s="1"/>
  <c r="R173" i="134"/>
  <c r="T173" i="134" s="1"/>
  <c r="V173" i="134" s="1"/>
  <c r="W173" i="134" s="1"/>
  <c r="R172" i="134"/>
  <c r="T172" i="134" s="1"/>
  <c r="V172" i="134" s="1"/>
  <c r="Q172" i="134"/>
  <c r="S172" i="134" s="1"/>
  <c r="U172" i="134" s="1"/>
  <c r="Q171" i="134"/>
  <c r="S171" i="134" s="1"/>
  <c r="U171" i="134" s="1"/>
  <c r="R171" i="134"/>
  <c r="T171" i="134" s="1"/>
  <c r="V171" i="134" s="1"/>
  <c r="W171" i="134" s="1"/>
  <c r="R170" i="134"/>
  <c r="T170" i="134" s="1"/>
  <c r="V170" i="134" s="1"/>
  <c r="Q170" i="134"/>
  <c r="S170" i="134" s="1"/>
  <c r="U170" i="134" s="1"/>
  <c r="R168" i="134"/>
  <c r="T168" i="134" s="1"/>
  <c r="V168" i="134" s="1"/>
  <c r="Q168" i="134"/>
  <c r="S168" i="134" s="1"/>
  <c r="U168" i="134" s="1"/>
  <c r="Q167" i="134"/>
  <c r="S167" i="134" s="1"/>
  <c r="U167" i="134" s="1"/>
  <c r="R167" i="134"/>
  <c r="T167" i="134" s="1"/>
  <c r="V167" i="134" s="1"/>
  <c r="W167" i="134" s="1"/>
  <c r="R166" i="134"/>
  <c r="T166" i="134" s="1"/>
  <c r="V166" i="134" s="1"/>
  <c r="Q166" i="134"/>
  <c r="S166" i="134" s="1"/>
  <c r="U166" i="134" s="1"/>
  <c r="R164" i="134"/>
  <c r="T164" i="134" s="1"/>
  <c r="V164" i="134" s="1"/>
  <c r="Q164" i="134"/>
  <c r="S164" i="134" s="1"/>
  <c r="U164" i="134" s="1"/>
  <c r="Q163" i="134"/>
  <c r="S163" i="134" s="1"/>
  <c r="U163" i="134" s="1"/>
  <c r="R163" i="134"/>
  <c r="T163" i="134" s="1"/>
  <c r="V163" i="134" s="1"/>
  <c r="W163" i="134" s="1"/>
  <c r="R162" i="134"/>
  <c r="T162" i="134" s="1"/>
  <c r="V162" i="134" s="1"/>
  <c r="Q162" i="134"/>
  <c r="S162" i="134" s="1"/>
  <c r="U162" i="134" s="1"/>
  <c r="R160" i="134"/>
  <c r="T160" i="134" s="1"/>
  <c r="V160" i="134" s="1"/>
  <c r="Q160" i="134"/>
  <c r="S160" i="134" s="1"/>
  <c r="U160" i="134" s="1"/>
  <c r="Q159" i="134"/>
  <c r="S159" i="134" s="1"/>
  <c r="U159" i="134" s="1"/>
  <c r="R159" i="134"/>
  <c r="T159" i="134" s="1"/>
  <c r="V159" i="134" s="1"/>
  <c r="W159" i="134" s="1"/>
  <c r="R158" i="134"/>
  <c r="T158" i="134" s="1"/>
  <c r="V158" i="134" s="1"/>
  <c r="Q158" i="134"/>
  <c r="S158" i="134" s="1"/>
  <c r="U158" i="134" s="1"/>
  <c r="R156" i="134"/>
  <c r="T156" i="134" s="1"/>
  <c r="V156" i="134" s="1"/>
  <c r="Q156" i="134"/>
  <c r="S156" i="134" s="1"/>
  <c r="U156" i="134" s="1"/>
  <c r="Q155" i="134"/>
  <c r="S155" i="134" s="1"/>
  <c r="U155" i="134" s="1"/>
  <c r="R155" i="134"/>
  <c r="T155" i="134" s="1"/>
  <c r="V155" i="134" s="1"/>
  <c r="W155" i="134" s="1"/>
  <c r="R154" i="134"/>
  <c r="T154" i="134" s="1"/>
  <c r="V154" i="134" s="1"/>
  <c r="Q154" i="134"/>
  <c r="S154" i="134" s="1"/>
  <c r="U154" i="134" s="1"/>
  <c r="R152" i="134"/>
  <c r="T152" i="134" s="1"/>
  <c r="V152" i="134" s="1"/>
  <c r="Q152" i="134"/>
  <c r="S152" i="134" s="1"/>
  <c r="U152" i="134" s="1"/>
  <c r="Q151" i="134"/>
  <c r="S151" i="134" s="1"/>
  <c r="U151" i="134" s="1"/>
  <c r="R151" i="134"/>
  <c r="T151" i="134" s="1"/>
  <c r="V151" i="134" s="1"/>
  <c r="W151" i="134" s="1"/>
  <c r="R150" i="134"/>
  <c r="T150" i="134" s="1"/>
  <c r="V150" i="134" s="1"/>
  <c r="Q150" i="134"/>
  <c r="S150" i="134" s="1"/>
  <c r="U150" i="134" s="1"/>
  <c r="R146" i="134"/>
  <c r="T146" i="134" s="1"/>
  <c r="V146" i="134" s="1"/>
  <c r="Q146" i="134"/>
  <c r="S146" i="134" s="1"/>
  <c r="U146" i="134" s="1"/>
  <c r="R138" i="134"/>
  <c r="T138" i="134" s="1"/>
  <c r="V138" i="134" s="1"/>
  <c r="Q138" i="134"/>
  <c r="S138" i="134" s="1"/>
  <c r="U138" i="134" s="1"/>
  <c r="R134" i="134"/>
  <c r="T134" i="134" s="1"/>
  <c r="V134" i="134" s="1"/>
  <c r="Q134" i="134"/>
  <c r="S134" i="134" s="1"/>
  <c r="U134" i="134" s="1"/>
  <c r="Q133" i="134"/>
  <c r="S133" i="134" s="1"/>
  <c r="U133" i="134" s="1"/>
  <c r="R133" i="134"/>
  <c r="T133" i="134" s="1"/>
  <c r="V133" i="134" s="1"/>
  <c r="W133" i="134" s="1"/>
  <c r="R130" i="134"/>
  <c r="T130" i="134" s="1"/>
  <c r="V130" i="134" s="1"/>
  <c r="Q130" i="134"/>
  <c r="S130" i="134" s="1"/>
  <c r="U130" i="134" s="1"/>
  <c r="Q129" i="134"/>
  <c r="S129" i="134" s="1"/>
  <c r="U129" i="134" s="1"/>
  <c r="R129" i="134"/>
  <c r="T129" i="134" s="1"/>
  <c r="V129" i="134" s="1"/>
  <c r="W129" i="134" s="1"/>
  <c r="N149" i="134"/>
  <c r="N147" i="134"/>
  <c r="M197" i="134"/>
  <c r="R103" i="134"/>
  <c r="T103" i="134" s="1"/>
  <c r="V103" i="134" s="1"/>
  <c r="Q103" i="134"/>
  <c r="S103" i="134" s="1"/>
  <c r="U103" i="134" s="1"/>
  <c r="Q102" i="134"/>
  <c r="S102" i="134" s="1"/>
  <c r="U102" i="134" s="1"/>
  <c r="R102" i="134"/>
  <c r="T102" i="134" s="1"/>
  <c r="V102" i="134" s="1"/>
  <c r="W102" i="134" s="1"/>
  <c r="Q98" i="134"/>
  <c r="S98" i="134" s="1"/>
  <c r="U98" i="134" s="1"/>
  <c r="R98" i="134"/>
  <c r="T98" i="134" s="1"/>
  <c r="V98" i="134" s="1"/>
  <c r="Q96" i="134"/>
  <c r="S96" i="134" s="1"/>
  <c r="U96" i="134" s="1"/>
  <c r="R96" i="134"/>
  <c r="T96" i="134" s="1"/>
  <c r="V96" i="134" s="1"/>
  <c r="J99" i="134"/>
  <c r="Q94" i="134"/>
  <c r="S94" i="134" s="1"/>
  <c r="U94" i="134" s="1"/>
  <c r="M79" i="134"/>
  <c r="R113" i="134"/>
  <c r="T113" i="134" s="1"/>
  <c r="V113" i="134" s="1"/>
  <c r="Q112" i="134"/>
  <c r="S112" i="134" s="1"/>
  <c r="U112" i="134" s="1"/>
  <c r="R112" i="134"/>
  <c r="T112" i="134" s="1"/>
  <c r="V112" i="134" s="1"/>
  <c r="W112" i="134" s="1"/>
  <c r="R111" i="134"/>
  <c r="T111" i="134" s="1"/>
  <c r="V111" i="134" s="1"/>
  <c r="Q111" i="134"/>
  <c r="S111" i="134" s="1"/>
  <c r="U111" i="134" s="1"/>
  <c r="Q110" i="134"/>
  <c r="S110" i="134" s="1"/>
  <c r="U110" i="134" s="1"/>
  <c r="R110" i="134"/>
  <c r="T110" i="134" s="1"/>
  <c r="V110" i="134" s="1"/>
  <c r="W110" i="134" s="1"/>
  <c r="R109" i="134"/>
  <c r="T109" i="134" s="1"/>
  <c r="V109" i="134" s="1"/>
  <c r="Q109" i="134"/>
  <c r="S109" i="134" s="1"/>
  <c r="U109" i="134" s="1"/>
  <c r="R108" i="134"/>
  <c r="T108" i="134" s="1"/>
  <c r="V108" i="134" s="1"/>
  <c r="W108" i="134" s="1"/>
  <c r="R107" i="134"/>
  <c r="T107" i="134" s="1"/>
  <c r="V107" i="134" s="1"/>
  <c r="Q106" i="134"/>
  <c r="S106" i="134" s="1"/>
  <c r="U106" i="134" s="1"/>
  <c r="R106" i="134"/>
  <c r="T106" i="134" s="1"/>
  <c r="V106" i="134" s="1"/>
  <c r="W106" i="134" s="1"/>
  <c r="R101" i="134"/>
  <c r="T101" i="134" s="1"/>
  <c r="V101" i="134" s="1"/>
  <c r="N93" i="134"/>
  <c r="Q92" i="134"/>
  <c r="R92" i="134"/>
  <c r="Q88" i="134"/>
  <c r="S88" i="134" s="1"/>
  <c r="U88" i="134" s="1"/>
  <c r="R88" i="134"/>
  <c r="T88" i="134" s="1"/>
  <c r="V88" i="134" s="1"/>
  <c r="Q84" i="134"/>
  <c r="S84" i="134" s="1"/>
  <c r="U84" i="134" s="1"/>
  <c r="R84" i="134"/>
  <c r="T84" i="134" s="1"/>
  <c r="V84" i="134" s="1"/>
  <c r="W84" i="134" s="1"/>
  <c r="N81" i="134"/>
  <c r="Q80" i="134"/>
  <c r="R80" i="134"/>
  <c r="Q78" i="134"/>
  <c r="S78" i="134" s="1"/>
  <c r="U78" i="134" s="1"/>
  <c r="R78" i="134"/>
  <c r="T78" i="134" s="1"/>
  <c r="V78" i="134" s="1"/>
  <c r="Q76" i="134"/>
  <c r="S76" i="134" s="1"/>
  <c r="U76" i="134" s="1"/>
  <c r="R76" i="134"/>
  <c r="T76" i="134" s="1"/>
  <c r="V76" i="134" s="1"/>
  <c r="W76" i="134" s="1"/>
  <c r="Q74" i="134"/>
  <c r="S74" i="134" s="1"/>
  <c r="U74" i="134" s="1"/>
  <c r="R74" i="134"/>
  <c r="T74" i="134" s="1"/>
  <c r="V74" i="134" s="1"/>
  <c r="Q72" i="134"/>
  <c r="S72" i="134" s="1"/>
  <c r="U72" i="134" s="1"/>
  <c r="R72" i="134"/>
  <c r="T72" i="134" s="1"/>
  <c r="V72" i="134" s="1"/>
  <c r="W72" i="134" s="1"/>
  <c r="Q70" i="134"/>
  <c r="S70" i="134" s="1"/>
  <c r="U70" i="134" s="1"/>
  <c r="R70" i="134"/>
  <c r="T70" i="134" s="1"/>
  <c r="V70" i="134" s="1"/>
  <c r="Q68" i="134"/>
  <c r="S68" i="134" s="1"/>
  <c r="U68" i="134" s="1"/>
  <c r="R68" i="134"/>
  <c r="T68" i="134" s="1"/>
  <c r="V68" i="134" s="1"/>
  <c r="W68" i="134" s="1"/>
  <c r="Q66" i="134"/>
  <c r="S66" i="134" s="1"/>
  <c r="U66" i="134" s="1"/>
  <c r="R66" i="134"/>
  <c r="T66" i="134" s="1"/>
  <c r="V66" i="134" s="1"/>
  <c r="N63" i="134"/>
  <c r="J79" i="134"/>
  <c r="J211" i="134"/>
  <c r="N114" i="134"/>
  <c r="N89" i="134"/>
  <c r="N87" i="134"/>
  <c r="N77" i="134"/>
  <c r="N75" i="134"/>
  <c r="N73" i="134"/>
  <c r="N71" i="134"/>
  <c r="N69" i="134"/>
  <c r="N67" i="134"/>
  <c r="N65" i="134"/>
  <c r="Q48" i="134"/>
  <c r="S48" i="134" s="1"/>
  <c r="U48" i="134" s="1"/>
  <c r="R48" i="134"/>
  <c r="T48" i="134" s="1"/>
  <c r="V48" i="134" s="1"/>
  <c r="Q46" i="134"/>
  <c r="S46" i="134" s="1"/>
  <c r="U46" i="134" s="1"/>
  <c r="R46" i="134"/>
  <c r="T46" i="134" s="1"/>
  <c r="V46" i="134" s="1"/>
  <c r="Q44" i="134"/>
  <c r="S44" i="134" s="1"/>
  <c r="U44" i="134" s="1"/>
  <c r="R44" i="134"/>
  <c r="T44" i="134" s="1"/>
  <c r="V44" i="134" s="1"/>
  <c r="W44" i="134" s="1"/>
  <c r="N43" i="134"/>
  <c r="Q42" i="134"/>
  <c r="R42" i="134"/>
  <c r="Q24" i="134"/>
  <c r="S24" i="134" s="1"/>
  <c r="U24" i="134" s="1"/>
  <c r="R24" i="134"/>
  <c r="T24" i="134" s="1"/>
  <c r="V24" i="134" s="1"/>
  <c r="R23" i="134"/>
  <c r="T23" i="134" s="1"/>
  <c r="V23" i="134" s="1"/>
  <c r="Q23" i="134"/>
  <c r="S23" i="134" s="1"/>
  <c r="U23" i="134" s="1"/>
  <c r="Q22" i="134"/>
  <c r="S22" i="134" s="1"/>
  <c r="U22" i="134" s="1"/>
  <c r="Q20" i="134"/>
  <c r="S20" i="134" s="1"/>
  <c r="U20" i="134" s="1"/>
  <c r="R20" i="134"/>
  <c r="T20" i="134" s="1"/>
  <c r="V20" i="134" s="1"/>
  <c r="R19" i="134"/>
  <c r="T19" i="134" s="1"/>
  <c r="V19" i="134" s="1"/>
  <c r="Q19" i="134"/>
  <c r="S19" i="134" s="1"/>
  <c r="U19" i="134" s="1"/>
  <c r="Q18" i="134"/>
  <c r="S18" i="134" s="1"/>
  <c r="U18" i="134" s="1"/>
  <c r="Q17" i="134"/>
  <c r="S17" i="134" s="1"/>
  <c r="U17" i="134" s="1"/>
  <c r="N16" i="134"/>
  <c r="J41" i="134"/>
  <c r="R62" i="134"/>
  <c r="M58" i="134"/>
  <c r="N47" i="134"/>
  <c r="N60" i="134"/>
  <c r="J61" i="134"/>
  <c r="R59" i="134"/>
  <c r="Q59" i="134"/>
  <c r="N61" i="134"/>
  <c r="R57" i="134"/>
  <c r="T57" i="134" s="1"/>
  <c r="V57" i="134" s="1"/>
  <c r="Q57" i="134"/>
  <c r="S57" i="134" s="1"/>
  <c r="U57" i="134" s="1"/>
  <c r="Q56" i="134"/>
  <c r="S56" i="134" s="1"/>
  <c r="U56" i="134" s="1"/>
  <c r="R56" i="134"/>
  <c r="T56" i="134" s="1"/>
  <c r="V56" i="134" s="1"/>
  <c r="R55" i="134"/>
  <c r="T55" i="134" s="1"/>
  <c r="V55" i="134" s="1"/>
  <c r="Q55" i="134"/>
  <c r="S55" i="134" s="1"/>
  <c r="U55" i="134" s="1"/>
  <c r="R53" i="134"/>
  <c r="T53" i="134" s="1"/>
  <c r="V53" i="134" s="1"/>
  <c r="Q53" i="134"/>
  <c r="S53" i="134" s="1"/>
  <c r="U53" i="134" s="1"/>
  <c r="J58" i="134"/>
  <c r="N52" i="134"/>
  <c r="N50" i="134"/>
  <c r="J51" i="134"/>
  <c r="R39" i="134"/>
  <c r="T39" i="134" s="1"/>
  <c r="V39" i="134" s="1"/>
  <c r="Q39" i="134"/>
  <c r="S39" i="134" s="1"/>
  <c r="U39" i="134" s="1"/>
  <c r="Q38" i="134"/>
  <c r="S38" i="134" s="1"/>
  <c r="U38" i="134" s="1"/>
  <c r="R38" i="134"/>
  <c r="T38" i="134" s="1"/>
  <c r="V38" i="134" s="1"/>
  <c r="R37" i="134"/>
  <c r="T37" i="134" s="1"/>
  <c r="V37" i="134" s="1"/>
  <c r="Q37" i="134"/>
  <c r="S37" i="134" s="1"/>
  <c r="U37" i="134" s="1"/>
  <c r="Q36" i="134"/>
  <c r="S36" i="134" s="1"/>
  <c r="U36" i="134" s="1"/>
  <c r="R36" i="134"/>
  <c r="T36" i="134" s="1"/>
  <c r="V36" i="134" s="1"/>
  <c r="R35" i="134"/>
  <c r="T35" i="134" s="1"/>
  <c r="V35" i="134" s="1"/>
  <c r="Q35" i="134"/>
  <c r="S35" i="134" s="1"/>
  <c r="U35" i="134" s="1"/>
  <c r="Q34" i="134"/>
  <c r="S34" i="134" s="1"/>
  <c r="U34" i="134" s="1"/>
  <c r="R34" i="134"/>
  <c r="T34" i="134" s="1"/>
  <c r="V34" i="134" s="1"/>
  <c r="R31" i="134"/>
  <c r="T31" i="134" s="1"/>
  <c r="V31" i="134" s="1"/>
  <c r="W31" i="134" s="1"/>
  <c r="Q31" i="134"/>
  <c r="S31" i="134" s="1"/>
  <c r="U31" i="134" s="1"/>
  <c r="R27" i="134"/>
  <c r="T27" i="134" s="1"/>
  <c r="V27" i="134" s="1"/>
  <c r="Q27" i="134"/>
  <c r="S27" i="134" s="1"/>
  <c r="U27" i="134" s="1"/>
  <c r="R25" i="134"/>
  <c r="T25" i="134" s="1"/>
  <c r="V25" i="134" s="1"/>
  <c r="Q25" i="134"/>
  <c r="S25" i="134" s="1"/>
  <c r="U25" i="134" s="1"/>
  <c r="Q14" i="134"/>
  <c r="S14" i="134" s="1"/>
  <c r="U14" i="134" s="1"/>
  <c r="R14" i="134"/>
  <c r="T14" i="134" s="1"/>
  <c r="V14" i="134" s="1"/>
  <c r="R13" i="134"/>
  <c r="T13" i="134" s="1"/>
  <c r="V13" i="134" s="1"/>
  <c r="Q13" i="134"/>
  <c r="S13" i="134" s="1"/>
  <c r="U13" i="134" s="1"/>
  <c r="Q12" i="134"/>
  <c r="S12" i="134" s="1"/>
  <c r="U12" i="134" s="1"/>
  <c r="R12" i="134"/>
  <c r="T12" i="134" s="1"/>
  <c r="V12" i="134" s="1"/>
  <c r="N11" i="134"/>
  <c r="N54" i="134"/>
  <c r="M49" i="134"/>
  <c r="N32" i="134"/>
  <c r="N30" i="134"/>
  <c r="N28" i="134"/>
  <c r="N26" i="134"/>
  <c r="R82" i="134" l="1"/>
  <c r="T82" i="134" s="1"/>
  <c r="V82" i="134" s="1"/>
  <c r="Q82" i="134"/>
  <c r="S82" i="134" s="1"/>
  <c r="U82" i="134" s="1"/>
  <c r="R90" i="134"/>
  <c r="T90" i="134" s="1"/>
  <c r="V90" i="134" s="1"/>
  <c r="Q90" i="134"/>
  <c r="S90" i="134" s="1"/>
  <c r="U90" i="134" s="1"/>
  <c r="R127" i="134"/>
  <c r="T127" i="134" s="1"/>
  <c r="V127" i="134" s="1"/>
  <c r="W127" i="134" s="1"/>
  <c r="Q127" i="134"/>
  <c r="S127" i="134" s="1"/>
  <c r="U127" i="134" s="1"/>
  <c r="W179" i="134"/>
  <c r="R40" i="134"/>
  <c r="T40" i="134" s="1"/>
  <c r="V40" i="134" s="1"/>
  <c r="W475" i="134"/>
  <c r="W539" i="134"/>
  <c r="W547" i="134"/>
  <c r="W557" i="134"/>
  <c r="W563" i="134"/>
  <c r="W573" i="134"/>
  <c r="W597" i="134"/>
  <c r="W619" i="134"/>
  <c r="W627" i="134"/>
  <c r="W643" i="134"/>
  <c r="W651" i="134"/>
  <c r="M91" i="134"/>
  <c r="R522" i="134"/>
  <c r="T522" i="134" s="1"/>
  <c r="V522" i="134" s="1"/>
  <c r="Q522" i="134"/>
  <c r="S522" i="134" s="1"/>
  <c r="U522" i="134" s="1"/>
  <c r="R530" i="134"/>
  <c r="T530" i="134" s="1"/>
  <c r="V530" i="134" s="1"/>
  <c r="W530" i="134" s="1"/>
  <c r="Q530" i="134"/>
  <c r="S530" i="134" s="1"/>
  <c r="U530" i="134" s="1"/>
  <c r="R538" i="134"/>
  <c r="T538" i="134" s="1"/>
  <c r="V538" i="134" s="1"/>
  <c r="Q538" i="134"/>
  <c r="S538" i="134" s="1"/>
  <c r="U538" i="134" s="1"/>
  <c r="R546" i="134"/>
  <c r="T546" i="134" s="1"/>
  <c r="V546" i="134" s="1"/>
  <c r="W546" i="134" s="1"/>
  <c r="Q546" i="134"/>
  <c r="S546" i="134" s="1"/>
  <c r="U546" i="134" s="1"/>
  <c r="R550" i="134"/>
  <c r="T550" i="134" s="1"/>
  <c r="V550" i="134" s="1"/>
  <c r="Q550" i="134"/>
  <c r="S550" i="134" s="1"/>
  <c r="U550" i="134" s="1"/>
  <c r="W342" i="134"/>
  <c r="R558" i="134"/>
  <c r="T558" i="134" s="1"/>
  <c r="V558" i="134" s="1"/>
  <c r="W558" i="134" s="1"/>
  <c r="Q558" i="134"/>
  <c r="S558" i="134" s="1"/>
  <c r="U558" i="134" s="1"/>
  <c r="R566" i="134"/>
  <c r="T566" i="134" s="1"/>
  <c r="V566" i="134" s="1"/>
  <c r="Q566" i="134"/>
  <c r="S566" i="134" s="1"/>
  <c r="U566" i="134" s="1"/>
  <c r="R574" i="134"/>
  <c r="T574" i="134" s="1"/>
  <c r="V574" i="134" s="1"/>
  <c r="W574" i="134" s="1"/>
  <c r="Q574" i="134"/>
  <c r="S574" i="134" s="1"/>
  <c r="U574" i="134" s="1"/>
  <c r="R582" i="134"/>
  <c r="T582" i="134" s="1"/>
  <c r="V582" i="134" s="1"/>
  <c r="Q582" i="134"/>
  <c r="S582" i="134" s="1"/>
  <c r="U582" i="134" s="1"/>
  <c r="R590" i="134"/>
  <c r="T590" i="134" s="1"/>
  <c r="V590" i="134" s="1"/>
  <c r="Q590" i="134"/>
  <c r="S590" i="134" s="1"/>
  <c r="U590" i="134" s="1"/>
  <c r="R598" i="134"/>
  <c r="T598" i="134" s="1"/>
  <c r="V598" i="134" s="1"/>
  <c r="Q598" i="134"/>
  <c r="S598" i="134" s="1"/>
  <c r="U598" i="134" s="1"/>
  <c r="R610" i="134"/>
  <c r="T610" i="134" s="1"/>
  <c r="V610" i="134" s="1"/>
  <c r="Q610" i="134"/>
  <c r="S610" i="134" s="1"/>
  <c r="U610" i="134" s="1"/>
  <c r="R618" i="134"/>
  <c r="T618" i="134" s="1"/>
  <c r="V618" i="134" s="1"/>
  <c r="Q618" i="134"/>
  <c r="S618" i="134" s="1"/>
  <c r="U618" i="134" s="1"/>
  <c r="R626" i="134"/>
  <c r="T626" i="134" s="1"/>
  <c r="V626" i="134" s="1"/>
  <c r="W626" i="134" s="1"/>
  <c r="Q626" i="134"/>
  <c r="S626" i="134" s="1"/>
  <c r="U626" i="134" s="1"/>
  <c r="R634" i="134"/>
  <c r="T634" i="134" s="1"/>
  <c r="V634" i="134" s="1"/>
  <c r="Q634" i="134"/>
  <c r="S634" i="134" s="1"/>
  <c r="U634" i="134" s="1"/>
  <c r="R642" i="134"/>
  <c r="T642" i="134" s="1"/>
  <c r="V642" i="134" s="1"/>
  <c r="W642" i="134" s="1"/>
  <c r="Q642" i="134"/>
  <c r="S642" i="134" s="1"/>
  <c r="U642" i="134" s="1"/>
  <c r="R650" i="134"/>
  <c r="T650" i="134" s="1"/>
  <c r="V650" i="134" s="1"/>
  <c r="Q650" i="134"/>
  <c r="S650" i="134" s="1"/>
  <c r="U650" i="134" s="1"/>
  <c r="W650" i="134" s="1"/>
  <c r="R658" i="134"/>
  <c r="T658" i="134" s="1"/>
  <c r="V658" i="134" s="1"/>
  <c r="Q658" i="134"/>
  <c r="S658" i="134" s="1"/>
  <c r="U658" i="134" s="1"/>
  <c r="R662" i="134"/>
  <c r="T662" i="134" s="1"/>
  <c r="V662" i="134" s="1"/>
  <c r="Q662" i="134"/>
  <c r="S662" i="134" s="1"/>
  <c r="U662" i="134" s="1"/>
  <c r="R670" i="134"/>
  <c r="T670" i="134" s="1"/>
  <c r="V670" i="134" s="1"/>
  <c r="W670" i="134" s="1"/>
  <c r="Q670" i="134"/>
  <c r="S670" i="134" s="1"/>
  <c r="U670" i="134" s="1"/>
  <c r="R678" i="134"/>
  <c r="T678" i="134" s="1"/>
  <c r="V678" i="134" s="1"/>
  <c r="Q678" i="134"/>
  <c r="S678" i="134" s="1"/>
  <c r="U678" i="134" s="1"/>
  <c r="W732" i="134"/>
  <c r="Q742" i="134"/>
  <c r="S742" i="134" s="1"/>
  <c r="U742" i="134" s="1"/>
  <c r="R742" i="134"/>
  <c r="T742" i="134" s="1"/>
  <c r="V742" i="134" s="1"/>
  <c r="W742" i="134" s="1"/>
  <c r="W771" i="134"/>
  <c r="R823" i="134"/>
  <c r="T823" i="134" s="1"/>
  <c r="V823" i="134" s="1"/>
  <c r="W823" i="134" s="1"/>
  <c r="Q823" i="134"/>
  <c r="S823" i="134" s="1"/>
  <c r="U823" i="134" s="1"/>
  <c r="Q21" i="134"/>
  <c r="S21" i="134" s="1"/>
  <c r="U21" i="134" s="1"/>
  <c r="W66" i="134"/>
  <c r="W70" i="134"/>
  <c r="W74" i="134"/>
  <c r="W78" i="134"/>
  <c r="J91" i="134"/>
  <c r="W88" i="134"/>
  <c r="R104" i="134"/>
  <c r="T104" i="134" s="1"/>
  <c r="V104" i="134" s="1"/>
  <c r="W104" i="134" s="1"/>
  <c r="Q121" i="134"/>
  <c r="S121" i="134" s="1"/>
  <c r="U121" i="134" s="1"/>
  <c r="W121" i="134" s="1"/>
  <c r="J366" i="134"/>
  <c r="W412" i="134"/>
  <c r="W414" i="134"/>
  <c r="W420" i="134"/>
  <c r="W451" i="134"/>
  <c r="W467" i="134"/>
  <c r="W483" i="134"/>
  <c r="W499" i="134"/>
  <c r="Q692" i="134"/>
  <c r="S692" i="134" s="1"/>
  <c r="U692" i="134" s="1"/>
  <c r="W692" i="134" s="1"/>
  <c r="Q700" i="134"/>
  <c r="S700" i="134" s="1"/>
  <c r="U700" i="134" s="1"/>
  <c r="N764" i="134"/>
  <c r="Q779" i="134"/>
  <c r="S779" i="134" s="1"/>
  <c r="U779" i="134" s="1"/>
  <c r="Q787" i="134"/>
  <c r="S787" i="134" s="1"/>
  <c r="U787" i="134" s="1"/>
  <c r="W787" i="134" s="1"/>
  <c r="Q795" i="134"/>
  <c r="S795" i="134" s="1"/>
  <c r="U795" i="134" s="1"/>
  <c r="Q803" i="134"/>
  <c r="S803" i="134" s="1"/>
  <c r="U803" i="134" s="1"/>
  <c r="Q811" i="134"/>
  <c r="S811" i="134" s="1"/>
  <c r="U811" i="134" s="1"/>
  <c r="W827" i="134"/>
  <c r="W835" i="134"/>
  <c r="W851" i="134"/>
  <c r="W859" i="134"/>
  <c r="Q868" i="134"/>
  <c r="S868" i="134" s="1"/>
  <c r="R916" i="134"/>
  <c r="T916" i="134" s="1"/>
  <c r="V916" i="134" s="1"/>
  <c r="W916" i="134" s="1"/>
  <c r="R924" i="134"/>
  <c r="T924" i="134" s="1"/>
  <c r="V924" i="134" s="1"/>
  <c r="Q148" i="134"/>
  <c r="S148" i="134" s="1"/>
  <c r="U148" i="134" s="1"/>
  <c r="W148" i="134" s="1"/>
  <c r="R148" i="134"/>
  <c r="T148" i="134" s="1"/>
  <c r="V148" i="134" s="1"/>
  <c r="R153" i="134"/>
  <c r="T153" i="134" s="1"/>
  <c r="V153" i="134" s="1"/>
  <c r="Q153" i="134"/>
  <c r="S153" i="134" s="1"/>
  <c r="U153" i="134" s="1"/>
  <c r="R157" i="134"/>
  <c r="T157" i="134" s="1"/>
  <c r="V157" i="134" s="1"/>
  <c r="W157" i="134" s="1"/>
  <c r="Q157" i="134"/>
  <c r="S157" i="134" s="1"/>
  <c r="U157" i="134" s="1"/>
  <c r="R161" i="134"/>
  <c r="T161" i="134" s="1"/>
  <c r="V161" i="134" s="1"/>
  <c r="Q161" i="134"/>
  <c r="S161" i="134" s="1"/>
  <c r="U161" i="134" s="1"/>
  <c r="R165" i="134"/>
  <c r="T165" i="134" s="1"/>
  <c r="V165" i="134" s="1"/>
  <c r="W165" i="134" s="1"/>
  <c r="Q165" i="134"/>
  <c r="S165" i="134" s="1"/>
  <c r="U165" i="134" s="1"/>
  <c r="R169" i="134"/>
  <c r="T169" i="134" s="1"/>
  <c r="V169" i="134" s="1"/>
  <c r="Q169" i="134"/>
  <c r="S169" i="134" s="1"/>
  <c r="U169" i="134" s="1"/>
  <c r="R29" i="134"/>
  <c r="T29" i="134" s="1"/>
  <c r="V29" i="134" s="1"/>
  <c r="W29" i="134" s="1"/>
  <c r="Q29" i="134"/>
  <c r="S29" i="134" s="1"/>
  <c r="U29" i="134" s="1"/>
  <c r="N105" i="134"/>
  <c r="J197" i="134"/>
  <c r="W242" i="134"/>
  <c r="W234" i="134"/>
  <c r="R181" i="134"/>
  <c r="T181" i="134" s="1"/>
  <c r="V181" i="134" s="1"/>
  <c r="Q181" i="134"/>
  <c r="S181" i="134" s="1"/>
  <c r="U181" i="134" s="1"/>
  <c r="W246" i="134"/>
  <c r="W260" i="134"/>
  <c r="W278" i="134"/>
  <c r="W288" i="134"/>
  <c r="R374" i="134"/>
  <c r="T374" i="134" s="1"/>
  <c r="V374" i="134" s="1"/>
  <c r="W374" i="134" s="1"/>
  <c r="Q374" i="134"/>
  <c r="S374" i="134" s="1"/>
  <c r="U374" i="134" s="1"/>
  <c r="Q407" i="134"/>
  <c r="S407" i="134" s="1"/>
  <c r="U407" i="134" s="1"/>
  <c r="R407" i="134"/>
  <c r="T407" i="134" s="1"/>
  <c r="V407" i="134" s="1"/>
  <c r="W407" i="134" s="1"/>
  <c r="Q411" i="134"/>
  <c r="S411" i="134" s="1"/>
  <c r="U411" i="134" s="1"/>
  <c r="R411" i="134"/>
  <c r="T411" i="134" s="1"/>
  <c r="V411" i="134" s="1"/>
  <c r="Q415" i="134"/>
  <c r="S415" i="134" s="1"/>
  <c r="U415" i="134" s="1"/>
  <c r="R415" i="134"/>
  <c r="T415" i="134" s="1"/>
  <c r="V415" i="134" s="1"/>
  <c r="Q419" i="134"/>
  <c r="S419" i="134" s="1"/>
  <c r="U419" i="134" s="1"/>
  <c r="R419" i="134"/>
  <c r="T419" i="134" s="1"/>
  <c r="V419" i="134" s="1"/>
  <c r="Q435" i="134"/>
  <c r="S435" i="134" s="1"/>
  <c r="U435" i="134" s="1"/>
  <c r="R435" i="134"/>
  <c r="T435" i="134" s="1"/>
  <c r="V435" i="134" s="1"/>
  <c r="R193" i="134"/>
  <c r="T193" i="134" s="1"/>
  <c r="V193" i="134" s="1"/>
  <c r="W193" i="134" s="1"/>
  <c r="Q193" i="134"/>
  <c r="S193" i="134" s="1"/>
  <c r="U193" i="134" s="1"/>
  <c r="J231" i="134"/>
  <c r="N219" i="134"/>
  <c r="W248" i="134"/>
  <c r="W266" i="134"/>
  <c r="W280" i="134"/>
  <c r="R185" i="134"/>
  <c r="T185" i="134" s="1"/>
  <c r="V185" i="134" s="1"/>
  <c r="Q185" i="134"/>
  <c r="S185" i="134" s="1"/>
  <c r="U185" i="134" s="1"/>
  <c r="N403" i="134"/>
  <c r="W427" i="134"/>
  <c r="R86" i="134"/>
  <c r="T86" i="134" s="1"/>
  <c r="V86" i="134" s="1"/>
  <c r="W86" i="134" s="1"/>
  <c r="Q86" i="134"/>
  <c r="S86" i="134" s="1"/>
  <c r="U86" i="134" s="1"/>
  <c r="W294" i="134"/>
  <c r="W377" i="134"/>
  <c r="W429" i="134"/>
  <c r="R973" i="134"/>
  <c r="T973" i="134" s="1"/>
  <c r="V973" i="134" s="1"/>
  <c r="W973" i="134" s="1"/>
  <c r="Q973" i="134"/>
  <c r="S973" i="134" s="1"/>
  <c r="U973" i="134" s="1"/>
  <c r="R100" i="134"/>
  <c r="W216" i="134"/>
  <c r="W236" i="134"/>
  <c r="W443" i="134"/>
  <c r="W459" i="134"/>
  <c r="W491" i="134"/>
  <c r="W531" i="134"/>
  <c r="W541" i="134"/>
  <c r="W549" i="134"/>
  <c r="W565" i="134"/>
  <c r="W571" i="134"/>
  <c r="W589" i="134"/>
  <c r="W603" i="134"/>
  <c r="W621" i="134"/>
  <c r="W645" i="134"/>
  <c r="W653" i="134"/>
  <c r="W833" i="134"/>
  <c r="W17" i="134"/>
  <c r="M41" i="134"/>
  <c r="R518" i="134"/>
  <c r="T518" i="134" s="1"/>
  <c r="V518" i="134" s="1"/>
  <c r="Q518" i="134"/>
  <c r="S518" i="134" s="1"/>
  <c r="U518" i="134" s="1"/>
  <c r="R526" i="134"/>
  <c r="T526" i="134" s="1"/>
  <c r="V526" i="134" s="1"/>
  <c r="W526" i="134" s="1"/>
  <c r="Q526" i="134"/>
  <c r="S526" i="134" s="1"/>
  <c r="U526" i="134" s="1"/>
  <c r="R534" i="134"/>
  <c r="T534" i="134" s="1"/>
  <c r="V534" i="134" s="1"/>
  <c r="Q534" i="134"/>
  <c r="S534" i="134" s="1"/>
  <c r="U534" i="134" s="1"/>
  <c r="R542" i="134"/>
  <c r="T542" i="134" s="1"/>
  <c r="V542" i="134" s="1"/>
  <c r="W542" i="134" s="1"/>
  <c r="Q542" i="134"/>
  <c r="S542" i="134" s="1"/>
  <c r="U542" i="134" s="1"/>
  <c r="R554" i="134"/>
  <c r="T554" i="134" s="1"/>
  <c r="V554" i="134" s="1"/>
  <c r="Q554" i="134"/>
  <c r="S554" i="134" s="1"/>
  <c r="U554" i="134" s="1"/>
  <c r="W326" i="134"/>
  <c r="W360" i="134"/>
  <c r="R562" i="134"/>
  <c r="T562" i="134" s="1"/>
  <c r="V562" i="134" s="1"/>
  <c r="W562" i="134" s="1"/>
  <c r="Q562" i="134"/>
  <c r="S562" i="134" s="1"/>
  <c r="U562" i="134" s="1"/>
  <c r="R570" i="134"/>
  <c r="T570" i="134" s="1"/>
  <c r="V570" i="134" s="1"/>
  <c r="Q570" i="134"/>
  <c r="S570" i="134" s="1"/>
  <c r="U570" i="134" s="1"/>
  <c r="R578" i="134"/>
  <c r="T578" i="134" s="1"/>
  <c r="V578" i="134" s="1"/>
  <c r="W578" i="134" s="1"/>
  <c r="Q578" i="134"/>
  <c r="S578" i="134" s="1"/>
  <c r="U578" i="134" s="1"/>
  <c r="R586" i="134"/>
  <c r="T586" i="134" s="1"/>
  <c r="V586" i="134" s="1"/>
  <c r="Q586" i="134"/>
  <c r="S586" i="134" s="1"/>
  <c r="U586" i="134" s="1"/>
  <c r="R594" i="134"/>
  <c r="T594" i="134" s="1"/>
  <c r="V594" i="134" s="1"/>
  <c r="W594" i="134" s="1"/>
  <c r="Q594" i="134"/>
  <c r="S594" i="134" s="1"/>
  <c r="U594" i="134" s="1"/>
  <c r="R602" i="134"/>
  <c r="T602" i="134" s="1"/>
  <c r="V602" i="134" s="1"/>
  <c r="Q602" i="134"/>
  <c r="S602" i="134" s="1"/>
  <c r="U602" i="134" s="1"/>
  <c r="R606" i="134"/>
  <c r="T606" i="134" s="1"/>
  <c r="V606" i="134" s="1"/>
  <c r="W606" i="134" s="1"/>
  <c r="Q606" i="134"/>
  <c r="S606" i="134" s="1"/>
  <c r="U606" i="134" s="1"/>
  <c r="R614" i="134"/>
  <c r="T614" i="134" s="1"/>
  <c r="V614" i="134" s="1"/>
  <c r="Q614" i="134"/>
  <c r="S614" i="134" s="1"/>
  <c r="U614" i="134" s="1"/>
  <c r="R622" i="134"/>
  <c r="T622" i="134" s="1"/>
  <c r="V622" i="134" s="1"/>
  <c r="W622" i="134" s="1"/>
  <c r="Q622" i="134"/>
  <c r="S622" i="134" s="1"/>
  <c r="U622" i="134" s="1"/>
  <c r="R630" i="134"/>
  <c r="T630" i="134" s="1"/>
  <c r="V630" i="134" s="1"/>
  <c r="Q630" i="134"/>
  <c r="S630" i="134" s="1"/>
  <c r="U630" i="134" s="1"/>
  <c r="R638" i="134"/>
  <c r="T638" i="134" s="1"/>
  <c r="V638" i="134" s="1"/>
  <c r="W638" i="134" s="1"/>
  <c r="Q638" i="134"/>
  <c r="S638" i="134" s="1"/>
  <c r="U638" i="134" s="1"/>
  <c r="R646" i="134"/>
  <c r="T646" i="134" s="1"/>
  <c r="V646" i="134" s="1"/>
  <c r="Q646" i="134"/>
  <c r="S646" i="134" s="1"/>
  <c r="U646" i="134" s="1"/>
  <c r="R654" i="134"/>
  <c r="T654" i="134" s="1"/>
  <c r="V654" i="134" s="1"/>
  <c r="Q654" i="134"/>
  <c r="S654" i="134" s="1"/>
  <c r="U654" i="134" s="1"/>
  <c r="R666" i="134"/>
  <c r="T666" i="134" s="1"/>
  <c r="V666" i="134" s="1"/>
  <c r="Q666" i="134"/>
  <c r="S666" i="134" s="1"/>
  <c r="U666" i="134" s="1"/>
  <c r="R674" i="134"/>
  <c r="T674" i="134" s="1"/>
  <c r="V674" i="134" s="1"/>
  <c r="W674" i="134" s="1"/>
  <c r="Q674" i="134"/>
  <c r="S674" i="134" s="1"/>
  <c r="U674" i="134" s="1"/>
  <c r="R682" i="134"/>
  <c r="T682" i="134" s="1"/>
  <c r="V682" i="134" s="1"/>
  <c r="Q682" i="134"/>
  <c r="S682" i="134" s="1"/>
  <c r="U682" i="134" s="1"/>
  <c r="W728" i="134"/>
  <c r="W760" i="134"/>
  <c r="R819" i="134"/>
  <c r="T819" i="134" s="1"/>
  <c r="V819" i="134" s="1"/>
  <c r="Q819" i="134"/>
  <c r="S819" i="134" s="1"/>
  <c r="U819" i="134" s="1"/>
  <c r="N824" i="134"/>
  <c r="R847" i="134"/>
  <c r="T847" i="134" s="1"/>
  <c r="V847" i="134" s="1"/>
  <c r="Q847" i="134"/>
  <c r="S847" i="134" s="1"/>
  <c r="U847" i="134" s="1"/>
  <c r="R885" i="134"/>
  <c r="T885" i="134" s="1"/>
  <c r="V885" i="134" s="1"/>
  <c r="Q885" i="134"/>
  <c r="S885" i="134" s="1"/>
  <c r="U885" i="134" s="1"/>
  <c r="R889" i="134"/>
  <c r="T889" i="134" s="1"/>
  <c r="V889" i="134" s="1"/>
  <c r="Q889" i="134"/>
  <c r="S889" i="134" s="1"/>
  <c r="U889" i="134" s="1"/>
  <c r="R893" i="134"/>
  <c r="T893" i="134" s="1"/>
  <c r="V893" i="134" s="1"/>
  <c r="Q893" i="134"/>
  <c r="S893" i="134" s="1"/>
  <c r="U893" i="134" s="1"/>
  <c r="W893" i="134" s="1"/>
  <c r="N715" i="134"/>
  <c r="J717" i="134"/>
  <c r="W779" i="134"/>
  <c r="W876" i="134"/>
  <c r="Q899" i="134"/>
  <c r="S899" i="134" s="1"/>
  <c r="U899" i="134" s="1"/>
  <c r="R899" i="134"/>
  <c r="T899" i="134" s="1"/>
  <c r="V899" i="134" s="1"/>
  <c r="N930" i="134"/>
  <c r="J941" i="134"/>
  <c r="W949" i="134"/>
  <c r="Q959" i="134"/>
  <c r="S959" i="134" s="1"/>
  <c r="U959" i="134" s="1"/>
  <c r="R959" i="134"/>
  <c r="T959" i="134" s="1"/>
  <c r="V959" i="134" s="1"/>
  <c r="J974" i="134"/>
  <c r="N952" i="134"/>
  <c r="N749" i="134"/>
  <c r="M757" i="134"/>
  <c r="M881" i="134"/>
  <c r="M941" i="134"/>
  <c r="N909" i="134"/>
  <c r="M910" i="134"/>
  <c r="W27" i="134"/>
  <c r="W55" i="134"/>
  <c r="W57" i="134"/>
  <c r="W115" i="134"/>
  <c r="W125" i="134"/>
  <c r="W139" i="134"/>
  <c r="W143" i="134"/>
  <c r="W145" i="134"/>
  <c r="Q333" i="134"/>
  <c r="S333" i="134" s="1"/>
  <c r="U333" i="134" s="1"/>
  <c r="W333" i="134" s="1"/>
  <c r="Q352" i="134"/>
  <c r="S352" i="134" s="1"/>
  <c r="U352" i="134" s="1"/>
  <c r="W352" i="134" s="1"/>
  <c r="Q360" i="134"/>
  <c r="S360" i="134" s="1"/>
  <c r="U360" i="134" s="1"/>
  <c r="W375" i="134"/>
  <c r="W383" i="134"/>
  <c r="W385" i="134"/>
  <c r="W391" i="134"/>
  <c r="W393" i="134"/>
  <c r="W399" i="134"/>
  <c r="W401" i="134"/>
  <c r="Q424" i="134"/>
  <c r="S424" i="134" s="1"/>
  <c r="U424" i="134" s="1"/>
  <c r="R504" i="134"/>
  <c r="T504" i="134" s="1"/>
  <c r="V504" i="134" s="1"/>
  <c r="W690" i="134"/>
  <c r="W698" i="134"/>
  <c r="Q728" i="134"/>
  <c r="S728" i="134" s="1"/>
  <c r="U728" i="134" s="1"/>
  <c r="Q771" i="134"/>
  <c r="S771" i="134" s="1"/>
  <c r="U771" i="134" s="1"/>
  <c r="N775" i="134"/>
  <c r="Q775" i="134" s="1"/>
  <c r="S775" i="134" s="1"/>
  <c r="U775" i="134" s="1"/>
  <c r="Q876" i="134"/>
  <c r="S876" i="134" s="1"/>
  <c r="U876" i="134" s="1"/>
  <c r="R908" i="134"/>
  <c r="T908" i="134" s="1"/>
  <c r="V908" i="134" s="1"/>
  <c r="W908" i="134" s="1"/>
  <c r="N927" i="134"/>
  <c r="W18" i="134"/>
  <c r="N322" i="134"/>
  <c r="W350" i="134"/>
  <c r="W358" i="134"/>
  <c r="W761" i="134"/>
  <c r="W268" i="134"/>
  <c r="J815" i="134"/>
  <c r="W801" i="134"/>
  <c r="W870" i="134"/>
  <c r="W878" i="134"/>
  <c r="J905" i="134"/>
  <c r="J757" i="134"/>
  <c r="W875" i="134"/>
  <c r="W886" i="134"/>
  <c r="W917" i="134"/>
  <c r="W921" i="134"/>
  <c r="N910" i="134"/>
  <c r="N328" i="134"/>
  <c r="N344" i="134"/>
  <c r="N257" i="134"/>
  <c r="N293" i="134"/>
  <c r="N245" i="134"/>
  <c r="N903" i="134"/>
  <c r="Q33" i="134"/>
  <c r="S33" i="134" s="1"/>
  <c r="U33" i="134" s="1"/>
  <c r="W33" i="134" s="1"/>
  <c r="W13" i="134"/>
  <c r="W25" i="134"/>
  <c r="W35" i="134"/>
  <c r="W37" i="134"/>
  <c r="W39" i="134"/>
  <c r="W53" i="134"/>
  <c r="N45" i="134"/>
  <c r="W20" i="134"/>
  <c r="W24" i="134"/>
  <c r="Q64" i="134"/>
  <c r="S64" i="134" s="1"/>
  <c r="U64" i="134" s="1"/>
  <c r="W64" i="134" s="1"/>
  <c r="W96" i="134"/>
  <c r="W98" i="134"/>
  <c r="Q177" i="134"/>
  <c r="S177" i="134" s="1"/>
  <c r="U177" i="134" s="1"/>
  <c r="W177" i="134" s="1"/>
  <c r="Q179" i="134"/>
  <c r="S179" i="134" s="1"/>
  <c r="U179" i="134" s="1"/>
  <c r="Q187" i="134"/>
  <c r="S187" i="134" s="1"/>
  <c r="U187" i="134" s="1"/>
  <c r="W187" i="134" s="1"/>
  <c r="Q189" i="134"/>
  <c r="S189" i="134" s="1"/>
  <c r="U189" i="134" s="1"/>
  <c r="W189" i="134" s="1"/>
  <c r="Q195" i="134"/>
  <c r="S195" i="134" s="1"/>
  <c r="U195" i="134" s="1"/>
  <c r="W195" i="134" s="1"/>
  <c r="Q119" i="134"/>
  <c r="S119" i="134" s="1"/>
  <c r="U119" i="134" s="1"/>
  <c r="W119" i="134" s="1"/>
  <c r="W132" i="134"/>
  <c r="W142" i="134"/>
  <c r="W144" i="134"/>
  <c r="N305" i="134"/>
  <c r="N313" i="134"/>
  <c r="W250" i="134"/>
  <c r="W254" i="134"/>
  <c r="W258" i="134"/>
  <c r="W262" i="134"/>
  <c r="W270" i="134"/>
  <c r="W274" i="134"/>
  <c r="W282" i="134"/>
  <c r="W286" i="134"/>
  <c r="W290" i="134"/>
  <c r="W296" i="134"/>
  <c r="W298" i="134"/>
  <c r="W300" i="134"/>
  <c r="W324" i="134"/>
  <c r="W330" i="134"/>
  <c r="W332" i="134"/>
  <c r="W340" i="134"/>
  <c r="Q376" i="134"/>
  <c r="S376" i="134" s="1"/>
  <c r="U376" i="134" s="1"/>
  <c r="Q382" i="134"/>
  <c r="S382" i="134" s="1"/>
  <c r="U382" i="134" s="1"/>
  <c r="W382" i="134" s="1"/>
  <c r="Q386" i="134"/>
  <c r="S386" i="134" s="1"/>
  <c r="U386" i="134" s="1"/>
  <c r="Q390" i="134"/>
  <c r="S390" i="134" s="1"/>
  <c r="U390" i="134" s="1"/>
  <c r="Q394" i="134"/>
  <c r="S394" i="134" s="1"/>
  <c r="U394" i="134" s="1"/>
  <c r="Q398" i="134"/>
  <c r="S398" i="134" s="1"/>
  <c r="U398" i="134" s="1"/>
  <c r="W398" i="134" s="1"/>
  <c r="Q402" i="134"/>
  <c r="S402" i="134" s="1"/>
  <c r="U402" i="134" s="1"/>
  <c r="W405" i="134"/>
  <c r="W409" i="134"/>
  <c r="W687" i="134"/>
  <c r="R689" i="134"/>
  <c r="T689" i="134" s="1"/>
  <c r="V689" i="134" s="1"/>
  <c r="W689" i="134" s="1"/>
  <c r="W691" i="134"/>
  <c r="R693" i="134"/>
  <c r="T693" i="134" s="1"/>
  <c r="V693" i="134" s="1"/>
  <c r="W693" i="134" s="1"/>
  <c r="W695" i="134"/>
  <c r="R697" i="134"/>
  <c r="T697" i="134" s="1"/>
  <c r="V697" i="134" s="1"/>
  <c r="W697" i="134" s="1"/>
  <c r="R701" i="134"/>
  <c r="T701" i="134" s="1"/>
  <c r="V701" i="134" s="1"/>
  <c r="W703" i="134"/>
  <c r="N751" i="134"/>
  <c r="N757" i="134" s="1"/>
  <c r="W752" i="134"/>
  <c r="W763" i="134"/>
  <c r="W769" i="134"/>
  <c r="R826" i="134"/>
  <c r="T826" i="134" s="1"/>
  <c r="V826" i="134" s="1"/>
  <c r="W826" i="134" s="1"/>
  <c r="W828" i="134"/>
  <c r="R830" i="134"/>
  <c r="T830" i="134" s="1"/>
  <c r="V830" i="134" s="1"/>
  <c r="W830" i="134" s="1"/>
  <c r="W832" i="134"/>
  <c r="R834" i="134"/>
  <c r="T834" i="134" s="1"/>
  <c r="V834" i="134" s="1"/>
  <c r="W834" i="134" s="1"/>
  <c r="W836" i="134"/>
  <c r="R838" i="134"/>
  <c r="T838" i="134" s="1"/>
  <c r="V838" i="134" s="1"/>
  <c r="W838" i="134" s="1"/>
  <c r="W840" i="134"/>
  <c r="R842" i="134"/>
  <c r="T842" i="134" s="1"/>
  <c r="V842" i="134" s="1"/>
  <c r="W842" i="134" s="1"/>
  <c r="R850" i="134"/>
  <c r="T850" i="134" s="1"/>
  <c r="V850" i="134" s="1"/>
  <c r="W850" i="134" s="1"/>
  <c r="R854" i="134"/>
  <c r="T854" i="134" s="1"/>
  <c r="V854" i="134" s="1"/>
  <c r="W856" i="134"/>
  <c r="R858" i="134"/>
  <c r="T858" i="134" s="1"/>
  <c r="V858" i="134" s="1"/>
  <c r="W858" i="134" s="1"/>
  <c r="W860" i="134"/>
  <c r="R862" i="134"/>
  <c r="T862" i="134" s="1"/>
  <c r="V862" i="134" s="1"/>
  <c r="W862" i="134" s="1"/>
  <c r="R866" i="134"/>
  <c r="T866" i="134" s="1"/>
  <c r="V866" i="134" s="1"/>
  <c r="R932" i="134"/>
  <c r="T932" i="134" s="1"/>
  <c r="V932" i="134" s="1"/>
  <c r="W934" i="134"/>
  <c r="R936" i="134"/>
  <c r="T936" i="134" s="1"/>
  <c r="V936" i="134" s="1"/>
  <c r="W940" i="134"/>
  <c r="W962" i="134"/>
  <c r="W953" i="134"/>
  <c r="N97" i="134"/>
  <c r="N202" i="134"/>
  <c r="N198" i="134"/>
  <c r="N208" i="134"/>
  <c r="N240" i="134"/>
  <c r="N272" i="134"/>
  <c r="N252" i="134"/>
  <c r="N346" i="134"/>
  <c r="N354" i="134"/>
  <c r="N362" i="134"/>
  <c r="N292" i="134"/>
  <c r="N337" i="134"/>
  <c r="N450" i="134"/>
  <c r="N466" i="134"/>
  <c r="N482" i="134"/>
  <c r="N498" i="134"/>
  <c r="N428" i="134"/>
  <c r="N456" i="134"/>
  <c r="N472" i="134"/>
  <c r="N488" i="134"/>
  <c r="N721" i="134"/>
  <c r="N737" i="134"/>
  <c r="N781" i="134"/>
  <c r="N789" i="134"/>
  <c r="N797" i="134"/>
  <c r="N805" i="134"/>
  <c r="N813" i="134"/>
  <c r="N901" i="134"/>
  <c r="N755" i="134"/>
  <c r="N879" i="134"/>
  <c r="N957" i="134"/>
  <c r="N873" i="134"/>
  <c r="N929" i="134"/>
  <c r="W972" i="134"/>
  <c r="N269" i="134"/>
  <c r="N336" i="134"/>
  <c r="N338" i="134"/>
  <c r="N938" i="134"/>
  <c r="J15" i="134"/>
  <c r="J975" i="134" s="1"/>
  <c r="W19" i="134"/>
  <c r="W218" i="134"/>
  <c r="N319" i="134"/>
  <c r="W425" i="134"/>
  <c r="M974" i="134"/>
  <c r="W724" i="134"/>
  <c r="W730" i="134"/>
  <c r="W734" i="134"/>
  <c r="W778" i="134"/>
  <c r="W784" i="134"/>
  <c r="W800" i="134"/>
  <c r="W810" i="134"/>
  <c r="W812" i="134"/>
  <c r="W814" i="134"/>
  <c r="W904" i="134"/>
  <c r="N247" i="134"/>
  <c r="N255" i="134"/>
  <c r="N263" i="134"/>
  <c r="N271" i="134"/>
  <c r="N279" i="134"/>
  <c r="N287" i="134"/>
  <c r="N295" i="134"/>
  <c r="N137" i="134"/>
  <c r="N244" i="134"/>
  <c r="N276" i="134"/>
  <c r="N264" i="134"/>
  <c r="N265" i="134"/>
  <c r="N136" i="134"/>
  <c r="N284" i="134"/>
  <c r="N334" i="134"/>
  <c r="N348" i="134"/>
  <c r="N356" i="134"/>
  <c r="N364" i="134"/>
  <c r="N325" i="134"/>
  <c r="N341" i="134"/>
  <c r="N426" i="134"/>
  <c r="N454" i="134"/>
  <c r="N470" i="134"/>
  <c r="N486" i="134"/>
  <c r="N444" i="134"/>
  <c r="N460" i="134"/>
  <c r="N476" i="134"/>
  <c r="N492" i="134"/>
  <c r="N783" i="134"/>
  <c r="N791" i="134"/>
  <c r="N799" i="134"/>
  <c r="N807" i="134"/>
  <c r="N719" i="134"/>
  <c r="N871" i="134"/>
  <c r="N931" i="134"/>
  <c r="N877" i="134"/>
  <c r="N935" i="134"/>
  <c r="Q52" i="134"/>
  <c r="N58" i="134"/>
  <c r="R52" i="134"/>
  <c r="T59" i="134"/>
  <c r="Q60" i="134"/>
  <c r="S60" i="134" s="1"/>
  <c r="U60" i="134" s="1"/>
  <c r="R60" i="134"/>
  <c r="T60" i="134" s="1"/>
  <c r="V60" i="134" s="1"/>
  <c r="R47" i="134"/>
  <c r="T47" i="134" s="1"/>
  <c r="V47" i="134" s="1"/>
  <c r="Q47" i="134"/>
  <c r="S47" i="134" s="1"/>
  <c r="U47" i="134" s="1"/>
  <c r="T62" i="134"/>
  <c r="Q16" i="134"/>
  <c r="R16" i="134"/>
  <c r="N41" i="134"/>
  <c r="T42" i="134"/>
  <c r="R65" i="134"/>
  <c r="T65" i="134" s="1"/>
  <c r="V65" i="134" s="1"/>
  <c r="Q65" i="134"/>
  <c r="S65" i="134" s="1"/>
  <c r="U65" i="134" s="1"/>
  <c r="R69" i="134"/>
  <c r="T69" i="134" s="1"/>
  <c r="V69" i="134" s="1"/>
  <c r="Q69" i="134"/>
  <c r="S69" i="134" s="1"/>
  <c r="U69" i="134" s="1"/>
  <c r="R73" i="134"/>
  <c r="T73" i="134" s="1"/>
  <c r="V73" i="134" s="1"/>
  <c r="Q73" i="134"/>
  <c r="S73" i="134" s="1"/>
  <c r="U73" i="134" s="1"/>
  <c r="R77" i="134"/>
  <c r="T77" i="134" s="1"/>
  <c r="V77" i="134" s="1"/>
  <c r="Q77" i="134"/>
  <c r="S77" i="134" s="1"/>
  <c r="U77" i="134" s="1"/>
  <c r="R85" i="134"/>
  <c r="T85" i="134" s="1"/>
  <c r="V85" i="134" s="1"/>
  <c r="Q85" i="134"/>
  <c r="S85" i="134" s="1"/>
  <c r="U85" i="134" s="1"/>
  <c r="R89" i="134"/>
  <c r="T89" i="134" s="1"/>
  <c r="V89" i="134" s="1"/>
  <c r="Q89" i="134"/>
  <c r="S89" i="134" s="1"/>
  <c r="U89" i="134" s="1"/>
  <c r="R63" i="134"/>
  <c r="T63" i="134" s="1"/>
  <c r="V63" i="134" s="1"/>
  <c r="Q63" i="134"/>
  <c r="N79" i="134"/>
  <c r="T80" i="134"/>
  <c r="S92" i="134"/>
  <c r="R93" i="134"/>
  <c r="T93" i="134" s="1"/>
  <c r="V93" i="134" s="1"/>
  <c r="W93" i="134" s="1"/>
  <c r="Q93" i="134"/>
  <c r="S93" i="134" s="1"/>
  <c r="U93" i="134" s="1"/>
  <c r="S100" i="134"/>
  <c r="R95" i="134"/>
  <c r="T95" i="134" s="1"/>
  <c r="V95" i="134" s="1"/>
  <c r="Q95" i="134"/>
  <c r="S95" i="134" s="1"/>
  <c r="U95" i="134" s="1"/>
  <c r="Q147" i="134"/>
  <c r="S147" i="134" s="1"/>
  <c r="U147" i="134" s="1"/>
  <c r="R147" i="134"/>
  <c r="T147" i="134" s="1"/>
  <c r="V147" i="134" s="1"/>
  <c r="Q199" i="134"/>
  <c r="S199" i="134" s="1"/>
  <c r="U199" i="134" s="1"/>
  <c r="R199" i="134"/>
  <c r="T199" i="134" s="1"/>
  <c r="V199" i="134" s="1"/>
  <c r="R118" i="134"/>
  <c r="T118" i="134" s="1"/>
  <c r="V118" i="134" s="1"/>
  <c r="Q118" i="134"/>
  <c r="S118" i="134" s="1"/>
  <c r="U118" i="134" s="1"/>
  <c r="R122" i="134"/>
  <c r="T122" i="134" s="1"/>
  <c r="V122" i="134" s="1"/>
  <c r="W122" i="134" s="1"/>
  <c r="Q122" i="134"/>
  <c r="S122" i="134" s="1"/>
  <c r="U122" i="134" s="1"/>
  <c r="R126" i="134"/>
  <c r="T126" i="134" s="1"/>
  <c r="V126" i="134" s="1"/>
  <c r="Q126" i="134"/>
  <c r="S126" i="134" s="1"/>
  <c r="U126" i="134" s="1"/>
  <c r="Q217" i="134"/>
  <c r="S217" i="134" s="1"/>
  <c r="U217" i="134" s="1"/>
  <c r="R217" i="134"/>
  <c r="T217" i="134" s="1"/>
  <c r="V217" i="134" s="1"/>
  <c r="S212" i="134"/>
  <c r="Q213" i="134"/>
  <c r="T212" i="134"/>
  <c r="R213" i="134"/>
  <c r="T214" i="134"/>
  <c r="N303" i="134"/>
  <c r="M366" i="134"/>
  <c r="Q307" i="134"/>
  <c r="S307" i="134" s="1"/>
  <c r="U307" i="134" s="1"/>
  <c r="R307" i="134"/>
  <c r="T307" i="134" s="1"/>
  <c r="V307" i="134" s="1"/>
  <c r="Q311" i="134"/>
  <c r="S311" i="134" s="1"/>
  <c r="U311" i="134" s="1"/>
  <c r="R311" i="134"/>
  <c r="T311" i="134" s="1"/>
  <c r="V311" i="134" s="1"/>
  <c r="Q315" i="134"/>
  <c r="S315" i="134" s="1"/>
  <c r="U315" i="134" s="1"/>
  <c r="R315" i="134"/>
  <c r="T315" i="134" s="1"/>
  <c r="V315" i="134" s="1"/>
  <c r="Q319" i="134"/>
  <c r="S319" i="134" s="1"/>
  <c r="U319" i="134" s="1"/>
  <c r="R319" i="134"/>
  <c r="T319" i="134" s="1"/>
  <c r="V319" i="134" s="1"/>
  <c r="R223" i="134"/>
  <c r="T223" i="134" s="1"/>
  <c r="V223" i="134" s="1"/>
  <c r="W223" i="134" s="1"/>
  <c r="Q223" i="134"/>
  <c r="S223" i="134" s="1"/>
  <c r="U223" i="134" s="1"/>
  <c r="R227" i="134"/>
  <c r="T227" i="134" s="1"/>
  <c r="V227" i="134" s="1"/>
  <c r="Q227" i="134"/>
  <c r="S227" i="134" s="1"/>
  <c r="U227" i="134" s="1"/>
  <c r="R235" i="134"/>
  <c r="T235" i="134" s="1"/>
  <c r="V235" i="134" s="1"/>
  <c r="W235" i="134" s="1"/>
  <c r="Q235" i="134"/>
  <c r="S235" i="134" s="1"/>
  <c r="U235" i="134" s="1"/>
  <c r="R241" i="134"/>
  <c r="T241" i="134" s="1"/>
  <c r="V241" i="134" s="1"/>
  <c r="Q241" i="134"/>
  <c r="S241" i="134" s="1"/>
  <c r="U241" i="134" s="1"/>
  <c r="R304" i="134"/>
  <c r="T304" i="134" s="1"/>
  <c r="V304" i="134" s="1"/>
  <c r="W304" i="134" s="1"/>
  <c r="Q304" i="134"/>
  <c r="S304" i="134" s="1"/>
  <c r="U304" i="134" s="1"/>
  <c r="R308" i="134"/>
  <c r="T308" i="134" s="1"/>
  <c r="V308" i="134" s="1"/>
  <c r="Q308" i="134"/>
  <c r="S308" i="134" s="1"/>
  <c r="U308" i="134" s="1"/>
  <c r="R312" i="134"/>
  <c r="T312" i="134" s="1"/>
  <c r="V312" i="134" s="1"/>
  <c r="W312" i="134" s="1"/>
  <c r="Q312" i="134"/>
  <c r="S312" i="134" s="1"/>
  <c r="U312" i="134" s="1"/>
  <c r="R316" i="134"/>
  <c r="T316" i="134" s="1"/>
  <c r="V316" i="134" s="1"/>
  <c r="Q316" i="134"/>
  <c r="S316" i="134" s="1"/>
  <c r="U316" i="134" s="1"/>
  <c r="R320" i="134"/>
  <c r="T320" i="134" s="1"/>
  <c r="V320" i="134" s="1"/>
  <c r="W320" i="134" s="1"/>
  <c r="Q320" i="134"/>
  <c r="S320" i="134" s="1"/>
  <c r="U320" i="134" s="1"/>
  <c r="R221" i="134"/>
  <c r="T221" i="134" s="1"/>
  <c r="V221" i="134" s="1"/>
  <c r="Q221" i="134"/>
  <c r="S221" i="134" s="1"/>
  <c r="U221" i="134" s="1"/>
  <c r="T232" i="134"/>
  <c r="T238" i="134"/>
  <c r="R505" i="134"/>
  <c r="T505" i="134" s="1"/>
  <c r="V505" i="134" s="1"/>
  <c r="Q505" i="134"/>
  <c r="S505" i="134" s="1"/>
  <c r="U505" i="134" s="1"/>
  <c r="R509" i="134"/>
  <c r="T509" i="134" s="1"/>
  <c r="V509" i="134" s="1"/>
  <c r="Q509" i="134"/>
  <c r="S509" i="134" s="1"/>
  <c r="U509" i="134" s="1"/>
  <c r="R513" i="134"/>
  <c r="T513" i="134" s="1"/>
  <c r="V513" i="134" s="1"/>
  <c r="Q513" i="134"/>
  <c r="S513" i="134" s="1"/>
  <c r="U513" i="134" s="1"/>
  <c r="Q322" i="134"/>
  <c r="S322" i="134" s="1"/>
  <c r="U322" i="134" s="1"/>
  <c r="R322" i="134"/>
  <c r="T322" i="134" s="1"/>
  <c r="V322" i="134" s="1"/>
  <c r="T367" i="134"/>
  <c r="Q368" i="134"/>
  <c r="S368" i="134" s="1"/>
  <c r="U368" i="134" s="1"/>
  <c r="R368" i="134"/>
  <c r="T368" i="134" s="1"/>
  <c r="V368" i="134" s="1"/>
  <c r="T431" i="134"/>
  <c r="Q432" i="134"/>
  <c r="S432" i="134" s="1"/>
  <c r="U432" i="134" s="1"/>
  <c r="R432" i="134"/>
  <c r="T432" i="134" s="1"/>
  <c r="V432" i="134" s="1"/>
  <c r="W432" i="134" s="1"/>
  <c r="S439" i="134"/>
  <c r="T442" i="134"/>
  <c r="N506" i="134"/>
  <c r="M684" i="134"/>
  <c r="M975" i="134" s="1"/>
  <c r="Q510" i="134"/>
  <c r="S510" i="134" s="1"/>
  <c r="U510" i="134" s="1"/>
  <c r="R510" i="134"/>
  <c r="T510" i="134" s="1"/>
  <c r="V510" i="134" s="1"/>
  <c r="Q514" i="134"/>
  <c r="S514" i="134" s="1"/>
  <c r="U514" i="134" s="1"/>
  <c r="R514" i="134"/>
  <c r="T514" i="134" s="1"/>
  <c r="V514" i="134" s="1"/>
  <c r="W514" i="134" s="1"/>
  <c r="R708" i="134"/>
  <c r="N717" i="134"/>
  <c r="Q708" i="134"/>
  <c r="R712" i="134"/>
  <c r="T712" i="134" s="1"/>
  <c r="V712" i="134" s="1"/>
  <c r="W712" i="134" s="1"/>
  <c r="Q712" i="134"/>
  <c r="S712" i="134" s="1"/>
  <c r="U712" i="134" s="1"/>
  <c r="R517" i="134"/>
  <c r="T517" i="134" s="1"/>
  <c r="V517" i="134" s="1"/>
  <c r="Q517" i="134"/>
  <c r="S517" i="134" s="1"/>
  <c r="U517" i="134" s="1"/>
  <c r="R685" i="134"/>
  <c r="Q685" i="134"/>
  <c r="N705" i="134"/>
  <c r="T706" i="134"/>
  <c r="R707" i="134"/>
  <c r="Q711" i="134"/>
  <c r="S711" i="134" s="1"/>
  <c r="U711" i="134" s="1"/>
  <c r="R711" i="134"/>
  <c r="T711" i="134" s="1"/>
  <c r="V711" i="134" s="1"/>
  <c r="Q725" i="134"/>
  <c r="S725" i="134" s="1"/>
  <c r="U725" i="134" s="1"/>
  <c r="R725" i="134"/>
  <c r="T725" i="134" s="1"/>
  <c r="V725" i="134" s="1"/>
  <c r="W725" i="134" s="1"/>
  <c r="Q743" i="134"/>
  <c r="S743" i="134" s="1"/>
  <c r="U743" i="134" s="1"/>
  <c r="R743" i="134"/>
  <c r="T743" i="134" s="1"/>
  <c r="V743" i="134" s="1"/>
  <c r="R751" i="134"/>
  <c r="T751" i="134" s="1"/>
  <c r="V751" i="134" s="1"/>
  <c r="Q777" i="134"/>
  <c r="S777" i="134" s="1"/>
  <c r="U777" i="134" s="1"/>
  <c r="R777" i="134"/>
  <c r="T777" i="134" s="1"/>
  <c r="V777" i="134" s="1"/>
  <c r="S736" i="134"/>
  <c r="T736" i="134"/>
  <c r="Q741" i="134"/>
  <c r="S741" i="134" s="1"/>
  <c r="U741" i="134" s="1"/>
  <c r="R741" i="134"/>
  <c r="T741" i="134" s="1"/>
  <c r="V741" i="134" s="1"/>
  <c r="W741" i="134" s="1"/>
  <c r="S748" i="134"/>
  <c r="T748" i="134"/>
  <c r="S758" i="134"/>
  <c r="Q765" i="134"/>
  <c r="N773" i="134"/>
  <c r="R765" i="134"/>
  <c r="S774" i="134"/>
  <c r="T774" i="134"/>
  <c r="S816" i="134"/>
  <c r="Q849" i="134"/>
  <c r="N867" i="134"/>
  <c r="R849" i="134"/>
  <c r="T868" i="134"/>
  <c r="Q883" i="134"/>
  <c r="S883" i="134" s="1"/>
  <c r="U883" i="134" s="1"/>
  <c r="R883" i="134"/>
  <c r="T883" i="134" s="1"/>
  <c r="V883" i="134" s="1"/>
  <c r="W883" i="134" s="1"/>
  <c r="S896" i="134"/>
  <c r="T896" i="134"/>
  <c r="Q911" i="134"/>
  <c r="R911" i="134"/>
  <c r="N912" i="134"/>
  <c r="Q927" i="134"/>
  <c r="S927" i="134" s="1"/>
  <c r="U927" i="134" s="1"/>
  <c r="R927" i="134"/>
  <c r="T927" i="134" s="1"/>
  <c r="V927" i="134" s="1"/>
  <c r="R952" i="134"/>
  <c r="T952" i="134" s="1"/>
  <c r="V952" i="134" s="1"/>
  <c r="W952" i="134" s="1"/>
  <c r="Q952" i="134"/>
  <c r="S952" i="134" s="1"/>
  <c r="U952" i="134" s="1"/>
  <c r="T906" i="134"/>
  <c r="R942" i="134"/>
  <c r="N947" i="134"/>
  <c r="Q942" i="134"/>
  <c r="R948" i="134"/>
  <c r="Q948" i="134"/>
  <c r="N974" i="134"/>
  <c r="W12" i="134"/>
  <c r="W14" i="134"/>
  <c r="W34" i="134"/>
  <c r="W36" i="134"/>
  <c r="W38" i="134"/>
  <c r="W40" i="134"/>
  <c r="W56" i="134"/>
  <c r="W21" i="134"/>
  <c r="W23" i="134"/>
  <c r="W46" i="134"/>
  <c r="W48" i="134"/>
  <c r="W101" i="134"/>
  <c r="W107" i="134"/>
  <c r="W109" i="134"/>
  <c r="W111" i="134"/>
  <c r="W113" i="134"/>
  <c r="W103" i="134"/>
  <c r="W141" i="134"/>
  <c r="W413" i="134"/>
  <c r="W415" i="134"/>
  <c r="W417" i="134"/>
  <c r="W419" i="134"/>
  <c r="W421" i="134"/>
  <c r="W424" i="134"/>
  <c r="W435" i="134"/>
  <c r="W437" i="134"/>
  <c r="W446" i="134"/>
  <c r="W448" i="134"/>
  <c r="W452" i="134"/>
  <c r="W458" i="134"/>
  <c r="W462" i="134"/>
  <c r="W464" i="134"/>
  <c r="W468" i="134"/>
  <c r="W474" i="134"/>
  <c r="W478" i="134"/>
  <c r="W480" i="134"/>
  <c r="W484" i="134"/>
  <c r="W490" i="134"/>
  <c r="W494" i="134"/>
  <c r="W496" i="134"/>
  <c r="W500" i="134"/>
  <c r="W502" i="134"/>
  <c r="W504" i="134"/>
  <c r="W519" i="134"/>
  <c r="W523" i="134"/>
  <c r="W525" i="134"/>
  <c r="W533" i="134"/>
  <c r="W543" i="134"/>
  <c r="W551" i="134"/>
  <c r="W555" i="134"/>
  <c r="W559" i="134"/>
  <c r="W561" i="134"/>
  <c r="W567" i="134"/>
  <c r="W575" i="134"/>
  <c r="W577" i="134"/>
  <c r="W579" i="134"/>
  <c r="W581" i="134"/>
  <c r="W583" i="134"/>
  <c r="W585" i="134"/>
  <c r="W587" i="134"/>
  <c r="W591" i="134"/>
  <c r="W595" i="134"/>
  <c r="W605" i="134"/>
  <c r="W609" i="134"/>
  <c r="W611" i="134"/>
  <c r="W613" i="134"/>
  <c r="W629" i="134"/>
  <c r="W635" i="134"/>
  <c r="W637" i="134"/>
  <c r="W639" i="134"/>
  <c r="W649" i="134"/>
  <c r="W655" i="134"/>
  <c r="W657" i="134"/>
  <c r="W659" i="134"/>
  <c r="W661" i="134"/>
  <c r="W665" i="134"/>
  <c r="W667" i="134"/>
  <c r="W669" i="134"/>
  <c r="W671" i="134"/>
  <c r="W673" i="134"/>
  <c r="W675" i="134"/>
  <c r="W677" i="134"/>
  <c r="W679" i="134"/>
  <c r="W681" i="134"/>
  <c r="W683" i="134"/>
  <c r="W699" i="134"/>
  <c r="W701" i="134"/>
  <c r="W729" i="134"/>
  <c r="W731" i="134"/>
  <c r="W733" i="134"/>
  <c r="W738" i="134"/>
  <c r="N747" i="134"/>
  <c r="W754" i="134"/>
  <c r="W756" i="134"/>
  <c r="W780" i="134"/>
  <c r="W782" i="134"/>
  <c r="W786" i="134"/>
  <c r="W788" i="134"/>
  <c r="W790" i="134"/>
  <c r="W792" i="134"/>
  <c r="W794" i="134"/>
  <c r="W796" i="134"/>
  <c r="W798" i="134"/>
  <c r="W802" i="134"/>
  <c r="W804" i="134"/>
  <c r="W806" i="134"/>
  <c r="W808" i="134"/>
  <c r="W839" i="134"/>
  <c r="W841" i="134"/>
  <c r="W843" i="134"/>
  <c r="W847" i="134"/>
  <c r="W853" i="134"/>
  <c r="W855" i="134"/>
  <c r="W857" i="134"/>
  <c r="W863" i="134"/>
  <c r="W865" i="134"/>
  <c r="W872" i="134"/>
  <c r="W874" i="134"/>
  <c r="W880" i="134"/>
  <c r="W887" i="134"/>
  <c r="W889" i="134"/>
  <c r="W891" i="134"/>
  <c r="W924" i="134"/>
  <c r="W933" i="134"/>
  <c r="W937" i="134"/>
  <c r="W939" i="134"/>
  <c r="W961" i="134"/>
  <c r="M717" i="134"/>
  <c r="W944" i="134"/>
  <c r="W946" i="134"/>
  <c r="W956" i="134"/>
  <c r="W958" i="134"/>
  <c r="W960" i="134"/>
  <c r="W964" i="134"/>
  <c r="W966" i="134"/>
  <c r="W968" i="134"/>
  <c r="W970" i="134"/>
  <c r="Q26" i="134"/>
  <c r="S26" i="134" s="1"/>
  <c r="U26" i="134" s="1"/>
  <c r="R26" i="134"/>
  <c r="T26" i="134" s="1"/>
  <c r="V26" i="134" s="1"/>
  <c r="Q30" i="134"/>
  <c r="S30" i="134" s="1"/>
  <c r="U30" i="134" s="1"/>
  <c r="R30" i="134"/>
  <c r="T30" i="134" s="1"/>
  <c r="V30" i="134" s="1"/>
  <c r="Q28" i="134"/>
  <c r="S28" i="134" s="1"/>
  <c r="U28" i="134" s="1"/>
  <c r="R28" i="134"/>
  <c r="T28" i="134" s="1"/>
  <c r="V28" i="134" s="1"/>
  <c r="Q32" i="134"/>
  <c r="S32" i="134" s="1"/>
  <c r="U32" i="134" s="1"/>
  <c r="R32" i="134"/>
  <c r="T32" i="134" s="1"/>
  <c r="V32" i="134" s="1"/>
  <c r="Q54" i="134"/>
  <c r="S54" i="134" s="1"/>
  <c r="U54" i="134" s="1"/>
  <c r="R54" i="134"/>
  <c r="T54" i="134" s="1"/>
  <c r="V54" i="134" s="1"/>
  <c r="R11" i="134"/>
  <c r="Q11" i="134"/>
  <c r="N15" i="134"/>
  <c r="Q50" i="134"/>
  <c r="R50" i="134"/>
  <c r="N51" i="134"/>
  <c r="S59" i="134"/>
  <c r="R45" i="134"/>
  <c r="T45" i="134" s="1"/>
  <c r="V45" i="134" s="1"/>
  <c r="Q45" i="134"/>
  <c r="S45" i="134" s="1"/>
  <c r="U45" i="134" s="1"/>
  <c r="S42" i="134"/>
  <c r="R43" i="134"/>
  <c r="T43" i="134" s="1"/>
  <c r="V43" i="134" s="1"/>
  <c r="Q43" i="134"/>
  <c r="S43" i="134" s="1"/>
  <c r="U43" i="134" s="1"/>
  <c r="R67" i="134"/>
  <c r="T67" i="134" s="1"/>
  <c r="V67" i="134" s="1"/>
  <c r="Q67" i="134"/>
  <c r="S67" i="134" s="1"/>
  <c r="U67" i="134" s="1"/>
  <c r="R71" i="134"/>
  <c r="T71" i="134" s="1"/>
  <c r="V71" i="134" s="1"/>
  <c r="Q71" i="134"/>
  <c r="S71" i="134" s="1"/>
  <c r="U71" i="134" s="1"/>
  <c r="R75" i="134"/>
  <c r="T75" i="134" s="1"/>
  <c r="V75" i="134" s="1"/>
  <c r="Q75" i="134"/>
  <c r="S75" i="134" s="1"/>
  <c r="U75" i="134" s="1"/>
  <c r="R83" i="134"/>
  <c r="T83" i="134" s="1"/>
  <c r="V83" i="134" s="1"/>
  <c r="Q83" i="134"/>
  <c r="S83" i="134" s="1"/>
  <c r="U83" i="134" s="1"/>
  <c r="R87" i="134"/>
  <c r="T87" i="134" s="1"/>
  <c r="V87" i="134" s="1"/>
  <c r="Q87" i="134"/>
  <c r="S87" i="134" s="1"/>
  <c r="U87" i="134" s="1"/>
  <c r="R114" i="134"/>
  <c r="T114" i="134" s="1"/>
  <c r="V114" i="134" s="1"/>
  <c r="N197" i="134"/>
  <c r="Q114" i="134"/>
  <c r="S114" i="134" s="1"/>
  <c r="U114" i="134" s="1"/>
  <c r="S80" i="134"/>
  <c r="R81" i="134"/>
  <c r="T81" i="134" s="1"/>
  <c r="V81" i="134" s="1"/>
  <c r="Q81" i="134"/>
  <c r="S81" i="134" s="1"/>
  <c r="U81" i="134" s="1"/>
  <c r="T92" i="134"/>
  <c r="T100" i="134"/>
  <c r="Q149" i="134"/>
  <c r="S149" i="134" s="1"/>
  <c r="U149" i="134" s="1"/>
  <c r="R149" i="134"/>
  <c r="T149" i="134" s="1"/>
  <c r="V149" i="134" s="1"/>
  <c r="Q201" i="134"/>
  <c r="N209" i="134"/>
  <c r="R201" i="134"/>
  <c r="S210" i="134"/>
  <c r="Q211" i="134"/>
  <c r="T210" i="134"/>
  <c r="R211" i="134"/>
  <c r="R120" i="134"/>
  <c r="T120" i="134" s="1"/>
  <c r="V120" i="134" s="1"/>
  <c r="Q120" i="134"/>
  <c r="S120" i="134" s="1"/>
  <c r="U120" i="134" s="1"/>
  <c r="R124" i="134"/>
  <c r="T124" i="134" s="1"/>
  <c r="V124" i="134" s="1"/>
  <c r="Q124" i="134"/>
  <c r="S124" i="134" s="1"/>
  <c r="U124" i="134" s="1"/>
  <c r="R128" i="134"/>
  <c r="T128" i="134" s="1"/>
  <c r="V128" i="134" s="1"/>
  <c r="Q128" i="134"/>
  <c r="S128" i="134" s="1"/>
  <c r="U128" i="134" s="1"/>
  <c r="Q215" i="134"/>
  <c r="S215" i="134" s="1"/>
  <c r="U215" i="134" s="1"/>
  <c r="R215" i="134"/>
  <c r="T215" i="134" s="1"/>
  <c r="V215" i="134" s="1"/>
  <c r="N231" i="134"/>
  <c r="Q219" i="134"/>
  <c r="S219" i="134" s="1"/>
  <c r="U219" i="134" s="1"/>
  <c r="R219" i="134"/>
  <c r="T219" i="134" s="1"/>
  <c r="V219" i="134" s="1"/>
  <c r="R116" i="134"/>
  <c r="T116" i="134" s="1"/>
  <c r="V116" i="134" s="1"/>
  <c r="W116" i="134" s="1"/>
  <c r="Q116" i="134"/>
  <c r="S116" i="134" s="1"/>
  <c r="U116" i="134" s="1"/>
  <c r="S214" i="134"/>
  <c r="Q305" i="134"/>
  <c r="S305" i="134" s="1"/>
  <c r="U305" i="134" s="1"/>
  <c r="R305" i="134"/>
  <c r="T305" i="134" s="1"/>
  <c r="V305" i="134" s="1"/>
  <c r="Q309" i="134"/>
  <c r="S309" i="134" s="1"/>
  <c r="U309" i="134" s="1"/>
  <c r="R309" i="134"/>
  <c r="T309" i="134" s="1"/>
  <c r="V309" i="134" s="1"/>
  <c r="Q313" i="134"/>
  <c r="S313" i="134" s="1"/>
  <c r="U313" i="134" s="1"/>
  <c r="R313" i="134"/>
  <c r="T313" i="134" s="1"/>
  <c r="V313" i="134" s="1"/>
  <c r="Q317" i="134"/>
  <c r="S317" i="134" s="1"/>
  <c r="U317" i="134" s="1"/>
  <c r="R317" i="134"/>
  <c r="T317" i="134" s="1"/>
  <c r="V317" i="134" s="1"/>
  <c r="Q321" i="134"/>
  <c r="S321" i="134" s="1"/>
  <c r="U321" i="134" s="1"/>
  <c r="R321" i="134"/>
  <c r="T321" i="134" s="1"/>
  <c r="V321" i="134" s="1"/>
  <c r="R225" i="134"/>
  <c r="T225" i="134" s="1"/>
  <c r="V225" i="134" s="1"/>
  <c r="Q225" i="134"/>
  <c r="S225" i="134" s="1"/>
  <c r="U225" i="134" s="1"/>
  <c r="R229" i="134"/>
  <c r="T229" i="134" s="1"/>
  <c r="V229" i="134" s="1"/>
  <c r="W229" i="134" s="1"/>
  <c r="Q229" i="134"/>
  <c r="S229" i="134" s="1"/>
  <c r="U229" i="134" s="1"/>
  <c r="R239" i="134"/>
  <c r="T239" i="134" s="1"/>
  <c r="V239" i="134" s="1"/>
  <c r="Q239" i="134"/>
  <c r="S239" i="134" s="1"/>
  <c r="U239" i="134" s="1"/>
  <c r="N366" i="134"/>
  <c r="R302" i="134"/>
  <c r="T302" i="134" s="1"/>
  <c r="V302" i="134" s="1"/>
  <c r="Q302" i="134"/>
  <c r="S302" i="134" s="1"/>
  <c r="U302" i="134" s="1"/>
  <c r="R306" i="134"/>
  <c r="T306" i="134" s="1"/>
  <c r="V306" i="134" s="1"/>
  <c r="Q306" i="134"/>
  <c r="S306" i="134" s="1"/>
  <c r="U306" i="134" s="1"/>
  <c r="R310" i="134"/>
  <c r="T310" i="134" s="1"/>
  <c r="V310" i="134" s="1"/>
  <c r="Q310" i="134"/>
  <c r="S310" i="134" s="1"/>
  <c r="U310" i="134" s="1"/>
  <c r="R314" i="134"/>
  <c r="T314" i="134" s="1"/>
  <c r="V314" i="134" s="1"/>
  <c r="Q314" i="134"/>
  <c r="S314" i="134" s="1"/>
  <c r="U314" i="134" s="1"/>
  <c r="R318" i="134"/>
  <c r="T318" i="134" s="1"/>
  <c r="V318" i="134" s="1"/>
  <c r="Q318" i="134"/>
  <c r="S318" i="134" s="1"/>
  <c r="U318" i="134" s="1"/>
  <c r="S232" i="134"/>
  <c r="R233" i="134"/>
  <c r="T233" i="134" s="1"/>
  <c r="V233" i="134" s="1"/>
  <c r="Q233" i="134"/>
  <c r="S233" i="134" s="1"/>
  <c r="U233" i="134" s="1"/>
  <c r="S238" i="134"/>
  <c r="R507" i="134"/>
  <c r="T507" i="134" s="1"/>
  <c r="V507" i="134" s="1"/>
  <c r="Q507" i="134"/>
  <c r="S507" i="134" s="1"/>
  <c r="U507" i="134" s="1"/>
  <c r="R511" i="134"/>
  <c r="T511" i="134" s="1"/>
  <c r="V511" i="134" s="1"/>
  <c r="Q511" i="134"/>
  <c r="S511" i="134" s="1"/>
  <c r="U511" i="134" s="1"/>
  <c r="R515" i="134"/>
  <c r="T515" i="134" s="1"/>
  <c r="V515" i="134" s="1"/>
  <c r="Q515" i="134"/>
  <c r="S515" i="134" s="1"/>
  <c r="U515" i="134" s="1"/>
  <c r="S367" i="134"/>
  <c r="Q404" i="134"/>
  <c r="N422" i="134"/>
  <c r="R404" i="134"/>
  <c r="S423" i="134"/>
  <c r="T423" i="134"/>
  <c r="Q433" i="134"/>
  <c r="S431" i="134"/>
  <c r="Q434" i="134"/>
  <c r="N438" i="134"/>
  <c r="R434" i="134"/>
  <c r="T439" i="134"/>
  <c r="Q440" i="134"/>
  <c r="S440" i="134" s="1"/>
  <c r="U440" i="134" s="1"/>
  <c r="R440" i="134"/>
  <c r="T440" i="134" s="1"/>
  <c r="V440" i="134" s="1"/>
  <c r="S442" i="134"/>
  <c r="Q508" i="134"/>
  <c r="S508" i="134" s="1"/>
  <c r="U508" i="134" s="1"/>
  <c r="R508" i="134"/>
  <c r="T508" i="134" s="1"/>
  <c r="V508" i="134" s="1"/>
  <c r="W508" i="134" s="1"/>
  <c r="Q512" i="134"/>
  <c r="S512" i="134" s="1"/>
  <c r="U512" i="134" s="1"/>
  <c r="R512" i="134"/>
  <c r="T512" i="134" s="1"/>
  <c r="V512" i="134" s="1"/>
  <c r="R710" i="134"/>
  <c r="T710" i="134" s="1"/>
  <c r="V710" i="134" s="1"/>
  <c r="Q710" i="134"/>
  <c r="S710" i="134" s="1"/>
  <c r="U710" i="134" s="1"/>
  <c r="R714" i="134"/>
  <c r="T714" i="134" s="1"/>
  <c r="V714" i="134" s="1"/>
  <c r="Q714" i="134"/>
  <c r="S714" i="134" s="1"/>
  <c r="U714" i="134" s="1"/>
  <c r="S706" i="134"/>
  <c r="Q707" i="134"/>
  <c r="Q709" i="134"/>
  <c r="S709" i="134" s="1"/>
  <c r="U709" i="134" s="1"/>
  <c r="R709" i="134"/>
  <c r="T709" i="134" s="1"/>
  <c r="V709" i="134" s="1"/>
  <c r="Q713" i="134"/>
  <c r="S713" i="134" s="1"/>
  <c r="U713" i="134" s="1"/>
  <c r="R713" i="134"/>
  <c r="T713" i="134" s="1"/>
  <c r="V713" i="134" s="1"/>
  <c r="W713" i="134" s="1"/>
  <c r="Q723" i="134"/>
  <c r="S723" i="134" s="1"/>
  <c r="U723" i="134" s="1"/>
  <c r="R723" i="134"/>
  <c r="T723" i="134" s="1"/>
  <c r="V723" i="134" s="1"/>
  <c r="Q727" i="134"/>
  <c r="S727" i="134" s="1"/>
  <c r="U727" i="134" s="1"/>
  <c r="R727" i="134"/>
  <c r="T727" i="134" s="1"/>
  <c r="V727" i="134" s="1"/>
  <c r="W727" i="134" s="1"/>
  <c r="Q745" i="134"/>
  <c r="S745" i="134" s="1"/>
  <c r="U745" i="134" s="1"/>
  <c r="R745" i="134"/>
  <c r="T745" i="134" s="1"/>
  <c r="V745" i="134" s="1"/>
  <c r="Q767" i="134"/>
  <c r="S767" i="134" s="1"/>
  <c r="U767" i="134" s="1"/>
  <c r="R767" i="134"/>
  <c r="T767" i="134" s="1"/>
  <c r="V767" i="134" s="1"/>
  <c r="W767" i="134" s="1"/>
  <c r="S740" i="134"/>
  <c r="T740" i="134"/>
  <c r="R747" i="134"/>
  <c r="Q749" i="134"/>
  <c r="S749" i="134" s="1"/>
  <c r="U749" i="134" s="1"/>
  <c r="R749" i="134"/>
  <c r="T749" i="134" s="1"/>
  <c r="V749" i="134" s="1"/>
  <c r="T758" i="134"/>
  <c r="Q759" i="134"/>
  <c r="S759" i="134" s="1"/>
  <c r="U759" i="134" s="1"/>
  <c r="R759" i="134"/>
  <c r="T759" i="134" s="1"/>
  <c r="V759" i="134" s="1"/>
  <c r="T816" i="134"/>
  <c r="Q817" i="134"/>
  <c r="S817" i="134" s="1"/>
  <c r="U817" i="134" s="1"/>
  <c r="R817" i="134"/>
  <c r="T817" i="134" s="1"/>
  <c r="V817" i="134" s="1"/>
  <c r="Q825" i="134"/>
  <c r="R825" i="134"/>
  <c r="N844" i="134"/>
  <c r="Q845" i="134"/>
  <c r="R845" i="134"/>
  <c r="N848" i="134"/>
  <c r="Q869" i="134"/>
  <c r="S869" i="134" s="1"/>
  <c r="U869" i="134" s="1"/>
  <c r="R869" i="134"/>
  <c r="T869" i="134" s="1"/>
  <c r="V869" i="134" s="1"/>
  <c r="S882" i="134"/>
  <c r="Q895" i="134"/>
  <c r="T882" i="134"/>
  <c r="R895" i="134"/>
  <c r="Q897" i="134"/>
  <c r="S897" i="134" s="1"/>
  <c r="U897" i="134" s="1"/>
  <c r="R897" i="134"/>
  <c r="T897" i="134" s="1"/>
  <c r="V897" i="134" s="1"/>
  <c r="W897" i="134" s="1"/>
  <c r="Q913" i="134"/>
  <c r="N925" i="134"/>
  <c r="R913" i="134"/>
  <c r="S926" i="134"/>
  <c r="T926" i="134"/>
  <c r="R950" i="134"/>
  <c r="T950" i="134" s="1"/>
  <c r="V950" i="134" s="1"/>
  <c r="Q950" i="134"/>
  <c r="S950" i="134" s="1"/>
  <c r="U950" i="134" s="1"/>
  <c r="R954" i="134"/>
  <c r="T954" i="134" s="1"/>
  <c r="V954" i="134" s="1"/>
  <c r="W954" i="134" s="1"/>
  <c r="Q954" i="134"/>
  <c r="S954" i="134" s="1"/>
  <c r="U954" i="134" s="1"/>
  <c r="R716" i="134"/>
  <c r="T716" i="134" s="1"/>
  <c r="V716" i="134" s="1"/>
  <c r="Q716" i="134"/>
  <c r="S716" i="134" s="1"/>
  <c r="U716" i="134" s="1"/>
  <c r="R718" i="134"/>
  <c r="Q718" i="134"/>
  <c r="S906" i="134"/>
  <c r="Q907" i="134"/>
  <c r="S907" i="134" s="1"/>
  <c r="U907" i="134" s="1"/>
  <c r="R907" i="134"/>
  <c r="T907" i="134" s="1"/>
  <c r="V907" i="134" s="1"/>
  <c r="W22" i="134"/>
  <c r="N49" i="134"/>
  <c r="N91" i="134"/>
  <c r="W130" i="134"/>
  <c r="W134" i="134"/>
  <c r="W138" i="134"/>
  <c r="W146" i="134"/>
  <c r="W150" i="134"/>
  <c r="W152" i="134"/>
  <c r="W154" i="134"/>
  <c r="W156" i="134"/>
  <c r="W158" i="134"/>
  <c r="W160" i="134"/>
  <c r="W162" i="134"/>
  <c r="W164" i="134"/>
  <c r="W166" i="134"/>
  <c r="W168" i="134"/>
  <c r="W170" i="134"/>
  <c r="W172" i="134"/>
  <c r="W174" i="134"/>
  <c r="W176" i="134"/>
  <c r="W178" i="134"/>
  <c r="W180" i="134"/>
  <c r="W182" i="134"/>
  <c r="W184" i="134"/>
  <c r="W186" i="134"/>
  <c r="W188" i="134"/>
  <c r="W190" i="134"/>
  <c r="W192" i="134"/>
  <c r="W194" i="134"/>
  <c r="W196" i="134"/>
  <c r="W203" i="134"/>
  <c r="W205" i="134"/>
  <c r="W207" i="134"/>
  <c r="W140" i="134"/>
  <c r="W222" i="134"/>
  <c r="W224" i="134"/>
  <c r="W226" i="134"/>
  <c r="W228" i="134"/>
  <c r="W230" i="134"/>
  <c r="N237" i="134"/>
  <c r="W243" i="134"/>
  <c r="W249" i="134"/>
  <c r="W251" i="134"/>
  <c r="W253" i="134"/>
  <c r="W259" i="134"/>
  <c r="W261" i="134"/>
  <c r="W267" i="134"/>
  <c r="W273" i="134"/>
  <c r="W275" i="134"/>
  <c r="W277" i="134"/>
  <c r="W281" i="134"/>
  <c r="W283" i="134"/>
  <c r="W285" i="134"/>
  <c r="W289" i="134"/>
  <c r="W291" i="134"/>
  <c r="W297" i="134"/>
  <c r="W299" i="134"/>
  <c r="W323" i="134"/>
  <c r="W327" i="134"/>
  <c r="W329" i="134"/>
  <c r="W331" i="134"/>
  <c r="W335" i="134"/>
  <c r="W339" i="134"/>
  <c r="W343" i="134"/>
  <c r="W345" i="134"/>
  <c r="W347" i="134"/>
  <c r="W349" i="134"/>
  <c r="W351" i="134"/>
  <c r="W353" i="134"/>
  <c r="W355" i="134"/>
  <c r="W357" i="134"/>
  <c r="W359" i="134"/>
  <c r="W361" i="134"/>
  <c r="W363" i="134"/>
  <c r="W365" i="134"/>
  <c r="W370" i="134"/>
  <c r="W372" i="134"/>
  <c r="W376" i="134"/>
  <c r="W378" i="134"/>
  <c r="W380" i="134"/>
  <c r="W384" i="134"/>
  <c r="W386" i="134"/>
  <c r="W388" i="134"/>
  <c r="W390" i="134"/>
  <c r="W392" i="134"/>
  <c r="W394" i="134"/>
  <c r="W396" i="134"/>
  <c r="W400" i="134"/>
  <c r="W402" i="134"/>
  <c r="W406" i="134"/>
  <c r="W408" i="134"/>
  <c r="W410" i="134"/>
  <c r="W518" i="134"/>
  <c r="W522" i="134"/>
  <c r="W524" i="134"/>
  <c r="W550" i="134"/>
  <c r="W556" i="134"/>
  <c r="W560" i="134"/>
  <c r="W576" i="134"/>
  <c r="W580" i="134"/>
  <c r="W590" i="134"/>
  <c r="W596" i="134"/>
  <c r="W602" i="134"/>
  <c r="W610" i="134"/>
  <c r="W612" i="134"/>
  <c r="W654" i="134"/>
  <c r="W656" i="134"/>
  <c r="W658" i="134"/>
  <c r="W660" i="134"/>
  <c r="W664" i="134"/>
  <c r="W668" i="134"/>
  <c r="W700" i="134"/>
  <c r="W704" i="134"/>
  <c r="W744" i="134"/>
  <c r="W746" i="134"/>
  <c r="W762" i="134"/>
  <c r="W766" i="134"/>
  <c r="W768" i="134"/>
  <c r="W770" i="134"/>
  <c r="W772" i="134"/>
  <c r="W785" i="134"/>
  <c r="W793" i="134"/>
  <c r="W795" i="134"/>
  <c r="W803" i="134"/>
  <c r="W809" i="134"/>
  <c r="W811" i="134"/>
  <c r="W818" i="134"/>
  <c r="W820" i="134"/>
  <c r="W822" i="134"/>
  <c r="W852" i="134"/>
  <c r="W854" i="134"/>
  <c r="W864" i="134"/>
  <c r="W866" i="134"/>
  <c r="W884" i="134"/>
  <c r="W888" i="134"/>
  <c r="W890" i="134"/>
  <c r="W892" i="134"/>
  <c r="W894" i="134"/>
  <c r="W923" i="134"/>
  <c r="W928" i="134"/>
  <c r="W932" i="134"/>
  <c r="W936" i="134"/>
  <c r="W955" i="134"/>
  <c r="W959" i="134"/>
  <c r="W963" i="134"/>
  <c r="W965" i="134"/>
  <c r="W967" i="134"/>
  <c r="AL75" i="33"/>
  <c r="AL74" i="33"/>
  <c r="AL73" i="33"/>
  <c r="AL72" i="33"/>
  <c r="AL71" i="33"/>
  <c r="AL70" i="33"/>
  <c r="AL69" i="33"/>
  <c r="AL68" i="33"/>
  <c r="AL67" i="33"/>
  <c r="AL66" i="33"/>
  <c r="AL65" i="33"/>
  <c r="AL64" i="33"/>
  <c r="AL63" i="33"/>
  <c r="AL62" i="33"/>
  <c r="AL61" i="33"/>
  <c r="AL60" i="33"/>
  <c r="AL59" i="33"/>
  <c r="AL58" i="33"/>
  <c r="AL57" i="33"/>
  <c r="AL56" i="33"/>
  <c r="AL55" i="33"/>
  <c r="AL54" i="33"/>
  <c r="AL53" i="33"/>
  <c r="AL52" i="33"/>
  <c r="AL51" i="33"/>
  <c r="AL50" i="33"/>
  <c r="AL49" i="33"/>
  <c r="AL48" i="33"/>
  <c r="AL47" i="33"/>
  <c r="AL46" i="33"/>
  <c r="AL45" i="33"/>
  <c r="AL44" i="33"/>
  <c r="AL43" i="33"/>
  <c r="AL42" i="33"/>
  <c r="AL41" i="33"/>
  <c r="AL40" i="33"/>
  <c r="AL39" i="33"/>
  <c r="AL38" i="33"/>
  <c r="AL37" i="33"/>
  <c r="AL36" i="33"/>
  <c r="AL35" i="33"/>
  <c r="AL34" i="33"/>
  <c r="AL33" i="33"/>
  <c r="AL32" i="33"/>
  <c r="AL31" i="33"/>
  <c r="AL30" i="33"/>
  <c r="AL29" i="33"/>
  <c r="AL28" i="33"/>
  <c r="AL27" i="33"/>
  <c r="AL26" i="33"/>
  <c r="AL25" i="33"/>
  <c r="AL24" i="33"/>
  <c r="AL23" i="33"/>
  <c r="AL22" i="33"/>
  <c r="AL21" i="33"/>
  <c r="AL20" i="33"/>
  <c r="AL19" i="33"/>
  <c r="AL18" i="33"/>
  <c r="AL17" i="33"/>
  <c r="AL16" i="33"/>
  <c r="AL15" i="33"/>
  <c r="AL14" i="33"/>
  <c r="AL13" i="33"/>
  <c r="AL12" i="33"/>
  <c r="AL11" i="33"/>
  <c r="AL10" i="33"/>
  <c r="AL9" i="33"/>
  <c r="AL8" i="33"/>
  <c r="AL7" i="33"/>
  <c r="AL76" i="33" s="1"/>
  <c r="Q472" i="134" l="1"/>
  <c r="S472" i="134" s="1"/>
  <c r="U472" i="134" s="1"/>
  <c r="R472" i="134"/>
  <c r="T472" i="134" s="1"/>
  <c r="V472" i="134" s="1"/>
  <c r="W472" i="134" s="1"/>
  <c r="R293" i="134"/>
  <c r="T293" i="134" s="1"/>
  <c r="V293" i="134" s="1"/>
  <c r="W293" i="134" s="1"/>
  <c r="Q293" i="134"/>
  <c r="S293" i="134" s="1"/>
  <c r="U293" i="134" s="1"/>
  <c r="N815" i="134"/>
  <c r="W759" i="134"/>
  <c r="W440" i="134"/>
  <c r="Q403" i="134"/>
  <c r="W215" i="134"/>
  <c r="Q905" i="134"/>
  <c r="AF62" i="33" s="1"/>
  <c r="W368" i="134"/>
  <c r="R871" i="134"/>
  <c r="T871" i="134" s="1"/>
  <c r="V871" i="134" s="1"/>
  <c r="Q871" i="134"/>
  <c r="N881" i="134"/>
  <c r="R791" i="134"/>
  <c r="T791" i="134" s="1"/>
  <c r="V791" i="134" s="1"/>
  <c r="Q791" i="134"/>
  <c r="S791" i="134" s="1"/>
  <c r="U791" i="134" s="1"/>
  <c r="Q460" i="134"/>
  <c r="S460" i="134" s="1"/>
  <c r="U460" i="134" s="1"/>
  <c r="R460" i="134"/>
  <c r="T460" i="134" s="1"/>
  <c r="V460" i="134" s="1"/>
  <c r="W460" i="134" s="1"/>
  <c r="Q454" i="134"/>
  <c r="S454" i="134" s="1"/>
  <c r="U454" i="134" s="1"/>
  <c r="R454" i="134"/>
  <c r="T454" i="134" s="1"/>
  <c r="V454" i="134" s="1"/>
  <c r="W454" i="134" s="1"/>
  <c r="R364" i="134"/>
  <c r="T364" i="134" s="1"/>
  <c r="V364" i="134" s="1"/>
  <c r="Q364" i="134"/>
  <c r="S364" i="134" s="1"/>
  <c r="U364" i="134" s="1"/>
  <c r="R284" i="134"/>
  <c r="T284" i="134" s="1"/>
  <c r="V284" i="134" s="1"/>
  <c r="Q284" i="134"/>
  <c r="S284" i="134" s="1"/>
  <c r="U284" i="134" s="1"/>
  <c r="R276" i="134"/>
  <c r="T276" i="134" s="1"/>
  <c r="V276" i="134" s="1"/>
  <c r="Q276" i="134"/>
  <c r="S276" i="134" s="1"/>
  <c r="U276" i="134" s="1"/>
  <c r="R287" i="134"/>
  <c r="T287" i="134" s="1"/>
  <c r="V287" i="134" s="1"/>
  <c r="Q287" i="134"/>
  <c r="S287" i="134" s="1"/>
  <c r="U287" i="134" s="1"/>
  <c r="R255" i="134"/>
  <c r="T255" i="134" s="1"/>
  <c r="V255" i="134" s="1"/>
  <c r="Q255" i="134"/>
  <c r="S255" i="134" s="1"/>
  <c r="U255" i="134" s="1"/>
  <c r="R336" i="134"/>
  <c r="T336" i="134" s="1"/>
  <c r="V336" i="134" s="1"/>
  <c r="Q336" i="134"/>
  <c r="S336" i="134" s="1"/>
  <c r="U336" i="134" s="1"/>
  <c r="R873" i="134"/>
  <c r="T873" i="134" s="1"/>
  <c r="V873" i="134" s="1"/>
  <c r="Q873" i="134"/>
  <c r="S873" i="134" s="1"/>
  <c r="U873" i="134" s="1"/>
  <c r="Q901" i="134"/>
  <c r="S901" i="134" s="1"/>
  <c r="U901" i="134" s="1"/>
  <c r="R901" i="134"/>
  <c r="T901" i="134" s="1"/>
  <c r="V901" i="134" s="1"/>
  <c r="W901" i="134" s="1"/>
  <c r="R789" i="134"/>
  <c r="T789" i="134" s="1"/>
  <c r="V789" i="134" s="1"/>
  <c r="Q789" i="134"/>
  <c r="S789" i="134" s="1"/>
  <c r="U789" i="134" s="1"/>
  <c r="Q488" i="134"/>
  <c r="S488" i="134" s="1"/>
  <c r="U488" i="134" s="1"/>
  <c r="R488" i="134"/>
  <c r="T488" i="134" s="1"/>
  <c r="V488" i="134" s="1"/>
  <c r="W488" i="134" s="1"/>
  <c r="Q498" i="134"/>
  <c r="S498" i="134" s="1"/>
  <c r="U498" i="134" s="1"/>
  <c r="R498" i="134"/>
  <c r="T498" i="134" s="1"/>
  <c r="V498" i="134" s="1"/>
  <c r="W498" i="134" s="1"/>
  <c r="R337" i="134"/>
  <c r="T337" i="134" s="1"/>
  <c r="V337" i="134" s="1"/>
  <c r="Q337" i="134"/>
  <c r="S337" i="134" s="1"/>
  <c r="U337" i="134" s="1"/>
  <c r="R346" i="134"/>
  <c r="T346" i="134" s="1"/>
  <c r="V346" i="134" s="1"/>
  <c r="Q346" i="134"/>
  <c r="S346" i="134" s="1"/>
  <c r="U346" i="134" s="1"/>
  <c r="R208" i="134"/>
  <c r="T208" i="134" s="1"/>
  <c r="V208" i="134" s="1"/>
  <c r="Q208" i="134"/>
  <c r="S208" i="134" s="1"/>
  <c r="U208" i="134" s="1"/>
  <c r="R245" i="134"/>
  <c r="T245" i="134" s="1"/>
  <c r="V245" i="134" s="1"/>
  <c r="Q245" i="134"/>
  <c r="S245" i="134" s="1"/>
  <c r="U245" i="134" s="1"/>
  <c r="R328" i="134"/>
  <c r="T328" i="134" s="1"/>
  <c r="V328" i="134" s="1"/>
  <c r="Q328" i="134"/>
  <c r="S328" i="134" s="1"/>
  <c r="U328" i="134" s="1"/>
  <c r="Q715" i="134"/>
  <c r="S715" i="134" s="1"/>
  <c r="U715" i="134" s="1"/>
  <c r="R715" i="134"/>
  <c r="T715" i="134" s="1"/>
  <c r="V715" i="134" s="1"/>
  <c r="W715" i="134" s="1"/>
  <c r="W411" i="134"/>
  <c r="N905" i="134"/>
  <c r="W82" i="134"/>
  <c r="Q935" i="134"/>
  <c r="S935" i="134" s="1"/>
  <c r="U935" i="134" s="1"/>
  <c r="R935" i="134"/>
  <c r="T935" i="134" s="1"/>
  <c r="V935" i="134" s="1"/>
  <c r="W935" i="134" s="1"/>
  <c r="Q444" i="134"/>
  <c r="S444" i="134" s="1"/>
  <c r="U444" i="134" s="1"/>
  <c r="R444" i="134"/>
  <c r="T444" i="134" s="1"/>
  <c r="V444" i="134" s="1"/>
  <c r="W444" i="134" s="1"/>
  <c r="R356" i="134"/>
  <c r="T356" i="134" s="1"/>
  <c r="V356" i="134" s="1"/>
  <c r="Q356" i="134"/>
  <c r="S356" i="134" s="1"/>
  <c r="U356" i="134" s="1"/>
  <c r="R247" i="134"/>
  <c r="T247" i="134" s="1"/>
  <c r="V247" i="134" s="1"/>
  <c r="Q247" i="134"/>
  <c r="S247" i="134" s="1"/>
  <c r="U247" i="134" s="1"/>
  <c r="R813" i="134"/>
  <c r="T813" i="134" s="1"/>
  <c r="V813" i="134" s="1"/>
  <c r="Q813" i="134"/>
  <c r="S813" i="134" s="1"/>
  <c r="U813" i="134" s="1"/>
  <c r="Q482" i="134"/>
  <c r="S482" i="134" s="1"/>
  <c r="U482" i="134" s="1"/>
  <c r="R482" i="134"/>
  <c r="T482" i="134" s="1"/>
  <c r="V482" i="134" s="1"/>
  <c r="W482" i="134" s="1"/>
  <c r="R252" i="134"/>
  <c r="T252" i="134" s="1"/>
  <c r="V252" i="134" s="1"/>
  <c r="Q252" i="134"/>
  <c r="S252" i="134" s="1"/>
  <c r="U252" i="134" s="1"/>
  <c r="W716" i="134"/>
  <c r="W950" i="134"/>
  <c r="R775" i="134"/>
  <c r="T775" i="134" s="1"/>
  <c r="V775" i="134" s="1"/>
  <c r="W775" i="134" s="1"/>
  <c r="W81" i="134"/>
  <c r="Q751" i="134"/>
  <c r="S751" i="134" s="1"/>
  <c r="U751" i="134" s="1"/>
  <c r="W751" i="134" s="1"/>
  <c r="W221" i="134"/>
  <c r="W316" i="134"/>
  <c r="W308" i="134"/>
  <c r="W241" i="134"/>
  <c r="W227" i="134"/>
  <c r="W95" i="134"/>
  <c r="W47" i="134"/>
  <c r="R877" i="134"/>
  <c r="T877" i="134" s="1"/>
  <c r="V877" i="134" s="1"/>
  <c r="Q877" i="134"/>
  <c r="S877" i="134" s="1"/>
  <c r="U877" i="134" s="1"/>
  <c r="R807" i="134"/>
  <c r="T807" i="134" s="1"/>
  <c r="V807" i="134" s="1"/>
  <c r="Q807" i="134"/>
  <c r="S807" i="134" s="1"/>
  <c r="U807" i="134" s="1"/>
  <c r="Q492" i="134"/>
  <c r="S492" i="134" s="1"/>
  <c r="U492" i="134" s="1"/>
  <c r="R492" i="134"/>
  <c r="T492" i="134" s="1"/>
  <c r="V492" i="134" s="1"/>
  <c r="W492" i="134" s="1"/>
  <c r="Q486" i="134"/>
  <c r="S486" i="134" s="1"/>
  <c r="U486" i="134" s="1"/>
  <c r="R486" i="134"/>
  <c r="T486" i="134" s="1"/>
  <c r="V486" i="134" s="1"/>
  <c r="W486" i="134" s="1"/>
  <c r="R341" i="134"/>
  <c r="T341" i="134" s="1"/>
  <c r="V341" i="134" s="1"/>
  <c r="Q341" i="134"/>
  <c r="S341" i="134" s="1"/>
  <c r="U341" i="134" s="1"/>
  <c r="R348" i="134"/>
  <c r="T348" i="134" s="1"/>
  <c r="V348" i="134" s="1"/>
  <c r="Q348" i="134"/>
  <c r="S348" i="134" s="1"/>
  <c r="U348" i="134" s="1"/>
  <c r="R265" i="134"/>
  <c r="T265" i="134" s="1"/>
  <c r="V265" i="134" s="1"/>
  <c r="Q265" i="134"/>
  <c r="S265" i="134" s="1"/>
  <c r="U265" i="134" s="1"/>
  <c r="Q137" i="134"/>
  <c r="S137" i="134" s="1"/>
  <c r="U137" i="134" s="1"/>
  <c r="R137" i="134"/>
  <c r="T137" i="134" s="1"/>
  <c r="V137" i="134" s="1"/>
  <c r="W137" i="134" s="1"/>
  <c r="R271" i="134"/>
  <c r="T271" i="134" s="1"/>
  <c r="V271" i="134" s="1"/>
  <c r="Q271" i="134"/>
  <c r="S271" i="134" s="1"/>
  <c r="U271" i="134" s="1"/>
  <c r="Q938" i="134"/>
  <c r="S938" i="134" s="1"/>
  <c r="U938" i="134" s="1"/>
  <c r="R938" i="134"/>
  <c r="T938" i="134" s="1"/>
  <c r="V938" i="134" s="1"/>
  <c r="W938" i="134" s="1"/>
  <c r="R879" i="134"/>
  <c r="T879" i="134" s="1"/>
  <c r="V879" i="134" s="1"/>
  <c r="Q879" i="134"/>
  <c r="S879" i="134" s="1"/>
  <c r="U879" i="134" s="1"/>
  <c r="R805" i="134"/>
  <c r="T805" i="134" s="1"/>
  <c r="V805" i="134" s="1"/>
  <c r="Q805" i="134"/>
  <c r="S805" i="134" s="1"/>
  <c r="U805" i="134" s="1"/>
  <c r="R737" i="134"/>
  <c r="Q737" i="134"/>
  <c r="N739" i="134"/>
  <c r="Q456" i="134"/>
  <c r="S456" i="134" s="1"/>
  <c r="U456" i="134" s="1"/>
  <c r="R456" i="134"/>
  <c r="T456" i="134" s="1"/>
  <c r="V456" i="134" s="1"/>
  <c r="Q466" i="134"/>
  <c r="S466" i="134" s="1"/>
  <c r="U466" i="134" s="1"/>
  <c r="R466" i="134"/>
  <c r="T466" i="134" s="1"/>
  <c r="V466" i="134" s="1"/>
  <c r="R362" i="134"/>
  <c r="T362" i="134" s="1"/>
  <c r="V362" i="134" s="1"/>
  <c r="W362" i="134" s="1"/>
  <c r="Q362" i="134"/>
  <c r="S362" i="134" s="1"/>
  <c r="U362" i="134" s="1"/>
  <c r="R272" i="134"/>
  <c r="T272" i="134" s="1"/>
  <c r="V272" i="134" s="1"/>
  <c r="W272" i="134" s="1"/>
  <c r="Q272" i="134"/>
  <c r="S272" i="134" s="1"/>
  <c r="U272" i="134" s="1"/>
  <c r="R202" i="134"/>
  <c r="T202" i="134" s="1"/>
  <c r="V202" i="134" s="1"/>
  <c r="W202" i="134" s="1"/>
  <c r="Q202" i="134"/>
  <c r="S202" i="134" s="1"/>
  <c r="U202" i="134" s="1"/>
  <c r="R257" i="134"/>
  <c r="T257" i="134" s="1"/>
  <c r="V257" i="134" s="1"/>
  <c r="W257" i="134" s="1"/>
  <c r="Q257" i="134"/>
  <c r="S257" i="134" s="1"/>
  <c r="U257" i="134" s="1"/>
  <c r="N941" i="134"/>
  <c r="Q930" i="134"/>
  <c r="S930" i="134" s="1"/>
  <c r="U930" i="134" s="1"/>
  <c r="R930" i="134"/>
  <c r="T930" i="134" s="1"/>
  <c r="V930" i="134" s="1"/>
  <c r="W930" i="134" s="1"/>
  <c r="W885" i="134"/>
  <c r="W554" i="134"/>
  <c r="W534" i="134"/>
  <c r="W185" i="134"/>
  <c r="W678" i="134"/>
  <c r="W662" i="134"/>
  <c r="W634" i="134"/>
  <c r="W618" i="134"/>
  <c r="W598" i="134"/>
  <c r="W582" i="134"/>
  <c r="W566" i="134"/>
  <c r="W90" i="134"/>
  <c r="R719" i="134"/>
  <c r="T719" i="134" s="1"/>
  <c r="V719" i="134" s="1"/>
  <c r="W719" i="134" s="1"/>
  <c r="Q719" i="134"/>
  <c r="S719" i="134" s="1"/>
  <c r="U719" i="134" s="1"/>
  <c r="R783" i="134"/>
  <c r="T783" i="134" s="1"/>
  <c r="V783" i="134" s="1"/>
  <c r="W783" i="134" s="1"/>
  <c r="Q783" i="134"/>
  <c r="S783" i="134" s="1"/>
  <c r="U783" i="134" s="1"/>
  <c r="R426" i="134"/>
  <c r="Q426" i="134"/>
  <c r="N430" i="134"/>
  <c r="Q136" i="134"/>
  <c r="S136" i="134" s="1"/>
  <c r="U136" i="134" s="1"/>
  <c r="R136" i="134"/>
  <c r="T136" i="134" s="1"/>
  <c r="V136" i="134" s="1"/>
  <c r="W136" i="134" s="1"/>
  <c r="R244" i="134"/>
  <c r="T244" i="134" s="1"/>
  <c r="V244" i="134" s="1"/>
  <c r="Q244" i="134"/>
  <c r="S244" i="134" s="1"/>
  <c r="U244" i="134" s="1"/>
  <c r="R279" i="134"/>
  <c r="T279" i="134" s="1"/>
  <c r="V279" i="134" s="1"/>
  <c r="Q279" i="134"/>
  <c r="S279" i="134" s="1"/>
  <c r="U279" i="134" s="1"/>
  <c r="R269" i="134"/>
  <c r="T269" i="134" s="1"/>
  <c r="V269" i="134" s="1"/>
  <c r="Q269" i="134"/>
  <c r="S269" i="134" s="1"/>
  <c r="U269" i="134" s="1"/>
  <c r="Q957" i="134"/>
  <c r="S957" i="134" s="1"/>
  <c r="U957" i="134" s="1"/>
  <c r="R957" i="134"/>
  <c r="T957" i="134" s="1"/>
  <c r="V957" i="134" s="1"/>
  <c r="W957" i="134" s="1"/>
  <c r="R781" i="134"/>
  <c r="T781" i="134" s="1"/>
  <c r="V781" i="134" s="1"/>
  <c r="Q781" i="134"/>
  <c r="S781" i="134" s="1"/>
  <c r="U781" i="134" s="1"/>
  <c r="R292" i="134"/>
  <c r="T292" i="134" s="1"/>
  <c r="V292" i="134" s="1"/>
  <c r="Q292" i="134"/>
  <c r="S292" i="134" s="1"/>
  <c r="U292" i="134" s="1"/>
  <c r="N200" i="134"/>
  <c r="Q198" i="134"/>
  <c r="R198" i="134"/>
  <c r="T198" i="134" s="1"/>
  <c r="W907" i="134"/>
  <c r="N735" i="134"/>
  <c r="W869" i="134"/>
  <c r="W817" i="134"/>
  <c r="W749" i="134"/>
  <c r="Q747" i="134"/>
  <c r="W745" i="134"/>
  <c r="W723" i="134"/>
  <c r="W709" i="134"/>
  <c r="W512" i="134"/>
  <c r="W239" i="134"/>
  <c r="W225" i="134"/>
  <c r="Q824" i="134"/>
  <c r="W777" i="134"/>
  <c r="W743" i="134"/>
  <c r="W711" i="134"/>
  <c r="W517" i="134"/>
  <c r="W510" i="134"/>
  <c r="W322" i="134"/>
  <c r="W126" i="134"/>
  <c r="W118" i="134"/>
  <c r="R49" i="134"/>
  <c r="Q931" i="134"/>
  <c r="S931" i="134" s="1"/>
  <c r="U931" i="134" s="1"/>
  <c r="R931" i="134"/>
  <c r="T931" i="134" s="1"/>
  <c r="V931" i="134" s="1"/>
  <c r="R799" i="134"/>
  <c r="T799" i="134" s="1"/>
  <c r="V799" i="134" s="1"/>
  <c r="W799" i="134" s="1"/>
  <c r="Q799" i="134"/>
  <c r="S799" i="134" s="1"/>
  <c r="U799" i="134" s="1"/>
  <c r="Q476" i="134"/>
  <c r="S476" i="134" s="1"/>
  <c r="U476" i="134" s="1"/>
  <c r="R476" i="134"/>
  <c r="T476" i="134" s="1"/>
  <c r="V476" i="134" s="1"/>
  <c r="Q470" i="134"/>
  <c r="S470" i="134" s="1"/>
  <c r="U470" i="134" s="1"/>
  <c r="R470" i="134"/>
  <c r="T470" i="134" s="1"/>
  <c r="V470" i="134" s="1"/>
  <c r="R325" i="134"/>
  <c r="T325" i="134" s="1"/>
  <c r="V325" i="134" s="1"/>
  <c r="W325" i="134" s="1"/>
  <c r="Q325" i="134"/>
  <c r="S325" i="134" s="1"/>
  <c r="U325" i="134" s="1"/>
  <c r="R334" i="134"/>
  <c r="T334" i="134" s="1"/>
  <c r="V334" i="134" s="1"/>
  <c r="W334" i="134" s="1"/>
  <c r="Q334" i="134"/>
  <c r="S334" i="134" s="1"/>
  <c r="U334" i="134" s="1"/>
  <c r="R264" i="134"/>
  <c r="T264" i="134" s="1"/>
  <c r="V264" i="134" s="1"/>
  <c r="W264" i="134" s="1"/>
  <c r="Q264" i="134"/>
  <c r="S264" i="134" s="1"/>
  <c r="U264" i="134" s="1"/>
  <c r="R295" i="134"/>
  <c r="T295" i="134" s="1"/>
  <c r="V295" i="134" s="1"/>
  <c r="W295" i="134" s="1"/>
  <c r="Q295" i="134"/>
  <c r="S295" i="134" s="1"/>
  <c r="U295" i="134" s="1"/>
  <c r="R263" i="134"/>
  <c r="T263" i="134" s="1"/>
  <c r="V263" i="134" s="1"/>
  <c r="W263" i="134" s="1"/>
  <c r="Q263" i="134"/>
  <c r="S263" i="134" s="1"/>
  <c r="U263" i="134" s="1"/>
  <c r="R338" i="134"/>
  <c r="T338" i="134" s="1"/>
  <c r="V338" i="134" s="1"/>
  <c r="W338" i="134" s="1"/>
  <c r="Q338" i="134"/>
  <c r="S338" i="134" s="1"/>
  <c r="U338" i="134" s="1"/>
  <c r="Q929" i="134"/>
  <c r="S929" i="134" s="1"/>
  <c r="U929" i="134" s="1"/>
  <c r="R929" i="134"/>
  <c r="R755" i="134"/>
  <c r="T755" i="134" s="1"/>
  <c r="V755" i="134" s="1"/>
  <c r="W755" i="134" s="1"/>
  <c r="Q755" i="134"/>
  <c r="S755" i="134" s="1"/>
  <c r="U755" i="134" s="1"/>
  <c r="R797" i="134"/>
  <c r="T797" i="134" s="1"/>
  <c r="V797" i="134" s="1"/>
  <c r="W797" i="134" s="1"/>
  <c r="Q797" i="134"/>
  <c r="S797" i="134" s="1"/>
  <c r="U797" i="134" s="1"/>
  <c r="R721" i="134"/>
  <c r="T721" i="134" s="1"/>
  <c r="V721" i="134" s="1"/>
  <c r="W721" i="134" s="1"/>
  <c r="Q721" i="134"/>
  <c r="S721" i="134" s="1"/>
  <c r="U721" i="134" s="1"/>
  <c r="R428" i="134"/>
  <c r="T428" i="134" s="1"/>
  <c r="V428" i="134" s="1"/>
  <c r="W428" i="134" s="1"/>
  <c r="Q428" i="134"/>
  <c r="S428" i="134" s="1"/>
  <c r="U428" i="134" s="1"/>
  <c r="Q450" i="134"/>
  <c r="S450" i="134" s="1"/>
  <c r="U450" i="134" s="1"/>
  <c r="R450" i="134"/>
  <c r="T450" i="134" s="1"/>
  <c r="V450" i="134" s="1"/>
  <c r="R354" i="134"/>
  <c r="T354" i="134" s="1"/>
  <c r="V354" i="134" s="1"/>
  <c r="W354" i="134" s="1"/>
  <c r="Q354" i="134"/>
  <c r="S354" i="134" s="1"/>
  <c r="U354" i="134" s="1"/>
  <c r="Q240" i="134"/>
  <c r="S240" i="134" s="1"/>
  <c r="U240" i="134" s="1"/>
  <c r="R240" i="134"/>
  <c r="T240" i="134" s="1"/>
  <c r="V240" i="134" s="1"/>
  <c r="R97" i="134"/>
  <c r="T97" i="134" s="1"/>
  <c r="V97" i="134" s="1"/>
  <c r="W97" i="134" s="1"/>
  <c r="Q97" i="134"/>
  <c r="S97" i="134" s="1"/>
  <c r="U97" i="134" s="1"/>
  <c r="Q903" i="134"/>
  <c r="S903" i="134" s="1"/>
  <c r="U903" i="134" s="1"/>
  <c r="R903" i="134"/>
  <c r="T903" i="134" s="1"/>
  <c r="V903" i="134" s="1"/>
  <c r="R344" i="134"/>
  <c r="T344" i="134" s="1"/>
  <c r="V344" i="134" s="1"/>
  <c r="W344" i="134" s="1"/>
  <c r="Q344" i="134"/>
  <c r="S344" i="134" s="1"/>
  <c r="U344" i="134" s="1"/>
  <c r="Q909" i="134"/>
  <c r="S909" i="134" s="1"/>
  <c r="U909" i="134" s="1"/>
  <c r="R909" i="134"/>
  <c r="T909" i="134" s="1"/>
  <c r="V909" i="134" s="1"/>
  <c r="W909" i="134" s="1"/>
  <c r="W899" i="134"/>
  <c r="W819" i="134"/>
  <c r="W682" i="134"/>
  <c r="W666" i="134"/>
  <c r="W646" i="134"/>
  <c r="W630" i="134"/>
  <c r="W614" i="134"/>
  <c r="W586" i="134"/>
  <c r="W570" i="134"/>
  <c r="W181" i="134"/>
  <c r="Q105" i="134"/>
  <c r="S105" i="134" s="1"/>
  <c r="U105" i="134" s="1"/>
  <c r="R105" i="134"/>
  <c r="T105" i="134" s="1"/>
  <c r="V105" i="134" s="1"/>
  <c r="W105" i="134" s="1"/>
  <c r="W169" i="134"/>
  <c r="W161" i="134"/>
  <c r="W153" i="134"/>
  <c r="W538" i="134"/>
  <c r="N99" i="134"/>
  <c r="U906" i="134"/>
  <c r="U910" i="134" s="1"/>
  <c r="S718" i="134"/>
  <c r="Q735" i="134"/>
  <c r="T718" i="134"/>
  <c r="V926" i="134"/>
  <c r="U926" i="134"/>
  <c r="S845" i="134"/>
  <c r="Q848" i="134"/>
  <c r="T825" i="134"/>
  <c r="R844" i="134"/>
  <c r="R438" i="134"/>
  <c r="T434" i="134"/>
  <c r="S434" i="134"/>
  <c r="Q438" i="134"/>
  <c r="V423" i="134"/>
  <c r="U423" i="134"/>
  <c r="S403" i="134"/>
  <c r="U367" i="134"/>
  <c r="U403" i="134" s="1"/>
  <c r="U214" i="134"/>
  <c r="U231" i="134" s="1"/>
  <c r="S231" i="134"/>
  <c r="T201" i="134"/>
  <c r="S201" i="134"/>
  <c r="Q209" i="134"/>
  <c r="V100" i="134"/>
  <c r="T197" i="134"/>
  <c r="AJ22" i="100" s="1"/>
  <c r="V92" i="134"/>
  <c r="U80" i="134"/>
  <c r="U91" i="134" s="1"/>
  <c r="S91" i="134"/>
  <c r="S61" i="134"/>
  <c r="U59" i="134"/>
  <c r="U61" i="134" s="1"/>
  <c r="S50" i="134"/>
  <c r="Q51" i="134"/>
  <c r="T11" i="134"/>
  <c r="R15" i="134"/>
  <c r="Q974" i="134"/>
  <c r="S948" i="134"/>
  <c r="S942" i="134"/>
  <c r="Q947" i="134"/>
  <c r="T942" i="134"/>
  <c r="R947" i="134"/>
  <c r="V906" i="134"/>
  <c r="T910" i="134"/>
  <c r="AJ62" i="100" s="1"/>
  <c r="T911" i="134"/>
  <c r="R912" i="134"/>
  <c r="R867" i="134"/>
  <c r="T849" i="134"/>
  <c r="S849" i="134"/>
  <c r="Q867" i="134"/>
  <c r="V774" i="134"/>
  <c r="U774" i="134"/>
  <c r="S815" i="134"/>
  <c r="S764" i="134"/>
  <c r="U758" i="134"/>
  <c r="U764" i="134" s="1"/>
  <c r="T685" i="134"/>
  <c r="R705" i="134"/>
  <c r="S441" i="134"/>
  <c r="U439" i="134"/>
  <c r="U441" i="134" s="1"/>
  <c r="V238" i="134"/>
  <c r="V232" i="134"/>
  <c r="T237" i="134"/>
  <c r="AJ30" i="100" s="1"/>
  <c r="Q303" i="134"/>
  <c r="R303" i="134"/>
  <c r="T303" i="134" s="1"/>
  <c r="V303" i="134" s="1"/>
  <c r="V214" i="134"/>
  <c r="T231" i="134"/>
  <c r="AJ29" i="100" s="1"/>
  <c r="V212" i="134"/>
  <c r="T213" i="134"/>
  <c r="AJ28" i="100" s="1"/>
  <c r="U212" i="134"/>
  <c r="U213" i="134" s="1"/>
  <c r="S213" i="134"/>
  <c r="AF29" i="33" s="1"/>
  <c r="V198" i="134"/>
  <c r="T200" i="134"/>
  <c r="AJ24" i="100" s="1"/>
  <c r="U100" i="134"/>
  <c r="U197" i="134" s="1"/>
  <c r="U92" i="134"/>
  <c r="U99" i="134" s="1"/>
  <c r="S99" i="134"/>
  <c r="V80" i="134"/>
  <c r="T91" i="134"/>
  <c r="AJ15" i="100" s="1"/>
  <c r="Q79" i="134"/>
  <c r="S63" i="134"/>
  <c r="S16" i="134"/>
  <c r="Q41" i="134"/>
  <c r="V62" i="134"/>
  <c r="T79" i="134"/>
  <c r="AJ14" i="100" s="1"/>
  <c r="V59" i="134"/>
  <c r="T61" i="134"/>
  <c r="AJ13" i="100" s="1"/>
  <c r="R925" i="134"/>
  <c r="T913" i="134"/>
  <c r="S913" i="134"/>
  <c r="Q925" i="134"/>
  <c r="V882" i="134"/>
  <c r="T895" i="134"/>
  <c r="AJ60" i="100" s="1"/>
  <c r="U882" i="134"/>
  <c r="U895" i="134" s="1"/>
  <c r="S895" i="134"/>
  <c r="AF61" i="33" s="1"/>
  <c r="T845" i="134"/>
  <c r="R848" i="134"/>
  <c r="S825" i="134"/>
  <c r="Q844" i="134"/>
  <c r="V816" i="134"/>
  <c r="T824" i="134"/>
  <c r="AJ54" i="100" s="1"/>
  <c r="V758" i="134"/>
  <c r="T764" i="134"/>
  <c r="AJ51" i="100" s="1"/>
  <c r="V740" i="134"/>
  <c r="T747" i="134"/>
  <c r="AJ49" i="100" s="1"/>
  <c r="U740" i="134"/>
  <c r="U747" i="134" s="1"/>
  <c r="S747" i="134"/>
  <c r="U706" i="134"/>
  <c r="U707" i="134" s="1"/>
  <c r="S707" i="134"/>
  <c r="AF44" i="33" s="1"/>
  <c r="U442" i="134"/>
  <c r="V439" i="134"/>
  <c r="T441" i="134"/>
  <c r="AJ40" i="100" s="1"/>
  <c r="S433" i="134"/>
  <c r="AF38" i="33" s="1"/>
  <c r="U431" i="134"/>
  <c r="U433" i="134" s="1"/>
  <c r="R422" i="134"/>
  <c r="T404" i="134"/>
  <c r="S404" i="134"/>
  <c r="Q422" i="134"/>
  <c r="U238" i="134"/>
  <c r="U232" i="134"/>
  <c r="U237" i="134" s="1"/>
  <c r="S237" i="134"/>
  <c r="V210" i="134"/>
  <c r="T211" i="134"/>
  <c r="AJ27" i="100" s="1"/>
  <c r="U210" i="134"/>
  <c r="U211" i="134" s="1"/>
  <c r="S211" i="134"/>
  <c r="AF28" i="33" s="1"/>
  <c r="U42" i="134"/>
  <c r="U49" i="134" s="1"/>
  <c r="S49" i="134"/>
  <c r="T50" i="134"/>
  <c r="R51" i="134"/>
  <c r="Q15" i="134"/>
  <c r="S11" i="134"/>
  <c r="T948" i="134"/>
  <c r="S911" i="134"/>
  <c r="Q912" i="134"/>
  <c r="V896" i="134"/>
  <c r="T905" i="134"/>
  <c r="AJ61" i="100" s="1"/>
  <c r="U896" i="134"/>
  <c r="U905" i="134" s="1"/>
  <c r="S905" i="134"/>
  <c r="V868" i="134"/>
  <c r="T881" i="134"/>
  <c r="AJ58" i="100" s="1"/>
  <c r="U868" i="134"/>
  <c r="S824" i="134"/>
  <c r="U816" i="134"/>
  <c r="U824" i="134" s="1"/>
  <c r="R773" i="134"/>
  <c r="T765" i="134"/>
  <c r="S765" i="134"/>
  <c r="Q773" i="134"/>
  <c r="V748" i="134"/>
  <c r="T757" i="134"/>
  <c r="AJ50" i="100" s="1"/>
  <c r="U748" i="134"/>
  <c r="U757" i="134" s="1"/>
  <c r="V736" i="134"/>
  <c r="U736" i="134"/>
  <c r="V706" i="134"/>
  <c r="T707" i="134"/>
  <c r="AJ43" i="100" s="1"/>
  <c r="Q705" i="134"/>
  <c r="S685" i="134"/>
  <c r="S708" i="134"/>
  <c r="Q717" i="134"/>
  <c r="T708" i="134"/>
  <c r="Q506" i="134"/>
  <c r="R506" i="134"/>
  <c r="V442" i="134"/>
  <c r="V431" i="134"/>
  <c r="T433" i="134"/>
  <c r="AJ37" i="100" s="1"/>
  <c r="V367" i="134"/>
  <c r="T403" i="134"/>
  <c r="AJ33" i="100" s="1"/>
  <c r="V42" i="134"/>
  <c r="T49" i="134"/>
  <c r="AJ9" i="100" s="1"/>
  <c r="T16" i="134"/>
  <c r="R41" i="134"/>
  <c r="R58" i="134"/>
  <c r="T52" i="134"/>
  <c r="S52" i="134"/>
  <c r="Q58" i="134"/>
  <c r="R824" i="134"/>
  <c r="R764" i="134"/>
  <c r="R441" i="134"/>
  <c r="Q237" i="134"/>
  <c r="AF31" i="33" s="1"/>
  <c r="Q49" i="134"/>
  <c r="R905" i="134"/>
  <c r="R881" i="134"/>
  <c r="R757" i="134"/>
  <c r="R433" i="134"/>
  <c r="R403" i="134"/>
  <c r="W505" i="134"/>
  <c r="Q910" i="134"/>
  <c r="W714" i="134"/>
  <c r="W710" i="134"/>
  <c r="W515" i="134"/>
  <c r="W511" i="134"/>
  <c r="W507" i="134"/>
  <c r="W233" i="134"/>
  <c r="W318" i="134"/>
  <c r="W314" i="134"/>
  <c r="W310" i="134"/>
  <c r="W306" i="134"/>
  <c r="W302" i="134"/>
  <c r="W321" i="134"/>
  <c r="W317" i="134"/>
  <c r="W313" i="134"/>
  <c r="W309" i="134"/>
  <c r="W305" i="134"/>
  <c r="Q231" i="134"/>
  <c r="AF30" i="33" s="1"/>
  <c r="W219" i="134"/>
  <c r="W128" i="134"/>
  <c r="W124" i="134"/>
  <c r="W120" i="134"/>
  <c r="W149" i="134"/>
  <c r="R197" i="134"/>
  <c r="Q91" i="134"/>
  <c r="W114" i="134"/>
  <c r="W87" i="134"/>
  <c r="W83" i="134"/>
  <c r="W75" i="134"/>
  <c r="W71" i="134"/>
  <c r="W67" i="134"/>
  <c r="W43" i="134"/>
  <c r="W45" i="134"/>
  <c r="Q61" i="134"/>
  <c r="AF14" i="33" s="1"/>
  <c r="W54" i="134"/>
  <c r="W32" i="134"/>
  <c r="W28" i="134"/>
  <c r="W30" i="134"/>
  <c r="W26" i="134"/>
  <c r="R910" i="134"/>
  <c r="W927" i="134"/>
  <c r="Q815" i="134"/>
  <c r="AF54" i="33" s="1"/>
  <c r="Q764" i="134"/>
  <c r="AF52" i="33" s="1"/>
  <c r="Q441" i="134"/>
  <c r="AF41" i="33" s="1"/>
  <c r="W513" i="134"/>
  <c r="W509" i="134"/>
  <c r="N684" i="134"/>
  <c r="R237" i="134"/>
  <c r="W319" i="134"/>
  <c r="W315" i="134"/>
  <c r="W311" i="134"/>
  <c r="W307" i="134"/>
  <c r="R231" i="134"/>
  <c r="W217" i="134"/>
  <c r="W199" i="134"/>
  <c r="R200" i="134"/>
  <c r="W147" i="134"/>
  <c r="Q197" i="134"/>
  <c r="Q99" i="134"/>
  <c r="AF17" i="33" s="1"/>
  <c r="R91" i="134"/>
  <c r="W89" i="134"/>
  <c r="W85" i="134"/>
  <c r="W77" i="134"/>
  <c r="W73" i="134"/>
  <c r="W69" i="134"/>
  <c r="W65" i="134"/>
  <c r="R79" i="134"/>
  <c r="W60" i="134"/>
  <c r="R61" i="134"/>
  <c r="R366" i="134" l="1"/>
  <c r="AF16" i="33"/>
  <c r="N975" i="134"/>
  <c r="R99" i="134"/>
  <c r="Q941" i="134"/>
  <c r="AF71" i="33" s="1"/>
  <c r="AF10" i="33"/>
  <c r="R717" i="134"/>
  <c r="S757" i="134"/>
  <c r="AF53" i="33"/>
  <c r="R974" i="134"/>
  <c r="S197" i="134"/>
  <c r="AF23" i="33" s="1"/>
  <c r="U941" i="134"/>
  <c r="S910" i="134"/>
  <c r="AF63" i="33" s="1"/>
  <c r="T929" i="134"/>
  <c r="R941" i="134"/>
  <c r="W476" i="134"/>
  <c r="W931" i="134"/>
  <c r="AF55" i="33"/>
  <c r="AF50" i="33"/>
  <c r="W781" i="134"/>
  <c r="W269" i="134"/>
  <c r="W244" i="134"/>
  <c r="S426" i="134"/>
  <c r="Q430" i="134"/>
  <c r="W456" i="134"/>
  <c r="T737" i="134"/>
  <c r="R739" i="134"/>
  <c r="W879" i="134"/>
  <c r="W271" i="134"/>
  <c r="W265" i="134"/>
  <c r="W341" i="134"/>
  <c r="W877" i="134"/>
  <c r="W252" i="134"/>
  <c r="W813" i="134"/>
  <c r="W356" i="134"/>
  <c r="W328" i="134"/>
  <c r="W208" i="134"/>
  <c r="W337" i="134"/>
  <c r="W336" i="134"/>
  <c r="W287" i="134"/>
  <c r="W284" i="134"/>
  <c r="W791" i="134"/>
  <c r="AF43" i="33"/>
  <c r="AF65" i="33"/>
  <c r="U815" i="134"/>
  <c r="AF74" i="33"/>
  <c r="R209" i="134"/>
  <c r="W903" i="134"/>
  <c r="W240" i="134"/>
  <c r="W450" i="134"/>
  <c r="W470" i="134"/>
  <c r="W292" i="134"/>
  <c r="W279" i="134"/>
  <c r="W466" i="134"/>
  <c r="W805" i="134"/>
  <c r="W348" i="134"/>
  <c r="W807" i="134"/>
  <c r="W247" i="134"/>
  <c r="W245" i="134"/>
  <c r="W346" i="134"/>
  <c r="W789" i="134"/>
  <c r="W873" i="134"/>
  <c r="W255" i="134"/>
  <c r="W276" i="134"/>
  <c r="W364" i="134"/>
  <c r="S871" i="134"/>
  <c r="Q881" i="134"/>
  <c r="T426" i="134"/>
  <c r="R430" i="134"/>
  <c r="R815" i="134"/>
  <c r="AF15" i="33"/>
  <c r="T815" i="134"/>
  <c r="AJ53" i="100" s="1"/>
  <c r="T99" i="134"/>
  <c r="AJ16" i="100" s="1"/>
  <c r="AF27" i="33"/>
  <c r="S941" i="134"/>
  <c r="R735" i="134"/>
  <c r="Q757" i="134"/>
  <c r="AF51" i="33" s="1"/>
  <c r="S198" i="134"/>
  <c r="Q200" i="134"/>
  <c r="S737" i="134"/>
  <c r="Q739" i="134"/>
  <c r="AF34" i="33"/>
  <c r="T506" i="134"/>
  <c r="R684" i="134"/>
  <c r="R975" i="134" s="1"/>
  <c r="S705" i="134"/>
  <c r="U685" i="134"/>
  <c r="U705" i="134" s="1"/>
  <c r="T773" i="134"/>
  <c r="AJ52" i="100" s="1"/>
  <c r="V765" i="134"/>
  <c r="V50" i="134"/>
  <c r="T51" i="134"/>
  <c r="AJ11" i="100" s="1"/>
  <c r="V211" i="134"/>
  <c r="W210" i="134"/>
  <c r="W211" i="134" s="1"/>
  <c r="U404" i="134"/>
  <c r="U422" i="134" s="1"/>
  <c r="S422" i="134"/>
  <c r="AF35" i="33" s="1"/>
  <c r="W439" i="134"/>
  <c r="W441" i="134" s="1"/>
  <c r="V441" i="134"/>
  <c r="V747" i="134"/>
  <c r="W740" i="134"/>
  <c r="W747" i="134" s="1"/>
  <c r="W758" i="134"/>
  <c r="W764" i="134" s="1"/>
  <c r="V764" i="134"/>
  <c r="W816" i="134"/>
  <c r="W824" i="134" s="1"/>
  <c r="V824" i="134"/>
  <c r="U825" i="134"/>
  <c r="U844" i="134" s="1"/>
  <c r="S844" i="134"/>
  <c r="AF56" i="33" s="1"/>
  <c r="V845" i="134"/>
  <c r="T848" i="134"/>
  <c r="AJ56" i="100" s="1"/>
  <c r="V895" i="134"/>
  <c r="W882" i="134"/>
  <c r="W895" i="134" s="1"/>
  <c r="U913" i="134"/>
  <c r="U925" i="134" s="1"/>
  <c r="S925" i="134"/>
  <c r="AF67" i="33" s="1"/>
  <c r="W59" i="134"/>
  <c r="W61" i="134" s="1"/>
  <c r="V61" i="134"/>
  <c r="W62" i="134"/>
  <c r="V79" i="134"/>
  <c r="U16" i="134"/>
  <c r="U41" i="134" s="1"/>
  <c r="S41" i="134"/>
  <c r="AF9" i="33" s="1"/>
  <c r="W80" i="134"/>
  <c r="W91" i="134" s="1"/>
  <c r="V91" i="134"/>
  <c r="V200" i="134"/>
  <c r="V213" i="134"/>
  <c r="W212" i="134"/>
  <c r="W213" i="134" s="1"/>
  <c r="W214" i="134"/>
  <c r="W231" i="134" s="1"/>
  <c r="V231" i="134"/>
  <c r="S303" i="134"/>
  <c r="Q366" i="134"/>
  <c r="W232" i="134"/>
  <c r="W237" i="134" s="1"/>
  <c r="V237" i="134"/>
  <c r="W238" i="134"/>
  <c r="V366" i="134"/>
  <c r="V685" i="134"/>
  <c r="T705" i="134"/>
  <c r="AJ42" i="100" s="1"/>
  <c r="V815" i="134"/>
  <c r="W774" i="134"/>
  <c r="W815" i="134" s="1"/>
  <c r="U849" i="134"/>
  <c r="U867" i="134" s="1"/>
  <c r="S867" i="134"/>
  <c r="AF58" i="33" s="1"/>
  <c r="V911" i="134"/>
  <c r="T912" i="134"/>
  <c r="AJ64" i="100" s="1"/>
  <c r="W906" i="134"/>
  <c r="W910" i="134" s="1"/>
  <c r="V910" i="134"/>
  <c r="V942" i="134"/>
  <c r="T947" i="134"/>
  <c r="AJ71" i="100" s="1"/>
  <c r="U942" i="134"/>
  <c r="U947" i="134" s="1"/>
  <c r="S947" i="134"/>
  <c r="AF72" i="33" s="1"/>
  <c r="T209" i="134"/>
  <c r="AJ26" i="100" s="1"/>
  <c r="V201" i="134"/>
  <c r="T438" i="134"/>
  <c r="AJ39" i="100" s="1"/>
  <c r="V434" i="134"/>
  <c r="T58" i="134"/>
  <c r="AJ12" i="100" s="1"/>
  <c r="V52" i="134"/>
  <c r="U52" i="134"/>
  <c r="U58" i="134" s="1"/>
  <c r="S58" i="134"/>
  <c r="AF13" i="33" s="1"/>
  <c r="V16" i="134"/>
  <c r="T41" i="134"/>
  <c r="AJ8" i="100" s="1"/>
  <c r="W42" i="134"/>
  <c r="W49" i="134" s="1"/>
  <c r="V49" i="134"/>
  <c r="W367" i="134"/>
  <c r="W403" i="134" s="1"/>
  <c r="V403" i="134"/>
  <c r="W431" i="134"/>
  <c r="W433" i="134" s="1"/>
  <c r="V433" i="134"/>
  <c r="W442" i="134"/>
  <c r="S506" i="134"/>
  <c r="Q684" i="134"/>
  <c r="V708" i="134"/>
  <c r="T717" i="134"/>
  <c r="AJ44" i="100" s="1"/>
  <c r="U708" i="134"/>
  <c r="U717" i="134" s="1"/>
  <c r="S717" i="134"/>
  <c r="AF45" i="33" s="1"/>
  <c r="V707" i="134"/>
  <c r="W706" i="134"/>
  <c r="W707" i="134" s="1"/>
  <c r="W736" i="134"/>
  <c r="V757" i="134"/>
  <c r="W748" i="134"/>
  <c r="W757" i="134" s="1"/>
  <c r="U765" i="134"/>
  <c r="U773" i="134" s="1"/>
  <c r="S773" i="134"/>
  <c r="V881" i="134"/>
  <c r="W868" i="134"/>
  <c r="V905" i="134"/>
  <c r="W896" i="134"/>
  <c r="W905" i="134" s="1"/>
  <c r="U911" i="134"/>
  <c r="U912" i="134" s="1"/>
  <c r="S912" i="134"/>
  <c r="V948" i="134"/>
  <c r="T974" i="134"/>
  <c r="AJ73" i="100" s="1"/>
  <c r="S15" i="134"/>
  <c r="AF7" i="33" s="1"/>
  <c r="U11" i="134"/>
  <c r="T422" i="134"/>
  <c r="AJ34" i="100" s="1"/>
  <c r="V404" i="134"/>
  <c r="T925" i="134"/>
  <c r="AJ66" i="100" s="1"/>
  <c r="V913" i="134"/>
  <c r="S79" i="134"/>
  <c r="U63" i="134"/>
  <c r="T867" i="134"/>
  <c r="AJ57" i="100" s="1"/>
  <c r="V849" i="134"/>
  <c r="S974" i="134"/>
  <c r="U948" i="134"/>
  <c r="U974" i="134" s="1"/>
  <c r="V11" i="134"/>
  <c r="T15" i="134"/>
  <c r="AJ6" i="100" s="1"/>
  <c r="U50" i="134"/>
  <c r="U51" i="134" s="1"/>
  <c r="S51" i="134"/>
  <c r="AF12" i="33" s="1"/>
  <c r="W92" i="134"/>
  <c r="W99" i="134" s="1"/>
  <c r="V99" i="134"/>
  <c r="W100" i="134"/>
  <c r="W197" i="134" s="1"/>
  <c r="V197" i="134"/>
  <c r="U201" i="134"/>
  <c r="U209" i="134" s="1"/>
  <c r="S209" i="134"/>
  <c r="W423" i="134"/>
  <c r="U434" i="134"/>
  <c r="U438" i="134" s="1"/>
  <c r="S438" i="134"/>
  <c r="AF40" i="33" s="1"/>
  <c r="V825" i="134"/>
  <c r="T844" i="134"/>
  <c r="AJ55" i="100" s="1"/>
  <c r="U845" i="134"/>
  <c r="U848" i="134" s="1"/>
  <c r="S848" i="134"/>
  <c r="AF57" i="33" s="1"/>
  <c r="W926" i="134"/>
  <c r="V718" i="134"/>
  <c r="T735" i="134"/>
  <c r="AJ45" i="100" s="1"/>
  <c r="U718" i="134"/>
  <c r="U735" i="134" s="1"/>
  <c r="S735" i="134"/>
  <c r="AF46" i="33" s="1"/>
  <c r="T366" i="134"/>
  <c r="AJ31" i="100" s="1"/>
  <c r="F122" i="132"/>
  <c r="F119" i="132"/>
  <c r="G119" i="132" s="1"/>
  <c r="F116" i="132"/>
  <c r="F110" i="132"/>
  <c r="G110" i="132" s="1"/>
  <c r="F107" i="132"/>
  <c r="F104" i="132"/>
  <c r="G104" i="132" s="1"/>
  <c r="F101" i="132"/>
  <c r="F98" i="132"/>
  <c r="G98" i="132" s="1"/>
  <c r="F97" i="132"/>
  <c r="F94" i="132"/>
  <c r="G94" i="132" s="1"/>
  <c r="F93" i="132"/>
  <c r="F92" i="132"/>
  <c r="G92" i="132" s="1"/>
  <c r="F91" i="132"/>
  <c r="F90" i="132"/>
  <c r="G90" i="132" s="1"/>
  <c r="F88" i="132"/>
  <c r="F87" i="132"/>
  <c r="G87" i="132" s="1"/>
  <c r="F84" i="132"/>
  <c r="F81" i="132"/>
  <c r="G81" i="132" s="1"/>
  <c r="F78" i="132"/>
  <c r="F77" i="132"/>
  <c r="G77" i="132" s="1"/>
  <c r="E113" i="132"/>
  <c r="F113" i="132" s="1"/>
  <c r="E89" i="132"/>
  <c r="F89" i="132" s="1"/>
  <c r="E74" i="132"/>
  <c r="E73" i="132"/>
  <c r="E72" i="132"/>
  <c r="E71" i="132"/>
  <c r="E70" i="132"/>
  <c r="E69" i="132"/>
  <c r="E68" i="132"/>
  <c r="E67" i="132"/>
  <c r="E66" i="132"/>
  <c r="E65" i="132"/>
  <c r="E64" i="132"/>
  <c r="E63" i="132"/>
  <c r="E62" i="132"/>
  <c r="E61" i="132"/>
  <c r="E60" i="132"/>
  <c r="E59" i="132"/>
  <c r="E58" i="132"/>
  <c r="E57" i="132"/>
  <c r="E56" i="132"/>
  <c r="E55" i="132"/>
  <c r="E54" i="132"/>
  <c r="E53" i="132"/>
  <c r="E52" i="132"/>
  <c r="E51" i="132"/>
  <c r="E50" i="132"/>
  <c r="E49" i="132"/>
  <c r="E48" i="132"/>
  <c r="E47" i="132"/>
  <c r="E46" i="132"/>
  <c r="E45" i="132"/>
  <c r="E44" i="132"/>
  <c r="E43" i="132"/>
  <c r="E42" i="132"/>
  <c r="E41" i="132"/>
  <c r="E40" i="132"/>
  <c r="E39" i="132"/>
  <c r="E38" i="132"/>
  <c r="E37" i="132"/>
  <c r="E36" i="132"/>
  <c r="E35" i="132"/>
  <c r="E34" i="132"/>
  <c r="E33" i="132"/>
  <c r="E32" i="132"/>
  <c r="E31" i="132"/>
  <c r="E30" i="132"/>
  <c r="E29" i="132"/>
  <c r="E28" i="132"/>
  <c r="E27" i="132"/>
  <c r="E26" i="132"/>
  <c r="E25" i="132"/>
  <c r="E24" i="132"/>
  <c r="E23" i="132"/>
  <c r="E22" i="132"/>
  <c r="E21" i="132"/>
  <c r="E20" i="132"/>
  <c r="E19" i="132"/>
  <c r="E18" i="132"/>
  <c r="E17" i="132"/>
  <c r="E16" i="132"/>
  <c r="E15" i="132"/>
  <c r="E14" i="132"/>
  <c r="E13" i="132"/>
  <c r="E12" i="132"/>
  <c r="E11" i="132"/>
  <c r="E10" i="132"/>
  <c r="E9" i="132"/>
  <c r="E8" i="132"/>
  <c r="E7" i="132"/>
  <c r="E6" i="132"/>
  <c r="D122" i="132"/>
  <c r="G122" i="132" s="1"/>
  <c r="D119" i="132"/>
  <c r="D116" i="132"/>
  <c r="G116" i="132" s="1"/>
  <c r="D110" i="132"/>
  <c r="D107" i="132"/>
  <c r="G107" i="132" s="1"/>
  <c r="D104" i="132"/>
  <c r="D101" i="132"/>
  <c r="G101" i="132" s="1"/>
  <c r="D98" i="132"/>
  <c r="D97" i="132"/>
  <c r="G97" i="132" s="1"/>
  <c r="D94" i="132"/>
  <c r="D93" i="132"/>
  <c r="G93" i="132" s="1"/>
  <c r="D92" i="132"/>
  <c r="D91" i="132"/>
  <c r="G91" i="132" s="1"/>
  <c r="D90" i="132"/>
  <c r="D88" i="132"/>
  <c r="G88" i="132" s="1"/>
  <c r="D87" i="132"/>
  <c r="D84" i="132"/>
  <c r="G84" i="132" s="1"/>
  <c r="D81" i="132"/>
  <c r="D78" i="132"/>
  <c r="G78" i="132" s="1"/>
  <c r="D77" i="132"/>
  <c r="C113" i="132"/>
  <c r="D113" i="132" s="1"/>
  <c r="C89" i="132"/>
  <c r="D89" i="132" s="1"/>
  <c r="C74" i="132"/>
  <c r="C73" i="132"/>
  <c r="C72" i="132"/>
  <c r="C71" i="132"/>
  <c r="C70" i="132"/>
  <c r="C69" i="132"/>
  <c r="C68" i="132"/>
  <c r="C67" i="132"/>
  <c r="C66" i="132"/>
  <c r="C65" i="132"/>
  <c r="C64" i="132"/>
  <c r="C63" i="132"/>
  <c r="C62" i="132"/>
  <c r="C61" i="132"/>
  <c r="C60" i="132"/>
  <c r="C59" i="132"/>
  <c r="C58" i="132"/>
  <c r="C57" i="132"/>
  <c r="C56" i="132"/>
  <c r="C55" i="132"/>
  <c r="C54" i="132"/>
  <c r="C53" i="132"/>
  <c r="C52" i="132"/>
  <c r="C51" i="132"/>
  <c r="C50" i="132"/>
  <c r="C49" i="132"/>
  <c r="C48" i="132"/>
  <c r="C47" i="132"/>
  <c r="C46" i="132"/>
  <c r="C45" i="132"/>
  <c r="C44" i="132"/>
  <c r="C43" i="132"/>
  <c r="C42" i="132"/>
  <c r="C41" i="132"/>
  <c r="C40" i="132"/>
  <c r="C39" i="132"/>
  <c r="C38" i="132"/>
  <c r="C37" i="132"/>
  <c r="C36" i="132"/>
  <c r="C35" i="132"/>
  <c r="C34" i="132"/>
  <c r="C33" i="132"/>
  <c r="C32" i="132"/>
  <c r="C31" i="132"/>
  <c r="C30" i="132"/>
  <c r="C29" i="132"/>
  <c r="C28" i="132"/>
  <c r="C27" i="132"/>
  <c r="C26" i="132"/>
  <c r="C25" i="132"/>
  <c r="C24" i="132"/>
  <c r="C23" i="132"/>
  <c r="C22" i="132"/>
  <c r="C21" i="132"/>
  <c r="C20" i="132"/>
  <c r="C19" i="132"/>
  <c r="C18" i="132"/>
  <c r="C17" i="132"/>
  <c r="C16" i="132"/>
  <c r="C15" i="132"/>
  <c r="C14" i="132"/>
  <c r="C13" i="132"/>
  <c r="C12" i="132"/>
  <c r="C11" i="132"/>
  <c r="C10" i="132"/>
  <c r="C9" i="132"/>
  <c r="C8" i="132"/>
  <c r="C7" i="132"/>
  <c r="C6" i="132"/>
  <c r="U871" i="134" l="1"/>
  <c r="S881" i="134"/>
  <c r="Q975" i="134"/>
  <c r="S200" i="134"/>
  <c r="U198" i="134"/>
  <c r="AF59" i="33"/>
  <c r="V737" i="134"/>
  <c r="T739" i="134"/>
  <c r="AJ47" i="100" s="1"/>
  <c r="V929" i="134"/>
  <c r="T941" i="134"/>
  <c r="AJ70" i="100" s="1"/>
  <c r="U737" i="134"/>
  <c r="U739" i="134" s="1"/>
  <c r="S739" i="134"/>
  <c r="AF48" i="33" s="1"/>
  <c r="V426" i="134"/>
  <c r="T430" i="134"/>
  <c r="AJ36" i="100" s="1"/>
  <c r="AF37" i="33"/>
  <c r="AF25" i="33"/>
  <c r="U426" i="134"/>
  <c r="U430" i="134" s="1"/>
  <c r="S430" i="134"/>
  <c r="G113" i="132"/>
  <c r="G89" i="132"/>
  <c r="W11" i="134"/>
  <c r="V15" i="134"/>
  <c r="V735" i="134"/>
  <c r="W718" i="134"/>
  <c r="W735" i="134" s="1"/>
  <c r="W825" i="134"/>
  <c r="W844" i="134" s="1"/>
  <c r="V844" i="134"/>
  <c r="W849" i="134"/>
  <c r="W867" i="134" s="1"/>
  <c r="V867" i="134"/>
  <c r="U79" i="134"/>
  <c r="W63" i="134"/>
  <c r="W913" i="134"/>
  <c r="W925" i="134" s="1"/>
  <c r="V925" i="134"/>
  <c r="W404" i="134"/>
  <c r="W422" i="134" s="1"/>
  <c r="V422" i="134"/>
  <c r="W948" i="134"/>
  <c r="W974" i="134" s="1"/>
  <c r="V974" i="134"/>
  <c r="W708" i="134"/>
  <c r="W717" i="134" s="1"/>
  <c r="V717" i="134"/>
  <c r="U506" i="134"/>
  <c r="U684" i="134" s="1"/>
  <c r="S684" i="134"/>
  <c r="AF42" i="33" s="1"/>
  <c r="W16" i="134"/>
  <c r="W41" i="134" s="1"/>
  <c r="V41" i="134"/>
  <c r="V947" i="134"/>
  <c r="W942" i="134"/>
  <c r="W947" i="134" s="1"/>
  <c r="W911" i="134"/>
  <c r="W912" i="134" s="1"/>
  <c r="V912" i="134"/>
  <c r="W685" i="134"/>
  <c r="W705" i="134" s="1"/>
  <c r="V705" i="134"/>
  <c r="U303" i="134"/>
  <c r="S366" i="134"/>
  <c r="AF32" i="33" s="1"/>
  <c r="W845" i="134"/>
  <c r="W848" i="134" s="1"/>
  <c r="V848" i="134"/>
  <c r="W50" i="134"/>
  <c r="W51" i="134" s="1"/>
  <c r="V51" i="134"/>
  <c r="V506" i="134"/>
  <c r="T684" i="134"/>
  <c r="W79" i="134"/>
  <c r="U15" i="134"/>
  <c r="W52" i="134"/>
  <c r="W58" i="134" s="1"/>
  <c r="V58" i="134"/>
  <c r="W434" i="134"/>
  <c r="W438" i="134" s="1"/>
  <c r="V438" i="134"/>
  <c r="W201" i="134"/>
  <c r="W209" i="134" s="1"/>
  <c r="V209" i="134"/>
  <c r="W765" i="134"/>
  <c r="W773" i="134" s="1"/>
  <c r="V773" i="134"/>
  <c r="P20" i="13"/>
  <c r="J20" i="13"/>
  <c r="W929" i="134" l="1"/>
  <c r="W941" i="134" s="1"/>
  <c r="V941" i="134"/>
  <c r="U200" i="134"/>
  <c r="W198" i="134"/>
  <c r="W200" i="134" s="1"/>
  <c r="W426" i="134"/>
  <c r="W430" i="134" s="1"/>
  <c r="V430" i="134"/>
  <c r="E93" i="81"/>
  <c r="T975" i="134"/>
  <c r="AJ41" i="100"/>
  <c r="S975" i="134"/>
  <c r="E73" i="81" s="1"/>
  <c r="W737" i="134"/>
  <c r="W739" i="134" s="1"/>
  <c r="V739" i="134"/>
  <c r="U881" i="134"/>
  <c r="W871" i="134"/>
  <c r="W881" i="134" s="1"/>
  <c r="W15" i="134"/>
  <c r="W506" i="134"/>
  <c r="W684" i="134" s="1"/>
  <c r="V684" i="134"/>
  <c r="V975" i="134" s="1"/>
  <c r="U366" i="134"/>
  <c r="U975" i="134" s="1"/>
  <c r="W303" i="134"/>
  <c r="W366" i="134" s="1"/>
  <c r="C76" i="84"/>
  <c r="W975" i="134" l="1"/>
  <c r="F76" i="98" l="1"/>
  <c r="C77" i="98"/>
  <c r="G76" i="98" l="1"/>
  <c r="F76" i="84"/>
  <c r="F75" i="84"/>
  <c r="G75" i="84" s="1"/>
  <c r="F74" i="84"/>
  <c r="G74" i="84" s="1"/>
  <c r="F73" i="84"/>
  <c r="G73" i="84" s="1"/>
  <c r="F72" i="84"/>
  <c r="G72" i="84" s="1"/>
  <c r="F71" i="84"/>
  <c r="G71" i="84" s="1"/>
  <c r="F70" i="84"/>
  <c r="G70" i="84" s="1"/>
  <c r="F69" i="84"/>
  <c r="G69" i="84" s="1"/>
  <c r="F68" i="84"/>
  <c r="G68" i="84" s="1"/>
  <c r="F67" i="84"/>
  <c r="G67" i="84" s="1"/>
  <c r="F66" i="84"/>
  <c r="G66" i="84" s="1"/>
  <c r="F65" i="84"/>
  <c r="G65" i="84" s="1"/>
  <c r="F64" i="84"/>
  <c r="G64" i="84" s="1"/>
  <c r="F63" i="84"/>
  <c r="G63" i="84" s="1"/>
  <c r="F62" i="84"/>
  <c r="G62" i="84" s="1"/>
  <c r="F61" i="84"/>
  <c r="G61" i="84" s="1"/>
  <c r="F60" i="84"/>
  <c r="G60" i="84" s="1"/>
  <c r="F59" i="84"/>
  <c r="G59" i="84" s="1"/>
  <c r="F58" i="84"/>
  <c r="G58" i="84" s="1"/>
  <c r="F57" i="84"/>
  <c r="G57" i="84" s="1"/>
  <c r="F56" i="84"/>
  <c r="G56" i="84" s="1"/>
  <c r="F55" i="84"/>
  <c r="G55" i="84" s="1"/>
  <c r="F54" i="84"/>
  <c r="G54" i="84" s="1"/>
  <c r="F53" i="84"/>
  <c r="G53" i="84" s="1"/>
  <c r="F52" i="84"/>
  <c r="G52" i="84" s="1"/>
  <c r="F51" i="84"/>
  <c r="G51" i="84" s="1"/>
  <c r="F50" i="84"/>
  <c r="G50" i="84" s="1"/>
  <c r="F49" i="84"/>
  <c r="G49" i="84" s="1"/>
  <c r="F48" i="84"/>
  <c r="G48" i="84" s="1"/>
  <c r="F47" i="84"/>
  <c r="G47" i="84" s="1"/>
  <c r="F46" i="84"/>
  <c r="G46" i="84" s="1"/>
  <c r="F44" i="84"/>
  <c r="G44" i="84" s="1"/>
  <c r="F43" i="84"/>
  <c r="G43" i="84" s="1"/>
  <c r="F41" i="84"/>
  <c r="G41" i="84" s="1"/>
  <c r="F40" i="84"/>
  <c r="G40" i="84" s="1"/>
  <c r="F39" i="84"/>
  <c r="G39" i="84" s="1"/>
  <c r="F38" i="84"/>
  <c r="G38" i="84" s="1"/>
  <c r="F37" i="84"/>
  <c r="G37" i="84" s="1"/>
  <c r="F36" i="84"/>
  <c r="G36" i="84" s="1"/>
  <c r="F35" i="84"/>
  <c r="G35" i="84" s="1"/>
  <c r="F34" i="84"/>
  <c r="G34" i="84" s="1"/>
  <c r="F33" i="84"/>
  <c r="G33" i="84" s="1"/>
  <c r="F32" i="84"/>
  <c r="G32" i="84" s="1"/>
  <c r="F31" i="84"/>
  <c r="G31" i="84" s="1"/>
  <c r="F30" i="84"/>
  <c r="G30" i="84" s="1"/>
  <c r="F29" i="84"/>
  <c r="G29" i="84" s="1"/>
  <c r="F28" i="84"/>
  <c r="G28" i="84" s="1"/>
  <c r="F27" i="84"/>
  <c r="G27" i="84" s="1"/>
  <c r="F26" i="84"/>
  <c r="G26" i="84" s="1"/>
  <c r="F25" i="84"/>
  <c r="G25" i="84" s="1"/>
  <c r="F24" i="84"/>
  <c r="G24" i="84" s="1"/>
  <c r="F22" i="84"/>
  <c r="G22" i="84" s="1"/>
  <c r="F21" i="84"/>
  <c r="G21" i="84" s="1"/>
  <c r="F20" i="84"/>
  <c r="G20" i="84" s="1"/>
  <c r="F19" i="84"/>
  <c r="G19" i="84" s="1"/>
  <c r="F18" i="84"/>
  <c r="G18" i="84" s="1"/>
  <c r="F17" i="84"/>
  <c r="G17" i="84" s="1"/>
  <c r="F16" i="84"/>
  <c r="G16" i="84" s="1"/>
  <c r="F15" i="84"/>
  <c r="G15" i="84" s="1"/>
  <c r="F14" i="84"/>
  <c r="G14" i="84" s="1"/>
  <c r="F13" i="84"/>
  <c r="G13" i="84" s="1"/>
  <c r="F12" i="84"/>
  <c r="G12" i="84" s="1"/>
  <c r="F11" i="84"/>
  <c r="G11" i="84" s="1"/>
  <c r="F10" i="84"/>
  <c r="G10" i="84" s="1"/>
  <c r="F9" i="84"/>
  <c r="G9" i="84" s="1"/>
  <c r="F8" i="84"/>
  <c r="G8" i="84" s="1"/>
  <c r="F76" i="83"/>
  <c r="G76" i="83" s="1"/>
  <c r="F75" i="83"/>
  <c r="G75" i="83" s="1"/>
  <c r="F74" i="83"/>
  <c r="G74" i="83" s="1"/>
  <c r="F73" i="83"/>
  <c r="G73" i="83" s="1"/>
  <c r="F72" i="83"/>
  <c r="G72" i="83" s="1"/>
  <c r="F71" i="83"/>
  <c r="G71" i="83" s="1"/>
  <c r="F70" i="83"/>
  <c r="G70" i="83" s="1"/>
  <c r="F69" i="83"/>
  <c r="G69" i="83" s="1"/>
  <c r="F68" i="83"/>
  <c r="G68" i="83" s="1"/>
  <c r="F67" i="83"/>
  <c r="G67" i="83" s="1"/>
  <c r="F66" i="83"/>
  <c r="G66" i="83" s="1"/>
  <c r="F65" i="83"/>
  <c r="G65" i="83" s="1"/>
  <c r="F64" i="83"/>
  <c r="G64" i="83" s="1"/>
  <c r="F63" i="83"/>
  <c r="G63" i="83" s="1"/>
  <c r="F62" i="83"/>
  <c r="G62" i="83" s="1"/>
  <c r="F61" i="83"/>
  <c r="G61" i="83" s="1"/>
  <c r="F60" i="83"/>
  <c r="G60" i="83" s="1"/>
  <c r="F59" i="83"/>
  <c r="G59" i="83" s="1"/>
  <c r="F58" i="83"/>
  <c r="G58" i="83" s="1"/>
  <c r="F57" i="83"/>
  <c r="G57" i="83" s="1"/>
  <c r="F56" i="83"/>
  <c r="G56" i="83" s="1"/>
  <c r="F55" i="83"/>
  <c r="G55" i="83" s="1"/>
  <c r="F54" i="83"/>
  <c r="G54" i="83" s="1"/>
  <c r="F53" i="83"/>
  <c r="G53" i="83" s="1"/>
  <c r="F52" i="83"/>
  <c r="G52" i="83" s="1"/>
  <c r="F51" i="83"/>
  <c r="G51" i="83" s="1"/>
  <c r="F50" i="83"/>
  <c r="G50" i="83" s="1"/>
  <c r="F49" i="83"/>
  <c r="G49" i="83" s="1"/>
  <c r="F48" i="83"/>
  <c r="G48" i="83" s="1"/>
  <c r="F47" i="83"/>
  <c r="G47" i="83" s="1"/>
  <c r="F46" i="83"/>
  <c r="G46" i="83" s="1"/>
  <c r="F44" i="83"/>
  <c r="G44" i="83" s="1"/>
  <c r="F43" i="83"/>
  <c r="G43" i="83" s="1"/>
  <c r="F41" i="83"/>
  <c r="G41" i="83" s="1"/>
  <c r="F40" i="83"/>
  <c r="G40" i="83" s="1"/>
  <c r="F39" i="83"/>
  <c r="G39" i="83" s="1"/>
  <c r="F38" i="83"/>
  <c r="G38" i="83" s="1"/>
  <c r="F37" i="83"/>
  <c r="G37" i="83" s="1"/>
  <c r="F36" i="83"/>
  <c r="G36" i="83" s="1"/>
  <c r="F35" i="83"/>
  <c r="G35" i="83" s="1"/>
  <c r="F34" i="83"/>
  <c r="G34" i="83" s="1"/>
  <c r="F33" i="83"/>
  <c r="G33" i="83" s="1"/>
  <c r="F32" i="83"/>
  <c r="G32" i="83" s="1"/>
  <c r="F31" i="83"/>
  <c r="G31" i="83" s="1"/>
  <c r="F30" i="83"/>
  <c r="G30" i="83" s="1"/>
  <c r="F29" i="83"/>
  <c r="G29" i="83" s="1"/>
  <c r="F28" i="83"/>
  <c r="G28" i="83" s="1"/>
  <c r="F27" i="83"/>
  <c r="G27" i="83" s="1"/>
  <c r="F26" i="83"/>
  <c r="G26" i="83" s="1"/>
  <c r="F25" i="83"/>
  <c r="G25" i="83" s="1"/>
  <c r="F24" i="83"/>
  <c r="G24" i="83" s="1"/>
  <c r="F22" i="83"/>
  <c r="G22" i="83" s="1"/>
  <c r="F21" i="83"/>
  <c r="G21" i="83" s="1"/>
  <c r="F20" i="83"/>
  <c r="G20" i="83" s="1"/>
  <c r="F19" i="83"/>
  <c r="G19" i="83" s="1"/>
  <c r="F18" i="83"/>
  <c r="G18" i="83" s="1"/>
  <c r="F17" i="83"/>
  <c r="G17" i="83" s="1"/>
  <c r="F16" i="83"/>
  <c r="G16" i="83" s="1"/>
  <c r="F15" i="83"/>
  <c r="G15" i="83" s="1"/>
  <c r="F14" i="83"/>
  <c r="G14" i="83" s="1"/>
  <c r="F13" i="83"/>
  <c r="G13" i="83" s="1"/>
  <c r="F12" i="83"/>
  <c r="G12" i="83" s="1"/>
  <c r="F11" i="83"/>
  <c r="G11" i="83" s="1"/>
  <c r="F10" i="83"/>
  <c r="G10" i="83" s="1"/>
  <c r="F9" i="83"/>
  <c r="G9" i="83" s="1"/>
  <c r="F8" i="83"/>
  <c r="G8" i="83" s="1"/>
  <c r="F7" i="84"/>
  <c r="G7" i="84" s="1"/>
  <c r="F7" i="83"/>
  <c r="G7" i="83" s="1"/>
  <c r="K206" i="132"/>
  <c r="K204" i="132"/>
  <c r="K202" i="132"/>
  <c r="K199" i="132"/>
  <c r="K200" i="132" s="1"/>
  <c r="K196" i="132"/>
  <c r="K197" i="132" s="1"/>
  <c r="K193" i="132"/>
  <c r="K192" i="132"/>
  <c r="K191" i="132"/>
  <c r="K190" i="132"/>
  <c r="K189" i="132"/>
  <c r="K188" i="132"/>
  <c r="K187" i="132"/>
  <c r="K186" i="132"/>
  <c r="K185" i="132"/>
  <c r="K184" i="132"/>
  <c r="K183" i="132"/>
  <c r="K182" i="132"/>
  <c r="K181" i="132"/>
  <c r="K180" i="132"/>
  <c r="K179" i="132"/>
  <c r="K178" i="132"/>
  <c r="K177" i="132"/>
  <c r="K176" i="132"/>
  <c r="K175" i="132"/>
  <c r="K174" i="132"/>
  <c r="K173" i="132"/>
  <c r="K172" i="132"/>
  <c r="K171" i="132"/>
  <c r="K170" i="132"/>
  <c r="K169" i="132"/>
  <c r="K168" i="132"/>
  <c r="K167" i="132"/>
  <c r="K166" i="132"/>
  <c r="K165" i="132"/>
  <c r="K164" i="132"/>
  <c r="K163" i="132"/>
  <c r="K162" i="132"/>
  <c r="K161" i="132"/>
  <c r="K160" i="132"/>
  <c r="K159" i="132"/>
  <c r="K158" i="132"/>
  <c r="K157" i="132"/>
  <c r="K156" i="132"/>
  <c r="K155" i="132"/>
  <c r="K154" i="132"/>
  <c r="K153" i="132"/>
  <c r="K152" i="132"/>
  <c r="K151" i="132"/>
  <c r="K150" i="132"/>
  <c r="K149" i="132"/>
  <c r="K148" i="132"/>
  <c r="K147" i="132"/>
  <c r="K146" i="132"/>
  <c r="K145" i="132"/>
  <c r="K144" i="132"/>
  <c r="K143" i="132"/>
  <c r="K142" i="132"/>
  <c r="K141" i="132"/>
  <c r="K140" i="132"/>
  <c r="K139" i="132"/>
  <c r="K138" i="132"/>
  <c r="K135" i="132"/>
  <c r="K134" i="132"/>
  <c r="K133" i="132"/>
  <c r="K132" i="132"/>
  <c r="K131" i="132"/>
  <c r="K130" i="132"/>
  <c r="K129" i="132"/>
  <c r="K128" i="132"/>
  <c r="K127" i="132"/>
  <c r="K126" i="132"/>
  <c r="K125" i="132"/>
  <c r="K122" i="132"/>
  <c r="K123" i="132" s="1"/>
  <c r="K119" i="132"/>
  <c r="K120" i="132" s="1"/>
  <c r="K116" i="132"/>
  <c r="K117" i="132" s="1"/>
  <c r="K113" i="132"/>
  <c r="K114" i="132" s="1"/>
  <c r="K110" i="132"/>
  <c r="K111" i="132" s="1"/>
  <c r="K107" i="132"/>
  <c r="K108" i="132" s="1"/>
  <c r="K104" i="132"/>
  <c r="K105" i="132" s="1"/>
  <c r="K101" i="132"/>
  <c r="K102" i="132" s="1"/>
  <c r="K98" i="132"/>
  <c r="K97" i="132"/>
  <c r="K94" i="132"/>
  <c r="K93" i="132"/>
  <c r="K92" i="132"/>
  <c r="K91" i="132"/>
  <c r="K90" i="132"/>
  <c r="K89" i="132"/>
  <c r="K88" i="132"/>
  <c r="K87" i="132"/>
  <c r="K84" i="132"/>
  <c r="K85" i="132" s="1"/>
  <c r="K81" i="132"/>
  <c r="K82" i="132" s="1"/>
  <c r="K78" i="132"/>
  <c r="K77" i="132"/>
  <c r="D4" i="132"/>
  <c r="E4" i="132" s="1"/>
  <c r="F4" i="132" s="1"/>
  <c r="G4" i="132" s="1"/>
  <c r="H4" i="132" s="1"/>
  <c r="I4" i="132" s="1"/>
  <c r="J4" i="132" s="1"/>
  <c r="K4" i="132" s="1"/>
  <c r="K79" i="132" l="1"/>
  <c r="K99" i="132"/>
  <c r="K136" i="132"/>
  <c r="K194" i="132"/>
  <c r="K95" i="132"/>
  <c r="D50" i="81" l="1"/>
  <c r="I200" i="132" l="1"/>
  <c r="H200" i="132"/>
  <c r="G200" i="132"/>
  <c r="F200" i="132"/>
  <c r="E200" i="132"/>
  <c r="D200" i="132"/>
  <c r="C200" i="132"/>
  <c r="I197" i="132"/>
  <c r="H197" i="132"/>
  <c r="G197" i="132"/>
  <c r="F197" i="132"/>
  <c r="E197" i="132"/>
  <c r="D197" i="132"/>
  <c r="I194" i="132"/>
  <c r="H194" i="132"/>
  <c r="G194" i="132"/>
  <c r="F194" i="132"/>
  <c r="E194" i="132"/>
  <c r="D194" i="132"/>
  <c r="I136" i="132"/>
  <c r="H136" i="132"/>
  <c r="G136" i="132"/>
  <c r="F136" i="132"/>
  <c r="E136" i="132"/>
  <c r="D136" i="132"/>
  <c r="I123" i="132"/>
  <c r="H123" i="132"/>
  <c r="G123" i="132"/>
  <c r="F123" i="132"/>
  <c r="E123" i="132"/>
  <c r="D123" i="132"/>
  <c r="I120" i="132"/>
  <c r="H120" i="132"/>
  <c r="G120" i="132"/>
  <c r="F120" i="132"/>
  <c r="E120" i="132"/>
  <c r="D120" i="132"/>
  <c r="I117" i="132"/>
  <c r="H117" i="132"/>
  <c r="G117" i="132"/>
  <c r="F117" i="132"/>
  <c r="E117" i="132"/>
  <c r="D117" i="132"/>
  <c r="C117" i="132"/>
  <c r="I114" i="132"/>
  <c r="H114" i="132"/>
  <c r="G114" i="132"/>
  <c r="F114" i="132"/>
  <c r="E114" i="132"/>
  <c r="D114" i="132"/>
  <c r="I111" i="132"/>
  <c r="H111" i="132"/>
  <c r="G111" i="132"/>
  <c r="F111" i="132"/>
  <c r="E111" i="132"/>
  <c r="D111" i="132"/>
  <c r="I108" i="132"/>
  <c r="H108" i="132"/>
  <c r="G108" i="132"/>
  <c r="F108" i="132"/>
  <c r="E108" i="132"/>
  <c r="D108" i="132"/>
  <c r="I105" i="132"/>
  <c r="H105" i="132"/>
  <c r="G105" i="132"/>
  <c r="F105" i="132"/>
  <c r="E105" i="132"/>
  <c r="D105" i="132"/>
  <c r="I102" i="132"/>
  <c r="H102" i="132"/>
  <c r="G102" i="132"/>
  <c r="F102" i="132"/>
  <c r="E102" i="132"/>
  <c r="D102" i="132"/>
  <c r="I99" i="132"/>
  <c r="H99" i="132"/>
  <c r="G99" i="132"/>
  <c r="F99" i="132"/>
  <c r="E99" i="132"/>
  <c r="D99" i="132"/>
  <c r="I95" i="132"/>
  <c r="H95" i="132"/>
  <c r="G95" i="132"/>
  <c r="F95" i="132"/>
  <c r="E95" i="132"/>
  <c r="D95" i="132"/>
  <c r="C197" i="132"/>
  <c r="C194" i="132"/>
  <c r="C136" i="132"/>
  <c r="C123" i="132"/>
  <c r="C120" i="132"/>
  <c r="C114" i="132"/>
  <c r="C111" i="132"/>
  <c r="C108" i="132"/>
  <c r="C105" i="132"/>
  <c r="C102" i="132"/>
  <c r="C99" i="132"/>
  <c r="C95" i="132"/>
  <c r="I85" i="132"/>
  <c r="H85" i="132"/>
  <c r="G85" i="132"/>
  <c r="F85" i="132"/>
  <c r="E85" i="132"/>
  <c r="D85" i="132"/>
  <c r="C85" i="132"/>
  <c r="I82" i="132"/>
  <c r="H82" i="132"/>
  <c r="G82" i="132"/>
  <c r="F82" i="132"/>
  <c r="E82" i="132"/>
  <c r="D82" i="132"/>
  <c r="C82" i="132"/>
  <c r="I79" i="132"/>
  <c r="H79" i="132"/>
  <c r="G79" i="132"/>
  <c r="F79" i="132"/>
  <c r="E79" i="132"/>
  <c r="D79" i="132"/>
  <c r="C79" i="132"/>
  <c r="J197" i="132"/>
  <c r="J123" i="132"/>
  <c r="J120" i="132"/>
  <c r="J117" i="132"/>
  <c r="J114" i="132"/>
  <c r="J111" i="132"/>
  <c r="J108" i="132"/>
  <c r="J99" i="132"/>
  <c r="J85" i="132"/>
  <c r="J200" i="132"/>
  <c r="J194" i="132"/>
  <c r="J136" i="132"/>
  <c r="J105" i="132"/>
  <c r="J102" i="132"/>
  <c r="J95" i="132"/>
  <c r="J79" i="132"/>
  <c r="J75" i="132" l="1"/>
  <c r="H75" i="132"/>
  <c r="H208" i="132" s="1"/>
  <c r="I74" i="132"/>
  <c r="AK75" i="33" s="1"/>
  <c r="I73" i="132"/>
  <c r="AK74" i="33" s="1"/>
  <c r="I72" i="132"/>
  <c r="AK73" i="33" s="1"/>
  <c r="I71" i="132"/>
  <c r="AK72" i="33" s="1"/>
  <c r="I70" i="132"/>
  <c r="AK71" i="33" s="1"/>
  <c r="I69" i="132"/>
  <c r="AK70" i="33" s="1"/>
  <c r="I68" i="132"/>
  <c r="AK69" i="33" s="1"/>
  <c r="I67" i="132"/>
  <c r="AK68" i="33" s="1"/>
  <c r="I66" i="132"/>
  <c r="AK67" i="33" s="1"/>
  <c r="I65" i="132"/>
  <c r="AK66" i="33" s="1"/>
  <c r="I64" i="132"/>
  <c r="AK65" i="33" s="1"/>
  <c r="I63" i="132"/>
  <c r="AK64" i="33" s="1"/>
  <c r="I62" i="132"/>
  <c r="AK63" i="33" s="1"/>
  <c r="I61" i="132"/>
  <c r="AK62" i="33" s="1"/>
  <c r="I60" i="132"/>
  <c r="AK61" i="33" s="1"/>
  <c r="I59" i="132"/>
  <c r="AK60" i="33" s="1"/>
  <c r="I58" i="132"/>
  <c r="AK59" i="33" s="1"/>
  <c r="I57" i="132"/>
  <c r="AK58" i="33" s="1"/>
  <c r="I56" i="132"/>
  <c r="AK57" i="33" s="1"/>
  <c r="I55" i="132"/>
  <c r="AK56" i="33" s="1"/>
  <c r="I54" i="132"/>
  <c r="AK55" i="33" s="1"/>
  <c r="I53" i="132"/>
  <c r="AK54" i="33" s="1"/>
  <c r="I52" i="132"/>
  <c r="AK53" i="33" s="1"/>
  <c r="I51" i="132"/>
  <c r="AK52" i="33" s="1"/>
  <c r="I50" i="132"/>
  <c r="AK51" i="33" s="1"/>
  <c r="I49" i="132"/>
  <c r="AK50" i="33" s="1"/>
  <c r="I48" i="132"/>
  <c r="AK49" i="33" s="1"/>
  <c r="I47" i="132"/>
  <c r="AK48" i="33" s="1"/>
  <c r="I46" i="132"/>
  <c r="AK47" i="33" s="1"/>
  <c r="I45" i="132"/>
  <c r="AK46" i="33" s="1"/>
  <c r="I44" i="132"/>
  <c r="AK45" i="33" s="1"/>
  <c r="I43" i="132"/>
  <c r="AK44" i="33" s="1"/>
  <c r="I42" i="132"/>
  <c r="AK43" i="33" s="1"/>
  <c r="I41" i="132"/>
  <c r="AK42" i="33" s="1"/>
  <c r="I40" i="132"/>
  <c r="AK41" i="33" s="1"/>
  <c r="I39" i="132"/>
  <c r="AK40" i="33" s="1"/>
  <c r="I38" i="132"/>
  <c r="AK39" i="33" s="1"/>
  <c r="I37" i="132"/>
  <c r="AK38" i="33" s="1"/>
  <c r="I36" i="132"/>
  <c r="AK37" i="33" s="1"/>
  <c r="I35" i="132"/>
  <c r="AK36" i="33" s="1"/>
  <c r="I34" i="132"/>
  <c r="AK35" i="33" s="1"/>
  <c r="I33" i="132"/>
  <c r="AK34" i="33" s="1"/>
  <c r="I32" i="132"/>
  <c r="AK33" i="33" s="1"/>
  <c r="I31" i="132"/>
  <c r="AK32" i="33" s="1"/>
  <c r="I30" i="132"/>
  <c r="AK31" i="33" s="1"/>
  <c r="I29" i="132"/>
  <c r="AK30" i="33" s="1"/>
  <c r="I28" i="132"/>
  <c r="AK29" i="33" s="1"/>
  <c r="I27" i="132"/>
  <c r="AK28" i="33" s="1"/>
  <c r="I26" i="132"/>
  <c r="AK27" i="33" s="1"/>
  <c r="I25" i="132"/>
  <c r="AK26" i="33" s="1"/>
  <c r="I24" i="132"/>
  <c r="AK25" i="33" s="1"/>
  <c r="I23" i="132"/>
  <c r="AK24" i="33" s="1"/>
  <c r="I22" i="132"/>
  <c r="AK23" i="33" s="1"/>
  <c r="I21" i="132"/>
  <c r="AK22" i="33" s="1"/>
  <c r="I20" i="132"/>
  <c r="AK21" i="33" s="1"/>
  <c r="I19" i="132"/>
  <c r="AK20" i="33" s="1"/>
  <c r="I18" i="132"/>
  <c r="AK19" i="33" s="1"/>
  <c r="I17" i="132"/>
  <c r="AK18" i="33" s="1"/>
  <c r="I16" i="132"/>
  <c r="AK17" i="33" s="1"/>
  <c r="I15" i="132"/>
  <c r="AK16" i="33" s="1"/>
  <c r="I14" i="132"/>
  <c r="AK15" i="33" s="1"/>
  <c r="I13" i="132"/>
  <c r="AK14" i="33" s="1"/>
  <c r="I12" i="132"/>
  <c r="AK13" i="33" s="1"/>
  <c r="I11" i="132"/>
  <c r="AK12" i="33" s="1"/>
  <c r="I10" i="132"/>
  <c r="AK11" i="33" s="1"/>
  <c r="I9" i="132"/>
  <c r="AK10" i="33" s="1"/>
  <c r="I8" i="132"/>
  <c r="AK9" i="33" s="1"/>
  <c r="I7" i="132"/>
  <c r="AK8" i="33" s="1"/>
  <c r="I6" i="132"/>
  <c r="AK7" i="33" s="1"/>
  <c r="E75" i="132"/>
  <c r="E208" i="132" s="1"/>
  <c r="C75" i="132"/>
  <c r="C208" i="132" s="1"/>
  <c r="F74" i="132"/>
  <c r="D74" i="132"/>
  <c r="F73" i="132"/>
  <c r="D73" i="132"/>
  <c r="F72" i="132"/>
  <c r="D72" i="132"/>
  <c r="F71" i="132"/>
  <c r="D71" i="132"/>
  <c r="F70" i="132"/>
  <c r="D70" i="132"/>
  <c r="F69" i="132"/>
  <c r="D69" i="132"/>
  <c r="F68" i="132"/>
  <c r="D68" i="132"/>
  <c r="F67" i="132"/>
  <c r="D67" i="132"/>
  <c r="F66" i="132"/>
  <c r="D66" i="132"/>
  <c r="F65" i="132"/>
  <c r="D65" i="132"/>
  <c r="F64" i="132"/>
  <c r="D64" i="132"/>
  <c r="F63" i="132"/>
  <c r="D63" i="132"/>
  <c r="F62" i="132"/>
  <c r="D62" i="132"/>
  <c r="F61" i="132"/>
  <c r="D61" i="132"/>
  <c r="F60" i="132"/>
  <c r="D60" i="132"/>
  <c r="F59" i="132"/>
  <c r="D59" i="132"/>
  <c r="F58" i="132"/>
  <c r="D58" i="132"/>
  <c r="F57" i="132"/>
  <c r="D57" i="132"/>
  <c r="F56" i="132"/>
  <c r="D56" i="132"/>
  <c r="F55" i="132"/>
  <c r="D55" i="132"/>
  <c r="F54" i="132"/>
  <c r="D54" i="132"/>
  <c r="G54" i="132" s="1"/>
  <c r="F53" i="132"/>
  <c r="D53" i="132"/>
  <c r="F52" i="132"/>
  <c r="D52" i="132"/>
  <c r="G52" i="132" s="1"/>
  <c r="F51" i="132"/>
  <c r="D51" i="132"/>
  <c r="F50" i="132"/>
  <c r="D50" i="132"/>
  <c r="G50" i="132" s="1"/>
  <c r="F49" i="132"/>
  <c r="D49" i="132"/>
  <c r="F48" i="132"/>
  <c r="D48" i="132"/>
  <c r="G48" i="132" s="1"/>
  <c r="F47" i="132"/>
  <c r="D47" i="132"/>
  <c r="F46" i="132"/>
  <c r="D46" i="132"/>
  <c r="G46" i="132" s="1"/>
  <c r="F45" i="132"/>
  <c r="D45" i="132"/>
  <c r="F44" i="132"/>
  <c r="D44" i="132"/>
  <c r="G44" i="132" s="1"/>
  <c r="F43" i="132"/>
  <c r="D43" i="132"/>
  <c r="F42" i="132"/>
  <c r="D42" i="132"/>
  <c r="G42" i="132" s="1"/>
  <c r="F41" i="132"/>
  <c r="D41" i="132"/>
  <c r="F40" i="132"/>
  <c r="D40" i="132"/>
  <c r="G40" i="132" s="1"/>
  <c r="F39" i="132"/>
  <c r="D39" i="132"/>
  <c r="F38" i="132"/>
  <c r="D38" i="132"/>
  <c r="G38" i="132" s="1"/>
  <c r="F37" i="132"/>
  <c r="D37" i="132"/>
  <c r="F36" i="132"/>
  <c r="D36" i="132"/>
  <c r="G36" i="132" s="1"/>
  <c r="F35" i="132"/>
  <c r="D35" i="132"/>
  <c r="F34" i="132"/>
  <c r="D34" i="132"/>
  <c r="G34" i="132" s="1"/>
  <c r="F33" i="132"/>
  <c r="D33" i="132"/>
  <c r="F32" i="132"/>
  <c r="D32" i="132"/>
  <c r="G32" i="132" s="1"/>
  <c r="F31" i="132"/>
  <c r="D31" i="132"/>
  <c r="F30" i="132"/>
  <c r="D30" i="132"/>
  <c r="G30" i="132" s="1"/>
  <c r="F29" i="132"/>
  <c r="D29" i="132"/>
  <c r="F28" i="132"/>
  <c r="D28" i="132"/>
  <c r="G28" i="132" s="1"/>
  <c r="F27" i="132"/>
  <c r="D27" i="132"/>
  <c r="F26" i="132"/>
  <c r="D26" i="132"/>
  <c r="G26" i="132" s="1"/>
  <c r="F25" i="132"/>
  <c r="D25" i="132"/>
  <c r="F24" i="132"/>
  <c r="D24" i="132"/>
  <c r="G24" i="132" s="1"/>
  <c r="F23" i="132"/>
  <c r="D23" i="132"/>
  <c r="F22" i="132"/>
  <c r="D22" i="132"/>
  <c r="G22" i="132" s="1"/>
  <c r="F21" i="132"/>
  <c r="D21" i="132"/>
  <c r="F20" i="132"/>
  <c r="D20" i="132"/>
  <c r="G20" i="132" s="1"/>
  <c r="F19" i="132"/>
  <c r="D19" i="132"/>
  <c r="F18" i="132"/>
  <c r="D18" i="132"/>
  <c r="G18" i="132" s="1"/>
  <c r="F17" i="132"/>
  <c r="D17" i="132"/>
  <c r="F16" i="132"/>
  <c r="D16" i="132"/>
  <c r="G16" i="132" s="1"/>
  <c r="F15" i="132"/>
  <c r="D15" i="132"/>
  <c r="F14" i="132"/>
  <c r="D14" i="132"/>
  <c r="G14" i="132" s="1"/>
  <c r="F13" i="132"/>
  <c r="D13" i="132"/>
  <c r="F12" i="132"/>
  <c r="D12" i="132"/>
  <c r="G12" i="132" s="1"/>
  <c r="F11" i="132"/>
  <c r="D11" i="132"/>
  <c r="F10" i="132"/>
  <c r="D10" i="132"/>
  <c r="G10" i="132" s="1"/>
  <c r="F9" i="132"/>
  <c r="D9" i="132"/>
  <c r="F8" i="132"/>
  <c r="D8" i="132"/>
  <c r="G8" i="132" s="1"/>
  <c r="F7" i="132"/>
  <c r="D7" i="132"/>
  <c r="F6" i="132"/>
  <c r="D6" i="132"/>
  <c r="F75" i="132" l="1"/>
  <c r="F208" i="132" s="1"/>
  <c r="G7" i="132"/>
  <c r="G9" i="132"/>
  <c r="AJ10" i="33" s="1"/>
  <c r="G11" i="132"/>
  <c r="G13" i="132"/>
  <c r="G15" i="132"/>
  <c r="G17" i="132"/>
  <c r="K17" i="132" s="1"/>
  <c r="G19" i="132"/>
  <c r="G21" i="132"/>
  <c r="G23" i="132"/>
  <c r="G25" i="132"/>
  <c r="K25" i="132" s="1"/>
  <c r="G27" i="132"/>
  <c r="G29" i="132"/>
  <c r="G31" i="132"/>
  <c r="G33" i="132"/>
  <c r="K33" i="132" s="1"/>
  <c r="G35" i="132"/>
  <c r="G37" i="132"/>
  <c r="G39" i="132"/>
  <c r="G41" i="132"/>
  <c r="AJ42" i="33" s="1"/>
  <c r="G43" i="132"/>
  <c r="G45" i="132"/>
  <c r="G47" i="132"/>
  <c r="G49" i="132"/>
  <c r="AJ50" i="33" s="1"/>
  <c r="G51" i="132"/>
  <c r="G53" i="132"/>
  <c r="G59" i="132"/>
  <c r="G55" i="132"/>
  <c r="AJ56" i="33" s="1"/>
  <c r="AK76" i="33"/>
  <c r="G56" i="132"/>
  <c r="G57" i="132"/>
  <c r="G58" i="132"/>
  <c r="K58" i="132" s="1"/>
  <c r="G60" i="132"/>
  <c r="G61" i="132"/>
  <c r="G62" i="132"/>
  <c r="G63" i="132"/>
  <c r="K63" i="132" s="1"/>
  <c r="G64" i="132"/>
  <c r="G65" i="132"/>
  <c r="G66" i="132"/>
  <c r="G67" i="132"/>
  <c r="K67" i="132" s="1"/>
  <c r="G68" i="132"/>
  <c r="G69" i="132"/>
  <c r="G70" i="132"/>
  <c r="G71" i="132"/>
  <c r="AJ72" i="33" s="1"/>
  <c r="G72" i="132"/>
  <c r="G73" i="132"/>
  <c r="G74" i="132"/>
  <c r="G6" i="132"/>
  <c r="AJ7" i="33" s="1"/>
  <c r="AJ9" i="33"/>
  <c r="K8" i="132"/>
  <c r="AJ11" i="33"/>
  <c r="K10" i="132"/>
  <c r="AJ14" i="33"/>
  <c r="K13" i="132"/>
  <c r="AJ16" i="33"/>
  <c r="K15" i="132"/>
  <c r="AJ20" i="33"/>
  <c r="K19" i="132"/>
  <c r="AJ23" i="33"/>
  <c r="K22" i="132"/>
  <c r="AJ25" i="33"/>
  <c r="K24" i="132"/>
  <c r="AJ27" i="33"/>
  <c r="K26" i="132"/>
  <c r="AJ28" i="33"/>
  <c r="K27" i="132"/>
  <c r="AJ31" i="33"/>
  <c r="K30" i="132"/>
  <c r="AJ33" i="33"/>
  <c r="K32" i="132"/>
  <c r="AJ35" i="33"/>
  <c r="K34" i="132"/>
  <c r="AJ37" i="33"/>
  <c r="K36" i="132"/>
  <c r="AJ39" i="33"/>
  <c r="K38" i="132"/>
  <c r="K41" i="132"/>
  <c r="AJ44" i="33"/>
  <c r="K43" i="132"/>
  <c r="AJ46" i="33"/>
  <c r="K45" i="132"/>
  <c r="AJ49" i="33"/>
  <c r="K48" i="132"/>
  <c r="AJ51" i="33"/>
  <c r="K50" i="132"/>
  <c r="AJ53" i="33"/>
  <c r="K52" i="132"/>
  <c r="AJ54" i="33"/>
  <c r="K53" i="132"/>
  <c r="AJ55" i="33"/>
  <c r="K54" i="132"/>
  <c r="AJ57" i="33"/>
  <c r="K56" i="132"/>
  <c r="AJ61" i="33"/>
  <c r="K60" i="132"/>
  <c r="AJ66" i="33"/>
  <c r="K65" i="132"/>
  <c r="AJ71" i="33"/>
  <c r="K70" i="132"/>
  <c r="AJ8" i="33"/>
  <c r="K7" i="132"/>
  <c r="K9" i="132"/>
  <c r="AJ12" i="33"/>
  <c r="K11" i="132"/>
  <c r="AJ13" i="33"/>
  <c r="K12" i="132"/>
  <c r="AJ15" i="33"/>
  <c r="K14" i="132"/>
  <c r="AJ17" i="33"/>
  <c r="K16" i="132"/>
  <c r="AJ19" i="33"/>
  <c r="K18" i="132"/>
  <c r="AJ21" i="33"/>
  <c r="K20" i="132"/>
  <c r="AJ22" i="33"/>
  <c r="K21" i="132"/>
  <c r="AJ24" i="33"/>
  <c r="K23" i="132"/>
  <c r="AJ29" i="33"/>
  <c r="K28" i="132"/>
  <c r="AJ30" i="33"/>
  <c r="K29" i="132"/>
  <c r="AJ32" i="33"/>
  <c r="K31" i="132"/>
  <c r="AJ36" i="33"/>
  <c r="K35" i="132"/>
  <c r="AJ38" i="33"/>
  <c r="K37" i="132"/>
  <c r="AJ40" i="33"/>
  <c r="K39" i="132"/>
  <c r="AJ41" i="33"/>
  <c r="K40" i="132"/>
  <c r="AJ43" i="33"/>
  <c r="K42" i="132"/>
  <c r="AJ45" i="33"/>
  <c r="K44" i="132"/>
  <c r="AJ47" i="33"/>
  <c r="K46" i="132"/>
  <c r="AJ48" i="33"/>
  <c r="K47" i="132"/>
  <c r="K49" i="132"/>
  <c r="AJ52" i="33"/>
  <c r="K51" i="132"/>
  <c r="K55" i="132"/>
  <c r="AJ58" i="33"/>
  <c r="K57" i="132"/>
  <c r="AJ60" i="33"/>
  <c r="K59" i="132"/>
  <c r="AJ62" i="33"/>
  <c r="K61" i="132"/>
  <c r="AJ63" i="33"/>
  <c r="K62" i="132"/>
  <c r="AJ65" i="33"/>
  <c r="K64" i="132"/>
  <c r="AJ67" i="33"/>
  <c r="K66" i="132"/>
  <c r="AJ69" i="33"/>
  <c r="K68" i="132"/>
  <c r="AJ70" i="33"/>
  <c r="K69" i="132"/>
  <c r="AJ73" i="33"/>
  <c r="K72" i="132"/>
  <c r="AJ74" i="33"/>
  <c r="K73" i="132"/>
  <c r="AJ75" i="33"/>
  <c r="K74" i="132"/>
  <c r="D75" i="132"/>
  <c r="D208" i="132" s="1"/>
  <c r="I75" i="132"/>
  <c r="I208" i="132" s="1"/>
  <c r="E51" i="81" s="1"/>
  <c r="K71" i="132" l="1"/>
  <c r="G75" i="132"/>
  <c r="G208" i="132" s="1"/>
  <c r="E52" i="81" s="1"/>
  <c r="AJ34" i="33"/>
  <c r="AJ26" i="33"/>
  <c r="AJ68" i="33"/>
  <c r="AJ64" i="33"/>
  <c r="AJ59" i="33"/>
  <c r="AJ18" i="33"/>
  <c r="K6" i="132"/>
  <c r="K75" i="132"/>
  <c r="K208" i="132" s="1"/>
  <c r="Z69" i="13"/>
  <c r="F74" i="2" l="1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75" i="126"/>
  <c r="F74" i="126"/>
  <c r="F73" i="126"/>
  <c r="F72" i="126"/>
  <c r="F71" i="126"/>
  <c r="F70" i="126"/>
  <c r="F69" i="126"/>
  <c r="F68" i="126"/>
  <c r="F67" i="126"/>
  <c r="F66" i="126"/>
  <c r="G66" i="126" s="1"/>
  <c r="F65" i="126"/>
  <c r="F64" i="126"/>
  <c r="F63" i="126"/>
  <c r="F62" i="126"/>
  <c r="G62" i="126" s="1"/>
  <c r="F61" i="126"/>
  <c r="F60" i="126"/>
  <c r="F59" i="126"/>
  <c r="F58" i="126"/>
  <c r="G58" i="126" s="1"/>
  <c r="F57" i="126"/>
  <c r="F56" i="126"/>
  <c r="F55" i="126"/>
  <c r="F54" i="126"/>
  <c r="G54" i="126" s="1"/>
  <c r="F53" i="126"/>
  <c r="F52" i="126"/>
  <c r="F51" i="126"/>
  <c r="F50" i="126"/>
  <c r="G50" i="126" s="1"/>
  <c r="F49" i="126"/>
  <c r="F48" i="126"/>
  <c r="F47" i="126"/>
  <c r="F46" i="126"/>
  <c r="G46" i="126" s="1"/>
  <c r="F44" i="126"/>
  <c r="F43" i="126"/>
  <c r="F41" i="126"/>
  <c r="F40" i="126"/>
  <c r="F39" i="126"/>
  <c r="F38" i="126"/>
  <c r="F37" i="126"/>
  <c r="F36" i="126"/>
  <c r="F35" i="126"/>
  <c r="F34" i="126"/>
  <c r="F33" i="126"/>
  <c r="F32" i="126"/>
  <c r="G32" i="126" s="1"/>
  <c r="F31" i="126"/>
  <c r="F30" i="126"/>
  <c r="F29" i="126"/>
  <c r="F28" i="126"/>
  <c r="G28" i="126" s="1"/>
  <c r="F27" i="126"/>
  <c r="F26" i="126"/>
  <c r="F25" i="126"/>
  <c r="F24" i="126"/>
  <c r="G24" i="126" s="1"/>
  <c r="F22" i="126"/>
  <c r="F21" i="126"/>
  <c r="F20" i="126"/>
  <c r="F19" i="126"/>
  <c r="F18" i="126"/>
  <c r="F17" i="126"/>
  <c r="F16" i="126"/>
  <c r="F15" i="126"/>
  <c r="F14" i="126"/>
  <c r="F13" i="126"/>
  <c r="F12" i="126"/>
  <c r="F11" i="126"/>
  <c r="F10" i="126"/>
  <c r="F9" i="126"/>
  <c r="F8" i="126"/>
  <c r="F75" i="127"/>
  <c r="F74" i="127"/>
  <c r="F73" i="127"/>
  <c r="F72" i="127"/>
  <c r="F71" i="127"/>
  <c r="F70" i="127"/>
  <c r="F69" i="127"/>
  <c r="F68" i="127"/>
  <c r="F67" i="127"/>
  <c r="G67" i="127" s="1"/>
  <c r="F66" i="127"/>
  <c r="F65" i="127"/>
  <c r="F64" i="127"/>
  <c r="F63" i="127"/>
  <c r="F62" i="127"/>
  <c r="F61" i="127"/>
  <c r="F60" i="127"/>
  <c r="F59" i="127"/>
  <c r="G59" i="127" s="1"/>
  <c r="F58" i="127"/>
  <c r="F57" i="127"/>
  <c r="F56" i="127"/>
  <c r="F55" i="127"/>
  <c r="G55" i="127" s="1"/>
  <c r="F54" i="127"/>
  <c r="F53" i="127"/>
  <c r="F52" i="127"/>
  <c r="F51" i="127"/>
  <c r="G51" i="127" s="1"/>
  <c r="F50" i="127"/>
  <c r="F49" i="127"/>
  <c r="F48" i="127"/>
  <c r="F47" i="127"/>
  <c r="F46" i="127"/>
  <c r="F44" i="127"/>
  <c r="F43" i="127"/>
  <c r="F41" i="127"/>
  <c r="F40" i="127"/>
  <c r="F39" i="127"/>
  <c r="F38" i="127"/>
  <c r="F37" i="127"/>
  <c r="F36" i="127"/>
  <c r="F35" i="127"/>
  <c r="F34" i="127"/>
  <c r="F33" i="127"/>
  <c r="F32" i="127"/>
  <c r="F31" i="127"/>
  <c r="F30" i="127"/>
  <c r="F29" i="127"/>
  <c r="F28" i="127"/>
  <c r="F27" i="127"/>
  <c r="F26" i="127"/>
  <c r="F25" i="127"/>
  <c r="G25" i="127" s="1"/>
  <c r="F24" i="127"/>
  <c r="F22" i="127"/>
  <c r="F21" i="127"/>
  <c r="F20" i="127"/>
  <c r="G20" i="127" s="1"/>
  <c r="F19" i="127"/>
  <c r="F18" i="127"/>
  <c r="F17" i="127"/>
  <c r="F16" i="127"/>
  <c r="G16" i="127" s="1"/>
  <c r="F15" i="127"/>
  <c r="F14" i="127"/>
  <c r="F13" i="127"/>
  <c r="F12" i="127"/>
  <c r="F11" i="127"/>
  <c r="F10" i="127"/>
  <c r="F9" i="127"/>
  <c r="F8" i="127"/>
  <c r="F75" i="128"/>
  <c r="F74" i="128"/>
  <c r="F73" i="128"/>
  <c r="F72" i="128"/>
  <c r="G72" i="128" s="1"/>
  <c r="F71" i="128"/>
  <c r="F70" i="128"/>
  <c r="F69" i="128"/>
  <c r="F68" i="128"/>
  <c r="G68" i="128" s="1"/>
  <c r="F67" i="128"/>
  <c r="F66" i="128"/>
  <c r="F65" i="128"/>
  <c r="F64" i="128"/>
  <c r="G64" i="128" s="1"/>
  <c r="F63" i="128"/>
  <c r="F62" i="128"/>
  <c r="F61" i="128"/>
  <c r="F60" i="128"/>
  <c r="G60" i="128" s="1"/>
  <c r="F59" i="128"/>
  <c r="F58" i="128"/>
  <c r="F57" i="128"/>
  <c r="F56" i="128"/>
  <c r="G56" i="128" s="1"/>
  <c r="F55" i="128"/>
  <c r="F54" i="128"/>
  <c r="F53" i="128"/>
  <c r="F52" i="128"/>
  <c r="G52" i="128" s="1"/>
  <c r="F51" i="128"/>
  <c r="F50" i="128"/>
  <c r="F49" i="128"/>
  <c r="F48" i="128"/>
  <c r="G48" i="128" s="1"/>
  <c r="F47" i="128"/>
  <c r="F46" i="128"/>
  <c r="F44" i="128"/>
  <c r="F43" i="128"/>
  <c r="G43" i="128" s="1"/>
  <c r="F41" i="128"/>
  <c r="F40" i="128"/>
  <c r="F39" i="128"/>
  <c r="F38" i="128"/>
  <c r="F37" i="128"/>
  <c r="F36" i="128"/>
  <c r="F35" i="128"/>
  <c r="F34" i="128"/>
  <c r="F33" i="128"/>
  <c r="F32" i="128"/>
  <c r="F31" i="128"/>
  <c r="F30" i="128"/>
  <c r="F29" i="128"/>
  <c r="F28" i="128"/>
  <c r="F27" i="128"/>
  <c r="F26" i="128"/>
  <c r="F25" i="128"/>
  <c r="F24" i="128"/>
  <c r="F22" i="128"/>
  <c r="F21" i="128"/>
  <c r="G21" i="128" s="1"/>
  <c r="F20" i="128"/>
  <c r="F19" i="128"/>
  <c r="F18" i="128"/>
  <c r="F17" i="128"/>
  <c r="G17" i="128" s="1"/>
  <c r="F16" i="128"/>
  <c r="F15" i="128"/>
  <c r="F14" i="128"/>
  <c r="F13" i="128"/>
  <c r="G13" i="128" s="1"/>
  <c r="F12" i="128"/>
  <c r="F11" i="128"/>
  <c r="F10" i="128"/>
  <c r="F9" i="128"/>
  <c r="G9" i="128" s="1"/>
  <c r="F8" i="128"/>
  <c r="F75" i="129"/>
  <c r="F74" i="129"/>
  <c r="F73" i="129"/>
  <c r="F72" i="129"/>
  <c r="F71" i="129"/>
  <c r="F70" i="129"/>
  <c r="F69" i="129"/>
  <c r="G69" i="129" s="1"/>
  <c r="F68" i="129"/>
  <c r="F67" i="129"/>
  <c r="F66" i="129"/>
  <c r="F65" i="129"/>
  <c r="F64" i="129"/>
  <c r="F63" i="129"/>
  <c r="F62" i="129"/>
  <c r="F61" i="129"/>
  <c r="F60" i="129"/>
  <c r="F59" i="129"/>
  <c r="F58" i="129"/>
  <c r="F57" i="129"/>
  <c r="G57" i="129" s="1"/>
  <c r="F56" i="129"/>
  <c r="F55" i="129"/>
  <c r="F54" i="129"/>
  <c r="F53" i="129"/>
  <c r="G53" i="129" s="1"/>
  <c r="F52" i="129"/>
  <c r="F51" i="129"/>
  <c r="F50" i="129"/>
  <c r="F49" i="129"/>
  <c r="G49" i="129" s="1"/>
  <c r="F48" i="129"/>
  <c r="F47" i="129"/>
  <c r="F46" i="129"/>
  <c r="F44" i="129"/>
  <c r="G44" i="129" s="1"/>
  <c r="F43" i="129"/>
  <c r="F41" i="129"/>
  <c r="F40" i="129"/>
  <c r="F39" i="129"/>
  <c r="G39" i="129" s="1"/>
  <c r="F38" i="129"/>
  <c r="F37" i="129"/>
  <c r="F36" i="129"/>
  <c r="F35" i="129"/>
  <c r="G35" i="129" s="1"/>
  <c r="F34" i="129"/>
  <c r="F33" i="129"/>
  <c r="F32" i="129"/>
  <c r="F31" i="129"/>
  <c r="G31" i="129" s="1"/>
  <c r="F30" i="129"/>
  <c r="F29" i="129"/>
  <c r="F28" i="129"/>
  <c r="F27" i="129"/>
  <c r="G27" i="129" s="1"/>
  <c r="F26" i="129"/>
  <c r="F25" i="129"/>
  <c r="F24" i="129"/>
  <c r="F22" i="129"/>
  <c r="F21" i="129"/>
  <c r="F20" i="129"/>
  <c r="F19" i="129"/>
  <c r="F18" i="129"/>
  <c r="F17" i="129"/>
  <c r="F16" i="129"/>
  <c r="F15" i="129"/>
  <c r="F14" i="129"/>
  <c r="F13" i="129"/>
  <c r="F12" i="129"/>
  <c r="F11" i="129"/>
  <c r="F10" i="129"/>
  <c r="F9" i="129"/>
  <c r="F8" i="129"/>
  <c r="F75" i="130"/>
  <c r="F74" i="130"/>
  <c r="F73" i="130"/>
  <c r="F72" i="130"/>
  <c r="F71" i="130"/>
  <c r="F70" i="130"/>
  <c r="G70" i="130" s="1"/>
  <c r="F69" i="130"/>
  <c r="F68" i="130"/>
  <c r="F67" i="130"/>
  <c r="F66" i="130"/>
  <c r="G66" i="130" s="1"/>
  <c r="F65" i="130"/>
  <c r="F64" i="130"/>
  <c r="F63" i="130"/>
  <c r="F62" i="130"/>
  <c r="G62" i="130" s="1"/>
  <c r="F61" i="130"/>
  <c r="F60" i="130"/>
  <c r="F59" i="130"/>
  <c r="F58" i="130"/>
  <c r="F57" i="130"/>
  <c r="F56" i="130"/>
  <c r="F55" i="130"/>
  <c r="F54" i="130"/>
  <c r="F53" i="130"/>
  <c r="F52" i="130"/>
  <c r="F51" i="130"/>
  <c r="F50" i="130"/>
  <c r="F49" i="130"/>
  <c r="F48" i="130"/>
  <c r="F47" i="130"/>
  <c r="F46" i="130"/>
  <c r="F44" i="130"/>
  <c r="F43" i="130"/>
  <c r="F41" i="130"/>
  <c r="F40" i="130"/>
  <c r="F39" i="130"/>
  <c r="F38" i="130"/>
  <c r="F37" i="130"/>
  <c r="F36" i="130"/>
  <c r="F35" i="130"/>
  <c r="F34" i="130"/>
  <c r="F33" i="130"/>
  <c r="F32" i="130"/>
  <c r="F31" i="130"/>
  <c r="F30" i="130"/>
  <c r="F29" i="130"/>
  <c r="F28" i="130"/>
  <c r="F27" i="130"/>
  <c r="F26" i="130"/>
  <c r="F25" i="130"/>
  <c r="F24" i="130"/>
  <c r="F22" i="130"/>
  <c r="F21" i="130"/>
  <c r="F20" i="130"/>
  <c r="F19" i="130"/>
  <c r="G19" i="130" s="1"/>
  <c r="F18" i="130"/>
  <c r="F17" i="130"/>
  <c r="F16" i="130"/>
  <c r="F15" i="130"/>
  <c r="F14" i="130"/>
  <c r="F13" i="130"/>
  <c r="F12" i="130"/>
  <c r="F11" i="130"/>
  <c r="F10" i="130"/>
  <c r="F9" i="130"/>
  <c r="F8" i="130"/>
  <c r="F75" i="131"/>
  <c r="F74" i="131"/>
  <c r="F73" i="131"/>
  <c r="F72" i="131"/>
  <c r="F71" i="131"/>
  <c r="F70" i="131"/>
  <c r="F69" i="131"/>
  <c r="F68" i="131"/>
  <c r="F67" i="131"/>
  <c r="G67" i="131" s="1"/>
  <c r="F66" i="131"/>
  <c r="F65" i="131"/>
  <c r="F64" i="131"/>
  <c r="F63" i="131"/>
  <c r="F62" i="131"/>
  <c r="F61" i="131"/>
  <c r="F60" i="131"/>
  <c r="F59" i="131"/>
  <c r="G59" i="131" s="1"/>
  <c r="F58" i="131"/>
  <c r="F57" i="131"/>
  <c r="F56" i="131"/>
  <c r="F55" i="131"/>
  <c r="G55" i="131" s="1"/>
  <c r="F54" i="131"/>
  <c r="F53" i="131"/>
  <c r="F52" i="131"/>
  <c r="F51" i="131"/>
  <c r="G51" i="131" s="1"/>
  <c r="F50" i="131"/>
  <c r="F49" i="131"/>
  <c r="F48" i="131"/>
  <c r="F47" i="131"/>
  <c r="G47" i="131" s="1"/>
  <c r="F46" i="131"/>
  <c r="F44" i="131"/>
  <c r="F43" i="131"/>
  <c r="F41" i="131"/>
  <c r="G41" i="131" s="1"/>
  <c r="F40" i="131"/>
  <c r="F39" i="131"/>
  <c r="F38" i="131"/>
  <c r="F37" i="131"/>
  <c r="F36" i="131"/>
  <c r="F35" i="131"/>
  <c r="F34" i="131"/>
  <c r="F33" i="131"/>
  <c r="F32" i="131"/>
  <c r="F31" i="131"/>
  <c r="F30" i="131"/>
  <c r="F29" i="131"/>
  <c r="F28" i="131"/>
  <c r="F27" i="131"/>
  <c r="F26" i="131"/>
  <c r="F25" i="131"/>
  <c r="G25" i="131" s="1"/>
  <c r="F24" i="131"/>
  <c r="F22" i="131"/>
  <c r="F21" i="131"/>
  <c r="F20" i="131"/>
  <c r="F19" i="131"/>
  <c r="F18" i="131"/>
  <c r="F17" i="131"/>
  <c r="F16" i="131"/>
  <c r="G16" i="131" s="1"/>
  <c r="F15" i="131"/>
  <c r="F14" i="131"/>
  <c r="F13" i="131"/>
  <c r="F12" i="131"/>
  <c r="G12" i="131" s="1"/>
  <c r="F11" i="131"/>
  <c r="F10" i="131"/>
  <c r="F9" i="131"/>
  <c r="F8" i="131"/>
  <c r="F75" i="125"/>
  <c r="F74" i="125"/>
  <c r="F73" i="125"/>
  <c r="F72" i="125"/>
  <c r="G72" i="125" s="1"/>
  <c r="F71" i="125"/>
  <c r="F70" i="125"/>
  <c r="F69" i="125"/>
  <c r="F68" i="125"/>
  <c r="G68" i="125" s="1"/>
  <c r="F67" i="125"/>
  <c r="F66" i="125"/>
  <c r="F65" i="125"/>
  <c r="F64" i="125"/>
  <c r="G64" i="125" s="1"/>
  <c r="F63" i="125"/>
  <c r="F62" i="125"/>
  <c r="F61" i="125"/>
  <c r="F60" i="125"/>
  <c r="G60" i="125" s="1"/>
  <c r="F59" i="125"/>
  <c r="F58" i="125"/>
  <c r="F57" i="125"/>
  <c r="F56" i="125"/>
  <c r="G56" i="125" s="1"/>
  <c r="F55" i="125"/>
  <c r="F54" i="125"/>
  <c r="F53" i="125"/>
  <c r="F52" i="125"/>
  <c r="G52" i="125" s="1"/>
  <c r="F51" i="125"/>
  <c r="F50" i="125"/>
  <c r="F49" i="125"/>
  <c r="F48" i="125"/>
  <c r="G48" i="125" s="1"/>
  <c r="F47" i="125"/>
  <c r="F46" i="125"/>
  <c r="F44" i="125"/>
  <c r="F43" i="125"/>
  <c r="F41" i="125"/>
  <c r="F40" i="125"/>
  <c r="F39" i="125"/>
  <c r="F38" i="125"/>
  <c r="G38" i="125" s="1"/>
  <c r="F37" i="125"/>
  <c r="F36" i="125"/>
  <c r="F35" i="125"/>
  <c r="F34" i="125"/>
  <c r="G34" i="125" s="1"/>
  <c r="F33" i="125"/>
  <c r="F32" i="125"/>
  <c r="F31" i="125"/>
  <c r="F30" i="125"/>
  <c r="G30" i="125" s="1"/>
  <c r="F29" i="125"/>
  <c r="F28" i="125"/>
  <c r="F27" i="125"/>
  <c r="F26" i="125"/>
  <c r="G26" i="125" s="1"/>
  <c r="F25" i="125"/>
  <c r="F24" i="125"/>
  <c r="F22" i="125"/>
  <c r="F21" i="125"/>
  <c r="F20" i="125"/>
  <c r="F19" i="125"/>
  <c r="F18" i="125"/>
  <c r="F17" i="125"/>
  <c r="F16" i="125"/>
  <c r="F15" i="125"/>
  <c r="F14" i="125"/>
  <c r="F13" i="125"/>
  <c r="F12" i="125"/>
  <c r="F11" i="125"/>
  <c r="F10" i="125"/>
  <c r="F9" i="125"/>
  <c r="F8" i="125"/>
  <c r="F7" i="126"/>
  <c r="F7" i="127"/>
  <c r="F7" i="128"/>
  <c r="G7" i="128" s="1"/>
  <c r="F7" i="129"/>
  <c r="F7" i="130"/>
  <c r="F7" i="131"/>
  <c r="F7" i="125"/>
  <c r="G7" i="125" s="1"/>
  <c r="R76" i="131"/>
  <c r="K76" i="131"/>
  <c r="F76" i="131"/>
  <c r="O75" i="131"/>
  <c r="X74" i="100" s="1"/>
  <c r="O74" i="131"/>
  <c r="X73" i="100" s="1"/>
  <c r="O73" i="131"/>
  <c r="X72" i="100" s="1"/>
  <c r="O72" i="131"/>
  <c r="X71" i="100" s="1"/>
  <c r="O71" i="131"/>
  <c r="X70" i="100" s="1"/>
  <c r="O70" i="131"/>
  <c r="X69" i="100" s="1"/>
  <c r="O69" i="131"/>
  <c r="X68" i="100" s="1"/>
  <c r="G69" i="131"/>
  <c r="O68" i="131"/>
  <c r="G68" i="131"/>
  <c r="O67" i="131"/>
  <c r="O66" i="131"/>
  <c r="X65" i="100" s="1"/>
  <c r="O65" i="131"/>
  <c r="X64" i="100" s="1"/>
  <c r="O64" i="131"/>
  <c r="X63" i="100" s="1"/>
  <c r="O63" i="131"/>
  <c r="X62" i="100" s="1"/>
  <c r="O62" i="131"/>
  <c r="X61" i="100" s="1"/>
  <c r="O61" i="131"/>
  <c r="X60" i="100" s="1"/>
  <c r="O60" i="131"/>
  <c r="X59" i="100" s="1"/>
  <c r="G60" i="131"/>
  <c r="O59" i="131"/>
  <c r="O58" i="131"/>
  <c r="G58" i="131"/>
  <c r="O57" i="131"/>
  <c r="G57" i="131"/>
  <c r="O56" i="131"/>
  <c r="G56" i="131"/>
  <c r="O55" i="131"/>
  <c r="O54" i="131"/>
  <c r="G54" i="131"/>
  <c r="O53" i="131"/>
  <c r="G53" i="131"/>
  <c r="O52" i="131"/>
  <c r="G52" i="131"/>
  <c r="O51" i="131"/>
  <c r="O50" i="131"/>
  <c r="G50" i="131"/>
  <c r="O49" i="131"/>
  <c r="G49" i="131"/>
  <c r="O48" i="131"/>
  <c r="G48" i="131"/>
  <c r="O47" i="131"/>
  <c r="O46" i="131"/>
  <c r="G46" i="131"/>
  <c r="O45" i="131"/>
  <c r="O44" i="131"/>
  <c r="G44" i="131"/>
  <c r="O43" i="131"/>
  <c r="G43" i="131"/>
  <c r="O42" i="131"/>
  <c r="O41" i="131"/>
  <c r="O40" i="131"/>
  <c r="X39" i="100" s="1"/>
  <c r="O39" i="131"/>
  <c r="X38" i="100" s="1"/>
  <c r="G39" i="131"/>
  <c r="O38" i="131"/>
  <c r="X37" i="100" s="1"/>
  <c r="G38" i="131"/>
  <c r="O37" i="131"/>
  <c r="X36" i="100" s="1"/>
  <c r="O36" i="131"/>
  <c r="X35" i="100" s="1"/>
  <c r="O35" i="131"/>
  <c r="X34" i="100" s="1"/>
  <c r="O34" i="131"/>
  <c r="X33" i="100" s="1"/>
  <c r="O33" i="131"/>
  <c r="X32" i="100" s="1"/>
  <c r="O32" i="131"/>
  <c r="X31" i="100" s="1"/>
  <c r="O31" i="131"/>
  <c r="X30" i="100" s="1"/>
  <c r="O30" i="131"/>
  <c r="X29" i="100" s="1"/>
  <c r="O29" i="131"/>
  <c r="X28" i="100" s="1"/>
  <c r="O28" i="131"/>
  <c r="X27" i="100" s="1"/>
  <c r="O27" i="131"/>
  <c r="X26" i="100" s="1"/>
  <c r="G27" i="131"/>
  <c r="G26" i="131"/>
  <c r="O24" i="131"/>
  <c r="X23" i="100" s="1"/>
  <c r="G24" i="131"/>
  <c r="O23" i="131"/>
  <c r="X22" i="100" s="1"/>
  <c r="G22" i="131"/>
  <c r="O21" i="131"/>
  <c r="X20" i="100" s="1"/>
  <c r="G21" i="131"/>
  <c r="O20" i="131"/>
  <c r="X19" i="100" s="1"/>
  <c r="O19" i="131"/>
  <c r="X18" i="100" s="1"/>
  <c r="O18" i="131"/>
  <c r="X17" i="100" s="1"/>
  <c r="O17" i="131"/>
  <c r="X16" i="100" s="1"/>
  <c r="O16" i="131"/>
  <c r="X15" i="100" s="1"/>
  <c r="G15" i="131"/>
  <c r="G14" i="131"/>
  <c r="G13" i="131"/>
  <c r="G11" i="131"/>
  <c r="G10" i="131"/>
  <c r="O9" i="131"/>
  <c r="X8" i="100" s="1"/>
  <c r="G9" i="131"/>
  <c r="O8" i="131"/>
  <c r="X7" i="100" s="1"/>
  <c r="C76" i="131"/>
  <c r="D5" i="131"/>
  <c r="E5" i="131" s="1"/>
  <c r="F5" i="131" s="1"/>
  <c r="G5" i="131" s="1"/>
  <c r="H5" i="131" s="1"/>
  <c r="I5" i="131" s="1"/>
  <c r="J5" i="131" s="1"/>
  <c r="K5" i="131" s="1"/>
  <c r="L5" i="131" s="1"/>
  <c r="M5" i="131" s="1"/>
  <c r="N5" i="131" s="1"/>
  <c r="O5" i="131" s="1"/>
  <c r="P5" i="131" s="1"/>
  <c r="Q5" i="131" s="1"/>
  <c r="R5" i="131" s="1"/>
  <c r="S5" i="131" s="1"/>
  <c r="T5" i="131" s="1"/>
  <c r="U5" i="131" s="1"/>
  <c r="V5" i="131" s="1"/>
  <c r="R76" i="130"/>
  <c r="K76" i="130"/>
  <c r="F76" i="130"/>
  <c r="O74" i="130"/>
  <c r="W73" i="100" s="1"/>
  <c r="O72" i="130"/>
  <c r="G72" i="130"/>
  <c r="O71" i="130"/>
  <c r="G71" i="130"/>
  <c r="O70" i="130"/>
  <c r="O69" i="130"/>
  <c r="G69" i="130"/>
  <c r="O68" i="130"/>
  <c r="W67" i="100" s="1"/>
  <c r="O67" i="130"/>
  <c r="W66" i="100" s="1"/>
  <c r="G67" i="130"/>
  <c r="O66" i="130"/>
  <c r="O65" i="130"/>
  <c r="G65" i="130"/>
  <c r="O64" i="130"/>
  <c r="G64" i="130"/>
  <c r="O63" i="130"/>
  <c r="G63" i="130"/>
  <c r="O62" i="130"/>
  <c r="O61" i="130"/>
  <c r="G61" i="130"/>
  <c r="O60" i="130"/>
  <c r="G60" i="130"/>
  <c r="O59" i="130"/>
  <c r="W58" i="100" s="1"/>
  <c r="O58" i="130"/>
  <c r="W57" i="100" s="1"/>
  <c r="O57" i="130"/>
  <c r="W56" i="100" s="1"/>
  <c r="O56" i="130"/>
  <c r="W55" i="100" s="1"/>
  <c r="O55" i="130"/>
  <c r="W54" i="100" s="1"/>
  <c r="O54" i="130"/>
  <c r="W53" i="100" s="1"/>
  <c r="O53" i="130"/>
  <c r="W52" i="100" s="1"/>
  <c r="O52" i="130"/>
  <c r="W51" i="100" s="1"/>
  <c r="O51" i="130"/>
  <c r="W50" i="100" s="1"/>
  <c r="O50" i="130"/>
  <c r="W49" i="100" s="1"/>
  <c r="O49" i="130"/>
  <c r="W48" i="100" s="1"/>
  <c r="O48" i="130"/>
  <c r="W47" i="100" s="1"/>
  <c r="O47" i="130"/>
  <c r="W46" i="100" s="1"/>
  <c r="O46" i="130"/>
  <c r="W45" i="100" s="1"/>
  <c r="O45" i="130"/>
  <c r="W44" i="100" s="1"/>
  <c r="O44" i="130"/>
  <c r="W43" i="100" s="1"/>
  <c r="O43" i="130"/>
  <c r="W42" i="100" s="1"/>
  <c r="O42" i="130"/>
  <c r="W41" i="100" s="1"/>
  <c r="O41" i="130"/>
  <c r="W40" i="100" s="1"/>
  <c r="O40" i="130"/>
  <c r="W39" i="100" s="1"/>
  <c r="O39" i="130"/>
  <c r="W38" i="100" s="1"/>
  <c r="G39" i="130"/>
  <c r="O38" i="130"/>
  <c r="G38" i="130"/>
  <c r="O37" i="130"/>
  <c r="W36" i="100" s="1"/>
  <c r="O36" i="130"/>
  <c r="W35" i="100" s="1"/>
  <c r="O35" i="130"/>
  <c r="W34" i="100" s="1"/>
  <c r="O34" i="130"/>
  <c r="W33" i="100" s="1"/>
  <c r="O33" i="130"/>
  <c r="W32" i="100" s="1"/>
  <c r="O32" i="130"/>
  <c r="W31" i="100" s="1"/>
  <c r="O31" i="130"/>
  <c r="W30" i="100" s="1"/>
  <c r="O30" i="130"/>
  <c r="W29" i="100" s="1"/>
  <c r="O29" i="130"/>
  <c r="W28" i="100" s="1"/>
  <c r="O28" i="130"/>
  <c r="W27" i="100" s="1"/>
  <c r="O27" i="130"/>
  <c r="W26" i="100" s="1"/>
  <c r="G27" i="130"/>
  <c r="O26" i="130"/>
  <c r="G26" i="130"/>
  <c r="O25" i="130"/>
  <c r="G25" i="130"/>
  <c r="O24" i="130"/>
  <c r="G24" i="130"/>
  <c r="O23" i="130"/>
  <c r="W22" i="100" s="1"/>
  <c r="O22" i="130"/>
  <c r="G22" i="130"/>
  <c r="O21" i="130"/>
  <c r="G21" i="130"/>
  <c r="O20" i="130"/>
  <c r="G20" i="130"/>
  <c r="O19" i="130"/>
  <c r="O18" i="130"/>
  <c r="G18" i="130"/>
  <c r="O17" i="130"/>
  <c r="G17" i="130"/>
  <c r="O16" i="130"/>
  <c r="G16" i="130"/>
  <c r="O15" i="130"/>
  <c r="W14" i="100" s="1"/>
  <c r="O14" i="130"/>
  <c r="W13" i="100" s="1"/>
  <c r="O13" i="130"/>
  <c r="W12" i="100" s="1"/>
  <c r="O12" i="130"/>
  <c r="W11" i="100" s="1"/>
  <c r="O11" i="130"/>
  <c r="W10" i="100" s="1"/>
  <c r="O10" i="130"/>
  <c r="W9" i="100" s="1"/>
  <c r="O9" i="130"/>
  <c r="W8" i="100" s="1"/>
  <c r="G9" i="130"/>
  <c r="O8" i="130"/>
  <c r="G8" i="130"/>
  <c r="O7" i="130"/>
  <c r="W6" i="100" s="1"/>
  <c r="G7" i="130"/>
  <c r="D5" i="130"/>
  <c r="E5" i="130" s="1"/>
  <c r="F5" i="130" s="1"/>
  <c r="G5" i="130" s="1"/>
  <c r="H5" i="130" s="1"/>
  <c r="I5" i="130" s="1"/>
  <c r="J5" i="130" s="1"/>
  <c r="K5" i="130" s="1"/>
  <c r="L5" i="130" s="1"/>
  <c r="M5" i="130" s="1"/>
  <c r="N5" i="130" s="1"/>
  <c r="O5" i="130" s="1"/>
  <c r="P5" i="130" s="1"/>
  <c r="Q5" i="130" s="1"/>
  <c r="R5" i="130" s="1"/>
  <c r="S5" i="130" s="1"/>
  <c r="T5" i="130" s="1"/>
  <c r="U5" i="130" s="1"/>
  <c r="V5" i="130" s="1"/>
  <c r="R76" i="129"/>
  <c r="K76" i="129"/>
  <c r="F76" i="129"/>
  <c r="G75" i="129"/>
  <c r="G74" i="129"/>
  <c r="O73" i="129"/>
  <c r="V72" i="100" s="1"/>
  <c r="O72" i="129"/>
  <c r="V71" i="100" s="1"/>
  <c r="O71" i="129"/>
  <c r="V70" i="100" s="1"/>
  <c r="O70" i="129"/>
  <c r="V69" i="100" s="1"/>
  <c r="O69" i="129"/>
  <c r="V68" i="100" s="1"/>
  <c r="O68" i="129"/>
  <c r="G68" i="129"/>
  <c r="O67" i="129"/>
  <c r="G67" i="129"/>
  <c r="O66" i="129"/>
  <c r="V65" i="100" s="1"/>
  <c r="O65" i="129"/>
  <c r="V64" i="100" s="1"/>
  <c r="O64" i="129"/>
  <c r="V63" i="100" s="1"/>
  <c r="O63" i="129"/>
  <c r="V62" i="100" s="1"/>
  <c r="O62" i="129"/>
  <c r="V61" i="100" s="1"/>
  <c r="O61" i="129"/>
  <c r="V60" i="100" s="1"/>
  <c r="O60" i="129"/>
  <c r="V59" i="100" s="1"/>
  <c r="G60" i="129"/>
  <c r="O59" i="129"/>
  <c r="G59" i="129"/>
  <c r="O58" i="129"/>
  <c r="G58" i="129"/>
  <c r="O57" i="129"/>
  <c r="O56" i="129"/>
  <c r="G56" i="129"/>
  <c r="O55" i="129"/>
  <c r="G55" i="129"/>
  <c r="O54" i="129"/>
  <c r="G54" i="129"/>
  <c r="O53" i="129"/>
  <c r="O52" i="129"/>
  <c r="G52" i="129"/>
  <c r="O51" i="129"/>
  <c r="G51" i="129"/>
  <c r="O50" i="129"/>
  <c r="G50" i="129"/>
  <c r="O49" i="129"/>
  <c r="O48" i="129"/>
  <c r="G48" i="129"/>
  <c r="O47" i="129"/>
  <c r="G47" i="129"/>
  <c r="O46" i="129"/>
  <c r="G46" i="129"/>
  <c r="O45" i="129"/>
  <c r="O44" i="129"/>
  <c r="O43" i="129"/>
  <c r="G43" i="129"/>
  <c r="O42" i="129"/>
  <c r="O41" i="129"/>
  <c r="G41" i="129"/>
  <c r="O40" i="129"/>
  <c r="G40" i="129"/>
  <c r="O39" i="129"/>
  <c r="O38" i="129"/>
  <c r="V37" i="100" s="1"/>
  <c r="G38" i="129"/>
  <c r="O37" i="129"/>
  <c r="G37" i="129"/>
  <c r="O36" i="129"/>
  <c r="G36" i="129"/>
  <c r="O35" i="129"/>
  <c r="O34" i="129"/>
  <c r="G34" i="129"/>
  <c r="O33" i="129"/>
  <c r="G33" i="129"/>
  <c r="O32" i="129"/>
  <c r="G32" i="129"/>
  <c r="O31" i="129"/>
  <c r="O30" i="129"/>
  <c r="G30" i="129"/>
  <c r="O29" i="129"/>
  <c r="G29" i="129"/>
  <c r="O28" i="129"/>
  <c r="G28" i="129"/>
  <c r="O27" i="129"/>
  <c r="O26" i="129"/>
  <c r="V25" i="100" s="1"/>
  <c r="O25" i="129"/>
  <c r="V24" i="100" s="1"/>
  <c r="O24" i="129"/>
  <c r="V23" i="100" s="1"/>
  <c r="G24" i="129"/>
  <c r="O23" i="129"/>
  <c r="O22" i="129"/>
  <c r="V21" i="100" s="1"/>
  <c r="O21" i="129"/>
  <c r="V20" i="100" s="1"/>
  <c r="O20" i="129"/>
  <c r="V19" i="100" s="1"/>
  <c r="O19" i="129"/>
  <c r="V18" i="100" s="1"/>
  <c r="O18" i="129"/>
  <c r="V17" i="100" s="1"/>
  <c r="O17" i="129"/>
  <c r="V16" i="100" s="1"/>
  <c r="O16" i="129"/>
  <c r="V15" i="100" s="1"/>
  <c r="G16" i="129"/>
  <c r="O15" i="129"/>
  <c r="G15" i="129"/>
  <c r="O14" i="129"/>
  <c r="G14" i="129"/>
  <c r="O13" i="129"/>
  <c r="G13" i="129"/>
  <c r="O12" i="129"/>
  <c r="G12" i="129"/>
  <c r="O11" i="129"/>
  <c r="G11" i="129"/>
  <c r="O10" i="129"/>
  <c r="G10" i="129"/>
  <c r="O9" i="129"/>
  <c r="G9" i="129"/>
  <c r="O8" i="129"/>
  <c r="V7" i="100" s="1"/>
  <c r="C76" i="129"/>
  <c r="D5" i="129"/>
  <c r="E5" i="129" s="1"/>
  <c r="F5" i="129" s="1"/>
  <c r="G5" i="129" s="1"/>
  <c r="H5" i="129" s="1"/>
  <c r="I5" i="129" s="1"/>
  <c r="J5" i="129" s="1"/>
  <c r="K5" i="129" s="1"/>
  <c r="L5" i="129" s="1"/>
  <c r="M5" i="129" s="1"/>
  <c r="N5" i="129" s="1"/>
  <c r="O5" i="129" s="1"/>
  <c r="P5" i="129" s="1"/>
  <c r="Q5" i="129" s="1"/>
  <c r="R5" i="129" s="1"/>
  <c r="S5" i="129" s="1"/>
  <c r="T5" i="129" s="1"/>
  <c r="U5" i="129" s="1"/>
  <c r="V5" i="129" s="1"/>
  <c r="R76" i="128"/>
  <c r="K76" i="128"/>
  <c r="F76" i="128"/>
  <c r="C76" i="128"/>
  <c r="O75" i="128"/>
  <c r="U74" i="100" s="1"/>
  <c r="G75" i="128"/>
  <c r="O74" i="128"/>
  <c r="G74" i="128"/>
  <c r="O73" i="128"/>
  <c r="U72" i="100" s="1"/>
  <c r="G73" i="128"/>
  <c r="O72" i="128"/>
  <c r="O71" i="128"/>
  <c r="U70" i="100" s="1"/>
  <c r="G71" i="128"/>
  <c r="O70" i="128"/>
  <c r="G70" i="128"/>
  <c r="O69" i="128"/>
  <c r="U68" i="100" s="1"/>
  <c r="G69" i="128"/>
  <c r="O68" i="128"/>
  <c r="O67" i="128"/>
  <c r="U66" i="100" s="1"/>
  <c r="G67" i="128"/>
  <c r="O66" i="128"/>
  <c r="G66" i="128"/>
  <c r="O65" i="128"/>
  <c r="U64" i="100" s="1"/>
  <c r="G65" i="128"/>
  <c r="O64" i="128"/>
  <c r="O63" i="128"/>
  <c r="U62" i="100" s="1"/>
  <c r="G63" i="128"/>
  <c r="O62" i="128"/>
  <c r="G62" i="128"/>
  <c r="O61" i="128"/>
  <c r="U60" i="100" s="1"/>
  <c r="G61" i="128"/>
  <c r="O60" i="128"/>
  <c r="O59" i="128"/>
  <c r="G59" i="128"/>
  <c r="O58" i="128"/>
  <c r="G58" i="128"/>
  <c r="O57" i="128"/>
  <c r="G57" i="128"/>
  <c r="O56" i="128"/>
  <c r="O55" i="128"/>
  <c r="G55" i="128"/>
  <c r="O54" i="128"/>
  <c r="G54" i="128"/>
  <c r="O53" i="128"/>
  <c r="G53" i="128"/>
  <c r="O52" i="128"/>
  <c r="O51" i="128"/>
  <c r="G51" i="128"/>
  <c r="O50" i="128"/>
  <c r="G50" i="128"/>
  <c r="O49" i="128"/>
  <c r="G49" i="128"/>
  <c r="O48" i="128"/>
  <c r="O47" i="128"/>
  <c r="G47" i="128"/>
  <c r="O46" i="128"/>
  <c r="G46" i="128"/>
  <c r="O45" i="128"/>
  <c r="O44" i="128"/>
  <c r="G44" i="128"/>
  <c r="O43" i="128"/>
  <c r="O42" i="128"/>
  <c r="O41" i="128"/>
  <c r="G41" i="128"/>
  <c r="O40" i="128"/>
  <c r="G40" i="128"/>
  <c r="O39" i="128"/>
  <c r="U38" i="100" s="1"/>
  <c r="G39" i="128"/>
  <c r="O38" i="128"/>
  <c r="U37" i="100" s="1"/>
  <c r="G38" i="128"/>
  <c r="O37" i="128"/>
  <c r="U36" i="100" s="1"/>
  <c r="G37" i="128"/>
  <c r="O36" i="128"/>
  <c r="U35" i="100" s="1"/>
  <c r="G36" i="128"/>
  <c r="O35" i="128"/>
  <c r="U34" i="100" s="1"/>
  <c r="G35" i="128"/>
  <c r="O34" i="128"/>
  <c r="U33" i="100" s="1"/>
  <c r="G34" i="128"/>
  <c r="O33" i="128"/>
  <c r="U32" i="100" s="1"/>
  <c r="G33" i="128"/>
  <c r="O32" i="128"/>
  <c r="U31" i="100" s="1"/>
  <c r="G32" i="128"/>
  <c r="O31" i="128"/>
  <c r="U30" i="100" s="1"/>
  <c r="G31" i="128"/>
  <c r="O30" i="128"/>
  <c r="U29" i="100" s="1"/>
  <c r="G30" i="128"/>
  <c r="O29" i="128"/>
  <c r="U28" i="100" s="1"/>
  <c r="G29" i="128"/>
  <c r="O28" i="128"/>
  <c r="U27" i="100" s="1"/>
  <c r="G28" i="128"/>
  <c r="O27" i="128"/>
  <c r="U26" i="100" s="1"/>
  <c r="G27" i="128"/>
  <c r="O26" i="128"/>
  <c r="U25" i="100" s="1"/>
  <c r="G26" i="128"/>
  <c r="O25" i="128"/>
  <c r="U24" i="100" s="1"/>
  <c r="G25" i="128"/>
  <c r="O24" i="128"/>
  <c r="U23" i="100" s="1"/>
  <c r="G24" i="128"/>
  <c r="O23" i="128"/>
  <c r="U22" i="100" s="1"/>
  <c r="O22" i="128"/>
  <c r="U21" i="100" s="1"/>
  <c r="G22" i="128"/>
  <c r="O21" i="128"/>
  <c r="U20" i="100" s="1"/>
  <c r="O20" i="128"/>
  <c r="U19" i="100" s="1"/>
  <c r="G20" i="128"/>
  <c r="O19" i="128"/>
  <c r="U18" i="100" s="1"/>
  <c r="G19" i="128"/>
  <c r="O18" i="128"/>
  <c r="U17" i="100" s="1"/>
  <c r="G18" i="128"/>
  <c r="O17" i="128"/>
  <c r="U16" i="100" s="1"/>
  <c r="O16" i="128"/>
  <c r="U15" i="100" s="1"/>
  <c r="G16" i="128"/>
  <c r="O15" i="128"/>
  <c r="U14" i="100" s="1"/>
  <c r="G15" i="128"/>
  <c r="O14" i="128"/>
  <c r="U13" i="100" s="1"/>
  <c r="G14" i="128"/>
  <c r="O13" i="128"/>
  <c r="U12" i="100" s="1"/>
  <c r="O12" i="128"/>
  <c r="U11" i="100" s="1"/>
  <c r="G12" i="128"/>
  <c r="O11" i="128"/>
  <c r="U10" i="100" s="1"/>
  <c r="G11" i="128"/>
  <c r="O10" i="128"/>
  <c r="U9" i="100" s="1"/>
  <c r="G10" i="128"/>
  <c r="O9" i="128"/>
  <c r="U8" i="100" s="1"/>
  <c r="O8" i="128"/>
  <c r="U7" i="100" s="1"/>
  <c r="G8" i="128"/>
  <c r="O7" i="128"/>
  <c r="U6" i="100" s="1"/>
  <c r="D5" i="128"/>
  <c r="E5" i="128" s="1"/>
  <c r="F5" i="128" s="1"/>
  <c r="G5" i="128" s="1"/>
  <c r="H5" i="128" s="1"/>
  <c r="I5" i="128" s="1"/>
  <c r="J5" i="128" s="1"/>
  <c r="K5" i="128" s="1"/>
  <c r="L5" i="128" s="1"/>
  <c r="M5" i="128" s="1"/>
  <c r="N5" i="128" s="1"/>
  <c r="O5" i="128" s="1"/>
  <c r="P5" i="128" s="1"/>
  <c r="Q5" i="128" s="1"/>
  <c r="R5" i="128" s="1"/>
  <c r="S5" i="128" s="1"/>
  <c r="T5" i="128" s="1"/>
  <c r="U5" i="128" s="1"/>
  <c r="V5" i="128" s="1"/>
  <c r="R76" i="127"/>
  <c r="K76" i="127"/>
  <c r="F76" i="127"/>
  <c r="O75" i="127"/>
  <c r="T74" i="100" s="1"/>
  <c r="O74" i="127"/>
  <c r="T73" i="100" s="1"/>
  <c r="O73" i="127"/>
  <c r="T72" i="100" s="1"/>
  <c r="O72" i="127"/>
  <c r="T71" i="100" s="1"/>
  <c r="O71" i="127"/>
  <c r="T70" i="100" s="1"/>
  <c r="O70" i="127"/>
  <c r="T69" i="100" s="1"/>
  <c r="O69" i="127"/>
  <c r="T68" i="100" s="1"/>
  <c r="G69" i="127"/>
  <c r="O68" i="127"/>
  <c r="G68" i="127"/>
  <c r="O67" i="127"/>
  <c r="O66" i="127"/>
  <c r="T65" i="100" s="1"/>
  <c r="O65" i="127"/>
  <c r="T64" i="100" s="1"/>
  <c r="O64" i="127"/>
  <c r="T63" i="100" s="1"/>
  <c r="O63" i="127"/>
  <c r="T62" i="100" s="1"/>
  <c r="O62" i="127"/>
  <c r="T61" i="100" s="1"/>
  <c r="O61" i="127"/>
  <c r="T60" i="100" s="1"/>
  <c r="O60" i="127"/>
  <c r="T59" i="100" s="1"/>
  <c r="G60" i="127"/>
  <c r="O59" i="127"/>
  <c r="O58" i="127"/>
  <c r="G58" i="127"/>
  <c r="O57" i="127"/>
  <c r="G57" i="127"/>
  <c r="O56" i="127"/>
  <c r="G56" i="127"/>
  <c r="O55" i="127"/>
  <c r="O54" i="127"/>
  <c r="G54" i="127"/>
  <c r="O53" i="127"/>
  <c r="G53" i="127"/>
  <c r="O52" i="127"/>
  <c r="G52" i="127"/>
  <c r="O51" i="127"/>
  <c r="O50" i="127"/>
  <c r="G50" i="127"/>
  <c r="O49" i="127"/>
  <c r="G49" i="127"/>
  <c r="O48" i="127"/>
  <c r="G48" i="127"/>
  <c r="O47" i="127"/>
  <c r="T46" i="100" s="1"/>
  <c r="O46" i="127"/>
  <c r="T45" i="100" s="1"/>
  <c r="O45" i="127"/>
  <c r="T44" i="100" s="1"/>
  <c r="O44" i="127"/>
  <c r="T43" i="100" s="1"/>
  <c r="O43" i="127"/>
  <c r="T42" i="100" s="1"/>
  <c r="O42" i="127"/>
  <c r="T41" i="100" s="1"/>
  <c r="O41" i="127"/>
  <c r="T40" i="100" s="1"/>
  <c r="O40" i="127"/>
  <c r="T39" i="100" s="1"/>
  <c r="O39" i="127"/>
  <c r="T38" i="100" s="1"/>
  <c r="G39" i="127"/>
  <c r="O38" i="127"/>
  <c r="G38" i="127"/>
  <c r="O37" i="127"/>
  <c r="T36" i="100" s="1"/>
  <c r="O36" i="127"/>
  <c r="T35" i="100" s="1"/>
  <c r="O35" i="127"/>
  <c r="T34" i="100" s="1"/>
  <c r="O34" i="127"/>
  <c r="T33" i="100" s="1"/>
  <c r="O33" i="127"/>
  <c r="T32" i="100" s="1"/>
  <c r="O32" i="127"/>
  <c r="T31" i="100" s="1"/>
  <c r="O31" i="127"/>
  <c r="T30" i="100" s="1"/>
  <c r="O30" i="127"/>
  <c r="T29" i="100" s="1"/>
  <c r="O29" i="127"/>
  <c r="T28" i="100" s="1"/>
  <c r="O28" i="127"/>
  <c r="T27" i="100" s="1"/>
  <c r="O27" i="127"/>
  <c r="T26" i="100" s="1"/>
  <c r="G27" i="127"/>
  <c r="O26" i="127"/>
  <c r="G26" i="127"/>
  <c r="O25" i="127"/>
  <c r="O24" i="127"/>
  <c r="G24" i="127"/>
  <c r="O23" i="127"/>
  <c r="T22" i="100" s="1"/>
  <c r="O22" i="127"/>
  <c r="G22" i="127"/>
  <c r="O21" i="127"/>
  <c r="G21" i="127"/>
  <c r="O20" i="127"/>
  <c r="O19" i="127"/>
  <c r="G19" i="127"/>
  <c r="O18" i="127"/>
  <c r="G18" i="127"/>
  <c r="O17" i="127"/>
  <c r="G17" i="127"/>
  <c r="O16" i="127"/>
  <c r="O15" i="127"/>
  <c r="T14" i="100" s="1"/>
  <c r="O14" i="127"/>
  <c r="T13" i="100" s="1"/>
  <c r="O13" i="127"/>
  <c r="T12" i="100" s="1"/>
  <c r="O12" i="127"/>
  <c r="T11" i="100" s="1"/>
  <c r="O11" i="127"/>
  <c r="T10" i="100" s="1"/>
  <c r="O10" i="127"/>
  <c r="T9" i="100" s="1"/>
  <c r="O9" i="127"/>
  <c r="T8" i="100" s="1"/>
  <c r="G9" i="127"/>
  <c r="O8" i="127"/>
  <c r="G8" i="127"/>
  <c r="O7" i="127"/>
  <c r="T6" i="100" s="1"/>
  <c r="G7" i="127"/>
  <c r="D5" i="127"/>
  <c r="E5" i="127" s="1"/>
  <c r="F5" i="127" s="1"/>
  <c r="G5" i="127" s="1"/>
  <c r="H5" i="127" s="1"/>
  <c r="I5" i="127" s="1"/>
  <c r="J5" i="127" s="1"/>
  <c r="K5" i="127" s="1"/>
  <c r="L5" i="127" s="1"/>
  <c r="M5" i="127" s="1"/>
  <c r="N5" i="127" s="1"/>
  <c r="O5" i="127" s="1"/>
  <c r="P5" i="127" s="1"/>
  <c r="Q5" i="127" s="1"/>
  <c r="R5" i="127" s="1"/>
  <c r="S5" i="127" s="1"/>
  <c r="T5" i="127" s="1"/>
  <c r="U5" i="127" s="1"/>
  <c r="V5" i="127" s="1"/>
  <c r="R76" i="126"/>
  <c r="K76" i="126"/>
  <c r="F76" i="126"/>
  <c r="G75" i="126"/>
  <c r="G74" i="126"/>
  <c r="G73" i="126"/>
  <c r="G72" i="126"/>
  <c r="G71" i="126"/>
  <c r="G70" i="126"/>
  <c r="O69" i="126"/>
  <c r="G69" i="126"/>
  <c r="O68" i="126"/>
  <c r="S67" i="100" s="1"/>
  <c r="O67" i="126"/>
  <c r="S66" i="100" s="1"/>
  <c r="G67" i="126"/>
  <c r="O66" i="126"/>
  <c r="O65" i="126"/>
  <c r="G65" i="126"/>
  <c r="O64" i="126"/>
  <c r="G64" i="126"/>
  <c r="O63" i="126"/>
  <c r="G63" i="126"/>
  <c r="O62" i="126"/>
  <c r="O61" i="126"/>
  <c r="G61" i="126"/>
  <c r="O60" i="126"/>
  <c r="G60" i="126"/>
  <c r="O59" i="126"/>
  <c r="G59" i="126"/>
  <c r="O58" i="126"/>
  <c r="O57" i="126"/>
  <c r="G57" i="126"/>
  <c r="O56" i="126"/>
  <c r="G56" i="126"/>
  <c r="O55" i="126"/>
  <c r="G55" i="126"/>
  <c r="O54" i="126"/>
  <c r="O53" i="126"/>
  <c r="G53" i="126"/>
  <c r="O52" i="126"/>
  <c r="G52" i="126"/>
  <c r="O51" i="126"/>
  <c r="G51" i="126"/>
  <c r="O50" i="126"/>
  <c r="O49" i="126"/>
  <c r="G49" i="126"/>
  <c r="O48" i="126"/>
  <c r="G48" i="126"/>
  <c r="O47" i="126"/>
  <c r="G47" i="126"/>
  <c r="O46" i="126"/>
  <c r="O45" i="126"/>
  <c r="O44" i="126"/>
  <c r="G44" i="126"/>
  <c r="O43" i="126"/>
  <c r="G43" i="126"/>
  <c r="O42" i="126"/>
  <c r="S41" i="100" s="1"/>
  <c r="O41" i="126"/>
  <c r="G41" i="126"/>
  <c r="G40" i="126"/>
  <c r="G39" i="126"/>
  <c r="O38" i="126"/>
  <c r="S37" i="100" s="1"/>
  <c r="G38" i="126"/>
  <c r="O37" i="126"/>
  <c r="S36" i="100" s="1"/>
  <c r="O36" i="126"/>
  <c r="S35" i="100" s="1"/>
  <c r="O35" i="126"/>
  <c r="S34" i="100" s="1"/>
  <c r="O34" i="126"/>
  <c r="S33" i="100" s="1"/>
  <c r="O33" i="126"/>
  <c r="S32" i="100" s="1"/>
  <c r="O32" i="126"/>
  <c r="S31" i="100" s="1"/>
  <c r="G31" i="126"/>
  <c r="G30" i="126"/>
  <c r="G29" i="126"/>
  <c r="G27" i="126"/>
  <c r="G26" i="126"/>
  <c r="G25" i="126"/>
  <c r="O23" i="126"/>
  <c r="S22" i="100" s="1"/>
  <c r="O22" i="126"/>
  <c r="S21" i="100" s="1"/>
  <c r="O21" i="126"/>
  <c r="S20" i="100" s="1"/>
  <c r="O20" i="126"/>
  <c r="S19" i="100" s="1"/>
  <c r="O19" i="126"/>
  <c r="S18" i="100" s="1"/>
  <c r="O18" i="126"/>
  <c r="S17" i="100" s="1"/>
  <c r="O17" i="126"/>
  <c r="S16" i="100" s="1"/>
  <c r="O16" i="126"/>
  <c r="S15" i="100" s="1"/>
  <c r="G16" i="126"/>
  <c r="G15" i="126"/>
  <c r="G14" i="126"/>
  <c r="G13" i="126"/>
  <c r="G12" i="126"/>
  <c r="G11" i="126"/>
  <c r="G10" i="126"/>
  <c r="O9" i="126"/>
  <c r="S8" i="100" s="1"/>
  <c r="G9" i="126"/>
  <c r="O8" i="126"/>
  <c r="S7" i="100" s="1"/>
  <c r="O7" i="126"/>
  <c r="S6" i="100" s="1"/>
  <c r="C76" i="126"/>
  <c r="D5" i="126"/>
  <c r="E5" i="126" s="1"/>
  <c r="F5" i="126" s="1"/>
  <c r="G5" i="126" s="1"/>
  <c r="H5" i="126" s="1"/>
  <c r="I5" i="126" s="1"/>
  <c r="J5" i="126" s="1"/>
  <c r="K5" i="126" s="1"/>
  <c r="L5" i="126" s="1"/>
  <c r="M5" i="126" s="1"/>
  <c r="N5" i="126" s="1"/>
  <c r="O5" i="126" s="1"/>
  <c r="P5" i="126" s="1"/>
  <c r="Q5" i="126" s="1"/>
  <c r="R5" i="126" s="1"/>
  <c r="S5" i="126" s="1"/>
  <c r="T5" i="126" s="1"/>
  <c r="U5" i="126" s="1"/>
  <c r="V5" i="126" s="1"/>
  <c r="R76" i="125"/>
  <c r="K76" i="125"/>
  <c r="F76" i="125"/>
  <c r="O75" i="125"/>
  <c r="R74" i="100" s="1"/>
  <c r="G75" i="125"/>
  <c r="O74" i="125"/>
  <c r="R73" i="100" s="1"/>
  <c r="G74" i="125"/>
  <c r="O73" i="125"/>
  <c r="R72" i="100" s="1"/>
  <c r="G73" i="125"/>
  <c r="O72" i="125"/>
  <c r="R71" i="100" s="1"/>
  <c r="O71" i="125"/>
  <c r="R70" i="100" s="1"/>
  <c r="G71" i="125"/>
  <c r="O70" i="125"/>
  <c r="R69" i="100" s="1"/>
  <c r="G70" i="125"/>
  <c r="O69" i="125"/>
  <c r="R68" i="100" s="1"/>
  <c r="G69" i="125"/>
  <c r="O67" i="125"/>
  <c r="R66" i="100" s="1"/>
  <c r="G67" i="125"/>
  <c r="O66" i="125"/>
  <c r="R65" i="100" s="1"/>
  <c r="G66" i="125"/>
  <c r="O65" i="125"/>
  <c r="R64" i="100" s="1"/>
  <c r="G65" i="125"/>
  <c r="O64" i="125"/>
  <c r="R63" i="100" s="1"/>
  <c r="O63" i="125"/>
  <c r="R62" i="100" s="1"/>
  <c r="G63" i="125"/>
  <c r="O62" i="125"/>
  <c r="R61" i="100" s="1"/>
  <c r="G62" i="125"/>
  <c r="O61" i="125"/>
  <c r="R60" i="100" s="1"/>
  <c r="G61" i="125"/>
  <c r="O60" i="125"/>
  <c r="R59" i="100" s="1"/>
  <c r="O59" i="125"/>
  <c r="R58" i="100" s="1"/>
  <c r="G59" i="125"/>
  <c r="O58" i="125"/>
  <c r="R57" i="100" s="1"/>
  <c r="G58" i="125"/>
  <c r="O57" i="125"/>
  <c r="R56" i="100" s="1"/>
  <c r="G57" i="125"/>
  <c r="O56" i="125"/>
  <c r="R55" i="100" s="1"/>
  <c r="O55" i="125"/>
  <c r="R54" i="100" s="1"/>
  <c r="G55" i="125"/>
  <c r="O54" i="125"/>
  <c r="R53" i="100" s="1"/>
  <c r="G54" i="125"/>
  <c r="O53" i="125"/>
  <c r="R52" i="100" s="1"/>
  <c r="G53" i="125"/>
  <c r="O52" i="125"/>
  <c r="R51" i="100" s="1"/>
  <c r="O51" i="125"/>
  <c r="R50" i="100" s="1"/>
  <c r="G51" i="125"/>
  <c r="O50" i="125"/>
  <c r="R49" i="100" s="1"/>
  <c r="G50" i="125"/>
  <c r="O49" i="125"/>
  <c r="R48" i="100" s="1"/>
  <c r="G49" i="125"/>
  <c r="O48" i="125"/>
  <c r="R47" i="100" s="1"/>
  <c r="O47" i="125"/>
  <c r="R46" i="100" s="1"/>
  <c r="G47" i="125"/>
  <c r="O46" i="125"/>
  <c r="R45" i="100" s="1"/>
  <c r="G46" i="125"/>
  <c r="O45" i="125"/>
  <c r="R44" i="100" s="1"/>
  <c r="G44" i="125"/>
  <c r="G43" i="125"/>
  <c r="G41" i="125"/>
  <c r="G40" i="125"/>
  <c r="G39" i="125"/>
  <c r="O38" i="125"/>
  <c r="R37" i="100" s="1"/>
  <c r="O37" i="125"/>
  <c r="R36" i="100" s="1"/>
  <c r="G37" i="125"/>
  <c r="O36" i="125"/>
  <c r="R35" i="100" s="1"/>
  <c r="G36" i="125"/>
  <c r="O35" i="125"/>
  <c r="R34" i="100" s="1"/>
  <c r="G35" i="125"/>
  <c r="O34" i="125"/>
  <c r="R33" i="100" s="1"/>
  <c r="O33" i="125"/>
  <c r="R32" i="100" s="1"/>
  <c r="G33" i="125"/>
  <c r="O32" i="125"/>
  <c r="R31" i="100" s="1"/>
  <c r="G32" i="125"/>
  <c r="O31" i="125"/>
  <c r="R30" i="100" s="1"/>
  <c r="G31" i="125"/>
  <c r="O30" i="125"/>
  <c r="R29" i="100" s="1"/>
  <c r="O29" i="125"/>
  <c r="R28" i="100" s="1"/>
  <c r="G29" i="125"/>
  <c r="O28" i="125"/>
  <c r="R27" i="100" s="1"/>
  <c r="G28" i="125"/>
  <c r="O27" i="125"/>
  <c r="R26" i="100" s="1"/>
  <c r="G27" i="125"/>
  <c r="O26" i="125"/>
  <c r="R25" i="100" s="1"/>
  <c r="O25" i="125"/>
  <c r="R24" i="100" s="1"/>
  <c r="G25" i="125"/>
  <c r="O24" i="125"/>
  <c r="R23" i="100" s="1"/>
  <c r="G24" i="125"/>
  <c r="O23" i="125"/>
  <c r="R22" i="100" s="1"/>
  <c r="G22" i="125"/>
  <c r="G21" i="125"/>
  <c r="G20" i="125"/>
  <c r="G19" i="125"/>
  <c r="G18" i="125"/>
  <c r="G17" i="125"/>
  <c r="O16" i="125"/>
  <c r="R15" i="100" s="1"/>
  <c r="G16" i="125"/>
  <c r="O15" i="125"/>
  <c r="R14" i="100" s="1"/>
  <c r="G15" i="125"/>
  <c r="O14" i="125"/>
  <c r="R13" i="100" s="1"/>
  <c r="G14" i="125"/>
  <c r="O13" i="125"/>
  <c r="R12" i="100" s="1"/>
  <c r="G13" i="125"/>
  <c r="O12" i="125"/>
  <c r="R11" i="100" s="1"/>
  <c r="G12" i="125"/>
  <c r="O11" i="125"/>
  <c r="R10" i="100" s="1"/>
  <c r="G11" i="125"/>
  <c r="O10" i="125"/>
  <c r="R9" i="100" s="1"/>
  <c r="G10" i="125"/>
  <c r="O9" i="125"/>
  <c r="R8" i="100" s="1"/>
  <c r="G9" i="125"/>
  <c r="G8" i="125"/>
  <c r="D5" i="125"/>
  <c r="E5" i="125" s="1"/>
  <c r="F5" i="125" s="1"/>
  <c r="G5" i="125" s="1"/>
  <c r="H5" i="125" s="1"/>
  <c r="I5" i="125" s="1"/>
  <c r="J5" i="125" s="1"/>
  <c r="K5" i="125" s="1"/>
  <c r="L5" i="125" s="1"/>
  <c r="M5" i="125" s="1"/>
  <c r="N5" i="125" s="1"/>
  <c r="O5" i="125" s="1"/>
  <c r="P5" i="125" s="1"/>
  <c r="Q5" i="125" s="1"/>
  <c r="R5" i="125" s="1"/>
  <c r="S5" i="125" s="1"/>
  <c r="T5" i="125" s="1"/>
  <c r="U5" i="125" s="1"/>
  <c r="V5" i="125" s="1"/>
  <c r="P45" i="126" l="1"/>
  <c r="AY44" i="72" s="1"/>
  <c r="S44" i="100"/>
  <c r="P53" i="126"/>
  <c r="AY52" i="72" s="1"/>
  <c r="S52" i="100"/>
  <c r="P61" i="126"/>
  <c r="AY60" i="72" s="1"/>
  <c r="S60" i="100"/>
  <c r="P16" i="127"/>
  <c r="AZ15" i="72" s="1"/>
  <c r="T15" i="100"/>
  <c r="P25" i="127"/>
  <c r="AZ24" i="72" s="1"/>
  <c r="T24" i="100"/>
  <c r="P53" i="127"/>
  <c r="AZ52" i="72" s="1"/>
  <c r="T52" i="100"/>
  <c r="P68" i="127"/>
  <c r="AZ67" i="72" s="1"/>
  <c r="T67" i="100"/>
  <c r="P46" i="128"/>
  <c r="BA45" i="72" s="1"/>
  <c r="U45" i="100"/>
  <c r="P62" i="128"/>
  <c r="BA61" i="72" s="1"/>
  <c r="U61" i="100"/>
  <c r="P11" i="129"/>
  <c r="BB10" i="72" s="1"/>
  <c r="V10" i="100"/>
  <c r="P29" i="129"/>
  <c r="BB28" i="72" s="1"/>
  <c r="V28" i="100"/>
  <c r="P37" i="129"/>
  <c r="BB36" i="72" s="1"/>
  <c r="V36" i="100"/>
  <c r="P46" i="129"/>
  <c r="BB45" i="72" s="1"/>
  <c r="V45" i="100"/>
  <c r="P54" i="129"/>
  <c r="BB53" i="72" s="1"/>
  <c r="V53" i="100"/>
  <c r="P17" i="130"/>
  <c r="BC16" i="72" s="1"/>
  <c r="W16" i="100"/>
  <c r="P26" i="130"/>
  <c r="BC25" i="72" s="1"/>
  <c r="W25" i="100"/>
  <c r="P66" i="130"/>
  <c r="BC65" i="72" s="1"/>
  <c r="W65" i="100"/>
  <c r="P45" i="131"/>
  <c r="BD44" i="72" s="1"/>
  <c r="X44" i="100"/>
  <c r="P53" i="131"/>
  <c r="BD52" i="72" s="1"/>
  <c r="X52" i="100"/>
  <c r="P55" i="131"/>
  <c r="BD54" i="72" s="1"/>
  <c r="X54" i="100"/>
  <c r="P57" i="131"/>
  <c r="BD56" i="72" s="1"/>
  <c r="X56" i="100"/>
  <c r="P41" i="126"/>
  <c r="AY40" i="72" s="1"/>
  <c r="S40" i="100"/>
  <c r="P49" i="126"/>
  <c r="AY48" i="72" s="1"/>
  <c r="S48" i="100"/>
  <c r="P57" i="126"/>
  <c r="AY56" i="72" s="1"/>
  <c r="S56" i="100"/>
  <c r="P65" i="126"/>
  <c r="AY64" i="72" s="1"/>
  <c r="S64" i="100"/>
  <c r="P20" i="127"/>
  <c r="AZ19" i="72" s="1"/>
  <c r="T19" i="100"/>
  <c r="P49" i="127"/>
  <c r="AZ48" i="72" s="1"/>
  <c r="T48" i="100"/>
  <c r="P57" i="127"/>
  <c r="AZ56" i="72" s="1"/>
  <c r="T56" i="100"/>
  <c r="P54" i="128"/>
  <c r="BA53" i="72" s="1"/>
  <c r="U53" i="100"/>
  <c r="P70" i="128"/>
  <c r="BA69" i="72" s="1"/>
  <c r="U69" i="100"/>
  <c r="P15" i="129"/>
  <c r="BB14" i="72" s="1"/>
  <c r="V14" i="100"/>
  <c r="P33" i="129"/>
  <c r="BB32" i="72" s="1"/>
  <c r="V32" i="100"/>
  <c r="P42" i="129"/>
  <c r="BB41" i="72" s="1"/>
  <c r="V41" i="100"/>
  <c r="P50" i="129"/>
  <c r="BB49" i="72" s="1"/>
  <c r="V49" i="100"/>
  <c r="P58" i="129"/>
  <c r="BB57" i="72" s="1"/>
  <c r="V57" i="100"/>
  <c r="P21" i="130"/>
  <c r="BC20" i="72" s="1"/>
  <c r="W20" i="100"/>
  <c r="P62" i="130"/>
  <c r="BC61" i="72" s="1"/>
  <c r="W61" i="100"/>
  <c r="P41" i="131"/>
  <c r="BD40" i="72" s="1"/>
  <c r="X40" i="100"/>
  <c r="P49" i="131"/>
  <c r="BD48" i="72" s="1"/>
  <c r="X48" i="100"/>
  <c r="P44" i="126"/>
  <c r="AY43" i="72" s="1"/>
  <c r="S43" i="100"/>
  <c r="P47" i="126"/>
  <c r="AY46" i="72" s="1"/>
  <c r="S46" i="100"/>
  <c r="P52" i="126"/>
  <c r="AY51" i="72" s="1"/>
  <c r="S51" i="100"/>
  <c r="P55" i="126"/>
  <c r="AY54" i="72" s="1"/>
  <c r="S54" i="100"/>
  <c r="P59" i="126"/>
  <c r="AY58" i="72" s="1"/>
  <c r="S58" i="100"/>
  <c r="P63" i="126"/>
  <c r="AY62" i="72" s="1"/>
  <c r="S62" i="100"/>
  <c r="P69" i="126"/>
  <c r="AY68" i="72" s="1"/>
  <c r="S68" i="100"/>
  <c r="P18" i="127"/>
  <c r="AZ17" i="72" s="1"/>
  <c r="T17" i="100"/>
  <c r="P22" i="127"/>
  <c r="AZ21" i="72" s="1"/>
  <c r="T21" i="100"/>
  <c r="P24" i="127"/>
  <c r="AZ23" i="72" s="1"/>
  <c r="T23" i="100"/>
  <c r="P51" i="127"/>
  <c r="AZ50" i="72" s="1"/>
  <c r="T50" i="100"/>
  <c r="P55" i="127"/>
  <c r="AZ54" i="72" s="1"/>
  <c r="T54" i="100"/>
  <c r="P59" i="127"/>
  <c r="AZ58" i="72" s="1"/>
  <c r="T58" i="100"/>
  <c r="P43" i="128"/>
  <c r="BA42" i="72" s="1"/>
  <c r="U42" i="100"/>
  <c r="P45" i="128"/>
  <c r="BA44" i="72" s="1"/>
  <c r="U44" i="100"/>
  <c r="P50" i="128"/>
  <c r="BA49" i="72" s="1"/>
  <c r="U49" i="100"/>
  <c r="P52" i="128"/>
  <c r="BA51" i="72" s="1"/>
  <c r="U51" i="100"/>
  <c r="P59" i="128"/>
  <c r="BA58" i="72" s="1"/>
  <c r="U58" i="100"/>
  <c r="P60" i="128"/>
  <c r="BA59" i="72" s="1"/>
  <c r="U59" i="100"/>
  <c r="P10" i="129"/>
  <c r="BB9" i="72" s="1"/>
  <c r="V9" i="100"/>
  <c r="P13" i="129"/>
  <c r="BB12" i="72" s="1"/>
  <c r="V12" i="100"/>
  <c r="P14" i="129"/>
  <c r="BB13" i="72" s="1"/>
  <c r="V13" i="100"/>
  <c r="P27" i="129"/>
  <c r="BB26" i="72" s="1"/>
  <c r="V26" i="100"/>
  <c r="P28" i="129"/>
  <c r="BB27" i="72" s="1"/>
  <c r="V27" i="100"/>
  <c r="P31" i="129"/>
  <c r="BB30" i="72" s="1"/>
  <c r="V30" i="100"/>
  <c r="P32" i="129"/>
  <c r="BB31" i="72" s="1"/>
  <c r="V31" i="100"/>
  <c r="P35" i="129"/>
  <c r="BB34" i="72" s="1"/>
  <c r="V34" i="100"/>
  <c r="P36" i="129"/>
  <c r="BB35" i="72" s="1"/>
  <c r="V35" i="100"/>
  <c r="P40" i="129"/>
  <c r="BB39" i="72" s="1"/>
  <c r="V39" i="100"/>
  <c r="P44" i="129"/>
  <c r="BB43" i="72" s="1"/>
  <c r="V43" i="100"/>
  <c r="P45" i="129"/>
  <c r="BB44" i="72" s="1"/>
  <c r="V44" i="100"/>
  <c r="P48" i="129"/>
  <c r="BB47" i="72" s="1"/>
  <c r="V47" i="100"/>
  <c r="P49" i="129"/>
  <c r="BB48" i="72" s="1"/>
  <c r="V48" i="100"/>
  <c r="P52" i="129"/>
  <c r="BB51" i="72" s="1"/>
  <c r="V51" i="100"/>
  <c r="P53" i="129"/>
  <c r="BB52" i="72" s="1"/>
  <c r="V52" i="100"/>
  <c r="P56" i="129"/>
  <c r="BB55" i="72" s="1"/>
  <c r="V55" i="100"/>
  <c r="P57" i="129"/>
  <c r="BB56" i="72" s="1"/>
  <c r="V56" i="100"/>
  <c r="P67" i="129"/>
  <c r="BB66" i="72" s="1"/>
  <c r="V66" i="100"/>
  <c r="P68" i="129"/>
  <c r="BB67" i="72" s="1"/>
  <c r="V67" i="100"/>
  <c r="P8" i="130"/>
  <c r="BC7" i="72" s="1"/>
  <c r="W7" i="100"/>
  <c r="P16" i="130"/>
  <c r="BC15" i="72" s="1"/>
  <c r="W15" i="100"/>
  <c r="P19" i="130"/>
  <c r="BC18" i="72" s="1"/>
  <c r="W18" i="100"/>
  <c r="P20" i="130"/>
  <c r="BC19" i="72" s="1"/>
  <c r="W19" i="100"/>
  <c r="P24" i="130"/>
  <c r="BC23" i="72" s="1"/>
  <c r="W23" i="100"/>
  <c r="P25" i="130"/>
  <c r="BC24" i="72" s="1"/>
  <c r="W24" i="100"/>
  <c r="P60" i="130"/>
  <c r="BC59" i="72" s="1"/>
  <c r="W59" i="100"/>
  <c r="P61" i="130"/>
  <c r="BC60" i="72" s="1"/>
  <c r="W60" i="100"/>
  <c r="P64" i="130"/>
  <c r="BC63" i="72" s="1"/>
  <c r="W63" i="100"/>
  <c r="P65" i="130"/>
  <c r="BC64" i="72" s="1"/>
  <c r="W64" i="100"/>
  <c r="P69" i="130"/>
  <c r="BC68" i="72" s="1"/>
  <c r="W68" i="100"/>
  <c r="P72" i="130"/>
  <c r="BC71" i="72" s="1"/>
  <c r="W71" i="100"/>
  <c r="P42" i="131"/>
  <c r="BD41" i="72" s="1"/>
  <c r="X41" i="100"/>
  <c r="P46" i="131"/>
  <c r="BD45" i="72" s="1"/>
  <c r="X45" i="100"/>
  <c r="P50" i="131"/>
  <c r="BD49" i="72" s="1"/>
  <c r="X49" i="100"/>
  <c r="P54" i="131"/>
  <c r="BD53" i="72" s="1"/>
  <c r="X53" i="100"/>
  <c r="P58" i="131"/>
  <c r="BD57" i="72" s="1"/>
  <c r="X57" i="100"/>
  <c r="P68" i="131"/>
  <c r="BD67" i="72" s="1"/>
  <c r="X67" i="100"/>
  <c r="P43" i="126"/>
  <c r="AY42" i="72" s="1"/>
  <c r="S42" i="100"/>
  <c r="P48" i="126"/>
  <c r="AY47" i="72" s="1"/>
  <c r="S47" i="100"/>
  <c r="P51" i="126"/>
  <c r="AY50" i="72" s="1"/>
  <c r="S50" i="100"/>
  <c r="P56" i="126"/>
  <c r="AY55" i="72" s="1"/>
  <c r="S55" i="100"/>
  <c r="P60" i="126"/>
  <c r="AY59" i="72" s="1"/>
  <c r="S59" i="100"/>
  <c r="P64" i="126"/>
  <c r="AY63" i="72" s="1"/>
  <c r="S63" i="100"/>
  <c r="P8" i="127"/>
  <c r="AZ7" i="72" s="1"/>
  <c r="T7" i="100"/>
  <c r="P19" i="127"/>
  <c r="AZ18" i="72" s="1"/>
  <c r="T18" i="100"/>
  <c r="P38" i="127"/>
  <c r="AZ37" i="72" s="1"/>
  <c r="T37" i="100"/>
  <c r="P48" i="127"/>
  <c r="AZ47" i="72" s="1"/>
  <c r="T47" i="100"/>
  <c r="P52" i="127"/>
  <c r="AZ51" i="72" s="1"/>
  <c r="T51" i="100"/>
  <c r="P56" i="127"/>
  <c r="AZ55" i="72" s="1"/>
  <c r="T55" i="100"/>
  <c r="P67" i="127"/>
  <c r="AZ66" i="72" s="1"/>
  <c r="T66" i="100"/>
  <c r="P42" i="128"/>
  <c r="BA41" i="72" s="1"/>
  <c r="U41" i="100"/>
  <c r="P44" i="128"/>
  <c r="BA43" i="72" s="1"/>
  <c r="U43" i="100"/>
  <c r="P51" i="128"/>
  <c r="BA50" i="72" s="1"/>
  <c r="U50" i="100"/>
  <c r="P53" i="128"/>
  <c r="BA52" i="72" s="1"/>
  <c r="U52" i="100"/>
  <c r="P58" i="128"/>
  <c r="BA57" i="72" s="1"/>
  <c r="U57" i="100"/>
  <c r="P66" i="128"/>
  <c r="BA65" i="72" s="1"/>
  <c r="U65" i="100"/>
  <c r="P68" i="128"/>
  <c r="BA67" i="72" s="1"/>
  <c r="U67" i="100"/>
  <c r="P74" i="128"/>
  <c r="BA73" i="72" s="1"/>
  <c r="U73" i="100"/>
  <c r="P9" i="129"/>
  <c r="BB8" i="72" s="1"/>
  <c r="V8" i="100"/>
  <c r="P41" i="129"/>
  <c r="BB40" i="72" s="1"/>
  <c r="V40" i="100"/>
  <c r="P46" i="126"/>
  <c r="AY45" i="72" s="1"/>
  <c r="S45" i="100"/>
  <c r="P50" i="126"/>
  <c r="AY49" i="72" s="1"/>
  <c r="S49" i="100"/>
  <c r="P54" i="126"/>
  <c r="AY53" i="72" s="1"/>
  <c r="S53" i="100"/>
  <c r="P58" i="126"/>
  <c r="AY57" i="72" s="1"/>
  <c r="S57" i="100"/>
  <c r="P62" i="126"/>
  <c r="AY61" i="72" s="1"/>
  <c r="S61" i="100"/>
  <c r="P66" i="126"/>
  <c r="AY65" i="72" s="1"/>
  <c r="S65" i="100"/>
  <c r="P17" i="127"/>
  <c r="AZ16" i="72" s="1"/>
  <c r="T16" i="100"/>
  <c r="P21" i="127"/>
  <c r="AZ20" i="72" s="1"/>
  <c r="T20" i="100"/>
  <c r="P26" i="127"/>
  <c r="AZ25" i="72" s="1"/>
  <c r="T25" i="100"/>
  <c r="P50" i="127"/>
  <c r="AZ49" i="72" s="1"/>
  <c r="T49" i="100"/>
  <c r="P54" i="127"/>
  <c r="AZ53" i="72" s="1"/>
  <c r="T53" i="100"/>
  <c r="P58" i="127"/>
  <c r="AZ57" i="72" s="1"/>
  <c r="T57" i="100"/>
  <c r="P40" i="128"/>
  <c r="BA39" i="72" s="1"/>
  <c r="U39" i="100"/>
  <c r="P41" i="128"/>
  <c r="BA40" i="72" s="1"/>
  <c r="U40" i="100"/>
  <c r="P47" i="128"/>
  <c r="BA46" i="72" s="1"/>
  <c r="U46" i="100"/>
  <c r="P48" i="128"/>
  <c r="BA47" i="72" s="1"/>
  <c r="U47" i="100"/>
  <c r="P49" i="128"/>
  <c r="BA48" i="72" s="1"/>
  <c r="U48" i="100"/>
  <c r="P55" i="128"/>
  <c r="BA54" i="72" s="1"/>
  <c r="U54" i="100"/>
  <c r="P56" i="128"/>
  <c r="BA55" i="72" s="1"/>
  <c r="U55" i="100"/>
  <c r="P57" i="128"/>
  <c r="BA56" i="72" s="1"/>
  <c r="U56" i="100"/>
  <c r="P64" i="128"/>
  <c r="BA63" i="72" s="1"/>
  <c r="U63" i="100"/>
  <c r="P72" i="128"/>
  <c r="BA71" i="72" s="1"/>
  <c r="U71" i="100"/>
  <c r="P12" i="129"/>
  <c r="BB11" i="72" s="1"/>
  <c r="V11" i="100"/>
  <c r="P23" i="129"/>
  <c r="BB22" i="72" s="1"/>
  <c r="V22" i="100"/>
  <c r="P30" i="129"/>
  <c r="BB29" i="72" s="1"/>
  <c r="V29" i="100"/>
  <c r="P34" i="129"/>
  <c r="BB33" i="72" s="1"/>
  <c r="V33" i="100"/>
  <c r="P39" i="129"/>
  <c r="BB38" i="72" s="1"/>
  <c r="V38" i="100"/>
  <c r="P43" i="129"/>
  <c r="BB42" i="72" s="1"/>
  <c r="V42" i="100"/>
  <c r="P47" i="129"/>
  <c r="BB46" i="72" s="1"/>
  <c r="V46" i="100"/>
  <c r="P51" i="129"/>
  <c r="BB50" i="72" s="1"/>
  <c r="V50" i="100"/>
  <c r="P55" i="129"/>
  <c r="BB54" i="72" s="1"/>
  <c r="V54" i="100"/>
  <c r="P59" i="129"/>
  <c r="BB58" i="72" s="1"/>
  <c r="V58" i="100"/>
  <c r="P18" i="130"/>
  <c r="BC17" i="72" s="1"/>
  <c r="W17" i="100"/>
  <c r="P22" i="130"/>
  <c r="BC21" i="72" s="1"/>
  <c r="W21" i="100"/>
  <c r="P38" i="130"/>
  <c r="BC37" i="72" s="1"/>
  <c r="W37" i="100"/>
  <c r="P63" i="130"/>
  <c r="BC62" i="72" s="1"/>
  <c r="W62" i="100"/>
  <c r="P70" i="130"/>
  <c r="BC69" i="72" s="1"/>
  <c r="W69" i="100"/>
  <c r="P71" i="130"/>
  <c r="BC70" i="72" s="1"/>
  <c r="W70" i="100"/>
  <c r="P43" i="131"/>
  <c r="BD42" i="72" s="1"/>
  <c r="X42" i="100"/>
  <c r="P44" i="131"/>
  <c r="BD43" i="72" s="1"/>
  <c r="X43" i="100"/>
  <c r="P47" i="131"/>
  <c r="BD46" i="72" s="1"/>
  <c r="X46" i="100"/>
  <c r="P48" i="131"/>
  <c r="BD47" i="72" s="1"/>
  <c r="X47" i="100"/>
  <c r="P51" i="131"/>
  <c r="BD50" i="72" s="1"/>
  <c r="X50" i="100"/>
  <c r="P52" i="131"/>
  <c r="BD51" i="72" s="1"/>
  <c r="X51" i="100"/>
  <c r="P56" i="131"/>
  <c r="BD55" i="72" s="1"/>
  <c r="X55" i="100"/>
  <c r="P59" i="131"/>
  <c r="BD58" i="72" s="1"/>
  <c r="X58" i="100"/>
  <c r="P67" i="131"/>
  <c r="BD66" i="72" s="1"/>
  <c r="X66" i="100"/>
  <c r="O76" i="127"/>
  <c r="P38" i="125"/>
  <c r="P67" i="125"/>
  <c r="P16" i="126"/>
  <c r="P33" i="126"/>
  <c r="P34" i="126"/>
  <c r="P35" i="126"/>
  <c r="P36" i="126"/>
  <c r="P37" i="126"/>
  <c r="P38" i="126"/>
  <c r="P16" i="125"/>
  <c r="P8" i="126"/>
  <c r="P9" i="126"/>
  <c r="P17" i="126"/>
  <c r="P18" i="126"/>
  <c r="P19" i="126"/>
  <c r="P20" i="126"/>
  <c r="P21" i="126"/>
  <c r="P22" i="126"/>
  <c r="P23" i="126"/>
  <c r="P42" i="126"/>
  <c r="AY41" i="72" s="1"/>
  <c r="P68" i="126"/>
  <c r="P10" i="127"/>
  <c r="P11" i="127"/>
  <c r="P12" i="127"/>
  <c r="P13" i="127"/>
  <c r="P14" i="127"/>
  <c r="P15" i="127"/>
  <c r="P23" i="127"/>
  <c r="P28" i="127"/>
  <c r="P29" i="127"/>
  <c r="P30" i="127"/>
  <c r="P31" i="127"/>
  <c r="P32" i="127"/>
  <c r="P33" i="127"/>
  <c r="P34" i="127"/>
  <c r="P35" i="127"/>
  <c r="P36" i="127"/>
  <c r="P37" i="127"/>
  <c r="P39" i="127"/>
  <c r="P60" i="127"/>
  <c r="P69" i="127"/>
  <c r="O76" i="128"/>
  <c r="P7" i="128"/>
  <c r="BA6" i="72" s="1"/>
  <c r="P9" i="128"/>
  <c r="BA8" i="72" s="1"/>
  <c r="P11" i="128"/>
  <c r="BA10" i="72" s="1"/>
  <c r="P13" i="128"/>
  <c r="BA12" i="72" s="1"/>
  <c r="P15" i="128"/>
  <c r="BA14" i="72" s="1"/>
  <c r="P18" i="128"/>
  <c r="P20" i="128"/>
  <c r="P22" i="128"/>
  <c r="P25" i="128"/>
  <c r="P29" i="128"/>
  <c r="P33" i="128"/>
  <c r="P37" i="128"/>
  <c r="O7" i="125"/>
  <c r="R6" i="100" s="1"/>
  <c r="O8" i="125"/>
  <c r="R7" i="100" s="1"/>
  <c r="P9" i="125"/>
  <c r="P10" i="125"/>
  <c r="P11" i="125"/>
  <c r="P12" i="125"/>
  <c r="P13" i="125"/>
  <c r="P14" i="125"/>
  <c r="P15" i="125"/>
  <c r="O17" i="125"/>
  <c r="R16" i="100" s="1"/>
  <c r="O18" i="125"/>
  <c r="R17" i="100" s="1"/>
  <c r="O19" i="125"/>
  <c r="R18" i="100" s="1"/>
  <c r="O20" i="125"/>
  <c r="R19" i="100" s="1"/>
  <c r="O21" i="125"/>
  <c r="R20" i="100" s="1"/>
  <c r="O22" i="125"/>
  <c r="R21" i="100" s="1"/>
  <c r="P23" i="125"/>
  <c r="P24" i="125"/>
  <c r="P25" i="125"/>
  <c r="P26" i="125"/>
  <c r="P27" i="125"/>
  <c r="P28" i="125"/>
  <c r="P29" i="125"/>
  <c r="P30" i="125"/>
  <c r="P31" i="125"/>
  <c r="P32" i="125"/>
  <c r="P33" i="125"/>
  <c r="P34" i="125"/>
  <c r="P35" i="125"/>
  <c r="P36" i="125"/>
  <c r="P37" i="125"/>
  <c r="O39" i="125"/>
  <c r="R38" i="100" s="1"/>
  <c r="O40" i="125"/>
  <c r="R39" i="100" s="1"/>
  <c r="O41" i="125"/>
  <c r="R40" i="100" s="1"/>
  <c r="O42" i="125"/>
  <c r="R41" i="100" s="1"/>
  <c r="O43" i="125"/>
  <c r="R42" i="100" s="1"/>
  <c r="O44" i="125"/>
  <c r="R43" i="100" s="1"/>
  <c r="P45" i="125"/>
  <c r="P46" i="125"/>
  <c r="P47" i="125"/>
  <c r="P48" i="125"/>
  <c r="P49" i="125"/>
  <c r="P50" i="125"/>
  <c r="P51" i="125"/>
  <c r="P52" i="125"/>
  <c r="P53" i="125"/>
  <c r="P54" i="125"/>
  <c r="P55" i="125"/>
  <c r="P56" i="125"/>
  <c r="P57" i="125"/>
  <c r="P58" i="125"/>
  <c r="P59" i="125"/>
  <c r="P60" i="125"/>
  <c r="P61" i="125"/>
  <c r="P62" i="125"/>
  <c r="P63" i="125"/>
  <c r="P64" i="125"/>
  <c r="P65" i="125"/>
  <c r="P66" i="125"/>
  <c r="O68" i="125"/>
  <c r="R67" i="100" s="1"/>
  <c r="P69" i="125"/>
  <c r="P70" i="125"/>
  <c r="P71" i="125"/>
  <c r="P72" i="125"/>
  <c r="P73" i="125"/>
  <c r="P74" i="125"/>
  <c r="P75" i="125"/>
  <c r="C76" i="125"/>
  <c r="G7" i="126"/>
  <c r="P7" i="126"/>
  <c r="AY6" i="72" s="1"/>
  <c r="G8" i="126"/>
  <c r="O10" i="126"/>
  <c r="S9" i="100" s="1"/>
  <c r="O11" i="126"/>
  <c r="S10" i="100" s="1"/>
  <c r="O12" i="126"/>
  <c r="S11" i="100" s="1"/>
  <c r="O13" i="126"/>
  <c r="S12" i="100" s="1"/>
  <c r="O14" i="126"/>
  <c r="S13" i="100" s="1"/>
  <c r="O15" i="126"/>
  <c r="S14" i="100" s="1"/>
  <c r="G17" i="126"/>
  <c r="G18" i="126"/>
  <c r="G19" i="126"/>
  <c r="G20" i="126"/>
  <c r="G21" i="126"/>
  <c r="G22" i="126"/>
  <c r="O24" i="126"/>
  <c r="S23" i="100" s="1"/>
  <c r="O25" i="126"/>
  <c r="S24" i="100" s="1"/>
  <c r="O26" i="126"/>
  <c r="S25" i="100" s="1"/>
  <c r="O27" i="126"/>
  <c r="S26" i="100" s="1"/>
  <c r="O28" i="126"/>
  <c r="S27" i="100" s="1"/>
  <c r="O29" i="126"/>
  <c r="S28" i="100" s="1"/>
  <c r="O30" i="126"/>
  <c r="S29" i="100" s="1"/>
  <c r="O31" i="126"/>
  <c r="S30" i="100" s="1"/>
  <c r="P32" i="126"/>
  <c r="G33" i="126"/>
  <c r="G34" i="126"/>
  <c r="G35" i="126"/>
  <c r="G36" i="126"/>
  <c r="G37" i="126"/>
  <c r="O39" i="126"/>
  <c r="S38" i="100" s="1"/>
  <c r="O40" i="126"/>
  <c r="S39" i="100" s="1"/>
  <c r="P67" i="126"/>
  <c r="P9" i="127"/>
  <c r="P27" i="127"/>
  <c r="P40" i="127"/>
  <c r="P41" i="127"/>
  <c r="P42" i="127"/>
  <c r="P43" i="127"/>
  <c r="P44" i="127"/>
  <c r="P45" i="127"/>
  <c r="P46" i="127"/>
  <c r="P47" i="127"/>
  <c r="P61" i="127"/>
  <c r="P62" i="127"/>
  <c r="P63" i="127"/>
  <c r="P64" i="127"/>
  <c r="P65" i="127"/>
  <c r="P66" i="127"/>
  <c r="P70" i="127"/>
  <c r="P71" i="127"/>
  <c r="P72" i="127"/>
  <c r="P73" i="127"/>
  <c r="P74" i="127"/>
  <c r="P75" i="127"/>
  <c r="P8" i="128"/>
  <c r="P10" i="128"/>
  <c r="P12" i="128"/>
  <c r="P14" i="128"/>
  <c r="P17" i="128"/>
  <c r="P19" i="128"/>
  <c r="P21" i="128"/>
  <c r="P23" i="128"/>
  <c r="P27" i="128"/>
  <c r="P31" i="128"/>
  <c r="P35" i="128"/>
  <c r="P39" i="128"/>
  <c r="Q7" i="126"/>
  <c r="P63" i="128"/>
  <c r="P67" i="128"/>
  <c r="P71" i="128"/>
  <c r="P75" i="128"/>
  <c r="P8" i="129"/>
  <c r="P16" i="129"/>
  <c r="P25" i="129"/>
  <c r="P26" i="129"/>
  <c r="P38" i="129"/>
  <c r="P61" i="129"/>
  <c r="P62" i="129"/>
  <c r="P63" i="129"/>
  <c r="P64" i="129"/>
  <c r="P65" i="129"/>
  <c r="P66" i="129"/>
  <c r="P70" i="129"/>
  <c r="P71" i="129"/>
  <c r="P72" i="129"/>
  <c r="P73" i="129"/>
  <c r="Q50" i="126"/>
  <c r="S50" i="126" s="1"/>
  <c r="T50" i="126" s="1"/>
  <c r="P49" i="72" s="1"/>
  <c r="Q52" i="126"/>
  <c r="S52" i="126" s="1"/>
  <c r="T52" i="126" s="1"/>
  <c r="P51" i="72" s="1"/>
  <c r="Q58" i="126"/>
  <c r="S58" i="126" s="1"/>
  <c r="T58" i="126" s="1"/>
  <c r="P57" i="72" s="1"/>
  <c r="Q66" i="126"/>
  <c r="S66" i="126" s="1"/>
  <c r="T66" i="126" s="1"/>
  <c r="P65" i="72" s="1"/>
  <c r="G68" i="126"/>
  <c r="O70" i="126"/>
  <c r="S69" i="100" s="1"/>
  <c r="O71" i="126"/>
  <c r="S70" i="100" s="1"/>
  <c r="O72" i="126"/>
  <c r="S71" i="100" s="1"/>
  <c r="O73" i="126"/>
  <c r="S72" i="100" s="1"/>
  <c r="O74" i="126"/>
  <c r="S73" i="100" s="1"/>
  <c r="O75" i="126"/>
  <c r="S74" i="100" s="1"/>
  <c r="G10" i="127"/>
  <c r="G11" i="127"/>
  <c r="G12" i="127"/>
  <c r="G13" i="127"/>
  <c r="G14" i="127"/>
  <c r="G15" i="127"/>
  <c r="Q18" i="127"/>
  <c r="S18" i="127" s="1"/>
  <c r="T18" i="127" s="1"/>
  <c r="Q17" i="72" s="1"/>
  <c r="Q25" i="127"/>
  <c r="S25" i="127" s="1"/>
  <c r="T25" i="127" s="1"/>
  <c r="Q24" i="72" s="1"/>
  <c r="G28" i="127"/>
  <c r="G29" i="127"/>
  <c r="G30" i="127"/>
  <c r="G31" i="127"/>
  <c r="G32" i="127"/>
  <c r="G33" i="127"/>
  <c r="G34" i="127"/>
  <c r="G35" i="127"/>
  <c r="G36" i="127"/>
  <c r="G37" i="127"/>
  <c r="Q38" i="127"/>
  <c r="S38" i="127" s="1"/>
  <c r="T38" i="127" s="1"/>
  <c r="Q37" i="72" s="1"/>
  <c r="G40" i="127"/>
  <c r="G41" i="127"/>
  <c r="G43" i="127"/>
  <c r="G44" i="127"/>
  <c r="G46" i="127"/>
  <c r="G47" i="127"/>
  <c r="Q49" i="127"/>
  <c r="S49" i="127" s="1"/>
  <c r="T49" i="127" s="1"/>
  <c r="Q48" i="72" s="1"/>
  <c r="Q55" i="127"/>
  <c r="S55" i="127" s="1"/>
  <c r="T55" i="127" s="1"/>
  <c r="Q54" i="72" s="1"/>
  <c r="G61" i="127"/>
  <c r="G62" i="127"/>
  <c r="G63" i="127"/>
  <c r="G64" i="127"/>
  <c r="G65" i="127"/>
  <c r="G66" i="127"/>
  <c r="Q68" i="127"/>
  <c r="S68" i="127" s="1"/>
  <c r="T68" i="127" s="1"/>
  <c r="Q67" i="72" s="1"/>
  <c r="G70" i="127"/>
  <c r="G71" i="127"/>
  <c r="G72" i="127"/>
  <c r="G73" i="127"/>
  <c r="G74" i="127"/>
  <c r="G75" i="127"/>
  <c r="C76" i="127"/>
  <c r="P16" i="128"/>
  <c r="P24" i="128"/>
  <c r="P26" i="128"/>
  <c r="P28" i="128"/>
  <c r="P30" i="128"/>
  <c r="P32" i="128"/>
  <c r="P34" i="128"/>
  <c r="P36" i="128"/>
  <c r="P38" i="128"/>
  <c r="Q50" i="128"/>
  <c r="S50" i="128" s="1"/>
  <c r="T50" i="128" s="1"/>
  <c r="R49" i="72" s="1"/>
  <c r="Q54" i="128"/>
  <c r="S54" i="128" s="1"/>
  <c r="T54" i="128" s="1"/>
  <c r="R53" i="72" s="1"/>
  <c r="P61" i="128"/>
  <c r="P65" i="128"/>
  <c r="P69" i="128"/>
  <c r="P73" i="128"/>
  <c r="P17" i="129"/>
  <c r="P18" i="129"/>
  <c r="P19" i="129"/>
  <c r="P20" i="129"/>
  <c r="P21" i="129"/>
  <c r="P22" i="129"/>
  <c r="P24" i="129"/>
  <c r="P60" i="129"/>
  <c r="P69" i="129"/>
  <c r="P7" i="127"/>
  <c r="Q53" i="128"/>
  <c r="S53" i="128" s="1"/>
  <c r="T53" i="128" s="1"/>
  <c r="R52" i="72" s="1"/>
  <c r="P10" i="130"/>
  <c r="P11" i="130"/>
  <c r="P12" i="130"/>
  <c r="P13" i="130"/>
  <c r="P14" i="130"/>
  <c r="P15" i="130"/>
  <c r="P23" i="130"/>
  <c r="P28" i="130"/>
  <c r="P29" i="130"/>
  <c r="P30" i="130"/>
  <c r="P31" i="130"/>
  <c r="P32" i="130"/>
  <c r="P33" i="130"/>
  <c r="P34" i="130"/>
  <c r="P35" i="130"/>
  <c r="P36" i="130"/>
  <c r="P37" i="130"/>
  <c r="P39" i="130"/>
  <c r="P68" i="130"/>
  <c r="G7" i="129"/>
  <c r="G8" i="129"/>
  <c r="Q15" i="129"/>
  <c r="S15" i="129" s="1"/>
  <c r="T15" i="129" s="1"/>
  <c r="S14" i="72" s="1"/>
  <c r="G17" i="129"/>
  <c r="G18" i="129"/>
  <c r="G19" i="129"/>
  <c r="G20" i="129"/>
  <c r="G21" i="129"/>
  <c r="G22" i="129"/>
  <c r="G25" i="129"/>
  <c r="G26" i="129"/>
  <c r="Q29" i="129"/>
  <c r="S29" i="129" s="1"/>
  <c r="T29" i="129" s="1"/>
  <c r="S28" i="72" s="1"/>
  <c r="Q33" i="129"/>
  <c r="S33" i="129" s="1"/>
  <c r="T33" i="129" s="1"/>
  <c r="S32" i="72" s="1"/>
  <c r="Q42" i="129"/>
  <c r="S42" i="129" s="1"/>
  <c r="T42" i="129" s="1"/>
  <c r="S41" i="72" s="1"/>
  <c r="Q44" i="129"/>
  <c r="S44" i="129" s="1"/>
  <c r="T44" i="129" s="1"/>
  <c r="S43" i="72" s="1"/>
  <c r="Q46" i="129"/>
  <c r="S46" i="129" s="1"/>
  <c r="T46" i="129" s="1"/>
  <c r="S45" i="72" s="1"/>
  <c r="Q48" i="129"/>
  <c r="S48" i="129" s="1"/>
  <c r="T48" i="129" s="1"/>
  <c r="S47" i="72" s="1"/>
  <c r="Q50" i="129"/>
  <c r="S50" i="129" s="1"/>
  <c r="T50" i="129" s="1"/>
  <c r="S49" i="72" s="1"/>
  <c r="Q52" i="129"/>
  <c r="S52" i="129" s="1"/>
  <c r="T52" i="129" s="1"/>
  <c r="S51" i="72" s="1"/>
  <c r="Q56" i="129"/>
  <c r="S56" i="129" s="1"/>
  <c r="T56" i="129" s="1"/>
  <c r="S55" i="72" s="1"/>
  <c r="Q58" i="129"/>
  <c r="S58" i="129" s="1"/>
  <c r="T58" i="129" s="1"/>
  <c r="S57" i="72" s="1"/>
  <c r="G61" i="129"/>
  <c r="G62" i="129"/>
  <c r="G63" i="129"/>
  <c r="G64" i="129"/>
  <c r="G65" i="129"/>
  <c r="G66" i="129"/>
  <c r="Q67" i="129"/>
  <c r="S67" i="129" s="1"/>
  <c r="T67" i="129" s="1"/>
  <c r="S66" i="72" s="1"/>
  <c r="G70" i="129"/>
  <c r="G71" i="129"/>
  <c r="G72" i="129"/>
  <c r="G73" i="129"/>
  <c r="P9" i="130"/>
  <c r="P27" i="130"/>
  <c r="P40" i="130"/>
  <c r="P41" i="130"/>
  <c r="P42" i="130"/>
  <c r="P43" i="130"/>
  <c r="P44" i="130"/>
  <c r="P45" i="130"/>
  <c r="P46" i="130"/>
  <c r="P47" i="130"/>
  <c r="P48" i="130"/>
  <c r="P49" i="130"/>
  <c r="P50" i="130"/>
  <c r="P51" i="130"/>
  <c r="P52" i="130"/>
  <c r="P53" i="130"/>
  <c r="P54" i="130"/>
  <c r="P55" i="130"/>
  <c r="P56" i="130"/>
  <c r="P57" i="130"/>
  <c r="P58" i="130"/>
  <c r="P59" i="130"/>
  <c r="P67" i="130"/>
  <c r="O7" i="129"/>
  <c r="V6" i="100" s="1"/>
  <c r="P8" i="131"/>
  <c r="P17" i="131"/>
  <c r="P18" i="131"/>
  <c r="P19" i="131"/>
  <c r="P20" i="131"/>
  <c r="P21" i="131"/>
  <c r="P28" i="131"/>
  <c r="P29" i="131"/>
  <c r="P30" i="131"/>
  <c r="P31" i="131"/>
  <c r="P32" i="131"/>
  <c r="P33" i="131"/>
  <c r="P34" i="131"/>
  <c r="P35" i="131"/>
  <c r="P36" i="131"/>
  <c r="P37" i="131"/>
  <c r="P38" i="131"/>
  <c r="O74" i="129"/>
  <c r="V73" i="100" s="1"/>
  <c r="O75" i="129"/>
  <c r="V74" i="100" s="1"/>
  <c r="G10" i="130"/>
  <c r="G11" i="130"/>
  <c r="G12" i="130"/>
  <c r="G13" i="130"/>
  <c r="G14" i="130"/>
  <c r="G15" i="130"/>
  <c r="Q22" i="130"/>
  <c r="S22" i="130" s="1"/>
  <c r="T22" i="130" s="1"/>
  <c r="T21" i="72" s="1"/>
  <c r="G28" i="130"/>
  <c r="G29" i="130"/>
  <c r="G30" i="130"/>
  <c r="G31" i="130"/>
  <c r="G32" i="130"/>
  <c r="G33" i="130"/>
  <c r="G34" i="130"/>
  <c r="G35" i="130"/>
  <c r="G36" i="130"/>
  <c r="G37" i="130"/>
  <c r="Q38" i="130"/>
  <c r="S38" i="130" s="1"/>
  <c r="T38" i="130" s="1"/>
  <c r="T37" i="72" s="1"/>
  <c r="G40" i="130"/>
  <c r="G41" i="130"/>
  <c r="G43" i="130"/>
  <c r="G44" i="130"/>
  <c r="G46" i="130"/>
  <c r="G47" i="130"/>
  <c r="G48" i="130"/>
  <c r="G49" i="130"/>
  <c r="G50" i="130"/>
  <c r="G51" i="130"/>
  <c r="G52" i="130"/>
  <c r="G53" i="130"/>
  <c r="G54" i="130"/>
  <c r="G55" i="130"/>
  <c r="G56" i="130"/>
  <c r="G57" i="130"/>
  <c r="G58" i="130"/>
  <c r="G59" i="130"/>
  <c r="Q63" i="130"/>
  <c r="S63" i="130" s="1"/>
  <c r="T63" i="130" s="1"/>
  <c r="T62" i="72" s="1"/>
  <c r="G68" i="130"/>
  <c r="Q72" i="130"/>
  <c r="S72" i="130" s="1"/>
  <c r="T72" i="130" s="1"/>
  <c r="T71" i="72" s="1"/>
  <c r="G74" i="130"/>
  <c r="P74" i="130"/>
  <c r="C76" i="130"/>
  <c r="P9" i="131"/>
  <c r="P24" i="131"/>
  <c r="P40" i="131"/>
  <c r="P7" i="130"/>
  <c r="BC6" i="72" s="1"/>
  <c r="O73" i="130"/>
  <c r="W72" i="100" s="1"/>
  <c r="G73" i="130"/>
  <c r="O75" i="130"/>
  <c r="W74" i="100" s="1"/>
  <c r="G75" i="130"/>
  <c r="P60" i="131"/>
  <c r="P69" i="131"/>
  <c r="G7" i="131"/>
  <c r="G8" i="131"/>
  <c r="O10" i="131"/>
  <c r="X9" i="100" s="1"/>
  <c r="O11" i="131"/>
  <c r="X10" i="100" s="1"/>
  <c r="O12" i="131"/>
  <c r="X11" i="100" s="1"/>
  <c r="O13" i="131"/>
  <c r="X12" i="100" s="1"/>
  <c r="O14" i="131"/>
  <c r="X13" i="100" s="1"/>
  <c r="O15" i="131"/>
  <c r="X14" i="100" s="1"/>
  <c r="P16" i="131"/>
  <c r="G17" i="131"/>
  <c r="G18" i="131"/>
  <c r="G19" i="131"/>
  <c r="G20" i="131"/>
  <c r="O22" i="131"/>
  <c r="X21" i="100" s="1"/>
  <c r="P23" i="131"/>
  <c r="O25" i="131"/>
  <c r="X24" i="100" s="1"/>
  <c r="O26" i="131"/>
  <c r="X25" i="100" s="1"/>
  <c r="P27" i="131"/>
  <c r="G28" i="131"/>
  <c r="G29" i="131"/>
  <c r="G30" i="131"/>
  <c r="G31" i="131"/>
  <c r="G32" i="131"/>
  <c r="G33" i="131"/>
  <c r="G34" i="131"/>
  <c r="G35" i="131"/>
  <c r="G36" i="131"/>
  <c r="G37" i="131"/>
  <c r="P39" i="131"/>
  <c r="G40" i="131"/>
  <c r="Q41" i="131"/>
  <c r="S41" i="131" s="1"/>
  <c r="T41" i="131" s="1"/>
  <c r="U40" i="72" s="1"/>
  <c r="P61" i="131"/>
  <c r="P62" i="131"/>
  <c r="P63" i="131"/>
  <c r="P64" i="131"/>
  <c r="P65" i="131"/>
  <c r="P66" i="131"/>
  <c r="P70" i="131"/>
  <c r="P71" i="131"/>
  <c r="P72" i="131"/>
  <c r="P73" i="131"/>
  <c r="P74" i="131"/>
  <c r="P75" i="131"/>
  <c r="O7" i="131"/>
  <c r="X6" i="100" s="1"/>
  <c r="Q42" i="131"/>
  <c r="S42" i="131" s="1"/>
  <c r="T42" i="131" s="1"/>
  <c r="U41" i="72" s="1"/>
  <c r="Q44" i="131"/>
  <c r="S44" i="131" s="1"/>
  <c r="T44" i="131" s="1"/>
  <c r="U43" i="72" s="1"/>
  <c r="Q46" i="131"/>
  <c r="S46" i="131" s="1"/>
  <c r="T46" i="131" s="1"/>
  <c r="U45" i="72" s="1"/>
  <c r="Q48" i="131"/>
  <c r="S48" i="131" s="1"/>
  <c r="T48" i="131" s="1"/>
  <c r="U47" i="72" s="1"/>
  <c r="Q50" i="131"/>
  <c r="S50" i="131" s="1"/>
  <c r="T50" i="131" s="1"/>
  <c r="U49" i="72" s="1"/>
  <c r="Q52" i="131"/>
  <c r="S52" i="131" s="1"/>
  <c r="T52" i="131" s="1"/>
  <c r="U51" i="72" s="1"/>
  <c r="Q54" i="131"/>
  <c r="S54" i="131" s="1"/>
  <c r="T54" i="131" s="1"/>
  <c r="U53" i="72" s="1"/>
  <c r="Q58" i="131"/>
  <c r="S58" i="131" s="1"/>
  <c r="T58" i="131" s="1"/>
  <c r="U57" i="72" s="1"/>
  <c r="G61" i="131"/>
  <c r="G62" i="131"/>
  <c r="G63" i="131"/>
  <c r="G64" i="131"/>
  <c r="G65" i="131"/>
  <c r="G66" i="131"/>
  <c r="G70" i="131"/>
  <c r="G71" i="131"/>
  <c r="G72" i="131"/>
  <c r="G73" i="131"/>
  <c r="G74" i="131"/>
  <c r="G75" i="131"/>
  <c r="Q67" i="131" l="1"/>
  <c r="S67" i="131" s="1"/>
  <c r="T67" i="131" s="1"/>
  <c r="U66" i="72" s="1"/>
  <c r="Q56" i="131"/>
  <c r="S56" i="131" s="1"/>
  <c r="T56" i="131" s="1"/>
  <c r="U55" i="72" s="1"/>
  <c r="Q65" i="130"/>
  <c r="S65" i="130" s="1"/>
  <c r="T65" i="130" s="1"/>
  <c r="T64" i="72" s="1"/>
  <c r="Q25" i="130"/>
  <c r="S25" i="130" s="1"/>
  <c r="T25" i="130" s="1"/>
  <c r="T24" i="72" s="1"/>
  <c r="Q16" i="130"/>
  <c r="S16" i="130" s="1"/>
  <c r="T16" i="130" s="1"/>
  <c r="T15" i="72" s="1"/>
  <c r="Q35" i="129"/>
  <c r="S35" i="129" s="1"/>
  <c r="T35" i="129" s="1"/>
  <c r="S34" i="72" s="1"/>
  <c r="Q27" i="129"/>
  <c r="S27" i="129" s="1"/>
  <c r="T27" i="129" s="1"/>
  <c r="S26" i="72" s="1"/>
  <c r="Q9" i="129"/>
  <c r="S9" i="129" s="1"/>
  <c r="T9" i="129" s="1"/>
  <c r="S8" i="72" s="1"/>
  <c r="Q45" i="128"/>
  <c r="S45" i="128" s="1"/>
  <c r="T45" i="128" s="1"/>
  <c r="R44" i="72" s="1"/>
  <c r="Q57" i="127"/>
  <c r="S57" i="127" s="1"/>
  <c r="T57" i="127" s="1"/>
  <c r="Q56" i="72" s="1"/>
  <c r="Q20" i="127"/>
  <c r="S20" i="127" s="1"/>
  <c r="T20" i="127" s="1"/>
  <c r="Q19" i="72" s="1"/>
  <c r="Q54" i="126"/>
  <c r="S54" i="126" s="1"/>
  <c r="T54" i="126" s="1"/>
  <c r="P53" i="72" s="1"/>
  <c r="Q70" i="130"/>
  <c r="S70" i="130" s="1"/>
  <c r="T70" i="130" s="1"/>
  <c r="T69" i="72" s="1"/>
  <c r="Q61" i="130"/>
  <c r="S61" i="130" s="1"/>
  <c r="T61" i="130" s="1"/>
  <c r="T60" i="72" s="1"/>
  <c r="Q20" i="130"/>
  <c r="S20" i="130" s="1"/>
  <c r="T20" i="130" s="1"/>
  <c r="T19" i="72" s="1"/>
  <c r="Q40" i="129"/>
  <c r="S40" i="129" s="1"/>
  <c r="T40" i="129" s="1"/>
  <c r="S39" i="72" s="1"/>
  <c r="Q31" i="129"/>
  <c r="S31" i="129" s="1"/>
  <c r="T31" i="129" s="1"/>
  <c r="S30" i="72" s="1"/>
  <c r="Q13" i="129"/>
  <c r="S13" i="129" s="1"/>
  <c r="T13" i="129" s="1"/>
  <c r="S12" i="72" s="1"/>
  <c r="Q46" i="128"/>
  <c r="S46" i="128" s="1"/>
  <c r="T46" i="128" s="1"/>
  <c r="R45" i="72" s="1"/>
  <c r="Q53" i="127"/>
  <c r="S53" i="127" s="1"/>
  <c r="T53" i="127" s="1"/>
  <c r="Q52" i="72" s="1"/>
  <c r="Q16" i="127"/>
  <c r="S16" i="127" s="1"/>
  <c r="T16" i="127" s="1"/>
  <c r="Q15" i="72" s="1"/>
  <c r="Q62" i="126"/>
  <c r="S62" i="126" s="1"/>
  <c r="T62" i="126" s="1"/>
  <c r="P61" i="72" s="1"/>
  <c r="Q18" i="130"/>
  <c r="S18" i="130" s="1"/>
  <c r="T18" i="130" s="1"/>
  <c r="T17" i="72" s="1"/>
  <c r="Q54" i="129"/>
  <c r="S54" i="129" s="1"/>
  <c r="T54" i="129" s="1"/>
  <c r="S53" i="72" s="1"/>
  <c r="Q37" i="129"/>
  <c r="S37" i="129" s="1"/>
  <c r="T37" i="129" s="1"/>
  <c r="S36" i="72" s="1"/>
  <c r="Q11" i="129"/>
  <c r="S11" i="129" s="1"/>
  <c r="T11" i="129" s="1"/>
  <c r="S10" i="72" s="1"/>
  <c r="Q68" i="128"/>
  <c r="S68" i="128" s="1"/>
  <c r="T68" i="128" s="1"/>
  <c r="R67" i="72" s="1"/>
  <c r="Q58" i="128"/>
  <c r="S58" i="128" s="1"/>
  <c r="T58" i="128" s="1"/>
  <c r="R57" i="72" s="1"/>
  <c r="Q42" i="128"/>
  <c r="S42" i="128" s="1"/>
  <c r="T42" i="128" s="1"/>
  <c r="R41" i="72" s="1"/>
  <c r="Q59" i="127"/>
  <c r="S59" i="127" s="1"/>
  <c r="T59" i="127" s="1"/>
  <c r="Q58" i="72" s="1"/>
  <c r="Q51" i="127"/>
  <c r="S51" i="127" s="1"/>
  <c r="T51" i="127" s="1"/>
  <c r="Q50" i="72" s="1"/>
  <c r="Q22" i="127"/>
  <c r="S22" i="127" s="1"/>
  <c r="T22" i="127" s="1"/>
  <c r="Q21" i="72" s="1"/>
  <c r="Q69" i="126"/>
  <c r="S69" i="126" s="1"/>
  <c r="T69" i="126" s="1"/>
  <c r="P68" i="72" s="1"/>
  <c r="Q44" i="126"/>
  <c r="S44" i="126" s="1"/>
  <c r="T44" i="126" s="1"/>
  <c r="P43" i="72" s="1"/>
  <c r="Q72" i="128"/>
  <c r="S72" i="128" s="1"/>
  <c r="T72" i="128" s="1"/>
  <c r="R71" i="72" s="1"/>
  <c r="Q64" i="128"/>
  <c r="S64" i="128" s="1"/>
  <c r="T64" i="128" s="1"/>
  <c r="R63" i="72" s="1"/>
  <c r="Q57" i="128"/>
  <c r="S57" i="128" s="1"/>
  <c r="T57" i="128" s="1"/>
  <c r="R56" i="72" s="1"/>
  <c r="Q49" i="128"/>
  <c r="S49" i="128" s="1"/>
  <c r="T49" i="128" s="1"/>
  <c r="R48" i="72" s="1"/>
  <c r="Q41" i="128"/>
  <c r="S41" i="128" s="1"/>
  <c r="T41" i="128" s="1"/>
  <c r="R40" i="72" s="1"/>
  <c r="Q64" i="126"/>
  <c r="S64" i="126" s="1"/>
  <c r="T64" i="126" s="1"/>
  <c r="P63" i="72" s="1"/>
  <c r="Q60" i="126"/>
  <c r="S60" i="126" s="1"/>
  <c r="T60" i="126" s="1"/>
  <c r="P59" i="72" s="1"/>
  <c r="Q56" i="126"/>
  <c r="S56" i="126" s="1"/>
  <c r="T56" i="126" s="1"/>
  <c r="P55" i="72" s="1"/>
  <c r="Q48" i="126"/>
  <c r="S48" i="126" s="1"/>
  <c r="T48" i="126" s="1"/>
  <c r="P47" i="72" s="1"/>
  <c r="E15" i="81"/>
  <c r="Q46" i="126"/>
  <c r="S46" i="126" s="1"/>
  <c r="T46" i="126" s="1"/>
  <c r="P45" i="72" s="1"/>
  <c r="Q68" i="131"/>
  <c r="S68" i="131" s="1"/>
  <c r="T68" i="131" s="1"/>
  <c r="U67" i="72" s="1"/>
  <c r="Q59" i="131"/>
  <c r="S59" i="131" s="1"/>
  <c r="T59" i="131" s="1"/>
  <c r="U58" i="72" s="1"/>
  <c r="Q57" i="131"/>
  <c r="S57" i="131" s="1"/>
  <c r="T57" i="131" s="1"/>
  <c r="U56" i="72" s="1"/>
  <c r="Q55" i="131"/>
  <c r="S55" i="131" s="1"/>
  <c r="T55" i="131" s="1"/>
  <c r="U54" i="72" s="1"/>
  <c r="Q53" i="131"/>
  <c r="S53" i="131" s="1"/>
  <c r="T53" i="131" s="1"/>
  <c r="U52" i="72" s="1"/>
  <c r="Q51" i="131"/>
  <c r="S51" i="131" s="1"/>
  <c r="T51" i="131" s="1"/>
  <c r="U50" i="72" s="1"/>
  <c r="Q49" i="131"/>
  <c r="S49" i="131" s="1"/>
  <c r="T49" i="131" s="1"/>
  <c r="U48" i="72" s="1"/>
  <c r="Q47" i="131"/>
  <c r="S47" i="131" s="1"/>
  <c r="T47" i="131" s="1"/>
  <c r="U46" i="72" s="1"/>
  <c r="Q45" i="131"/>
  <c r="S45" i="131" s="1"/>
  <c r="T45" i="131" s="1"/>
  <c r="U44" i="72" s="1"/>
  <c r="Q43" i="131"/>
  <c r="S43" i="131" s="1"/>
  <c r="T43" i="131" s="1"/>
  <c r="U42" i="72" s="1"/>
  <c r="Q71" i="130"/>
  <c r="S71" i="130" s="1"/>
  <c r="T71" i="130" s="1"/>
  <c r="T70" i="72" s="1"/>
  <c r="Q69" i="130"/>
  <c r="S69" i="130" s="1"/>
  <c r="T69" i="130" s="1"/>
  <c r="T68" i="72" s="1"/>
  <c r="Q66" i="130"/>
  <c r="S66" i="130" s="1"/>
  <c r="T66" i="130" s="1"/>
  <c r="T65" i="72" s="1"/>
  <c r="Q64" i="130"/>
  <c r="S64" i="130" s="1"/>
  <c r="T64" i="130" s="1"/>
  <c r="T63" i="72" s="1"/>
  <c r="Q62" i="130"/>
  <c r="S62" i="130" s="1"/>
  <c r="T62" i="130" s="1"/>
  <c r="T61" i="72" s="1"/>
  <c r="Q60" i="130"/>
  <c r="S60" i="130" s="1"/>
  <c r="T60" i="130" s="1"/>
  <c r="T59" i="72" s="1"/>
  <c r="Q26" i="130"/>
  <c r="S26" i="130" s="1"/>
  <c r="T26" i="130" s="1"/>
  <c r="T25" i="72" s="1"/>
  <c r="Q24" i="130"/>
  <c r="S24" i="130" s="1"/>
  <c r="T24" i="130" s="1"/>
  <c r="T23" i="72" s="1"/>
  <c r="Q21" i="130"/>
  <c r="S21" i="130" s="1"/>
  <c r="T21" i="130" s="1"/>
  <c r="T20" i="72" s="1"/>
  <c r="Q19" i="130"/>
  <c r="S19" i="130" s="1"/>
  <c r="T19" i="130" s="1"/>
  <c r="T18" i="72" s="1"/>
  <c r="Q17" i="130"/>
  <c r="S17" i="130" s="1"/>
  <c r="T17" i="130" s="1"/>
  <c r="T16" i="72" s="1"/>
  <c r="Q8" i="130"/>
  <c r="S8" i="130" s="1"/>
  <c r="T8" i="130" s="1"/>
  <c r="T7" i="72" s="1"/>
  <c r="Q68" i="129"/>
  <c r="S68" i="129" s="1"/>
  <c r="T68" i="129" s="1"/>
  <c r="S67" i="72" s="1"/>
  <c r="Q59" i="129"/>
  <c r="S59" i="129" s="1"/>
  <c r="T59" i="129" s="1"/>
  <c r="S58" i="72" s="1"/>
  <c r="Q57" i="129"/>
  <c r="S57" i="129" s="1"/>
  <c r="T57" i="129" s="1"/>
  <c r="S56" i="72" s="1"/>
  <c r="Q55" i="129"/>
  <c r="S55" i="129" s="1"/>
  <c r="T55" i="129" s="1"/>
  <c r="S54" i="72" s="1"/>
  <c r="Q53" i="129"/>
  <c r="S53" i="129" s="1"/>
  <c r="T53" i="129" s="1"/>
  <c r="S52" i="72" s="1"/>
  <c r="Q51" i="129"/>
  <c r="S51" i="129" s="1"/>
  <c r="T51" i="129" s="1"/>
  <c r="S50" i="72" s="1"/>
  <c r="Q49" i="129"/>
  <c r="S49" i="129" s="1"/>
  <c r="T49" i="129" s="1"/>
  <c r="S48" i="72" s="1"/>
  <c r="Q47" i="129"/>
  <c r="S47" i="129" s="1"/>
  <c r="T47" i="129" s="1"/>
  <c r="S46" i="72" s="1"/>
  <c r="Q45" i="129"/>
  <c r="S45" i="129" s="1"/>
  <c r="T45" i="129" s="1"/>
  <c r="S44" i="72" s="1"/>
  <c r="Q43" i="129"/>
  <c r="S43" i="129" s="1"/>
  <c r="T43" i="129" s="1"/>
  <c r="S42" i="72" s="1"/>
  <c r="Q41" i="129"/>
  <c r="S41" i="129" s="1"/>
  <c r="T41" i="129" s="1"/>
  <c r="S40" i="72" s="1"/>
  <c r="Q39" i="129"/>
  <c r="S39" i="129" s="1"/>
  <c r="T39" i="129" s="1"/>
  <c r="S38" i="72" s="1"/>
  <c r="Q36" i="129"/>
  <c r="S36" i="129" s="1"/>
  <c r="T36" i="129" s="1"/>
  <c r="S35" i="72" s="1"/>
  <c r="Q34" i="129"/>
  <c r="S34" i="129" s="1"/>
  <c r="T34" i="129" s="1"/>
  <c r="S33" i="72" s="1"/>
  <c r="Q32" i="129"/>
  <c r="S32" i="129" s="1"/>
  <c r="T32" i="129" s="1"/>
  <c r="S31" i="72" s="1"/>
  <c r="Q30" i="129"/>
  <c r="S30" i="129" s="1"/>
  <c r="T30" i="129" s="1"/>
  <c r="S29" i="72" s="1"/>
  <c r="Q28" i="129"/>
  <c r="S28" i="129" s="1"/>
  <c r="T28" i="129" s="1"/>
  <c r="S27" i="72" s="1"/>
  <c r="Q23" i="129"/>
  <c r="S23" i="129" s="1"/>
  <c r="T23" i="129" s="1"/>
  <c r="S22" i="72" s="1"/>
  <c r="Q14" i="129"/>
  <c r="S14" i="129" s="1"/>
  <c r="T14" i="129" s="1"/>
  <c r="S13" i="72" s="1"/>
  <c r="Q12" i="129"/>
  <c r="S12" i="129" s="1"/>
  <c r="T12" i="129" s="1"/>
  <c r="S11" i="72" s="1"/>
  <c r="Q10" i="129"/>
  <c r="S10" i="129" s="1"/>
  <c r="T10" i="129" s="1"/>
  <c r="S9" i="72" s="1"/>
  <c r="Q74" i="128"/>
  <c r="S74" i="128" s="1"/>
  <c r="T74" i="128" s="1"/>
  <c r="R73" i="72" s="1"/>
  <c r="Q70" i="128"/>
  <c r="S70" i="128" s="1"/>
  <c r="T70" i="128" s="1"/>
  <c r="R69" i="72" s="1"/>
  <c r="Q66" i="128"/>
  <c r="S66" i="128" s="1"/>
  <c r="T66" i="128" s="1"/>
  <c r="R65" i="72" s="1"/>
  <c r="Q62" i="128"/>
  <c r="S62" i="128" s="1"/>
  <c r="T62" i="128" s="1"/>
  <c r="R61" i="72" s="1"/>
  <c r="Q59" i="128"/>
  <c r="S59" i="128" s="1"/>
  <c r="T59" i="128" s="1"/>
  <c r="R58" i="72" s="1"/>
  <c r="Q55" i="128"/>
  <c r="S55" i="128" s="1"/>
  <c r="T55" i="128" s="1"/>
  <c r="R54" i="72" s="1"/>
  <c r="Q51" i="128"/>
  <c r="S51" i="128" s="1"/>
  <c r="T51" i="128" s="1"/>
  <c r="R50" i="72" s="1"/>
  <c r="Q47" i="128"/>
  <c r="S47" i="128" s="1"/>
  <c r="T47" i="128" s="1"/>
  <c r="R46" i="72" s="1"/>
  <c r="Q43" i="128"/>
  <c r="S43" i="128" s="1"/>
  <c r="T43" i="128" s="1"/>
  <c r="R42" i="72" s="1"/>
  <c r="Q60" i="128"/>
  <c r="S60" i="128" s="1"/>
  <c r="T60" i="128" s="1"/>
  <c r="R59" i="72" s="1"/>
  <c r="Q56" i="128"/>
  <c r="S56" i="128" s="1"/>
  <c r="T56" i="128" s="1"/>
  <c r="R55" i="72" s="1"/>
  <c r="Q52" i="128"/>
  <c r="S52" i="128" s="1"/>
  <c r="T52" i="128" s="1"/>
  <c r="R51" i="72" s="1"/>
  <c r="Q48" i="128"/>
  <c r="S48" i="128" s="1"/>
  <c r="T48" i="128" s="1"/>
  <c r="R47" i="72" s="1"/>
  <c r="Q44" i="128"/>
  <c r="S44" i="128" s="1"/>
  <c r="T44" i="128" s="1"/>
  <c r="R43" i="72" s="1"/>
  <c r="Q40" i="128"/>
  <c r="S40" i="128" s="1"/>
  <c r="T40" i="128" s="1"/>
  <c r="R39" i="72" s="1"/>
  <c r="Q67" i="127"/>
  <c r="S67" i="127" s="1"/>
  <c r="T67" i="127" s="1"/>
  <c r="Q66" i="72" s="1"/>
  <c r="Q58" i="127"/>
  <c r="S58" i="127" s="1"/>
  <c r="T58" i="127" s="1"/>
  <c r="Q57" i="72" s="1"/>
  <c r="Q56" i="127"/>
  <c r="S56" i="127" s="1"/>
  <c r="T56" i="127" s="1"/>
  <c r="Q55" i="72" s="1"/>
  <c r="Q54" i="127"/>
  <c r="S54" i="127" s="1"/>
  <c r="T54" i="127" s="1"/>
  <c r="Q53" i="72" s="1"/>
  <c r="Q52" i="127"/>
  <c r="S52" i="127" s="1"/>
  <c r="T52" i="127" s="1"/>
  <c r="Q51" i="72" s="1"/>
  <c r="Q50" i="127"/>
  <c r="S50" i="127" s="1"/>
  <c r="T50" i="127" s="1"/>
  <c r="Q49" i="72" s="1"/>
  <c r="Q48" i="127"/>
  <c r="S48" i="127" s="1"/>
  <c r="T48" i="127" s="1"/>
  <c r="Q47" i="72" s="1"/>
  <c r="Q26" i="127"/>
  <c r="S26" i="127" s="1"/>
  <c r="T26" i="127" s="1"/>
  <c r="Q25" i="72" s="1"/>
  <c r="Q24" i="127"/>
  <c r="S24" i="127" s="1"/>
  <c r="T24" i="127" s="1"/>
  <c r="Q23" i="72" s="1"/>
  <c r="Q21" i="127"/>
  <c r="S21" i="127" s="1"/>
  <c r="T21" i="127" s="1"/>
  <c r="Q20" i="72" s="1"/>
  <c r="Q19" i="127"/>
  <c r="S19" i="127" s="1"/>
  <c r="T19" i="127" s="1"/>
  <c r="Q18" i="72" s="1"/>
  <c r="Q17" i="127"/>
  <c r="S17" i="127" s="1"/>
  <c r="T17" i="127" s="1"/>
  <c r="Q16" i="72" s="1"/>
  <c r="Q8" i="127"/>
  <c r="S8" i="127" s="1"/>
  <c r="T8" i="127" s="1"/>
  <c r="Q7" i="72" s="1"/>
  <c r="Q65" i="126"/>
  <c r="S65" i="126" s="1"/>
  <c r="T65" i="126" s="1"/>
  <c r="P64" i="72" s="1"/>
  <c r="Q63" i="126"/>
  <c r="S63" i="126" s="1"/>
  <c r="T63" i="126" s="1"/>
  <c r="P62" i="72" s="1"/>
  <c r="Q61" i="126"/>
  <c r="S61" i="126" s="1"/>
  <c r="T61" i="126" s="1"/>
  <c r="P60" i="72" s="1"/>
  <c r="Q59" i="126"/>
  <c r="S59" i="126" s="1"/>
  <c r="T59" i="126" s="1"/>
  <c r="P58" i="72" s="1"/>
  <c r="Q57" i="126"/>
  <c r="S57" i="126" s="1"/>
  <c r="T57" i="126" s="1"/>
  <c r="P56" i="72" s="1"/>
  <c r="Q55" i="126"/>
  <c r="S55" i="126" s="1"/>
  <c r="T55" i="126" s="1"/>
  <c r="P54" i="72" s="1"/>
  <c r="Q53" i="126"/>
  <c r="S53" i="126" s="1"/>
  <c r="T53" i="126" s="1"/>
  <c r="P52" i="72" s="1"/>
  <c r="Q51" i="126"/>
  <c r="S51" i="126" s="1"/>
  <c r="T51" i="126" s="1"/>
  <c r="P50" i="72" s="1"/>
  <c r="Q49" i="126"/>
  <c r="S49" i="126" s="1"/>
  <c r="T49" i="126" s="1"/>
  <c r="P48" i="72" s="1"/>
  <c r="Q47" i="126"/>
  <c r="S47" i="126" s="1"/>
  <c r="T47" i="126" s="1"/>
  <c r="P46" i="72" s="1"/>
  <c r="Q45" i="126"/>
  <c r="S45" i="126" s="1"/>
  <c r="T45" i="126" s="1"/>
  <c r="P44" i="72" s="1"/>
  <c r="Q43" i="126"/>
  <c r="S43" i="126" s="1"/>
  <c r="T43" i="126" s="1"/>
  <c r="P42" i="72" s="1"/>
  <c r="Q41" i="126"/>
  <c r="S41" i="126" s="1"/>
  <c r="T41" i="126" s="1"/>
  <c r="P40" i="72" s="1"/>
  <c r="W75" i="100"/>
  <c r="T75" i="100"/>
  <c r="X75" i="100"/>
  <c r="S75" i="100"/>
  <c r="U75" i="100"/>
  <c r="Q72" i="131"/>
  <c r="S72" i="131" s="1"/>
  <c r="T72" i="131" s="1"/>
  <c r="U71" i="72" s="1"/>
  <c r="BD71" i="72"/>
  <c r="Q75" i="131"/>
  <c r="S75" i="131" s="1"/>
  <c r="T75" i="131" s="1"/>
  <c r="U74" i="72" s="1"/>
  <c r="BD74" i="72"/>
  <c r="Q73" i="131"/>
  <c r="S73" i="131" s="1"/>
  <c r="T73" i="131" s="1"/>
  <c r="U72" i="72" s="1"/>
  <c r="BD72" i="72"/>
  <c r="Q71" i="131"/>
  <c r="S71" i="131" s="1"/>
  <c r="T71" i="131" s="1"/>
  <c r="U70" i="72" s="1"/>
  <c r="BD70" i="72"/>
  <c r="Q66" i="131"/>
  <c r="S66" i="131" s="1"/>
  <c r="T66" i="131" s="1"/>
  <c r="U65" i="72" s="1"/>
  <c r="BD65" i="72"/>
  <c r="Q64" i="131"/>
  <c r="S64" i="131" s="1"/>
  <c r="T64" i="131" s="1"/>
  <c r="U63" i="72" s="1"/>
  <c r="BD63" i="72"/>
  <c r="Q62" i="131"/>
  <c r="S62" i="131" s="1"/>
  <c r="T62" i="131" s="1"/>
  <c r="U61" i="72" s="1"/>
  <c r="BD61" i="72"/>
  <c r="Q39" i="131"/>
  <c r="S39" i="131" s="1"/>
  <c r="T39" i="131" s="1"/>
  <c r="U38" i="72" s="1"/>
  <c r="BD38" i="72"/>
  <c r="Q23" i="131"/>
  <c r="S23" i="131" s="1"/>
  <c r="T23" i="131" s="1"/>
  <c r="U22" i="72" s="1"/>
  <c r="BD22" i="72"/>
  <c r="Q16" i="131"/>
  <c r="S16" i="131" s="1"/>
  <c r="T16" i="131" s="1"/>
  <c r="U15" i="72" s="1"/>
  <c r="BD15" i="72"/>
  <c r="Q60" i="131"/>
  <c r="S60" i="131" s="1"/>
  <c r="T60" i="131" s="1"/>
  <c r="U59" i="72" s="1"/>
  <c r="BD59" i="72"/>
  <c r="Q40" i="131"/>
  <c r="S40" i="131" s="1"/>
  <c r="T40" i="131" s="1"/>
  <c r="U39" i="72" s="1"/>
  <c r="BD39" i="72"/>
  <c r="Q9" i="131"/>
  <c r="S9" i="131" s="1"/>
  <c r="T9" i="131" s="1"/>
  <c r="U8" i="72" s="1"/>
  <c r="BD8" i="72"/>
  <c r="Q74" i="130"/>
  <c r="S74" i="130" s="1"/>
  <c r="T74" i="130" s="1"/>
  <c r="T73" i="72" s="1"/>
  <c r="BC73" i="72"/>
  <c r="Q38" i="131"/>
  <c r="S38" i="131" s="1"/>
  <c r="T38" i="131" s="1"/>
  <c r="U37" i="72" s="1"/>
  <c r="BD37" i="72"/>
  <c r="Q36" i="131"/>
  <c r="S36" i="131" s="1"/>
  <c r="T36" i="131" s="1"/>
  <c r="U35" i="72" s="1"/>
  <c r="BD35" i="72"/>
  <c r="Q34" i="131"/>
  <c r="S34" i="131" s="1"/>
  <c r="T34" i="131" s="1"/>
  <c r="U33" i="72" s="1"/>
  <c r="BD33" i="72"/>
  <c r="Q32" i="131"/>
  <c r="S32" i="131" s="1"/>
  <c r="T32" i="131" s="1"/>
  <c r="U31" i="72" s="1"/>
  <c r="BD31" i="72"/>
  <c r="Q30" i="131"/>
  <c r="S30" i="131" s="1"/>
  <c r="T30" i="131" s="1"/>
  <c r="U29" i="72" s="1"/>
  <c r="BD29" i="72"/>
  <c r="Q28" i="131"/>
  <c r="S28" i="131" s="1"/>
  <c r="T28" i="131" s="1"/>
  <c r="U27" i="72" s="1"/>
  <c r="BD27" i="72"/>
  <c r="Q20" i="131"/>
  <c r="S20" i="131" s="1"/>
  <c r="T20" i="131" s="1"/>
  <c r="U19" i="72" s="1"/>
  <c r="BD19" i="72"/>
  <c r="Q18" i="131"/>
  <c r="S18" i="131" s="1"/>
  <c r="T18" i="131" s="1"/>
  <c r="U17" i="72" s="1"/>
  <c r="BD17" i="72"/>
  <c r="Q8" i="131"/>
  <c r="S8" i="131" s="1"/>
  <c r="T8" i="131" s="1"/>
  <c r="U7" i="72" s="1"/>
  <c r="BD7" i="72"/>
  <c r="Q67" i="130"/>
  <c r="S67" i="130" s="1"/>
  <c r="T67" i="130" s="1"/>
  <c r="T66" i="72" s="1"/>
  <c r="BC66" i="72"/>
  <c r="Q58" i="130"/>
  <c r="S58" i="130" s="1"/>
  <c r="T58" i="130" s="1"/>
  <c r="T57" i="72" s="1"/>
  <c r="BC57" i="72"/>
  <c r="Q56" i="130"/>
  <c r="S56" i="130" s="1"/>
  <c r="T56" i="130" s="1"/>
  <c r="T55" i="72" s="1"/>
  <c r="BC55" i="72"/>
  <c r="Q54" i="130"/>
  <c r="S54" i="130" s="1"/>
  <c r="T54" i="130" s="1"/>
  <c r="T53" i="72" s="1"/>
  <c r="BC53" i="72"/>
  <c r="Q52" i="130"/>
  <c r="S52" i="130" s="1"/>
  <c r="T52" i="130" s="1"/>
  <c r="T51" i="72" s="1"/>
  <c r="BC51" i="72"/>
  <c r="Q50" i="130"/>
  <c r="S50" i="130" s="1"/>
  <c r="T50" i="130" s="1"/>
  <c r="T49" i="72" s="1"/>
  <c r="BC49" i="72"/>
  <c r="Q48" i="130"/>
  <c r="S48" i="130" s="1"/>
  <c r="T48" i="130" s="1"/>
  <c r="T47" i="72" s="1"/>
  <c r="BC47" i="72"/>
  <c r="Q46" i="130"/>
  <c r="S46" i="130" s="1"/>
  <c r="T46" i="130" s="1"/>
  <c r="T45" i="72" s="1"/>
  <c r="BC45" i="72"/>
  <c r="Q44" i="130"/>
  <c r="S44" i="130" s="1"/>
  <c r="T44" i="130" s="1"/>
  <c r="T43" i="72" s="1"/>
  <c r="BC43" i="72"/>
  <c r="Q42" i="130"/>
  <c r="S42" i="130" s="1"/>
  <c r="T42" i="130" s="1"/>
  <c r="T41" i="72" s="1"/>
  <c r="BC41" i="72"/>
  <c r="Q40" i="130"/>
  <c r="S40" i="130" s="1"/>
  <c r="T40" i="130" s="1"/>
  <c r="T39" i="72" s="1"/>
  <c r="BC39" i="72"/>
  <c r="Q9" i="130"/>
  <c r="S9" i="130" s="1"/>
  <c r="T9" i="130" s="1"/>
  <c r="T8" i="72" s="1"/>
  <c r="BC8" i="72"/>
  <c r="Q68" i="130"/>
  <c r="S68" i="130" s="1"/>
  <c r="T68" i="130" s="1"/>
  <c r="T67" i="72" s="1"/>
  <c r="BC67" i="72"/>
  <c r="Q37" i="130"/>
  <c r="S37" i="130" s="1"/>
  <c r="T37" i="130" s="1"/>
  <c r="T36" i="72" s="1"/>
  <c r="BC36" i="72"/>
  <c r="Q35" i="130"/>
  <c r="S35" i="130" s="1"/>
  <c r="T35" i="130" s="1"/>
  <c r="T34" i="72" s="1"/>
  <c r="BC34" i="72"/>
  <c r="Q33" i="130"/>
  <c r="S33" i="130" s="1"/>
  <c r="T33" i="130" s="1"/>
  <c r="T32" i="72" s="1"/>
  <c r="BC32" i="72"/>
  <c r="Q31" i="130"/>
  <c r="S31" i="130" s="1"/>
  <c r="T31" i="130" s="1"/>
  <c r="T30" i="72" s="1"/>
  <c r="BC30" i="72"/>
  <c r="Q29" i="130"/>
  <c r="S29" i="130" s="1"/>
  <c r="T29" i="130" s="1"/>
  <c r="T28" i="72" s="1"/>
  <c r="BC28" i="72"/>
  <c r="Q23" i="130"/>
  <c r="S23" i="130" s="1"/>
  <c r="T23" i="130" s="1"/>
  <c r="T22" i="72" s="1"/>
  <c r="BC22" i="72"/>
  <c r="Q14" i="130"/>
  <c r="S14" i="130" s="1"/>
  <c r="T14" i="130" s="1"/>
  <c r="T13" i="72" s="1"/>
  <c r="BC13" i="72"/>
  <c r="Q12" i="130"/>
  <c r="S12" i="130" s="1"/>
  <c r="T12" i="130" s="1"/>
  <c r="T11" i="72" s="1"/>
  <c r="BC11" i="72"/>
  <c r="Q10" i="130"/>
  <c r="S10" i="130" s="1"/>
  <c r="T10" i="130" s="1"/>
  <c r="T9" i="72" s="1"/>
  <c r="BC9" i="72"/>
  <c r="Q69" i="129"/>
  <c r="S69" i="129" s="1"/>
  <c r="T69" i="129" s="1"/>
  <c r="S68" i="72" s="1"/>
  <c r="BB68" i="72"/>
  <c r="Q24" i="129"/>
  <c r="S24" i="129" s="1"/>
  <c r="T24" i="129" s="1"/>
  <c r="S23" i="72" s="1"/>
  <c r="BB23" i="72"/>
  <c r="Q21" i="129"/>
  <c r="S21" i="129" s="1"/>
  <c r="T21" i="129" s="1"/>
  <c r="S20" i="72" s="1"/>
  <c r="BB20" i="72"/>
  <c r="Q19" i="129"/>
  <c r="S19" i="129" s="1"/>
  <c r="T19" i="129" s="1"/>
  <c r="S18" i="72" s="1"/>
  <c r="BB18" i="72"/>
  <c r="Q17" i="129"/>
  <c r="S17" i="129" s="1"/>
  <c r="T17" i="129" s="1"/>
  <c r="S16" i="72" s="1"/>
  <c r="BB16" i="72"/>
  <c r="Q69" i="128"/>
  <c r="S69" i="128" s="1"/>
  <c r="T69" i="128" s="1"/>
  <c r="R68" i="72" s="1"/>
  <c r="BA68" i="72"/>
  <c r="Q61" i="128"/>
  <c r="S61" i="128" s="1"/>
  <c r="T61" i="128" s="1"/>
  <c r="R60" i="72" s="1"/>
  <c r="BA60" i="72"/>
  <c r="Q38" i="128"/>
  <c r="S38" i="128" s="1"/>
  <c r="T38" i="128" s="1"/>
  <c r="R37" i="72" s="1"/>
  <c r="BA37" i="72"/>
  <c r="Q34" i="128"/>
  <c r="S34" i="128" s="1"/>
  <c r="T34" i="128" s="1"/>
  <c r="R33" i="72" s="1"/>
  <c r="BA33" i="72"/>
  <c r="Q30" i="128"/>
  <c r="S30" i="128" s="1"/>
  <c r="T30" i="128" s="1"/>
  <c r="R29" i="72" s="1"/>
  <c r="BA29" i="72"/>
  <c r="Q26" i="128"/>
  <c r="S26" i="128" s="1"/>
  <c r="T26" i="128" s="1"/>
  <c r="R25" i="72" s="1"/>
  <c r="BA25" i="72"/>
  <c r="Q16" i="128"/>
  <c r="S16" i="128" s="1"/>
  <c r="T16" i="128" s="1"/>
  <c r="R15" i="72" s="1"/>
  <c r="BA15" i="72"/>
  <c r="Q73" i="129"/>
  <c r="S73" i="129" s="1"/>
  <c r="T73" i="129" s="1"/>
  <c r="S72" i="72" s="1"/>
  <c r="BB72" i="72"/>
  <c r="Q71" i="129"/>
  <c r="S71" i="129" s="1"/>
  <c r="T71" i="129" s="1"/>
  <c r="S70" i="72" s="1"/>
  <c r="BB70" i="72"/>
  <c r="Q66" i="129"/>
  <c r="S66" i="129" s="1"/>
  <c r="T66" i="129" s="1"/>
  <c r="S65" i="72" s="1"/>
  <c r="BB65" i="72"/>
  <c r="Q64" i="129"/>
  <c r="S64" i="129" s="1"/>
  <c r="T64" i="129" s="1"/>
  <c r="S63" i="72" s="1"/>
  <c r="BB63" i="72"/>
  <c r="Q62" i="129"/>
  <c r="S62" i="129" s="1"/>
  <c r="T62" i="129" s="1"/>
  <c r="S61" i="72" s="1"/>
  <c r="BB61" i="72"/>
  <c r="Q38" i="129"/>
  <c r="S38" i="129" s="1"/>
  <c r="T38" i="129" s="1"/>
  <c r="S37" i="72" s="1"/>
  <c r="BB37" i="72"/>
  <c r="Q25" i="129"/>
  <c r="S25" i="129" s="1"/>
  <c r="T25" i="129" s="1"/>
  <c r="S24" i="72" s="1"/>
  <c r="BB24" i="72"/>
  <c r="Q8" i="129"/>
  <c r="S8" i="129" s="1"/>
  <c r="T8" i="129" s="1"/>
  <c r="S7" i="72" s="1"/>
  <c r="BB7" i="72"/>
  <c r="Q71" i="128"/>
  <c r="S71" i="128" s="1"/>
  <c r="T71" i="128" s="1"/>
  <c r="R70" i="72" s="1"/>
  <c r="BA70" i="72"/>
  <c r="Q63" i="128"/>
  <c r="S63" i="128" s="1"/>
  <c r="T63" i="128" s="1"/>
  <c r="R62" i="72" s="1"/>
  <c r="BA62" i="72"/>
  <c r="Q39" i="128"/>
  <c r="S39" i="128" s="1"/>
  <c r="T39" i="128" s="1"/>
  <c r="R38" i="72" s="1"/>
  <c r="BA38" i="72"/>
  <c r="Q31" i="128"/>
  <c r="S31" i="128" s="1"/>
  <c r="T31" i="128" s="1"/>
  <c r="R30" i="72" s="1"/>
  <c r="BA30" i="72"/>
  <c r="Q23" i="128"/>
  <c r="S23" i="128" s="1"/>
  <c r="T23" i="128" s="1"/>
  <c r="R22" i="72" s="1"/>
  <c r="BA22" i="72"/>
  <c r="Q19" i="128"/>
  <c r="S19" i="128" s="1"/>
  <c r="T19" i="128" s="1"/>
  <c r="R18" i="72" s="1"/>
  <c r="BA18" i="72"/>
  <c r="Q14" i="128"/>
  <c r="S14" i="128" s="1"/>
  <c r="T14" i="128" s="1"/>
  <c r="R13" i="72" s="1"/>
  <c r="BA13" i="72"/>
  <c r="Q10" i="128"/>
  <c r="S10" i="128" s="1"/>
  <c r="T10" i="128" s="1"/>
  <c r="R9" i="72" s="1"/>
  <c r="BA9" i="72"/>
  <c r="Q75" i="127"/>
  <c r="S75" i="127" s="1"/>
  <c r="T75" i="127" s="1"/>
  <c r="Q74" i="72" s="1"/>
  <c r="AZ74" i="72"/>
  <c r="Q73" i="127"/>
  <c r="S73" i="127" s="1"/>
  <c r="T73" i="127" s="1"/>
  <c r="Q72" i="72" s="1"/>
  <c r="AZ72" i="72"/>
  <c r="Q71" i="127"/>
  <c r="S71" i="127" s="1"/>
  <c r="T71" i="127" s="1"/>
  <c r="Q70" i="72" s="1"/>
  <c r="AZ70" i="72"/>
  <c r="Q66" i="127"/>
  <c r="S66" i="127" s="1"/>
  <c r="T66" i="127" s="1"/>
  <c r="Q65" i="72" s="1"/>
  <c r="AZ65" i="72"/>
  <c r="Q64" i="127"/>
  <c r="S64" i="127" s="1"/>
  <c r="T64" i="127" s="1"/>
  <c r="Q63" i="72" s="1"/>
  <c r="AZ63" i="72"/>
  <c r="Q62" i="127"/>
  <c r="S62" i="127" s="1"/>
  <c r="T62" i="127" s="1"/>
  <c r="Q61" i="72" s="1"/>
  <c r="AZ61" i="72"/>
  <c r="Q47" i="127"/>
  <c r="S47" i="127" s="1"/>
  <c r="T47" i="127" s="1"/>
  <c r="Q46" i="72" s="1"/>
  <c r="AZ46" i="72"/>
  <c r="Q45" i="127"/>
  <c r="S45" i="127" s="1"/>
  <c r="T45" i="127" s="1"/>
  <c r="Q44" i="72" s="1"/>
  <c r="AZ44" i="72"/>
  <c r="Q43" i="127"/>
  <c r="S43" i="127" s="1"/>
  <c r="T43" i="127" s="1"/>
  <c r="Q42" i="72" s="1"/>
  <c r="AZ42" i="72"/>
  <c r="Q41" i="127"/>
  <c r="S41" i="127" s="1"/>
  <c r="T41" i="127" s="1"/>
  <c r="Q40" i="72" s="1"/>
  <c r="AZ40" i="72"/>
  <c r="Q27" i="127"/>
  <c r="S27" i="127" s="1"/>
  <c r="T27" i="127" s="1"/>
  <c r="Q26" i="72" s="1"/>
  <c r="AZ26" i="72"/>
  <c r="Q67" i="126"/>
  <c r="S67" i="126" s="1"/>
  <c r="T67" i="126" s="1"/>
  <c r="P66" i="72" s="1"/>
  <c r="AY66" i="72"/>
  <c r="Q75" i="125"/>
  <c r="S75" i="125" s="1"/>
  <c r="T75" i="125" s="1"/>
  <c r="O74" i="72" s="1"/>
  <c r="AX74" i="72"/>
  <c r="Q73" i="125"/>
  <c r="S73" i="125" s="1"/>
  <c r="T73" i="125" s="1"/>
  <c r="O72" i="72" s="1"/>
  <c r="AX72" i="72"/>
  <c r="Q71" i="125"/>
  <c r="S71" i="125" s="1"/>
  <c r="T71" i="125" s="1"/>
  <c r="O70" i="72" s="1"/>
  <c r="AX70" i="72"/>
  <c r="Q69" i="125"/>
  <c r="S69" i="125" s="1"/>
  <c r="T69" i="125" s="1"/>
  <c r="O68" i="72" s="1"/>
  <c r="AX68" i="72"/>
  <c r="Q66" i="125"/>
  <c r="S66" i="125" s="1"/>
  <c r="T66" i="125" s="1"/>
  <c r="O65" i="72" s="1"/>
  <c r="AX65" i="72"/>
  <c r="Q64" i="125"/>
  <c r="S64" i="125" s="1"/>
  <c r="T64" i="125" s="1"/>
  <c r="O63" i="72" s="1"/>
  <c r="AX63" i="72"/>
  <c r="Q62" i="125"/>
  <c r="S62" i="125" s="1"/>
  <c r="T62" i="125" s="1"/>
  <c r="O61" i="72" s="1"/>
  <c r="AX61" i="72"/>
  <c r="Q60" i="125"/>
  <c r="S60" i="125" s="1"/>
  <c r="T60" i="125" s="1"/>
  <c r="O59" i="72" s="1"/>
  <c r="AX59" i="72"/>
  <c r="Q58" i="125"/>
  <c r="S58" i="125" s="1"/>
  <c r="T58" i="125" s="1"/>
  <c r="O57" i="72" s="1"/>
  <c r="AX57" i="72"/>
  <c r="Q56" i="125"/>
  <c r="S56" i="125" s="1"/>
  <c r="T56" i="125" s="1"/>
  <c r="O55" i="72" s="1"/>
  <c r="AX55" i="72"/>
  <c r="Q54" i="125"/>
  <c r="S54" i="125" s="1"/>
  <c r="T54" i="125" s="1"/>
  <c r="O53" i="72" s="1"/>
  <c r="AX53" i="72"/>
  <c r="Q52" i="125"/>
  <c r="S52" i="125" s="1"/>
  <c r="T52" i="125" s="1"/>
  <c r="O51" i="72" s="1"/>
  <c r="AX51" i="72"/>
  <c r="Q50" i="125"/>
  <c r="S50" i="125" s="1"/>
  <c r="T50" i="125" s="1"/>
  <c r="O49" i="72" s="1"/>
  <c r="AX49" i="72"/>
  <c r="Q48" i="125"/>
  <c r="S48" i="125" s="1"/>
  <c r="T48" i="125" s="1"/>
  <c r="O47" i="72" s="1"/>
  <c r="AX47" i="72"/>
  <c r="Q46" i="125"/>
  <c r="S46" i="125" s="1"/>
  <c r="T46" i="125" s="1"/>
  <c r="O45" i="72" s="1"/>
  <c r="AX45" i="72"/>
  <c r="Q37" i="125"/>
  <c r="S37" i="125" s="1"/>
  <c r="T37" i="125" s="1"/>
  <c r="O36" i="72" s="1"/>
  <c r="AX36" i="72"/>
  <c r="Q35" i="125"/>
  <c r="S35" i="125" s="1"/>
  <c r="T35" i="125" s="1"/>
  <c r="O34" i="72" s="1"/>
  <c r="AX34" i="72"/>
  <c r="Q33" i="125"/>
  <c r="S33" i="125" s="1"/>
  <c r="T33" i="125" s="1"/>
  <c r="O32" i="72" s="1"/>
  <c r="AX32" i="72"/>
  <c r="Q31" i="125"/>
  <c r="S31" i="125" s="1"/>
  <c r="T31" i="125" s="1"/>
  <c r="O30" i="72" s="1"/>
  <c r="AX30" i="72"/>
  <c r="Q29" i="125"/>
  <c r="S29" i="125" s="1"/>
  <c r="T29" i="125" s="1"/>
  <c r="O28" i="72" s="1"/>
  <c r="AX28" i="72"/>
  <c r="Q27" i="125"/>
  <c r="S27" i="125" s="1"/>
  <c r="T27" i="125" s="1"/>
  <c r="O26" i="72" s="1"/>
  <c r="AX26" i="72"/>
  <c r="Q25" i="125"/>
  <c r="S25" i="125" s="1"/>
  <c r="T25" i="125" s="1"/>
  <c r="O24" i="72" s="1"/>
  <c r="AX24" i="72"/>
  <c r="Q23" i="125"/>
  <c r="S23" i="125" s="1"/>
  <c r="T23" i="125" s="1"/>
  <c r="O22" i="72" s="1"/>
  <c r="AX22" i="72"/>
  <c r="Q14" i="125"/>
  <c r="S14" i="125" s="1"/>
  <c r="T14" i="125" s="1"/>
  <c r="O13" i="72" s="1"/>
  <c r="AX13" i="72"/>
  <c r="Q12" i="125"/>
  <c r="S12" i="125" s="1"/>
  <c r="T12" i="125" s="1"/>
  <c r="O11" i="72" s="1"/>
  <c r="AX11" i="72"/>
  <c r="Q10" i="125"/>
  <c r="S10" i="125" s="1"/>
  <c r="T10" i="125" s="1"/>
  <c r="O9" i="72" s="1"/>
  <c r="AX9" i="72"/>
  <c r="Q37" i="128"/>
  <c r="S37" i="128" s="1"/>
  <c r="T37" i="128" s="1"/>
  <c r="R36" i="72" s="1"/>
  <c r="BA36" i="72"/>
  <c r="Q29" i="128"/>
  <c r="S29" i="128" s="1"/>
  <c r="T29" i="128" s="1"/>
  <c r="R28" i="72" s="1"/>
  <c r="BA28" i="72"/>
  <c r="Q22" i="128"/>
  <c r="S22" i="128" s="1"/>
  <c r="T22" i="128" s="1"/>
  <c r="R21" i="72" s="1"/>
  <c r="BA21" i="72"/>
  <c r="Q18" i="128"/>
  <c r="S18" i="128" s="1"/>
  <c r="T18" i="128" s="1"/>
  <c r="R17" i="72" s="1"/>
  <c r="BA17" i="72"/>
  <c r="Q69" i="127"/>
  <c r="S69" i="127" s="1"/>
  <c r="T69" i="127" s="1"/>
  <c r="Q68" i="72" s="1"/>
  <c r="AZ68" i="72"/>
  <c r="Q39" i="127"/>
  <c r="S39" i="127" s="1"/>
  <c r="T39" i="127" s="1"/>
  <c r="Q38" i="72" s="1"/>
  <c r="AZ38" i="72"/>
  <c r="Q36" i="127"/>
  <c r="S36" i="127" s="1"/>
  <c r="T36" i="127" s="1"/>
  <c r="Q35" i="72" s="1"/>
  <c r="AZ35" i="72"/>
  <c r="Q34" i="127"/>
  <c r="S34" i="127" s="1"/>
  <c r="T34" i="127" s="1"/>
  <c r="Q33" i="72" s="1"/>
  <c r="AZ33" i="72"/>
  <c r="Q32" i="127"/>
  <c r="S32" i="127" s="1"/>
  <c r="T32" i="127" s="1"/>
  <c r="Q31" i="72" s="1"/>
  <c r="AZ31" i="72"/>
  <c r="Q30" i="127"/>
  <c r="S30" i="127" s="1"/>
  <c r="T30" i="127" s="1"/>
  <c r="Q29" i="72" s="1"/>
  <c r="AZ29" i="72"/>
  <c r="Q28" i="127"/>
  <c r="S28" i="127" s="1"/>
  <c r="T28" i="127" s="1"/>
  <c r="Q27" i="72" s="1"/>
  <c r="AZ27" i="72"/>
  <c r="Q15" i="127"/>
  <c r="S15" i="127" s="1"/>
  <c r="T15" i="127" s="1"/>
  <c r="Q14" i="72" s="1"/>
  <c r="AZ14" i="72"/>
  <c r="Q13" i="127"/>
  <c r="S13" i="127" s="1"/>
  <c r="T13" i="127" s="1"/>
  <c r="Q12" i="72" s="1"/>
  <c r="AZ12" i="72"/>
  <c r="Q11" i="127"/>
  <c r="S11" i="127" s="1"/>
  <c r="T11" i="127" s="1"/>
  <c r="Q10" i="72" s="1"/>
  <c r="AZ10" i="72"/>
  <c r="Q68" i="126"/>
  <c r="S68" i="126" s="1"/>
  <c r="T68" i="126" s="1"/>
  <c r="P67" i="72" s="1"/>
  <c r="AY67" i="72"/>
  <c r="Q22" i="126"/>
  <c r="S22" i="126" s="1"/>
  <c r="T22" i="126" s="1"/>
  <c r="P21" i="72" s="1"/>
  <c r="AY21" i="72"/>
  <c r="Q20" i="126"/>
  <c r="S20" i="126" s="1"/>
  <c r="T20" i="126" s="1"/>
  <c r="P19" i="72" s="1"/>
  <c r="AY19" i="72"/>
  <c r="Q18" i="126"/>
  <c r="S18" i="126" s="1"/>
  <c r="T18" i="126" s="1"/>
  <c r="P17" i="72" s="1"/>
  <c r="AY17" i="72"/>
  <c r="Q9" i="126"/>
  <c r="S9" i="126" s="1"/>
  <c r="T9" i="126" s="1"/>
  <c r="P8" i="72" s="1"/>
  <c r="AY8" i="72"/>
  <c r="Q16" i="125"/>
  <c r="S16" i="125" s="1"/>
  <c r="T16" i="125" s="1"/>
  <c r="O15" i="72" s="1"/>
  <c r="AX15" i="72"/>
  <c r="Q37" i="126"/>
  <c r="S37" i="126" s="1"/>
  <c r="T37" i="126" s="1"/>
  <c r="P36" i="72" s="1"/>
  <c r="AY36" i="72"/>
  <c r="Q35" i="126"/>
  <c r="S35" i="126" s="1"/>
  <c r="T35" i="126" s="1"/>
  <c r="P34" i="72" s="1"/>
  <c r="AY34" i="72"/>
  <c r="Q33" i="126"/>
  <c r="S33" i="126" s="1"/>
  <c r="T33" i="126" s="1"/>
  <c r="P32" i="72" s="1"/>
  <c r="AY32" i="72"/>
  <c r="Q67" i="125"/>
  <c r="S67" i="125" s="1"/>
  <c r="T67" i="125" s="1"/>
  <c r="O66" i="72" s="1"/>
  <c r="AX66" i="72"/>
  <c r="Q74" i="131"/>
  <c r="S74" i="131" s="1"/>
  <c r="T74" i="131" s="1"/>
  <c r="U73" i="72" s="1"/>
  <c r="BD73" i="72"/>
  <c r="Q70" i="131"/>
  <c r="S70" i="131" s="1"/>
  <c r="T70" i="131" s="1"/>
  <c r="U69" i="72" s="1"/>
  <c r="BD69" i="72"/>
  <c r="Q65" i="131"/>
  <c r="S65" i="131" s="1"/>
  <c r="T65" i="131" s="1"/>
  <c r="U64" i="72" s="1"/>
  <c r="BD64" i="72"/>
  <c r="Q63" i="131"/>
  <c r="S63" i="131" s="1"/>
  <c r="T63" i="131" s="1"/>
  <c r="U62" i="72" s="1"/>
  <c r="BD62" i="72"/>
  <c r="Q61" i="131"/>
  <c r="S61" i="131" s="1"/>
  <c r="T61" i="131" s="1"/>
  <c r="U60" i="72" s="1"/>
  <c r="BD60" i="72"/>
  <c r="Q27" i="131"/>
  <c r="S27" i="131" s="1"/>
  <c r="T27" i="131" s="1"/>
  <c r="U26" i="72" s="1"/>
  <c r="BD26" i="72"/>
  <c r="Q69" i="131"/>
  <c r="S69" i="131" s="1"/>
  <c r="T69" i="131" s="1"/>
  <c r="U68" i="72" s="1"/>
  <c r="BD68" i="72"/>
  <c r="Q24" i="131"/>
  <c r="S24" i="131" s="1"/>
  <c r="T24" i="131" s="1"/>
  <c r="U23" i="72" s="1"/>
  <c r="BD23" i="72"/>
  <c r="Q37" i="131"/>
  <c r="S37" i="131" s="1"/>
  <c r="T37" i="131" s="1"/>
  <c r="U36" i="72" s="1"/>
  <c r="BD36" i="72"/>
  <c r="Q35" i="131"/>
  <c r="S35" i="131" s="1"/>
  <c r="T35" i="131" s="1"/>
  <c r="U34" i="72" s="1"/>
  <c r="BD34" i="72"/>
  <c r="Q33" i="131"/>
  <c r="S33" i="131" s="1"/>
  <c r="T33" i="131" s="1"/>
  <c r="U32" i="72" s="1"/>
  <c r="BD32" i="72"/>
  <c r="Q31" i="131"/>
  <c r="S31" i="131" s="1"/>
  <c r="T31" i="131" s="1"/>
  <c r="U30" i="72" s="1"/>
  <c r="BD30" i="72"/>
  <c r="Q29" i="131"/>
  <c r="S29" i="131" s="1"/>
  <c r="T29" i="131" s="1"/>
  <c r="U28" i="72" s="1"/>
  <c r="BD28" i="72"/>
  <c r="Q21" i="131"/>
  <c r="S21" i="131" s="1"/>
  <c r="T21" i="131" s="1"/>
  <c r="U20" i="72" s="1"/>
  <c r="BD20" i="72"/>
  <c r="Q19" i="131"/>
  <c r="S19" i="131" s="1"/>
  <c r="T19" i="131" s="1"/>
  <c r="U18" i="72" s="1"/>
  <c r="BD18" i="72"/>
  <c r="Q17" i="131"/>
  <c r="S17" i="131" s="1"/>
  <c r="T17" i="131" s="1"/>
  <c r="U16" i="72" s="1"/>
  <c r="BD16" i="72"/>
  <c r="Q59" i="130"/>
  <c r="S59" i="130" s="1"/>
  <c r="T59" i="130" s="1"/>
  <c r="T58" i="72" s="1"/>
  <c r="BC58" i="72"/>
  <c r="Q57" i="130"/>
  <c r="S57" i="130" s="1"/>
  <c r="T57" i="130" s="1"/>
  <c r="T56" i="72" s="1"/>
  <c r="BC56" i="72"/>
  <c r="Q55" i="130"/>
  <c r="S55" i="130" s="1"/>
  <c r="T55" i="130" s="1"/>
  <c r="T54" i="72" s="1"/>
  <c r="BC54" i="72"/>
  <c r="Q53" i="130"/>
  <c r="S53" i="130" s="1"/>
  <c r="T53" i="130" s="1"/>
  <c r="T52" i="72" s="1"/>
  <c r="BC52" i="72"/>
  <c r="Q51" i="130"/>
  <c r="S51" i="130" s="1"/>
  <c r="T51" i="130" s="1"/>
  <c r="T50" i="72" s="1"/>
  <c r="BC50" i="72"/>
  <c r="Q49" i="130"/>
  <c r="S49" i="130" s="1"/>
  <c r="T49" i="130" s="1"/>
  <c r="T48" i="72" s="1"/>
  <c r="BC48" i="72"/>
  <c r="Q47" i="130"/>
  <c r="S47" i="130" s="1"/>
  <c r="T47" i="130" s="1"/>
  <c r="T46" i="72" s="1"/>
  <c r="BC46" i="72"/>
  <c r="Q45" i="130"/>
  <c r="S45" i="130" s="1"/>
  <c r="T45" i="130" s="1"/>
  <c r="T44" i="72" s="1"/>
  <c r="BC44" i="72"/>
  <c r="Q43" i="130"/>
  <c r="S43" i="130" s="1"/>
  <c r="T43" i="130" s="1"/>
  <c r="T42" i="72" s="1"/>
  <c r="BC42" i="72"/>
  <c r="Q41" i="130"/>
  <c r="S41" i="130" s="1"/>
  <c r="T41" i="130" s="1"/>
  <c r="T40" i="72" s="1"/>
  <c r="BC40" i="72"/>
  <c r="Q27" i="130"/>
  <c r="S27" i="130" s="1"/>
  <c r="T27" i="130" s="1"/>
  <c r="T26" i="72" s="1"/>
  <c r="BC26" i="72"/>
  <c r="Q39" i="130"/>
  <c r="S39" i="130" s="1"/>
  <c r="T39" i="130" s="1"/>
  <c r="T38" i="72" s="1"/>
  <c r="BC38" i="72"/>
  <c r="Q36" i="130"/>
  <c r="S36" i="130" s="1"/>
  <c r="T36" i="130" s="1"/>
  <c r="T35" i="72" s="1"/>
  <c r="BC35" i="72"/>
  <c r="Q34" i="130"/>
  <c r="S34" i="130" s="1"/>
  <c r="T34" i="130" s="1"/>
  <c r="T33" i="72" s="1"/>
  <c r="BC33" i="72"/>
  <c r="Q32" i="130"/>
  <c r="S32" i="130" s="1"/>
  <c r="T32" i="130" s="1"/>
  <c r="T31" i="72" s="1"/>
  <c r="BC31" i="72"/>
  <c r="Q30" i="130"/>
  <c r="S30" i="130" s="1"/>
  <c r="T30" i="130" s="1"/>
  <c r="T29" i="72" s="1"/>
  <c r="BC29" i="72"/>
  <c r="Q28" i="130"/>
  <c r="S28" i="130" s="1"/>
  <c r="T28" i="130" s="1"/>
  <c r="T27" i="72" s="1"/>
  <c r="BC27" i="72"/>
  <c r="Q15" i="130"/>
  <c r="S15" i="130" s="1"/>
  <c r="T15" i="130" s="1"/>
  <c r="T14" i="72" s="1"/>
  <c r="BC14" i="72"/>
  <c r="Q13" i="130"/>
  <c r="S13" i="130" s="1"/>
  <c r="T13" i="130" s="1"/>
  <c r="T12" i="72" s="1"/>
  <c r="BC12" i="72"/>
  <c r="Q11" i="130"/>
  <c r="S11" i="130" s="1"/>
  <c r="T11" i="130" s="1"/>
  <c r="T10" i="72" s="1"/>
  <c r="BC10" i="72"/>
  <c r="P76" i="127"/>
  <c r="AZ6" i="72"/>
  <c r="Q60" i="129"/>
  <c r="S60" i="129" s="1"/>
  <c r="T60" i="129" s="1"/>
  <c r="S59" i="72" s="1"/>
  <c r="BB59" i="72"/>
  <c r="Q22" i="129"/>
  <c r="S22" i="129" s="1"/>
  <c r="T22" i="129" s="1"/>
  <c r="S21" i="72" s="1"/>
  <c r="BB21" i="72"/>
  <c r="Q20" i="129"/>
  <c r="S20" i="129" s="1"/>
  <c r="T20" i="129" s="1"/>
  <c r="S19" i="72" s="1"/>
  <c r="BB19" i="72"/>
  <c r="Q18" i="129"/>
  <c r="S18" i="129" s="1"/>
  <c r="T18" i="129" s="1"/>
  <c r="S17" i="72" s="1"/>
  <c r="BB17" i="72"/>
  <c r="Q73" i="128"/>
  <c r="S73" i="128" s="1"/>
  <c r="T73" i="128" s="1"/>
  <c r="R72" i="72" s="1"/>
  <c r="BA72" i="72"/>
  <c r="Q65" i="128"/>
  <c r="S65" i="128" s="1"/>
  <c r="T65" i="128" s="1"/>
  <c r="R64" i="72" s="1"/>
  <c r="BA64" i="72"/>
  <c r="Q36" i="128"/>
  <c r="S36" i="128" s="1"/>
  <c r="T36" i="128" s="1"/>
  <c r="R35" i="72" s="1"/>
  <c r="BA35" i="72"/>
  <c r="Q32" i="128"/>
  <c r="S32" i="128" s="1"/>
  <c r="T32" i="128" s="1"/>
  <c r="R31" i="72" s="1"/>
  <c r="BA31" i="72"/>
  <c r="Q28" i="128"/>
  <c r="S28" i="128" s="1"/>
  <c r="T28" i="128" s="1"/>
  <c r="R27" i="72" s="1"/>
  <c r="BA27" i="72"/>
  <c r="Q24" i="128"/>
  <c r="S24" i="128" s="1"/>
  <c r="T24" i="128" s="1"/>
  <c r="R23" i="72" s="1"/>
  <c r="BA23" i="72"/>
  <c r="Q72" i="129"/>
  <c r="S72" i="129" s="1"/>
  <c r="T72" i="129" s="1"/>
  <c r="S71" i="72" s="1"/>
  <c r="BB71" i="72"/>
  <c r="Q70" i="129"/>
  <c r="S70" i="129" s="1"/>
  <c r="T70" i="129" s="1"/>
  <c r="S69" i="72" s="1"/>
  <c r="BB69" i="72"/>
  <c r="Q65" i="129"/>
  <c r="S65" i="129" s="1"/>
  <c r="T65" i="129" s="1"/>
  <c r="S64" i="72" s="1"/>
  <c r="BB64" i="72"/>
  <c r="Q63" i="129"/>
  <c r="S63" i="129" s="1"/>
  <c r="T63" i="129" s="1"/>
  <c r="S62" i="72" s="1"/>
  <c r="BB62" i="72"/>
  <c r="Q61" i="129"/>
  <c r="S61" i="129" s="1"/>
  <c r="T61" i="129" s="1"/>
  <c r="S60" i="72" s="1"/>
  <c r="BB60" i="72"/>
  <c r="Q26" i="129"/>
  <c r="S26" i="129" s="1"/>
  <c r="T26" i="129" s="1"/>
  <c r="S25" i="72" s="1"/>
  <c r="BB25" i="72"/>
  <c r="Q16" i="129"/>
  <c r="S16" i="129" s="1"/>
  <c r="T16" i="129" s="1"/>
  <c r="S15" i="72" s="1"/>
  <c r="BB15" i="72"/>
  <c r="Q75" i="128"/>
  <c r="S75" i="128" s="1"/>
  <c r="T75" i="128" s="1"/>
  <c r="R74" i="72" s="1"/>
  <c r="BA74" i="72"/>
  <c r="Q67" i="128"/>
  <c r="S67" i="128" s="1"/>
  <c r="T67" i="128" s="1"/>
  <c r="R66" i="72" s="1"/>
  <c r="BA66" i="72"/>
  <c r="Q35" i="128"/>
  <c r="S35" i="128" s="1"/>
  <c r="T35" i="128" s="1"/>
  <c r="R34" i="72" s="1"/>
  <c r="BA34" i="72"/>
  <c r="Q27" i="128"/>
  <c r="S27" i="128" s="1"/>
  <c r="T27" i="128" s="1"/>
  <c r="R26" i="72" s="1"/>
  <c r="BA26" i="72"/>
  <c r="Q21" i="128"/>
  <c r="S21" i="128" s="1"/>
  <c r="T21" i="128" s="1"/>
  <c r="R20" i="72" s="1"/>
  <c r="BA20" i="72"/>
  <c r="Q17" i="128"/>
  <c r="S17" i="128" s="1"/>
  <c r="T17" i="128" s="1"/>
  <c r="R16" i="72" s="1"/>
  <c r="BA16" i="72"/>
  <c r="Q12" i="128"/>
  <c r="S12" i="128" s="1"/>
  <c r="T12" i="128" s="1"/>
  <c r="R11" i="72" s="1"/>
  <c r="BA11" i="72"/>
  <c r="Q8" i="128"/>
  <c r="S8" i="128" s="1"/>
  <c r="T8" i="128" s="1"/>
  <c r="R7" i="72" s="1"/>
  <c r="BA7" i="72"/>
  <c r="Q74" i="127"/>
  <c r="S74" i="127" s="1"/>
  <c r="T74" i="127" s="1"/>
  <c r="Q73" i="72" s="1"/>
  <c r="AZ73" i="72"/>
  <c r="Q72" i="127"/>
  <c r="S72" i="127" s="1"/>
  <c r="T72" i="127" s="1"/>
  <c r="Q71" i="72" s="1"/>
  <c r="AZ71" i="72"/>
  <c r="Q70" i="127"/>
  <c r="S70" i="127" s="1"/>
  <c r="T70" i="127" s="1"/>
  <c r="Q69" i="72" s="1"/>
  <c r="AZ69" i="72"/>
  <c r="Q65" i="127"/>
  <c r="S65" i="127" s="1"/>
  <c r="T65" i="127" s="1"/>
  <c r="Q64" i="72" s="1"/>
  <c r="AZ64" i="72"/>
  <c r="Q63" i="127"/>
  <c r="S63" i="127" s="1"/>
  <c r="T63" i="127" s="1"/>
  <c r="Q62" i="72" s="1"/>
  <c r="AZ62" i="72"/>
  <c r="Q61" i="127"/>
  <c r="S61" i="127" s="1"/>
  <c r="T61" i="127" s="1"/>
  <c r="Q60" i="72" s="1"/>
  <c r="AZ60" i="72"/>
  <c r="Q46" i="127"/>
  <c r="S46" i="127" s="1"/>
  <c r="T46" i="127" s="1"/>
  <c r="Q45" i="72" s="1"/>
  <c r="AZ45" i="72"/>
  <c r="Q44" i="127"/>
  <c r="S44" i="127" s="1"/>
  <c r="T44" i="127" s="1"/>
  <c r="Q43" i="72" s="1"/>
  <c r="AZ43" i="72"/>
  <c r="Q42" i="127"/>
  <c r="S42" i="127" s="1"/>
  <c r="T42" i="127" s="1"/>
  <c r="Q41" i="72" s="1"/>
  <c r="AZ41" i="72"/>
  <c r="Q40" i="127"/>
  <c r="S40" i="127" s="1"/>
  <c r="T40" i="127" s="1"/>
  <c r="Q39" i="72" s="1"/>
  <c r="AZ39" i="72"/>
  <c r="Q9" i="127"/>
  <c r="S9" i="127" s="1"/>
  <c r="T9" i="127" s="1"/>
  <c r="Q8" i="72" s="1"/>
  <c r="AZ8" i="72"/>
  <c r="Q32" i="126"/>
  <c r="S32" i="126" s="1"/>
  <c r="T32" i="126" s="1"/>
  <c r="P31" i="72" s="1"/>
  <c r="AY31" i="72"/>
  <c r="Q74" i="125"/>
  <c r="S74" i="125" s="1"/>
  <c r="T74" i="125" s="1"/>
  <c r="O73" i="72" s="1"/>
  <c r="AX73" i="72"/>
  <c r="Q72" i="125"/>
  <c r="S72" i="125" s="1"/>
  <c r="T72" i="125" s="1"/>
  <c r="O71" i="72" s="1"/>
  <c r="AX71" i="72"/>
  <c r="Q70" i="125"/>
  <c r="S70" i="125" s="1"/>
  <c r="T70" i="125" s="1"/>
  <c r="O69" i="72" s="1"/>
  <c r="AX69" i="72"/>
  <c r="Q65" i="125"/>
  <c r="S65" i="125" s="1"/>
  <c r="T65" i="125" s="1"/>
  <c r="O64" i="72" s="1"/>
  <c r="AX64" i="72"/>
  <c r="Q63" i="125"/>
  <c r="S63" i="125" s="1"/>
  <c r="T63" i="125" s="1"/>
  <c r="O62" i="72" s="1"/>
  <c r="AX62" i="72"/>
  <c r="Q61" i="125"/>
  <c r="S61" i="125" s="1"/>
  <c r="T61" i="125" s="1"/>
  <c r="O60" i="72" s="1"/>
  <c r="AX60" i="72"/>
  <c r="Q59" i="125"/>
  <c r="S59" i="125" s="1"/>
  <c r="T59" i="125" s="1"/>
  <c r="O58" i="72" s="1"/>
  <c r="AX58" i="72"/>
  <c r="Q57" i="125"/>
  <c r="S57" i="125" s="1"/>
  <c r="T57" i="125" s="1"/>
  <c r="O56" i="72" s="1"/>
  <c r="AX56" i="72"/>
  <c r="Q55" i="125"/>
  <c r="S55" i="125" s="1"/>
  <c r="T55" i="125" s="1"/>
  <c r="O54" i="72" s="1"/>
  <c r="AX54" i="72"/>
  <c r="Q53" i="125"/>
  <c r="S53" i="125" s="1"/>
  <c r="T53" i="125" s="1"/>
  <c r="O52" i="72" s="1"/>
  <c r="AX52" i="72"/>
  <c r="Q51" i="125"/>
  <c r="S51" i="125" s="1"/>
  <c r="T51" i="125" s="1"/>
  <c r="O50" i="72" s="1"/>
  <c r="AX50" i="72"/>
  <c r="Q49" i="125"/>
  <c r="S49" i="125" s="1"/>
  <c r="T49" i="125" s="1"/>
  <c r="O48" i="72" s="1"/>
  <c r="AX48" i="72"/>
  <c r="Q47" i="125"/>
  <c r="S47" i="125" s="1"/>
  <c r="T47" i="125" s="1"/>
  <c r="O46" i="72" s="1"/>
  <c r="AX46" i="72"/>
  <c r="Q45" i="125"/>
  <c r="S45" i="125" s="1"/>
  <c r="T45" i="125" s="1"/>
  <c r="O44" i="72" s="1"/>
  <c r="AX44" i="72"/>
  <c r="Q36" i="125"/>
  <c r="S36" i="125" s="1"/>
  <c r="T36" i="125" s="1"/>
  <c r="O35" i="72" s="1"/>
  <c r="AX35" i="72"/>
  <c r="Q34" i="125"/>
  <c r="S34" i="125" s="1"/>
  <c r="T34" i="125" s="1"/>
  <c r="O33" i="72" s="1"/>
  <c r="AX33" i="72"/>
  <c r="Q32" i="125"/>
  <c r="S32" i="125" s="1"/>
  <c r="T32" i="125" s="1"/>
  <c r="O31" i="72" s="1"/>
  <c r="AX31" i="72"/>
  <c r="Q30" i="125"/>
  <c r="S30" i="125" s="1"/>
  <c r="T30" i="125" s="1"/>
  <c r="O29" i="72" s="1"/>
  <c r="AX29" i="72"/>
  <c r="Q28" i="125"/>
  <c r="S28" i="125" s="1"/>
  <c r="T28" i="125" s="1"/>
  <c r="O27" i="72" s="1"/>
  <c r="AX27" i="72"/>
  <c r="Q26" i="125"/>
  <c r="S26" i="125" s="1"/>
  <c r="T26" i="125" s="1"/>
  <c r="O25" i="72" s="1"/>
  <c r="AX25" i="72"/>
  <c r="Q24" i="125"/>
  <c r="S24" i="125" s="1"/>
  <c r="T24" i="125" s="1"/>
  <c r="O23" i="72" s="1"/>
  <c r="AX23" i="72"/>
  <c r="Q15" i="125"/>
  <c r="S15" i="125" s="1"/>
  <c r="T15" i="125" s="1"/>
  <c r="O14" i="72" s="1"/>
  <c r="AX14" i="72"/>
  <c r="Q13" i="125"/>
  <c r="S13" i="125" s="1"/>
  <c r="T13" i="125" s="1"/>
  <c r="O12" i="72" s="1"/>
  <c r="AX12" i="72"/>
  <c r="Q11" i="125"/>
  <c r="S11" i="125" s="1"/>
  <c r="T11" i="125" s="1"/>
  <c r="O10" i="72" s="1"/>
  <c r="AX10" i="72"/>
  <c r="Q9" i="125"/>
  <c r="S9" i="125" s="1"/>
  <c r="T9" i="125" s="1"/>
  <c r="O8" i="72" s="1"/>
  <c r="AX8" i="72"/>
  <c r="R75" i="100"/>
  <c r="Q33" i="128"/>
  <c r="S33" i="128" s="1"/>
  <c r="T33" i="128" s="1"/>
  <c r="R32" i="72" s="1"/>
  <c r="BA32" i="72"/>
  <c r="Q25" i="128"/>
  <c r="S25" i="128" s="1"/>
  <c r="T25" i="128" s="1"/>
  <c r="R24" i="72" s="1"/>
  <c r="BA24" i="72"/>
  <c r="Q20" i="128"/>
  <c r="S20" i="128" s="1"/>
  <c r="T20" i="128" s="1"/>
  <c r="R19" i="72" s="1"/>
  <c r="BA19" i="72"/>
  <c r="Q60" i="127"/>
  <c r="S60" i="127" s="1"/>
  <c r="T60" i="127" s="1"/>
  <c r="Q59" i="72" s="1"/>
  <c r="AZ59" i="72"/>
  <c r="Q37" i="127"/>
  <c r="S37" i="127" s="1"/>
  <c r="T37" i="127" s="1"/>
  <c r="Q36" i="72" s="1"/>
  <c r="AZ36" i="72"/>
  <c r="Q35" i="127"/>
  <c r="S35" i="127" s="1"/>
  <c r="T35" i="127" s="1"/>
  <c r="Q34" i="72" s="1"/>
  <c r="AZ34" i="72"/>
  <c r="Q33" i="127"/>
  <c r="S33" i="127" s="1"/>
  <c r="T33" i="127" s="1"/>
  <c r="Q32" i="72" s="1"/>
  <c r="AZ32" i="72"/>
  <c r="Q31" i="127"/>
  <c r="S31" i="127" s="1"/>
  <c r="T31" i="127" s="1"/>
  <c r="Q30" i="72" s="1"/>
  <c r="AZ30" i="72"/>
  <c r="Q29" i="127"/>
  <c r="S29" i="127" s="1"/>
  <c r="T29" i="127" s="1"/>
  <c r="Q28" i="72" s="1"/>
  <c r="AZ28" i="72"/>
  <c r="Q23" i="127"/>
  <c r="S23" i="127" s="1"/>
  <c r="T23" i="127" s="1"/>
  <c r="Q22" i="72" s="1"/>
  <c r="AZ22" i="72"/>
  <c r="Q14" i="127"/>
  <c r="S14" i="127" s="1"/>
  <c r="T14" i="127" s="1"/>
  <c r="Q13" i="72" s="1"/>
  <c r="AZ13" i="72"/>
  <c r="Q12" i="127"/>
  <c r="S12" i="127" s="1"/>
  <c r="T12" i="127" s="1"/>
  <c r="Q11" i="72" s="1"/>
  <c r="AZ11" i="72"/>
  <c r="Q10" i="127"/>
  <c r="S10" i="127" s="1"/>
  <c r="T10" i="127" s="1"/>
  <c r="Q9" i="72" s="1"/>
  <c r="AZ9" i="72"/>
  <c r="Q23" i="126"/>
  <c r="S23" i="126" s="1"/>
  <c r="T23" i="126" s="1"/>
  <c r="P22" i="72" s="1"/>
  <c r="AY22" i="72"/>
  <c r="Q21" i="126"/>
  <c r="S21" i="126" s="1"/>
  <c r="T21" i="126" s="1"/>
  <c r="P20" i="72" s="1"/>
  <c r="AY20" i="72"/>
  <c r="Q19" i="126"/>
  <c r="S19" i="126" s="1"/>
  <c r="T19" i="126" s="1"/>
  <c r="P18" i="72" s="1"/>
  <c r="AY18" i="72"/>
  <c r="Q17" i="126"/>
  <c r="S17" i="126" s="1"/>
  <c r="T17" i="126" s="1"/>
  <c r="P16" i="72" s="1"/>
  <c r="AY16" i="72"/>
  <c r="Q8" i="126"/>
  <c r="S8" i="126" s="1"/>
  <c r="T8" i="126" s="1"/>
  <c r="P7" i="72" s="1"/>
  <c r="AY7" i="72"/>
  <c r="Q38" i="126"/>
  <c r="S38" i="126" s="1"/>
  <c r="T38" i="126" s="1"/>
  <c r="P37" i="72" s="1"/>
  <c r="AY37" i="72"/>
  <c r="Q36" i="126"/>
  <c r="S36" i="126" s="1"/>
  <c r="T36" i="126" s="1"/>
  <c r="P35" i="72" s="1"/>
  <c r="AY35" i="72"/>
  <c r="Q34" i="126"/>
  <c r="S34" i="126" s="1"/>
  <c r="T34" i="126" s="1"/>
  <c r="P33" i="72" s="1"/>
  <c r="AY33" i="72"/>
  <c r="Q16" i="126"/>
  <c r="S16" i="126" s="1"/>
  <c r="T16" i="126" s="1"/>
  <c r="P15" i="72" s="1"/>
  <c r="AY15" i="72"/>
  <c r="Q38" i="125"/>
  <c r="S38" i="125" s="1"/>
  <c r="T38" i="125" s="1"/>
  <c r="O37" i="72" s="1"/>
  <c r="AX37" i="72"/>
  <c r="V75" i="100"/>
  <c r="Q15" i="128"/>
  <c r="S15" i="128" s="1"/>
  <c r="T15" i="128" s="1"/>
  <c r="R14" i="72" s="1"/>
  <c r="Q13" i="128"/>
  <c r="S13" i="128" s="1"/>
  <c r="T13" i="128" s="1"/>
  <c r="R12" i="72" s="1"/>
  <c r="Q11" i="128"/>
  <c r="S11" i="128" s="1"/>
  <c r="T11" i="128" s="1"/>
  <c r="R10" i="72" s="1"/>
  <c r="Q9" i="128"/>
  <c r="S9" i="128" s="1"/>
  <c r="T9" i="128" s="1"/>
  <c r="R8" i="72" s="1"/>
  <c r="Q7" i="128"/>
  <c r="S7" i="128" s="1"/>
  <c r="Q42" i="126"/>
  <c r="S42" i="126" s="1"/>
  <c r="T42" i="126" s="1"/>
  <c r="P41" i="72" s="1"/>
  <c r="O76" i="130"/>
  <c r="O76" i="126"/>
  <c r="Q7" i="130"/>
  <c r="Q7" i="127"/>
  <c r="S7" i="127" s="1"/>
  <c r="P25" i="131"/>
  <c r="P22" i="131"/>
  <c r="P15" i="131"/>
  <c r="P13" i="131"/>
  <c r="P11" i="131"/>
  <c r="P73" i="130"/>
  <c r="S7" i="130"/>
  <c r="P74" i="129"/>
  <c r="O76" i="129"/>
  <c r="P7" i="129"/>
  <c r="BB6" i="72" s="1"/>
  <c r="P74" i="126"/>
  <c r="P72" i="126"/>
  <c r="P70" i="126"/>
  <c r="S7" i="126"/>
  <c r="P40" i="126"/>
  <c r="P30" i="126"/>
  <c r="P28" i="126"/>
  <c r="P26" i="126"/>
  <c r="P24" i="126"/>
  <c r="P14" i="126"/>
  <c r="P12" i="126"/>
  <c r="P10" i="126"/>
  <c r="P68" i="125"/>
  <c r="P44" i="125"/>
  <c r="P42" i="125"/>
  <c r="P40" i="125"/>
  <c r="P21" i="125"/>
  <c r="P19" i="125"/>
  <c r="P17" i="125"/>
  <c r="P8" i="125"/>
  <c r="O76" i="131"/>
  <c r="P7" i="131"/>
  <c r="P26" i="131"/>
  <c r="P14" i="131"/>
  <c r="P12" i="131"/>
  <c r="P10" i="131"/>
  <c r="P75" i="130"/>
  <c r="P75" i="129"/>
  <c r="BB74" i="72" s="1"/>
  <c r="P75" i="126"/>
  <c r="P73" i="126"/>
  <c r="P71" i="126"/>
  <c r="P39" i="126"/>
  <c r="P31" i="126"/>
  <c r="P29" i="126"/>
  <c r="P27" i="126"/>
  <c r="P25" i="126"/>
  <c r="P15" i="126"/>
  <c r="P13" i="126"/>
  <c r="P11" i="126"/>
  <c r="P43" i="125"/>
  <c r="P41" i="125"/>
  <c r="P39" i="125"/>
  <c r="P22" i="125"/>
  <c r="AX21" i="72" s="1"/>
  <c r="P20" i="125"/>
  <c r="AX19" i="72" s="1"/>
  <c r="P18" i="125"/>
  <c r="AX17" i="72" s="1"/>
  <c r="O76" i="125"/>
  <c r="P7" i="125"/>
  <c r="P76" i="128"/>
  <c r="Q76" i="127" l="1"/>
  <c r="Q76" i="128"/>
  <c r="Q7" i="129"/>
  <c r="S7" i="129" s="1"/>
  <c r="Q18" i="125"/>
  <c r="S18" i="125" s="1"/>
  <c r="T18" i="125" s="1"/>
  <c r="O17" i="72" s="1"/>
  <c r="Q20" i="125"/>
  <c r="S20" i="125" s="1"/>
  <c r="T20" i="125" s="1"/>
  <c r="O19" i="72" s="1"/>
  <c r="Q22" i="125"/>
  <c r="S22" i="125" s="1"/>
  <c r="T22" i="125" s="1"/>
  <c r="O21" i="72" s="1"/>
  <c r="Q75" i="129"/>
  <c r="S75" i="129" s="1"/>
  <c r="T75" i="129" s="1"/>
  <c r="S74" i="72" s="1"/>
  <c r="BA75" i="72"/>
  <c r="P76" i="125"/>
  <c r="AX6" i="72"/>
  <c r="Q39" i="125"/>
  <c r="S39" i="125" s="1"/>
  <c r="T39" i="125" s="1"/>
  <c r="O38" i="72" s="1"/>
  <c r="AX38" i="72"/>
  <c r="Q13" i="126"/>
  <c r="S13" i="126" s="1"/>
  <c r="T13" i="126" s="1"/>
  <c r="P12" i="72" s="1"/>
  <c r="AY12" i="72"/>
  <c r="Q29" i="126"/>
  <c r="S29" i="126" s="1"/>
  <c r="T29" i="126" s="1"/>
  <c r="P28" i="72" s="1"/>
  <c r="AY28" i="72"/>
  <c r="Q39" i="126"/>
  <c r="S39" i="126" s="1"/>
  <c r="T39" i="126" s="1"/>
  <c r="P38" i="72" s="1"/>
  <c r="AY38" i="72"/>
  <c r="Q73" i="126"/>
  <c r="S73" i="126" s="1"/>
  <c r="T73" i="126" s="1"/>
  <c r="P72" i="72" s="1"/>
  <c r="AY72" i="72"/>
  <c r="Q17" i="125"/>
  <c r="S17" i="125" s="1"/>
  <c r="T17" i="125" s="1"/>
  <c r="O16" i="72" s="1"/>
  <c r="AX16" i="72"/>
  <c r="Q68" i="125"/>
  <c r="S68" i="125" s="1"/>
  <c r="T68" i="125" s="1"/>
  <c r="O67" i="72" s="1"/>
  <c r="AX67" i="72"/>
  <c r="Q74" i="129"/>
  <c r="S74" i="129" s="1"/>
  <c r="T74" i="129" s="1"/>
  <c r="S73" i="72" s="1"/>
  <c r="BB73" i="72"/>
  <c r="Q73" i="130"/>
  <c r="S73" i="130" s="1"/>
  <c r="BC72" i="72"/>
  <c r="Q13" i="131"/>
  <c r="S13" i="131" s="1"/>
  <c r="T13" i="131" s="1"/>
  <c r="U12" i="72" s="1"/>
  <c r="BD12" i="72"/>
  <c r="Q22" i="131"/>
  <c r="S22" i="131" s="1"/>
  <c r="T22" i="131" s="1"/>
  <c r="U21" i="72" s="1"/>
  <c r="BD21" i="72"/>
  <c r="AZ75" i="72"/>
  <c r="Q43" i="125"/>
  <c r="S43" i="125" s="1"/>
  <c r="T43" i="125" s="1"/>
  <c r="O42" i="72" s="1"/>
  <c r="AX42" i="72"/>
  <c r="Q25" i="126"/>
  <c r="S25" i="126" s="1"/>
  <c r="T25" i="126" s="1"/>
  <c r="P24" i="72" s="1"/>
  <c r="AY24" i="72"/>
  <c r="Q75" i="130"/>
  <c r="S75" i="130" s="1"/>
  <c r="T75" i="130" s="1"/>
  <c r="T74" i="72" s="1"/>
  <c r="BC74" i="72"/>
  <c r="Q12" i="131"/>
  <c r="S12" i="131" s="1"/>
  <c r="T12" i="131" s="1"/>
  <c r="U11" i="72" s="1"/>
  <c r="BD11" i="72"/>
  <c r="Q26" i="131"/>
  <c r="S26" i="131" s="1"/>
  <c r="T26" i="131" s="1"/>
  <c r="U25" i="72" s="1"/>
  <c r="BD25" i="72"/>
  <c r="Q21" i="125"/>
  <c r="S21" i="125" s="1"/>
  <c r="T21" i="125" s="1"/>
  <c r="O20" i="72" s="1"/>
  <c r="AX20" i="72"/>
  <c r="Q42" i="125"/>
  <c r="S42" i="125" s="1"/>
  <c r="T42" i="125" s="1"/>
  <c r="O41" i="72" s="1"/>
  <c r="AX41" i="72"/>
  <c r="Q12" i="126"/>
  <c r="S12" i="126" s="1"/>
  <c r="T12" i="126" s="1"/>
  <c r="P11" i="72" s="1"/>
  <c r="AY11" i="72"/>
  <c r="Q24" i="126"/>
  <c r="S24" i="126" s="1"/>
  <c r="T24" i="126" s="1"/>
  <c r="P23" i="72" s="1"/>
  <c r="AY23" i="72"/>
  <c r="Q28" i="126"/>
  <c r="S28" i="126" s="1"/>
  <c r="T28" i="126" s="1"/>
  <c r="P27" i="72" s="1"/>
  <c r="AY27" i="72"/>
  <c r="Q40" i="126"/>
  <c r="S40" i="126" s="1"/>
  <c r="T40" i="126" s="1"/>
  <c r="P39" i="72" s="1"/>
  <c r="AY39" i="72"/>
  <c r="Q70" i="126"/>
  <c r="S70" i="126" s="1"/>
  <c r="T70" i="126" s="1"/>
  <c r="P69" i="72" s="1"/>
  <c r="AY69" i="72"/>
  <c r="Q74" i="126"/>
  <c r="S74" i="126" s="1"/>
  <c r="T74" i="126" s="1"/>
  <c r="P73" i="72" s="1"/>
  <c r="AY73" i="72"/>
  <c r="Q41" i="125"/>
  <c r="S41" i="125" s="1"/>
  <c r="T41" i="125" s="1"/>
  <c r="O40" i="72" s="1"/>
  <c r="AX40" i="72"/>
  <c r="Q11" i="126"/>
  <c r="S11" i="126" s="1"/>
  <c r="T11" i="126" s="1"/>
  <c r="P10" i="72" s="1"/>
  <c r="AY10" i="72"/>
  <c r="Q15" i="126"/>
  <c r="S15" i="126" s="1"/>
  <c r="T15" i="126" s="1"/>
  <c r="P14" i="72" s="1"/>
  <c r="AY14" i="72"/>
  <c r="Q27" i="126"/>
  <c r="S27" i="126" s="1"/>
  <c r="T27" i="126" s="1"/>
  <c r="P26" i="72" s="1"/>
  <c r="AY26" i="72"/>
  <c r="Q31" i="126"/>
  <c r="S31" i="126" s="1"/>
  <c r="T31" i="126" s="1"/>
  <c r="P30" i="72" s="1"/>
  <c r="AY30" i="72"/>
  <c r="Q71" i="126"/>
  <c r="S71" i="126" s="1"/>
  <c r="T71" i="126" s="1"/>
  <c r="P70" i="72" s="1"/>
  <c r="AY70" i="72"/>
  <c r="Q75" i="126"/>
  <c r="S75" i="126" s="1"/>
  <c r="T75" i="126" s="1"/>
  <c r="P74" i="72" s="1"/>
  <c r="AY74" i="72"/>
  <c r="Q10" i="131"/>
  <c r="S10" i="131" s="1"/>
  <c r="T10" i="131" s="1"/>
  <c r="U9" i="72" s="1"/>
  <c r="BD9" i="72"/>
  <c r="Q14" i="131"/>
  <c r="S14" i="131" s="1"/>
  <c r="T14" i="131" s="1"/>
  <c r="U13" i="72" s="1"/>
  <c r="BD13" i="72"/>
  <c r="Q7" i="131"/>
  <c r="S7" i="131" s="1"/>
  <c r="BD6" i="72"/>
  <c r="Q8" i="125"/>
  <c r="S8" i="125" s="1"/>
  <c r="T8" i="125" s="1"/>
  <c r="O7" i="72" s="1"/>
  <c r="AX7" i="72"/>
  <c r="Q19" i="125"/>
  <c r="S19" i="125" s="1"/>
  <c r="T19" i="125" s="1"/>
  <c r="O18" i="72" s="1"/>
  <c r="AX18" i="72"/>
  <c r="Q40" i="125"/>
  <c r="S40" i="125" s="1"/>
  <c r="T40" i="125" s="1"/>
  <c r="O39" i="72" s="1"/>
  <c r="AX39" i="72"/>
  <c r="Q44" i="125"/>
  <c r="S44" i="125" s="1"/>
  <c r="T44" i="125" s="1"/>
  <c r="O43" i="72" s="1"/>
  <c r="AX43" i="72"/>
  <c r="Q10" i="126"/>
  <c r="S10" i="126" s="1"/>
  <c r="T10" i="126" s="1"/>
  <c r="P9" i="72" s="1"/>
  <c r="AY9" i="72"/>
  <c r="Q14" i="126"/>
  <c r="S14" i="126" s="1"/>
  <c r="T14" i="126" s="1"/>
  <c r="P13" i="72" s="1"/>
  <c r="AY13" i="72"/>
  <c r="Q26" i="126"/>
  <c r="S26" i="126" s="1"/>
  <c r="T26" i="126" s="1"/>
  <c r="P25" i="72" s="1"/>
  <c r="AY25" i="72"/>
  <c r="Q30" i="126"/>
  <c r="S30" i="126" s="1"/>
  <c r="T30" i="126" s="1"/>
  <c r="P29" i="72" s="1"/>
  <c r="AY29" i="72"/>
  <c r="Q72" i="126"/>
  <c r="S72" i="126" s="1"/>
  <c r="T72" i="126" s="1"/>
  <c r="P71" i="72" s="1"/>
  <c r="AY71" i="72"/>
  <c r="Q11" i="131"/>
  <c r="S11" i="131" s="1"/>
  <c r="T11" i="131" s="1"/>
  <c r="U10" i="72" s="1"/>
  <c r="BD10" i="72"/>
  <c r="Q15" i="131"/>
  <c r="S15" i="131" s="1"/>
  <c r="T15" i="131" s="1"/>
  <c r="U14" i="72" s="1"/>
  <c r="BD14" i="72"/>
  <c r="Q25" i="131"/>
  <c r="S25" i="131" s="1"/>
  <c r="T25" i="131" s="1"/>
  <c r="U24" i="72" s="1"/>
  <c r="BD24" i="72"/>
  <c r="BB75" i="72"/>
  <c r="Q7" i="125"/>
  <c r="P76" i="126"/>
  <c r="P76" i="131"/>
  <c r="P76" i="130"/>
  <c r="P76" i="129"/>
  <c r="S7" i="125"/>
  <c r="S76" i="128"/>
  <c r="T7" i="128"/>
  <c r="T7" i="126"/>
  <c r="S76" i="127"/>
  <c r="T7" i="127"/>
  <c r="Q76" i="129"/>
  <c r="T7" i="130"/>
  <c r="Q76" i="130" l="1"/>
  <c r="S76" i="126"/>
  <c r="Q76" i="126"/>
  <c r="T73" i="130"/>
  <c r="T72" i="72" s="1"/>
  <c r="S76" i="130"/>
  <c r="Q76" i="125"/>
  <c r="AY75" i="72"/>
  <c r="BC75" i="72"/>
  <c r="T76" i="130"/>
  <c r="T6" i="72"/>
  <c r="T75" i="72" s="1"/>
  <c r="T76" i="127"/>
  <c r="Q6" i="72"/>
  <c r="Q75" i="72" s="1"/>
  <c r="Q76" i="131"/>
  <c r="BD75" i="72"/>
  <c r="T76" i="126"/>
  <c r="P6" i="72"/>
  <c r="P75" i="72" s="1"/>
  <c r="T76" i="128"/>
  <c r="R6" i="72"/>
  <c r="R75" i="72" s="1"/>
  <c r="AX75" i="72"/>
  <c r="S76" i="129"/>
  <c r="T7" i="129"/>
  <c r="S76" i="131"/>
  <c r="T7" i="131"/>
  <c r="S76" i="125"/>
  <c r="T7" i="125"/>
  <c r="T76" i="125" l="1"/>
  <c r="O6" i="72"/>
  <c r="O75" i="72" s="1"/>
  <c r="T76" i="131"/>
  <c r="U6" i="72"/>
  <c r="U75" i="72" s="1"/>
  <c r="T76" i="129"/>
  <c r="S6" i="72"/>
  <c r="S75" i="72" s="1"/>
  <c r="G68" i="31"/>
  <c r="G67" i="31"/>
  <c r="G66" i="31"/>
  <c r="L65" i="31"/>
  <c r="G64" i="31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L68" i="31" l="1"/>
  <c r="L67" i="31"/>
  <c r="N67" i="31" s="1"/>
  <c r="C69" i="31"/>
  <c r="C70" i="31" s="1"/>
  <c r="C72" i="31" s="1"/>
  <c r="M67" i="31"/>
  <c r="M68" i="31"/>
  <c r="N68" i="31"/>
  <c r="M65" i="31"/>
  <c r="N65" i="31"/>
  <c r="G65" i="31"/>
  <c r="L66" i="31"/>
  <c r="L64" i="31"/>
  <c r="O67" i="31" l="1"/>
  <c r="P67" i="31" s="1"/>
  <c r="R67" i="31" s="1"/>
  <c r="S67" i="31" s="1"/>
  <c r="O68" i="31"/>
  <c r="P68" i="31" s="1"/>
  <c r="R68" i="31" s="1"/>
  <c r="S68" i="31" s="1"/>
  <c r="M66" i="31"/>
  <c r="N66" i="31"/>
  <c r="O65" i="31"/>
  <c r="P65" i="31" s="1"/>
  <c r="M64" i="31"/>
  <c r="N64" i="31"/>
  <c r="AI39" i="13"/>
  <c r="O64" i="31" l="1"/>
  <c r="P64" i="31" s="1"/>
  <c r="O66" i="31"/>
  <c r="P66" i="31" s="1"/>
  <c r="Q8" i="13"/>
  <c r="V77" i="1" l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X77" i="1" l="1"/>
  <c r="Y77" i="1" s="1"/>
  <c r="X76" i="1"/>
  <c r="Y76" i="1" s="1"/>
  <c r="X75" i="1"/>
  <c r="Y75" i="1" s="1"/>
  <c r="X74" i="1"/>
  <c r="Y74" i="1" s="1"/>
  <c r="X73" i="1"/>
  <c r="Y73" i="1" s="1"/>
  <c r="X72" i="1"/>
  <c r="Y72" i="1" s="1"/>
  <c r="X71" i="1"/>
  <c r="Y71" i="1" s="1"/>
  <c r="X70" i="1"/>
  <c r="Y70" i="1" s="1"/>
  <c r="X69" i="1"/>
  <c r="Y69" i="1" s="1"/>
  <c r="X68" i="1"/>
  <c r="Y68" i="1" s="1"/>
  <c r="X67" i="1"/>
  <c r="Y67" i="1" s="1"/>
  <c r="X66" i="1"/>
  <c r="Y66" i="1" s="1"/>
  <c r="X65" i="1"/>
  <c r="Y65" i="1" s="1"/>
  <c r="X64" i="1"/>
  <c r="Y64" i="1" s="1"/>
  <c r="X63" i="1"/>
  <c r="Y63" i="1" s="1"/>
  <c r="X62" i="1"/>
  <c r="Y62" i="1" s="1"/>
  <c r="X61" i="1"/>
  <c r="Y61" i="1" s="1"/>
  <c r="X60" i="1"/>
  <c r="Y60" i="1" s="1"/>
  <c r="X59" i="1"/>
  <c r="Y59" i="1" s="1"/>
  <c r="X58" i="1"/>
  <c r="Y58" i="1" s="1"/>
  <c r="X57" i="1"/>
  <c r="Y57" i="1" s="1"/>
  <c r="X56" i="1"/>
  <c r="Y56" i="1" s="1"/>
  <c r="X55" i="1"/>
  <c r="Y55" i="1" s="1"/>
  <c r="X54" i="1"/>
  <c r="Y54" i="1" s="1"/>
  <c r="X53" i="1"/>
  <c r="Y53" i="1" s="1"/>
  <c r="X52" i="1"/>
  <c r="Y52" i="1" s="1"/>
  <c r="X51" i="1"/>
  <c r="Y51" i="1" s="1"/>
  <c r="X50" i="1"/>
  <c r="Y50" i="1" s="1"/>
  <c r="X49" i="1"/>
  <c r="Y49" i="1" s="1"/>
  <c r="X48" i="1"/>
  <c r="Y48" i="1" s="1"/>
  <c r="X47" i="1"/>
  <c r="Y47" i="1" s="1"/>
  <c r="X46" i="1"/>
  <c r="Y46" i="1" s="1"/>
  <c r="X45" i="1"/>
  <c r="Y45" i="1" s="1"/>
  <c r="X44" i="1"/>
  <c r="Y44" i="1" s="1"/>
  <c r="X43" i="1"/>
  <c r="Y43" i="1" s="1"/>
  <c r="X42" i="1"/>
  <c r="Y42" i="1" s="1"/>
  <c r="X41" i="1"/>
  <c r="Y41" i="1" s="1"/>
  <c r="X40" i="1"/>
  <c r="Y40" i="1" s="1"/>
  <c r="X39" i="1"/>
  <c r="Y39" i="1" s="1"/>
  <c r="X38" i="1"/>
  <c r="Y38" i="1" s="1"/>
  <c r="X37" i="1"/>
  <c r="Y37" i="1" s="1"/>
  <c r="X36" i="1"/>
  <c r="Y36" i="1" s="1"/>
  <c r="X35" i="1"/>
  <c r="Y35" i="1" s="1"/>
  <c r="X34" i="1"/>
  <c r="Y34" i="1" s="1"/>
  <c r="X33" i="1"/>
  <c r="Y33" i="1" s="1"/>
  <c r="X32" i="1"/>
  <c r="Y32" i="1" s="1"/>
  <c r="X31" i="1"/>
  <c r="Y31" i="1" s="1"/>
  <c r="X30" i="1"/>
  <c r="Y30" i="1" s="1"/>
  <c r="X29" i="1"/>
  <c r="Y29" i="1" s="1"/>
  <c r="X28" i="1"/>
  <c r="Y28" i="1" s="1"/>
  <c r="X27" i="1"/>
  <c r="Y27" i="1" s="1"/>
  <c r="X26" i="1"/>
  <c r="Y26" i="1" s="1"/>
  <c r="X25" i="1"/>
  <c r="Y25" i="1" s="1"/>
  <c r="X24" i="1"/>
  <c r="Y24" i="1" s="1"/>
  <c r="X23" i="1"/>
  <c r="Y23" i="1" s="1"/>
  <c r="X22" i="1"/>
  <c r="Y22" i="1" s="1"/>
  <c r="X21" i="1"/>
  <c r="Y21" i="1" s="1"/>
  <c r="X20" i="1"/>
  <c r="Y20" i="1" s="1"/>
  <c r="X19" i="1"/>
  <c r="Y19" i="1" s="1"/>
  <c r="X18" i="1"/>
  <c r="Y18" i="1" s="1"/>
  <c r="X17" i="1"/>
  <c r="Y17" i="1" s="1"/>
  <c r="X16" i="1"/>
  <c r="Y16" i="1" s="1"/>
  <c r="X15" i="1"/>
  <c r="Y15" i="1" s="1"/>
  <c r="X14" i="1"/>
  <c r="Y14" i="1" s="1"/>
  <c r="X13" i="1"/>
  <c r="Y13" i="1" s="1"/>
  <c r="X12" i="1"/>
  <c r="Y12" i="1" s="1"/>
  <c r="X11" i="1"/>
  <c r="Y11" i="1" s="1"/>
  <c r="X10" i="1"/>
  <c r="Y10" i="1" s="1"/>
  <c r="X9" i="1"/>
  <c r="Y9" i="1" s="1"/>
  <c r="X78" i="1" l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Z48" i="1" l="1"/>
  <c r="Z47" i="1"/>
  <c r="Z46" i="1"/>
  <c r="Z45" i="1"/>
  <c r="Z44" i="1"/>
  <c r="Z43" i="1"/>
  <c r="Z42" i="1"/>
  <c r="Z77" i="1"/>
  <c r="Z75" i="1"/>
  <c r="Z74" i="1"/>
  <c r="Z73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0" i="1"/>
  <c r="Z39" i="1"/>
  <c r="Z38" i="1"/>
  <c r="Z37" i="1"/>
  <c r="Z36" i="1"/>
  <c r="Z35" i="1"/>
  <c r="Z34" i="1"/>
  <c r="Z33" i="1"/>
  <c r="Z32" i="1"/>
  <c r="Z31" i="1"/>
  <c r="Z30" i="1"/>
  <c r="Z29" i="1"/>
  <c r="Z28" i="1"/>
  <c r="Z27" i="1"/>
  <c r="Z25" i="1"/>
  <c r="Z24" i="1"/>
  <c r="Z23" i="1"/>
  <c r="Z22" i="1"/>
  <c r="Z19" i="1"/>
  <c r="Z18" i="1"/>
  <c r="Z17" i="1"/>
  <c r="Z16" i="1"/>
  <c r="Z15" i="1"/>
  <c r="Z14" i="1"/>
  <c r="Z13" i="1"/>
  <c r="Z12" i="1"/>
  <c r="Z11" i="1"/>
  <c r="Z10" i="1"/>
  <c r="Z9" i="1"/>
  <c r="AF77" i="1" l="1"/>
  <c r="AF76" i="1"/>
  <c r="AF75" i="1"/>
  <c r="AF74" i="1"/>
  <c r="AF72" i="1"/>
  <c r="AF71" i="1"/>
  <c r="AF70" i="1"/>
  <c r="AF68" i="1"/>
  <c r="AF67" i="1"/>
  <c r="AF65" i="1"/>
  <c r="AF64" i="1"/>
  <c r="AF62" i="1"/>
  <c r="AF60" i="1"/>
  <c r="AF59" i="1"/>
  <c r="AF56" i="1"/>
  <c r="AF55" i="1"/>
  <c r="AF54" i="1"/>
  <c r="AF53" i="1"/>
  <c r="AF51" i="1"/>
  <c r="AF50" i="1"/>
  <c r="AF49" i="1"/>
  <c r="AF48" i="1"/>
  <c r="AF47" i="1"/>
  <c r="AF44" i="1"/>
  <c r="AF43" i="1"/>
  <c r="AF42" i="1"/>
  <c r="AF41" i="1"/>
  <c r="AF40" i="1"/>
  <c r="AF39" i="1"/>
  <c r="AF38" i="1"/>
  <c r="AF37" i="1"/>
  <c r="AF36" i="1"/>
  <c r="AF35" i="1"/>
  <c r="AF34" i="1"/>
  <c r="AF33" i="1"/>
  <c r="AF32" i="1"/>
  <c r="AF31" i="1"/>
  <c r="AF30" i="1"/>
  <c r="AF29" i="1"/>
  <c r="AF28" i="1"/>
  <c r="AF27" i="1"/>
  <c r="AF26" i="1"/>
  <c r="AF25" i="1"/>
  <c r="AF24" i="1"/>
  <c r="AF23" i="1"/>
  <c r="AF21" i="1"/>
  <c r="AF20" i="1"/>
  <c r="AF19" i="1"/>
  <c r="AF18" i="1"/>
  <c r="AF16" i="1"/>
  <c r="AF15" i="1"/>
  <c r="AF14" i="1"/>
  <c r="AF13" i="1"/>
  <c r="AF12" i="1"/>
  <c r="AF11" i="1"/>
  <c r="AF10" i="1"/>
  <c r="AE74" i="1" l="1"/>
  <c r="AE73" i="1"/>
  <c r="AE72" i="1"/>
  <c r="AE71" i="1"/>
  <c r="AE70" i="1"/>
  <c r="AE69" i="1"/>
  <c r="AE68" i="1"/>
  <c r="AE67" i="1"/>
  <c r="AE66" i="1"/>
  <c r="AE65" i="1"/>
  <c r="AE64" i="1"/>
  <c r="AE63" i="1"/>
  <c r="AE62" i="1"/>
  <c r="AE61" i="1"/>
  <c r="AE60" i="1"/>
  <c r="AE59" i="1"/>
  <c r="AE58" i="1"/>
  <c r="AE57" i="1"/>
  <c r="AE55" i="1"/>
  <c r="AE54" i="1"/>
  <c r="AE53" i="1"/>
  <c r="AE52" i="1"/>
  <c r="AE50" i="1"/>
  <c r="AE49" i="1"/>
  <c r="AE48" i="1"/>
  <c r="AE47" i="1"/>
  <c r="AE46" i="1"/>
  <c r="AE45" i="1"/>
  <c r="AE43" i="1"/>
  <c r="AE42" i="1"/>
  <c r="AE41" i="1"/>
  <c r="AE39" i="1"/>
  <c r="AE38" i="1"/>
  <c r="AE36" i="1"/>
  <c r="AE32" i="1"/>
  <c r="AE31" i="1"/>
  <c r="AE27" i="1"/>
  <c r="AE25" i="1"/>
  <c r="AE23" i="1"/>
  <c r="AE22" i="1"/>
  <c r="AE20" i="1"/>
  <c r="AE19" i="1"/>
  <c r="AE18" i="1"/>
  <c r="AE17" i="1"/>
  <c r="AE15" i="1"/>
  <c r="AE14" i="1"/>
  <c r="AE12" i="1"/>
  <c r="AE10" i="1"/>
  <c r="AE9" i="1"/>
  <c r="AD77" i="1" l="1"/>
  <c r="AD76" i="1"/>
  <c r="AD75" i="1"/>
  <c r="AD74" i="1"/>
  <c r="AD73" i="1"/>
  <c r="AD70" i="1"/>
  <c r="AD69" i="1"/>
  <c r="AD68" i="1"/>
  <c r="AD67" i="1"/>
  <c r="AD66" i="1"/>
  <c r="AD65" i="1"/>
  <c r="AD63" i="1"/>
  <c r="AD62" i="1"/>
  <c r="AD61" i="1"/>
  <c r="AD60" i="1"/>
  <c r="AD59" i="1"/>
  <c r="AD58" i="1"/>
  <c r="AD57" i="1"/>
  <c r="AD56" i="1"/>
  <c r="AD55" i="1"/>
  <c r="AD53" i="1"/>
  <c r="AD52" i="1"/>
  <c r="AD51" i="1"/>
  <c r="AD49" i="1"/>
  <c r="AD48" i="1"/>
  <c r="AD46" i="1"/>
  <c r="AD45" i="1"/>
  <c r="AD44" i="1"/>
  <c r="AD43" i="1"/>
  <c r="AD42" i="1"/>
  <c r="AD41" i="1"/>
  <c r="AD40" i="1"/>
  <c r="AD39" i="1"/>
  <c r="AD38" i="1"/>
  <c r="AD37" i="1"/>
  <c r="AD36" i="1"/>
  <c r="AD35" i="1"/>
  <c r="AD34" i="1"/>
  <c r="AD33" i="1"/>
  <c r="AD32" i="1"/>
  <c r="AD31" i="1"/>
  <c r="AD30" i="1"/>
  <c r="AD29" i="1"/>
  <c r="AD28" i="1"/>
  <c r="AD27" i="1"/>
  <c r="AD26" i="1"/>
  <c r="AD25" i="1"/>
  <c r="AD24" i="1"/>
  <c r="AD22" i="1"/>
  <c r="AD21" i="1"/>
  <c r="AD18" i="1"/>
  <c r="AD17" i="1"/>
  <c r="AD16" i="1"/>
  <c r="AD14" i="1"/>
  <c r="AD13" i="1"/>
  <c r="AD12" i="1"/>
  <c r="AD11" i="1"/>
  <c r="AD10" i="1"/>
  <c r="AD9" i="1"/>
  <c r="D5" i="84" l="1"/>
  <c r="D5" i="83"/>
  <c r="AM77" i="1" l="1"/>
  <c r="AM76" i="1"/>
  <c r="AM75" i="1"/>
  <c r="AM74" i="1"/>
  <c r="AM73" i="1"/>
  <c r="AM72" i="1"/>
  <c r="AM71" i="1"/>
  <c r="AM70" i="1"/>
  <c r="AM69" i="1"/>
  <c r="AM68" i="1"/>
  <c r="AM67" i="1"/>
  <c r="AM66" i="1"/>
  <c r="AM65" i="1"/>
  <c r="AM64" i="1"/>
  <c r="AM63" i="1"/>
  <c r="AM62" i="1"/>
  <c r="AM61" i="1"/>
  <c r="AM60" i="1"/>
  <c r="AM59" i="1"/>
  <c r="AM58" i="1"/>
  <c r="AM57" i="1"/>
  <c r="AM56" i="1"/>
  <c r="AM55" i="1"/>
  <c r="AM54" i="1"/>
  <c r="AM53" i="1"/>
  <c r="AM52" i="1"/>
  <c r="AM51" i="1"/>
  <c r="AM50" i="1"/>
  <c r="AM49" i="1"/>
  <c r="AM48" i="1"/>
  <c r="AM47" i="1"/>
  <c r="AM46" i="1"/>
  <c r="AM45" i="1"/>
  <c r="AM44" i="1"/>
  <c r="AM43" i="1"/>
  <c r="AM42" i="1"/>
  <c r="AM41" i="1"/>
  <c r="AM40" i="1"/>
  <c r="AM39" i="1"/>
  <c r="AM38" i="1"/>
  <c r="AM37" i="1"/>
  <c r="AM36" i="1"/>
  <c r="AM35" i="1"/>
  <c r="AM34" i="1"/>
  <c r="AM33" i="1"/>
  <c r="AM32" i="1"/>
  <c r="AM31" i="1"/>
  <c r="AM30" i="1"/>
  <c r="AM29" i="1"/>
  <c r="AM28" i="1"/>
  <c r="AM27" i="1"/>
  <c r="AM26" i="1"/>
  <c r="AM25" i="1"/>
  <c r="AM24" i="1"/>
  <c r="AM23" i="1"/>
  <c r="AM22" i="1"/>
  <c r="AM21" i="1"/>
  <c r="AM20" i="1"/>
  <c r="AM19" i="1"/>
  <c r="AM18" i="1"/>
  <c r="AM17" i="1"/>
  <c r="AM16" i="1"/>
  <c r="AM15" i="1"/>
  <c r="AM14" i="1"/>
  <c r="AM13" i="1"/>
  <c r="AM12" i="1"/>
  <c r="AM11" i="1"/>
  <c r="AM10" i="1"/>
  <c r="AM9" i="1"/>
  <c r="AL78" i="1"/>
  <c r="AK77" i="1"/>
  <c r="AK76" i="1"/>
  <c r="AK75" i="1"/>
  <c r="AK74" i="1"/>
  <c r="AK73" i="1"/>
  <c r="AK72" i="1"/>
  <c r="AK71" i="1"/>
  <c r="AK70" i="1"/>
  <c r="AK69" i="1"/>
  <c r="AK68" i="1"/>
  <c r="AK67" i="1"/>
  <c r="AK66" i="1"/>
  <c r="AK65" i="1"/>
  <c r="AK64" i="1"/>
  <c r="AK63" i="1"/>
  <c r="AK62" i="1"/>
  <c r="AK61" i="1"/>
  <c r="AK60" i="1"/>
  <c r="AK59" i="1"/>
  <c r="AK58" i="1"/>
  <c r="AK57" i="1"/>
  <c r="AK56" i="1"/>
  <c r="AK55" i="1"/>
  <c r="AK54" i="1"/>
  <c r="AK53" i="1"/>
  <c r="AK52" i="1"/>
  <c r="AK51" i="1"/>
  <c r="AK50" i="1"/>
  <c r="AK49" i="1"/>
  <c r="AK48" i="1"/>
  <c r="AK47" i="1"/>
  <c r="AK46" i="1"/>
  <c r="AK45" i="1"/>
  <c r="AK44" i="1"/>
  <c r="AK43" i="1"/>
  <c r="AK42" i="1"/>
  <c r="AK41" i="1"/>
  <c r="AK40" i="1"/>
  <c r="AK39" i="1"/>
  <c r="AK38" i="1"/>
  <c r="AK37" i="1"/>
  <c r="AK36" i="1"/>
  <c r="AK35" i="1"/>
  <c r="AK34" i="1"/>
  <c r="AK33" i="1"/>
  <c r="AK32" i="1"/>
  <c r="AK31" i="1"/>
  <c r="AK30" i="1"/>
  <c r="AK29" i="1"/>
  <c r="AK28" i="1"/>
  <c r="AK27" i="1"/>
  <c r="AK26" i="1"/>
  <c r="AK25" i="1"/>
  <c r="AK24" i="1"/>
  <c r="AK23" i="1"/>
  <c r="AK22" i="1"/>
  <c r="AK21" i="1"/>
  <c r="AK20" i="1"/>
  <c r="AK19" i="1"/>
  <c r="AK18" i="1"/>
  <c r="AK17" i="1"/>
  <c r="AK16" i="1"/>
  <c r="AK15" i="1"/>
  <c r="AK14" i="1"/>
  <c r="AK13" i="1"/>
  <c r="AK12" i="1"/>
  <c r="AK11" i="1"/>
  <c r="AK10" i="1"/>
  <c r="AK9" i="1"/>
  <c r="AJ78" i="1" l="1"/>
  <c r="AK78" i="1"/>
  <c r="AM78" i="1"/>
  <c r="E23" i="81" s="1"/>
  <c r="G23" i="81" s="1"/>
  <c r="W77" i="1" l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U76" i="1"/>
  <c r="U72" i="1"/>
  <c r="U68" i="1"/>
  <c r="U64" i="1"/>
  <c r="U60" i="1"/>
  <c r="U56" i="1"/>
  <c r="U52" i="1"/>
  <c r="U48" i="1"/>
  <c r="U44" i="1"/>
  <c r="U40" i="1"/>
  <c r="U36" i="1"/>
  <c r="U32" i="1"/>
  <c r="U28" i="1"/>
  <c r="U24" i="1"/>
  <c r="U20" i="1"/>
  <c r="U16" i="1"/>
  <c r="U12" i="1"/>
  <c r="U9" i="1" l="1"/>
  <c r="U13" i="1"/>
  <c r="U17" i="1"/>
  <c r="U21" i="1"/>
  <c r="U25" i="1"/>
  <c r="U29" i="1"/>
  <c r="U33" i="1"/>
  <c r="U37" i="1"/>
  <c r="U41" i="1"/>
  <c r="U45" i="1"/>
  <c r="U49" i="1"/>
  <c r="U53" i="1"/>
  <c r="U57" i="1"/>
  <c r="U61" i="1"/>
  <c r="U65" i="1"/>
  <c r="U69" i="1"/>
  <c r="U73" i="1"/>
  <c r="U77" i="1"/>
  <c r="U10" i="1"/>
  <c r="U14" i="1"/>
  <c r="U18" i="1"/>
  <c r="U22" i="1"/>
  <c r="U26" i="1"/>
  <c r="U30" i="1"/>
  <c r="U34" i="1"/>
  <c r="U38" i="1"/>
  <c r="U42" i="1"/>
  <c r="U46" i="1"/>
  <c r="U50" i="1"/>
  <c r="U54" i="1"/>
  <c r="U58" i="1"/>
  <c r="U62" i="1"/>
  <c r="U66" i="1"/>
  <c r="U70" i="1"/>
  <c r="U74" i="1"/>
  <c r="U11" i="1"/>
  <c r="U15" i="1"/>
  <c r="U19" i="1"/>
  <c r="U23" i="1"/>
  <c r="U27" i="1"/>
  <c r="U31" i="1"/>
  <c r="U35" i="1"/>
  <c r="U39" i="1"/>
  <c r="U43" i="1"/>
  <c r="U47" i="1"/>
  <c r="U51" i="1"/>
  <c r="U55" i="1"/>
  <c r="U59" i="1"/>
  <c r="U63" i="1"/>
  <c r="U67" i="1"/>
  <c r="U71" i="1"/>
  <c r="U75" i="1"/>
  <c r="W78" i="1"/>
  <c r="T78" i="1"/>
  <c r="V78" i="1"/>
  <c r="U78" i="1" l="1"/>
  <c r="AC10" i="1" l="1"/>
  <c r="AC14" i="1"/>
  <c r="AC18" i="1"/>
  <c r="AC22" i="1"/>
  <c r="AF22" i="1" s="1"/>
  <c r="AC26" i="1"/>
  <c r="AE26" i="1" s="1"/>
  <c r="AC30" i="1"/>
  <c r="AE30" i="1" s="1"/>
  <c r="AC34" i="1"/>
  <c r="AC38" i="1"/>
  <c r="AC42" i="1"/>
  <c r="AC46" i="1"/>
  <c r="AF46" i="1" s="1"/>
  <c r="AC50" i="1"/>
  <c r="AD50" i="1" s="1"/>
  <c r="AC54" i="1"/>
  <c r="AD54" i="1" s="1"/>
  <c r="AC58" i="1"/>
  <c r="AF58" i="1" s="1"/>
  <c r="AC62" i="1"/>
  <c r="AC66" i="1"/>
  <c r="AF66" i="1" s="1"/>
  <c r="AC70" i="1"/>
  <c r="AC74" i="1"/>
  <c r="AC11" i="1"/>
  <c r="AE11" i="1" s="1"/>
  <c r="AC15" i="1"/>
  <c r="AD15" i="1" s="1"/>
  <c r="AC19" i="1"/>
  <c r="AD19" i="1" s="1"/>
  <c r="AC23" i="1"/>
  <c r="AD23" i="1" s="1"/>
  <c r="AC27" i="1"/>
  <c r="AC31" i="1"/>
  <c r="AC35" i="1"/>
  <c r="AE35" i="1" s="1"/>
  <c r="AC39" i="1"/>
  <c r="AC43" i="1"/>
  <c r="AC47" i="1"/>
  <c r="AD47" i="1" s="1"/>
  <c r="AC51" i="1"/>
  <c r="AE51" i="1" s="1"/>
  <c r="AC55" i="1"/>
  <c r="AC59" i="1"/>
  <c r="AC63" i="1"/>
  <c r="AF63" i="1" s="1"/>
  <c r="AC67" i="1"/>
  <c r="AC71" i="1"/>
  <c r="AD71" i="1" s="1"/>
  <c r="AC75" i="1"/>
  <c r="AC12" i="1"/>
  <c r="AC16" i="1"/>
  <c r="AC20" i="1"/>
  <c r="AD20" i="1" s="1"/>
  <c r="AC24" i="1"/>
  <c r="AE24" i="1" s="1"/>
  <c r="AC28" i="1"/>
  <c r="AE28" i="1" s="1"/>
  <c r="AC32" i="1"/>
  <c r="AC36" i="1"/>
  <c r="AC40" i="1"/>
  <c r="AC44" i="1"/>
  <c r="AE44" i="1" s="1"/>
  <c r="AC48" i="1"/>
  <c r="AC52" i="1"/>
  <c r="AF52" i="1" s="1"/>
  <c r="AC56" i="1"/>
  <c r="AC60" i="1"/>
  <c r="AC64" i="1"/>
  <c r="AD64" i="1" s="1"/>
  <c r="AC68" i="1"/>
  <c r="AC72" i="1"/>
  <c r="AD72" i="1" s="1"/>
  <c r="AC76" i="1"/>
  <c r="AC9" i="1"/>
  <c r="AF9" i="1" s="1"/>
  <c r="AC13" i="1"/>
  <c r="AC17" i="1"/>
  <c r="AF17" i="1" s="1"/>
  <c r="AC21" i="1"/>
  <c r="AC25" i="1"/>
  <c r="AC29" i="1"/>
  <c r="AC33" i="1"/>
  <c r="AC37" i="1"/>
  <c r="AC41" i="1"/>
  <c r="AC45" i="1"/>
  <c r="AF45" i="1" s="1"/>
  <c r="AC49" i="1"/>
  <c r="AC53" i="1"/>
  <c r="AC57" i="1"/>
  <c r="AF57" i="1" s="1"/>
  <c r="AC61" i="1"/>
  <c r="AF61" i="1" s="1"/>
  <c r="AC65" i="1"/>
  <c r="AC69" i="1"/>
  <c r="AF69" i="1" s="1"/>
  <c r="AC73" i="1"/>
  <c r="AF73" i="1" s="1"/>
  <c r="AC77" i="1"/>
  <c r="AE16" i="1" l="1"/>
  <c r="AE37" i="1"/>
  <c r="AE21" i="1"/>
  <c r="AE76" i="1"/>
  <c r="AE34" i="1"/>
  <c r="AE77" i="1"/>
  <c r="AE29" i="1"/>
  <c r="AE13" i="1"/>
  <c r="AE33" i="1"/>
  <c r="AE56" i="1"/>
  <c r="AE40" i="1"/>
  <c r="AE75" i="1"/>
  <c r="AD78" i="1"/>
  <c r="AC78" i="1"/>
  <c r="AA76" i="1"/>
  <c r="AA26" i="1"/>
  <c r="AA18" i="1"/>
  <c r="AA44" i="1"/>
  <c r="AA64" i="1"/>
  <c r="AA37" i="1"/>
  <c r="AA34" i="1"/>
  <c r="AA50" i="1"/>
  <c r="AA13" i="1"/>
  <c r="AA59" i="1"/>
  <c r="AA25" i="1"/>
  <c r="AE78" i="1" l="1"/>
  <c r="AF78" i="1"/>
  <c r="AA77" i="1"/>
  <c r="AA75" i="1"/>
  <c r="AA74" i="1"/>
  <c r="AA73" i="1"/>
  <c r="AA72" i="1"/>
  <c r="AA71" i="1"/>
  <c r="AA70" i="1"/>
  <c r="AA69" i="1"/>
  <c r="AA68" i="1"/>
  <c r="AA67" i="1"/>
  <c r="AA66" i="1"/>
  <c r="AA65" i="1"/>
  <c r="AA63" i="1"/>
  <c r="AA62" i="1"/>
  <c r="AA61" i="1"/>
  <c r="AA60" i="1"/>
  <c r="AA58" i="1"/>
  <c r="AA57" i="1"/>
  <c r="AA56" i="1"/>
  <c r="AA55" i="1"/>
  <c r="AA54" i="1"/>
  <c r="AA53" i="1"/>
  <c r="AA52" i="1"/>
  <c r="AA51" i="1"/>
  <c r="AA49" i="1"/>
  <c r="AA48" i="1"/>
  <c r="AA47" i="1"/>
  <c r="AA46" i="1"/>
  <c r="AA45" i="1"/>
  <c r="AA43" i="1"/>
  <c r="AA42" i="1"/>
  <c r="AA41" i="1"/>
  <c r="AA40" i="1"/>
  <c r="AA39" i="1"/>
  <c r="AA38" i="1"/>
  <c r="AA36" i="1"/>
  <c r="AA35" i="1"/>
  <c r="AA33" i="1"/>
  <c r="AA32" i="1"/>
  <c r="AA31" i="1"/>
  <c r="AA30" i="1"/>
  <c r="AA29" i="1"/>
  <c r="AA28" i="1"/>
  <c r="AA27" i="1"/>
  <c r="AA24" i="1"/>
  <c r="AA23" i="1"/>
  <c r="AA22" i="1"/>
  <c r="AA21" i="1"/>
  <c r="AA20" i="1"/>
  <c r="AA19" i="1"/>
  <c r="AA17" i="1"/>
  <c r="AA16" i="1"/>
  <c r="AA15" i="1"/>
  <c r="AA14" i="1"/>
  <c r="AA12" i="1"/>
  <c r="AA11" i="1"/>
  <c r="AA10" i="1"/>
  <c r="AA9" i="1"/>
  <c r="AA78" i="1" l="1"/>
  <c r="Z78" i="1"/>
  <c r="S71" i="1"/>
  <c r="S63" i="1"/>
  <c r="S55" i="1"/>
  <c r="S47" i="1"/>
  <c r="S77" i="1"/>
  <c r="S76" i="1"/>
  <c r="S75" i="1"/>
  <c r="S74" i="1"/>
  <c r="S73" i="1"/>
  <c r="S72" i="1"/>
  <c r="S70" i="1"/>
  <c r="S69" i="1"/>
  <c r="S68" i="1"/>
  <c r="S67" i="1"/>
  <c r="S66" i="1"/>
  <c r="S65" i="1"/>
  <c r="S64" i="1"/>
  <c r="S62" i="1"/>
  <c r="S61" i="1"/>
  <c r="S60" i="1"/>
  <c r="S59" i="1"/>
  <c r="S58" i="1"/>
  <c r="S57" i="1"/>
  <c r="S56" i="1"/>
  <c r="S54" i="1"/>
  <c r="S53" i="1"/>
  <c r="S52" i="1"/>
  <c r="S51" i="1"/>
  <c r="S50" i="1"/>
  <c r="S49" i="1"/>
  <c r="S48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0" i="1"/>
  <c r="S9" i="1"/>
  <c r="Q73" i="1"/>
  <c r="Q65" i="1"/>
  <c r="Q49" i="1"/>
  <c r="Q37" i="1"/>
  <c r="Q29" i="1"/>
  <c r="Q21" i="1"/>
  <c r="Q9" i="1"/>
  <c r="Q77" i="1"/>
  <c r="Q76" i="1"/>
  <c r="Q75" i="1"/>
  <c r="Q74" i="1"/>
  <c r="Q72" i="1"/>
  <c r="Q71" i="1"/>
  <c r="Q70" i="1"/>
  <c r="Q69" i="1"/>
  <c r="Q68" i="1"/>
  <c r="Q67" i="1"/>
  <c r="Q66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8" i="1"/>
  <c r="Q47" i="1"/>
  <c r="Q46" i="1"/>
  <c r="Q45" i="1"/>
  <c r="Q44" i="1"/>
  <c r="Q43" i="1"/>
  <c r="Q42" i="1"/>
  <c r="Q41" i="1"/>
  <c r="Q40" i="1"/>
  <c r="Q39" i="1"/>
  <c r="Q38" i="1"/>
  <c r="Q36" i="1"/>
  <c r="Q35" i="1"/>
  <c r="Q34" i="1"/>
  <c r="Q33" i="1"/>
  <c r="Q32" i="1"/>
  <c r="Q31" i="1"/>
  <c r="Q30" i="1"/>
  <c r="Q28" i="1"/>
  <c r="Q27" i="1"/>
  <c r="Q26" i="1"/>
  <c r="Q25" i="1"/>
  <c r="Q24" i="1"/>
  <c r="Q23" i="1"/>
  <c r="Q22" i="1"/>
  <c r="Q20" i="1"/>
  <c r="Q19" i="1"/>
  <c r="Q18" i="1"/>
  <c r="Q17" i="1"/>
  <c r="Q16" i="1"/>
  <c r="Q15" i="1"/>
  <c r="Q14" i="1"/>
  <c r="Q13" i="1"/>
  <c r="Q12" i="1"/>
  <c r="Q11" i="1"/>
  <c r="Q10" i="1"/>
  <c r="O68" i="1"/>
  <c r="O44" i="1"/>
  <c r="O77" i="1"/>
  <c r="O76" i="1"/>
  <c r="O75" i="1"/>
  <c r="O74" i="1"/>
  <c r="O73" i="1"/>
  <c r="O72" i="1"/>
  <c r="O71" i="1"/>
  <c r="O70" i="1"/>
  <c r="O69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P78" i="1" l="1"/>
  <c r="R78" i="1"/>
  <c r="S11" i="1"/>
  <c r="S78" i="1" s="1"/>
  <c r="N78" i="1"/>
  <c r="O9" i="1"/>
  <c r="Q78" i="1"/>
  <c r="O78" i="1" l="1"/>
  <c r="M77" i="1" l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L78" i="1"/>
  <c r="M9" i="1"/>
  <c r="M78" i="1" l="1"/>
  <c r="N41" i="2" l="1"/>
  <c r="F42" i="84" l="1"/>
  <c r="G42" i="84" s="1"/>
  <c r="F42" i="83"/>
  <c r="G42" i="83" s="1"/>
  <c r="F42" i="126"/>
  <c r="G42" i="126" s="1"/>
  <c r="F42" i="127"/>
  <c r="G42" i="127" s="1"/>
  <c r="F42" i="128"/>
  <c r="G42" i="128" s="1"/>
  <c r="F42" i="129"/>
  <c r="G42" i="129" s="1"/>
  <c r="F42" i="130"/>
  <c r="G42" i="130" s="1"/>
  <c r="F42" i="131"/>
  <c r="G42" i="131" s="1"/>
  <c r="F42" i="125"/>
  <c r="G42" i="125" s="1"/>
  <c r="F14" i="46" l="1"/>
  <c r="F13" i="46"/>
  <c r="N44" i="2" l="1"/>
  <c r="N22" i="2"/>
  <c r="F45" i="84" l="1"/>
  <c r="G45" i="84" s="1"/>
  <c r="F45" i="83"/>
  <c r="G45" i="83" s="1"/>
  <c r="F23" i="84"/>
  <c r="G23" i="84" s="1"/>
  <c r="G76" i="84" s="1"/>
  <c r="F23" i="83"/>
  <c r="G23" i="83" s="1"/>
  <c r="G77" i="83" s="1"/>
  <c r="F45" i="126"/>
  <c r="G45" i="126" s="1"/>
  <c r="F45" i="127"/>
  <c r="G45" i="127" s="1"/>
  <c r="F45" i="128"/>
  <c r="G45" i="128" s="1"/>
  <c r="F45" i="129"/>
  <c r="G45" i="129" s="1"/>
  <c r="F45" i="130"/>
  <c r="G45" i="130" s="1"/>
  <c r="F45" i="131"/>
  <c r="G45" i="131" s="1"/>
  <c r="F45" i="125"/>
  <c r="G45" i="125" s="1"/>
  <c r="F23" i="126"/>
  <c r="G23" i="126" s="1"/>
  <c r="F23" i="127"/>
  <c r="G23" i="127" s="1"/>
  <c r="G76" i="127" s="1"/>
  <c r="F23" i="128"/>
  <c r="G23" i="128" s="1"/>
  <c r="F23" i="129"/>
  <c r="G23" i="129" s="1"/>
  <c r="G76" i="129" s="1"/>
  <c r="F23" i="130"/>
  <c r="G23" i="130" s="1"/>
  <c r="F23" i="131"/>
  <c r="G23" i="131" s="1"/>
  <c r="G76" i="131" s="1"/>
  <c r="F23" i="125"/>
  <c r="G23" i="125" s="1"/>
  <c r="F29" i="46"/>
  <c r="F28" i="46"/>
  <c r="F23" i="46"/>
  <c r="F10" i="46"/>
  <c r="F17" i="46"/>
  <c r="F16" i="46"/>
  <c r="F15" i="46"/>
  <c r="G15" i="46" s="1"/>
  <c r="F12" i="46"/>
  <c r="F11" i="46"/>
  <c r="G16" i="31"/>
  <c r="G76" i="125" l="1"/>
  <c r="G76" i="130"/>
  <c r="G76" i="128"/>
  <c r="G76" i="126"/>
  <c r="C75" i="67"/>
  <c r="C74" i="67"/>
  <c r="C73" i="67"/>
  <c r="C72" i="67"/>
  <c r="C71" i="67"/>
  <c r="C70" i="67"/>
  <c r="C69" i="67"/>
  <c r="C68" i="67"/>
  <c r="C67" i="67"/>
  <c r="C66" i="67"/>
  <c r="C65" i="67"/>
  <c r="C64" i="67"/>
  <c r="C63" i="67"/>
  <c r="C62" i="67"/>
  <c r="C61" i="67"/>
  <c r="C60" i="67"/>
  <c r="C59" i="67"/>
  <c r="C58" i="67"/>
  <c r="C57" i="67"/>
  <c r="C56" i="67"/>
  <c r="C55" i="67"/>
  <c r="C54" i="67"/>
  <c r="C53" i="67"/>
  <c r="C52" i="67"/>
  <c r="C51" i="67"/>
  <c r="C50" i="67"/>
  <c r="C49" i="67"/>
  <c r="C48" i="67"/>
  <c r="C47" i="67"/>
  <c r="C46" i="67"/>
  <c r="C45" i="67"/>
  <c r="C44" i="67"/>
  <c r="C43" i="67"/>
  <c r="C42" i="67"/>
  <c r="C41" i="67"/>
  <c r="C40" i="67"/>
  <c r="C39" i="67"/>
  <c r="C38" i="67"/>
  <c r="C37" i="67"/>
  <c r="C36" i="67"/>
  <c r="C35" i="67"/>
  <c r="C34" i="67"/>
  <c r="C33" i="67"/>
  <c r="C32" i="67"/>
  <c r="C31" i="67"/>
  <c r="C30" i="67"/>
  <c r="C29" i="67"/>
  <c r="C28" i="67"/>
  <c r="C27" i="67"/>
  <c r="C26" i="67"/>
  <c r="C25" i="67"/>
  <c r="C24" i="67"/>
  <c r="C23" i="67"/>
  <c r="C22" i="67"/>
  <c r="C21" i="67"/>
  <c r="C20" i="67"/>
  <c r="C19" i="67"/>
  <c r="C18" i="67"/>
  <c r="C17" i="67"/>
  <c r="C16" i="67"/>
  <c r="C15" i="67"/>
  <c r="C14" i="67"/>
  <c r="C13" i="67"/>
  <c r="C12" i="67"/>
  <c r="C11" i="67"/>
  <c r="C10" i="67"/>
  <c r="C9" i="67"/>
  <c r="C8" i="67"/>
  <c r="C7" i="67"/>
  <c r="R76" i="120" l="1"/>
  <c r="K76" i="120"/>
  <c r="F76" i="120"/>
  <c r="F75" i="120"/>
  <c r="F74" i="120"/>
  <c r="F73" i="120"/>
  <c r="F72" i="120"/>
  <c r="F71" i="120"/>
  <c r="F70" i="120"/>
  <c r="F69" i="120"/>
  <c r="F68" i="120"/>
  <c r="F67" i="120"/>
  <c r="F66" i="120"/>
  <c r="F65" i="120"/>
  <c r="F64" i="120"/>
  <c r="F63" i="120"/>
  <c r="F62" i="120"/>
  <c r="F61" i="120"/>
  <c r="F60" i="120"/>
  <c r="F59" i="120"/>
  <c r="F58" i="120"/>
  <c r="G58" i="120" s="1"/>
  <c r="F57" i="120"/>
  <c r="G57" i="120" s="1"/>
  <c r="F56" i="120"/>
  <c r="G56" i="120" s="1"/>
  <c r="F55" i="120"/>
  <c r="G55" i="120" s="1"/>
  <c r="F54" i="120"/>
  <c r="G54" i="120" s="1"/>
  <c r="F53" i="120"/>
  <c r="G53" i="120" s="1"/>
  <c r="F52" i="120"/>
  <c r="G52" i="120" s="1"/>
  <c r="F51" i="120"/>
  <c r="G51" i="120" s="1"/>
  <c r="F50" i="120"/>
  <c r="G50" i="120" s="1"/>
  <c r="F49" i="120"/>
  <c r="G49" i="120" s="1"/>
  <c r="F48" i="120"/>
  <c r="G48" i="120" s="1"/>
  <c r="F47" i="120"/>
  <c r="G47" i="120" s="1"/>
  <c r="F46" i="120"/>
  <c r="G46" i="120" s="1"/>
  <c r="F45" i="120"/>
  <c r="G45" i="120" s="1"/>
  <c r="F44" i="120"/>
  <c r="G44" i="120" s="1"/>
  <c r="F43" i="120"/>
  <c r="G43" i="120" s="1"/>
  <c r="F42" i="120"/>
  <c r="G42" i="120" s="1"/>
  <c r="F41" i="120"/>
  <c r="G41" i="120" s="1"/>
  <c r="F40" i="120"/>
  <c r="G40" i="120" s="1"/>
  <c r="F39" i="120"/>
  <c r="G39" i="120" s="1"/>
  <c r="F38" i="120"/>
  <c r="F37" i="120"/>
  <c r="F36" i="120"/>
  <c r="F35" i="120"/>
  <c r="F34" i="120"/>
  <c r="F33" i="120"/>
  <c r="F32" i="120"/>
  <c r="F31" i="120"/>
  <c r="F30" i="120"/>
  <c r="F29" i="120"/>
  <c r="F28" i="120"/>
  <c r="F27" i="120"/>
  <c r="F26" i="120"/>
  <c r="F25" i="120"/>
  <c r="F24" i="120"/>
  <c r="F23" i="120"/>
  <c r="F22" i="120"/>
  <c r="F21" i="120"/>
  <c r="F20" i="120"/>
  <c r="F19" i="120"/>
  <c r="G19" i="120" s="1"/>
  <c r="F18" i="120"/>
  <c r="G18" i="120" s="1"/>
  <c r="F17" i="120"/>
  <c r="G17" i="120" s="1"/>
  <c r="F16" i="120"/>
  <c r="G16" i="120" s="1"/>
  <c r="F15" i="120"/>
  <c r="G15" i="120" s="1"/>
  <c r="F14" i="120"/>
  <c r="F13" i="120"/>
  <c r="F12" i="120"/>
  <c r="F11" i="120"/>
  <c r="F10" i="120"/>
  <c r="F9" i="120"/>
  <c r="F8" i="120"/>
  <c r="F7" i="120"/>
  <c r="C76" i="120"/>
  <c r="D5" i="120"/>
  <c r="E5" i="120" s="1"/>
  <c r="F5" i="120" s="1"/>
  <c r="G5" i="120" s="1"/>
  <c r="H5" i="120" s="1"/>
  <c r="I5" i="120" s="1"/>
  <c r="J5" i="120" s="1"/>
  <c r="K5" i="120" s="1"/>
  <c r="L5" i="120" s="1"/>
  <c r="M5" i="120" s="1"/>
  <c r="N5" i="120" s="1"/>
  <c r="O5" i="120" s="1"/>
  <c r="P5" i="120" s="1"/>
  <c r="Q5" i="120" s="1"/>
  <c r="R5" i="120" s="1"/>
  <c r="S5" i="120" s="1"/>
  <c r="T5" i="120" s="1"/>
  <c r="U5" i="120" s="1"/>
  <c r="V5" i="120" s="1"/>
  <c r="R76" i="119"/>
  <c r="K76" i="119"/>
  <c r="F76" i="119"/>
  <c r="F75" i="119"/>
  <c r="F74" i="119"/>
  <c r="F73" i="119"/>
  <c r="F72" i="119"/>
  <c r="F71" i="119"/>
  <c r="F70" i="119"/>
  <c r="F69" i="119"/>
  <c r="F68" i="119"/>
  <c r="F67" i="119"/>
  <c r="F66" i="119"/>
  <c r="F65" i="119"/>
  <c r="F64" i="119"/>
  <c r="F63" i="119"/>
  <c r="F62" i="119"/>
  <c r="F61" i="119"/>
  <c r="F60" i="119"/>
  <c r="F59" i="119"/>
  <c r="F58" i="119"/>
  <c r="F57" i="119"/>
  <c r="F56" i="119"/>
  <c r="F55" i="119"/>
  <c r="F54" i="119"/>
  <c r="F53" i="119"/>
  <c r="F52" i="119"/>
  <c r="F51" i="119"/>
  <c r="F50" i="119"/>
  <c r="F49" i="119"/>
  <c r="F48" i="119"/>
  <c r="F47" i="119"/>
  <c r="F46" i="119"/>
  <c r="F45" i="119"/>
  <c r="F44" i="119"/>
  <c r="F43" i="119"/>
  <c r="F42" i="119"/>
  <c r="F41" i="119"/>
  <c r="F40" i="119"/>
  <c r="F39" i="119"/>
  <c r="G39" i="119" s="1"/>
  <c r="F38" i="119"/>
  <c r="G38" i="119" s="1"/>
  <c r="F37" i="119"/>
  <c r="G37" i="119" s="1"/>
  <c r="F36" i="119"/>
  <c r="G36" i="119" s="1"/>
  <c r="F35" i="119"/>
  <c r="G35" i="119" s="1"/>
  <c r="F34" i="119"/>
  <c r="F33" i="119"/>
  <c r="F32" i="119"/>
  <c r="F31" i="119"/>
  <c r="F30" i="119"/>
  <c r="F29" i="119"/>
  <c r="F28" i="119"/>
  <c r="F27" i="119"/>
  <c r="F26" i="119"/>
  <c r="F25" i="119"/>
  <c r="F24" i="119"/>
  <c r="F23" i="119"/>
  <c r="F22" i="119"/>
  <c r="F21" i="119"/>
  <c r="F20" i="119"/>
  <c r="F19" i="119"/>
  <c r="F18" i="119"/>
  <c r="F17" i="119"/>
  <c r="F16" i="119"/>
  <c r="F15" i="119"/>
  <c r="F14" i="119"/>
  <c r="F13" i="119"/>
  <c r="F12" i="119"/>
  <c r="F11" i="119"/>
  <c r="F10" i="119"/>
  <c r="F9" i="119"/>
  <c r="F8" i="119"/>
  <c r="F7" i="119"/>
  <c r="D5" i="119"/>
  <c r="E5" i="119" s="1"/>
  <c r="F5" i="119" s="1"/>
  <c r="G5" i="119" s="1"/>
  <c r="H5" i="119" s="1"/>
  <c r="I5" i="119" s="1"/>
  <c r="J5" i="119" s="1"/>
  <c r="K5" i="119" s="1"/>
  <c r="L5" i="119" s="1"/>
  <c r="M5" i="119" s="1"/>
  <c r="N5" i="119" s="1"/>
  <c r="O5" i="119" s="1"/>
  <c r="P5" i="119" s="1"/>
  <c r="Q5" i="119" s="1"/>
  <c r="R5" i="119" s="1"/>
  <c r="S5" i="119" s="1"/>
  <c r="T5" i="119" s="1"/>
  <c r="U5" i="119" s="1"/>
  <c r="V5" i="119" s="1"/>
  <c r="R76" i="118"/>
  <c r="K76" i="118"/>
  <c r="F76" i="118"/>
  <c r="F75" i="118"/>
  <c r="F74" i="118"/>
  <c r="F73" i="118"/>
  <c r="F72" i="118"/>
  <c r="F71" i="118"/>
  <c r="F70" i="118"/>
  <c r="F69" i="118"/>
  <c r="F68" i="118"/>
  <c r="F67" i="118"/>
  <c r="F66" i="118"/>
  <c r="F65" i="118"/>
  <c r="F64" i="118"/>
  <c r="F63" i="118"/>
  <c r="F62" i="118"/>
  <c r="F61" i="118"/>
  <c r="F60" i="118"/>
  <c r="F59" i="118"/>
  <c r="F58" i="118"/>
  <c r="F57" i="118"/>
  <c r="F56" i="118"/>
  <c r="F55" i="118"/>
  <c r="F54" i="118"/>
  <c r="F53" i="118"/>
  <c r="F52" i="118"/>
  <c r="F51" i="118"/>
  <c r="F50" i="118"/>
  <c r="F49" i="118"/>
  <c r="F48" i="118"/>
  <c r="F47" i="118"/>
  <c r="F46" i="118"/>
  <c r="F45" i="118"/>
  <c r="F44" i="118"/>
  <c r="F43" i="118"/>
  <c r="F42" i="118"/>
  <c r="F41" i="118"/>
  <c r="F40" i="118"/>
  <c r="F39" i="118"/>
  <c r="G39" i="118" s="1"/>
  <c r="F38" i="118"/>
  <c r="G38" i="118" s="1"/>
  <c r="F37" i="118"/>
  <c r="G37" i="118" s="1"/>
  <c r="F36" i="118"/>
  <c r="G36" i="118" s="1"/>
  <c r="F35" i="118"/>
  <c r="G35" i="118" s="1"/>
  <c r="F34" i="118"/>
  <c r="F33" i="118"/>
  <c r="F32" i="118"/>
  <c r="G32" i="118" s="1"/>
  <c r="F31" i="118"/>
  <c r="G31" i="118" s="1"/>
  <c r="F30" i="118"/>
  <c r="G30" i="118" s="1"/>
  <c r="F29" i="118"/>
  <c r="G29" i="118" s="1"/>
  <c r="F28" i="118"/>
  <c r="G28" i="118" s="1"/>
  <c r="F27" i="118"/>
  <c r="G27" i="118" s="1"/>
  <c r="F26" i="118"/>
  <c r="F25" i="118"/>
  <c r="F24" i="118"/>
  <c r="G24" i="118" s="1"/>
  <c r="F23" i="118"/>
  <c r="G23" i="118" s="1"/>
  <c r="F22" i="118"/>
  <c r="G22" i="118" s="1"/>
  <c r="F21" i="118"/>
  <c r="G21" i="118" s="1"/>
  <c r="F20" i="118"/>
  <c r="G20" i="118" s="1"/>
  <c r="F19" i="118"/>
  <c r="G19" i="118" s="1"/>
  <c r="F18" i="118"/>
  <c r="F17" i="118"/>
  <c r="F16" i="118"/>
  <c r="G16" i="118" s="1"/>
  <c r="F15" i="118"/>
  <c r="G15" i="118" s="1"/>
  <c r="F14" i="118"/>
  <c r="G14" i="118" s="1"/>
  <c r="F13" i="118"/>
  <c r="G13" i="118" s="1"/>
  <c r="F12" i="118"/>
  <c r="G12" i="118" s="1"/>
  <c r="F11" i="118"/>
  <c r="F10" i="118"/>
  <c r="F9" i="118"/>
  <c r="F8" i="118"/>
  <c r="F7" i="118"/>
  <c r="D5" i="118"/>
  <c r="E5" i="118" s="1"/>
  <c r="F5" i="118" s="1"/>
  <c r="G5" i="118" s="1"/>
  <c r="H5" i="118" s="1"/>
  <c r="I5" i="118" s="1"/>
  <c r="J5" i="118" s="1"/>
  <c r="K5" i="118" s="1"/>
  <c r="L5" i="118" s="1"/>
  <c r="M5" i="118" s="1"/>
  <c r="N5" i="118" s="1"/>
  <c r="O5" i="118" s="1"/>
  <c r="P5" i="118" s="1"/>
  <c r="Q5" i="118" s="1"/>
  <c r="R5" i="118" s="1"/>
  <c r="S5" i="118" s="1"/>
  <c r="T5" i="118" s="1"/>
  <c r="U5" i="118" s="1"/>
  <c r="V5" i="118" s="1"/>
  <c r="C76" i="117"/>
  <c r="F76" i="117"/>
  <c r="F75" i="117"/>
  <c r="F74" i="117"/>
  <c r="F73" i="117"/>
  <c r="F72" i="117"/>
  <c r="F71" i="117"/>
  <c r="F70" i="117"/>
  <c r="F69" i="117"/>
  <c r="F68" i="117"/>
  <c r="F67" i="117"/>
  <c r="F66" i="117"/>
  <c r="F65" i="117"/>
  <c r="F64" i="117"/>
  <c r="F63" i="117"/>
  <c r="F62" i="117"/>
  <c r="F61" i="117"/>
  <c r="F60" i="117"/>
  <c r="F59" i="117"/>
  <c r="F58" i="117"/>
  <c r="F57" i="117"/>
  <c r="F56" i="117"/>
  <c r="F55" i="117"/>
  <c r="F54" i="117"/>
  <c r="F53" i="117"/>
  <c r="F52" i="117"/>
  <c r="F51" i="117"/>
  <c r="F50" i="117"/>
  <c r="F49" i="117"/>
  <c r="F48" i="117"/>
  <c r="F47" i="117"/>
  <c r="F46" i="117"/>
  <c r="F45" i="117"/>
  <c r="F44" i="117"/>
  <c r="F43" i="117"/>
  <c r="F42" i="117"/>
  <c r="F41" i="117"/>
  <c r="F40" i="117"/>
  <c r="F39" i="117"/>
  <c r="G39" i="117" s="1"/>
  <c r="F38" i="117"/>
  <c r="G38" i="117" s="1"/>
  <c r="F37" i="117"/>
  <c r="G37" i="117" s="1"/>
  <c r="F36" i="117"/>
  <c r="G36" i="117" s="1"/>
  <c r="F35" i="117"/>
  <c r="F34" i="117"/>
  <c r="F33" i="117"/>
  <c r="F32" i="117"/>
  <c r="F31" i="117"/>
  <c r="F30" i="117"/>
  <c r="F29" i="117"/>
  <c r="F28" i="117"/>
  <c r="F27" i="117"/>
  <c r="F26" i="117"/>
  <c r="F25" i="117"/>
  <c r="F24" i="117"/>
  <c r="T76" i="117"/>
  <c r="K76" i="117"/>
  <c r="F23" i="117"/>
  <c r="F22" i="117"/>
  <c r="F21" i="117"/>
  <c r="F20" i="117"/>
  <c r="F19" i="117"/>
  <c r="F18" i="117"/>
  <c r="F17" i="117"/>
  <c r="F16" i="117"/>
  <c r="F15" i="117"/>
  <c r="F14" i="117"/>
  <c r="F13" i="117"/>
  <c r="F12" i="117"/>
  <c r="F11" i="117"/>
  <c r="F10" i="117"/>
  <c r="F9" i="117"/>
  <c r="F8" i="117"/>
  <c r="F7" i="117"/>
  <c r="D5" i="117"/>
  <c r="E5" i="117" s="1"/>
  <c r="F5" i="117" s="1"/>
  <c r="G5" i="117" s="1"/>
  <c r="H5" i="117" s="1"/>
  <c r="I5" i="117" s="1"/>
  <c r="J5" i="117" s="1"/>
  <c r="K5" i="117" s="1"/>
  <c r="L5" i="117" s="1"/>
  <c r="M5" i="117" s="1"/>
  <c r="N5" i="117" s="1"/>
  <c r="O5" i="117" s="1"/>
  <c r="P5" i="117" s="1"/>
  <c r="Q5" i="117" s="1"/>
  <c r="R5" i="117" s="1"/>
  <c r="S5" i="117" s="1"/>
  <c r="T5" i="117" s="1"/>
  <c r="U5" i="117" s="1"/>
  <c r="V5" i="117" s="1"/>
  <c r="W5" i="117" s="1"/>
  <c r="X5" i="117" s="1"/>
  <c r="C76" i="116"/>
  <c r="F76" i="116"/>
  <c r="F75" i="116"/>
  <c r="F74" i="116"/>
  <c r="F73" i="116"/>
  <c r="F72" i="116"/>
  <c r="F71" i="116"/>
  <c r="F70" i="116"/>
  <c r="F69" i="116"/>
  <c r="F68" i="116"/>
  <c r="F67" i="116"/>
  <c r="F66" i="116"/>
  <c r="F65" i="116"/>
  <c r="F64" i="116"/>
  <c r="F63" i="116"/>
  <c r="F62" i="116"/>
  <c r="F61" i="116"/>
  <c r="F60" i="116"/>
  <c r="F59" i="116"/>
  <c r="F58" i="116"/>
  <c r="F57" i="116"/>
  <c r="F56" i="116"/>
  <c r="F55" i="116"/>
  <c r="F54" i="116"/>
  <c r="F53" i="116"/>
  <c r="F52" i="116"/>
  <c r="F51" i="116"/>
  <c r="F50" i="116"/>
  <c r="F49" i="116"/>
  <c r="F48" i="116"/>
  <c r="F47" i="116"/>
  <c r="F46" i="116"/>
  <c r="F45" i="116"/>
  <c r="F44" i="116"/>
  <c r="F43" i="116"/>
  <c r="F42" i="116"/>
  <c r="F41" i="116"/>
  <c r="F40" i="116"/>
  <c r="F39" i="116"/>
  <c r="G39" i="116" s="1"/>
  <c r="F38" i="116"/>
  <c r="G38" i="116" s="1"/>
  <c r="F37" i="116"/>
  <c r="G37" i="116" s="1"/>
  <c r="F36" i="116"/>
  <c r="F35" i="116"/>
  <c r="F34" i="116"/>
  <c r="F33" i="116"/>
  <c r="F32" i="116"/>
  <c r="F31" i="116"/>
  <c r="F30" i="116"/>
  <c r="F29" i="116"/>
  <c r="F28" i="116"/>
  <c r="F27" i="116"/>
  <c r="F26" i="116"/>
  <c r="F25" i="116"/>
  <c r="F24" i="116"/>
  <c r="F23" i="116"/>
  <c r="F22" i="116"/>
  <c r="F21" i="116"/>
  <c r="F20" i="116"/>
  <c r="F19" i="116"/>
  <c r="F18" i="116"/>
  <c r="F17" i="116"/>
  <c r="F16" i="116"/>
  <c r="F15" i="116"/>
  <c r="F14" i="116"/>
  <c r="F13" i="116"/>
  <c r="F12" i="116"/>
  <c r="F11" i="116"/>
  <c r="F10" i="116"/>
  <c r="F9" i="116"/>
  <c r="F8" i="116"/>
  <c r="F7" i="116"/>
  <c r="D5" i="116"/>
  <c r="E5" i="116" s="1"/>
  <c r="F5" i="116" s="1"/>
  <c r="G5" i="116" s="1"/>
  <c r="H5" i="116" s="1"/>
  <c r="I5" i="116" s="1"/>
  <c r="J5" i="116" s="1"/>
  <c r="K5" i="116" s="1"/>
  <c r="L5" i="116" s="1"/>
  <c r="M5" i="116" s="1"/>
  <c r="N5" i="116" s="1"/>
  <c r="O5" i="116" s="1"/>
  <c r="P5" i="116" s="1"/>
  <c r="Q5" i="116" s="1"/>
  <c r="R5" i="116" s="1"/>
  <c r="S5" i="116" s="1"/>
  <c r="T5" i="116" s="1"/>
  <c r="U5" i="116" s="1"/>
  <c r="V5" i="116" s="1"/>
  <c r="K76" i="115"/>
  <c r="F76" i="115"/>
  <c r="F75" i="115"/>
  <c r="F74" i="115"/>
  <c r="G74" i="115" s="1"/>
  <c r="F73" i="115"/>
  <c r="G73" i="115" s="1"/>
  <c r="F72" i="115"/>
  <c r="G72" i="115" s="1"/>
  <c r="F71" i="115"/>
  <c r="F70" i="115"/>
  <c r="G70" i="115" s="1"/>
  <c r="F69" i="115"/>
  <c r="G69" i="115" s="1"/>
  <c r="F68" i="115"/>
  <c r="G68" i="115" s="1"/>
  <c r="F67" i="115"/>
  <c r="F66" i="115"/>
  <c r="G66" i="115" s="1"/>
  <c r="F65" i="115"/>
  <c r="G65" i="115" s="1"/>
  <c r="F64" i="115"/>
  <c r="G64" i="115" s="1"/>
  <c r="F63" i="115"/>
  <c r="G63" i="115" s="1"/>
  <c r="F62" i="115"/>
  <c r="G62" i="115" s="1"/>
  <c r="F61" i="115"/>
  <c r="G61" i="115" s="1"/>
  <c r="F60" i="115"/>
  <c r="G60" i="115" s="1"/>
  <c r="F59" i="115"/>
  <c r="F58" i="115"/>
  <c r="G58" i="115" s="1"/>
  <c r="F57" i="115"/>
  <c r="G57" i="115" s="1"/>
  <c r="F56" i="115"/>
  <c r="G56" i="115" s="1"/>
  <c r="F55" i="115"/>
  <c r="G55" i="115" s="1"/>
  <c r="F54" i="115"/>
  <c r="G54" i="115" s="1"/>
  <c r="F53" i="115"/>
  <c r="G53" i="115" s="1"/>
  <c r="F52" i="115"/>
  <c r="G52" i="115" s="1"/>
  <c r="F51" i="115"/>
  <c r="G51" i="115" s="1"/>
  <c r="F50" i="115"/>
  <c r="F49" i="115"/>
  <c r="G49" i="115" s="1"/>
  <c r="F48" i="115"/>
  <c r="F47" i="115"/>
  <c r="F46" i="115"/>
  <c r="F45" i="115"/>
  <c r="F44" i="115"/>
  <c r="F43" i="115"/>
  <c r="F42" i="115"/>
  <c r="F41" i="115"/>
  <c r="F40" i="115"/>
  <c r="G40" i="115" s="1"/>
  <c r="F39" i="115"/>
  <c r="F38" i="115"/>
  <c r="G38" i="115" s="1"/>
  <c r="F37" i="115"/>
  <c r="G37" i="115" s="1"/>
  <c r="F36" i="115"/>
  <c r="G36" i="115" s="1"/>
  <c r="F35" i="115"/>
  <c r="G35" i="115" s="1"/>
  <c r="F34" i="115"/>
  <c r="G34" i="115" s="1"/>
  <c r="F33" i="115"/>
  <c r="G33" i="115" s="1"/>
  <c r="F32" i="115"/>
  <c r="G32" i="115" s="1"/>
  <c r="F31" i="115"/>
  <c r="F30" i="115"/>
  <c r="G30" i="115" s="1"/>
  <c r="F29" i="115"/>
  <c r="G29" i="115" s="1"/>
  <c r="F28" i="115"/>
  <c r="G28" i="115" s="1"/>
  <c r="F27" i="115"/>
  <c r="G27" i="115" s="1"/>
  <c r="F26" i="115"/>
  <c r="G26" i="115" s="1"/>
  <c r="F25" i="115"/>
  <c r="G25" i="115" s="1"/>
  <c r="F24" i="115"/>
  <c r="G24" i="115" s="1"/>
  <c r="R76" i="115"/>
  <c r="F23" i="115"/>
  <c r="F22" i="115"/>
  <c r="G22" i="115" s="1"/>
  <c r="F21" i="115"/>
  <c r="G21" i="115" s="1"/>
  <c r="F20" i="115"/>
  <c r="G20" i="115" s="1"/>
  <c r="F19" i="115"/>
  <c r="F18" i="115"/>
  <c r="G18" i="115" s="1"/>
  <c r="F17" i="115"/>
  <c r="G17" i="115" s="1"/>
  <c r="F16" i="115"/>
  <c r="G16" i="115" s="1"/>
  <c r="F15" i="115"/>
  <c r="G15" i="115" s="1"/>
  <c r="F14" i="115"/>
  <c r="G14" i="115" s="1"/>
  <c r="F13" i="115"/>
  <c r="G13" i="115" s="1"/>
  <c r="F12" i="115"/>
  <c r="G12" i="115" s="1"/>
  <c r="F11" i="115"/>
  <c r="F10" i="115"/>
  <c r="G10" i="115" s="1"/>
  <c r="F9" i="115"/>
  <c r="G9" i="115" s="1"/>
  <c r="F8" i="115"/>
  <c r="G8" i="115" s="1"/>
  <c r="F7" i="115"/>
  <c r="D5" i="115"/>
  <c r="E5" i="115" s="1"/>
  <c r="F5" i="115" s="1"/>
  <c r="G5" i="115" s="1"/>
  <c r="H5" i="115" s="1"/>
  <c r="I5" i="115" s="1"/>
  <c r="J5" i="115" s="1"/>
  <c r="K5" i="115" s="1"/>
  <c r="L5" i="115" s="1"/>
  <c r="M5" i="115" s="1"/>
  <c r="N5" i="115" s="1"/>
  <c r="O5" i="115" s="1"/>
  <c r="P5" i="115" s="1"/>
  <c r="Q5" i="115" s="1"/>
  <c r="R5" i="115" s="1"/>
  <c r="S5" i="115" s="1"/>
  <c r="T5" i="115" s="1"/>
  <c r="U5" i="115" s="1"/>
  <c r="V5" i="115" s="1"/>
  <c r="K77" i="114"/>
  <c r="R77" i="114"/>
  <c r="F76" i="114"/>
  <c r="G76" i="114" s="1"/>
  <c r="F77" i="114"/>
  <c r="F75" i="114"/>
  <c r="F74" i="114"/>
  <c r="F73" i="114"/>
  <c r="F72" i="114"/>
  <c r="F71" i="114"/>
  <c r="F70" i="114"/>
  <c r="F69" i="114"/>
  <c r="F68" i="114"/>
  <c r="F67" i="114"/>
  <c r="F66" i="114"/>
  <c r="F65" i="114"/>
  <c r="F64" i="114"/>
  <c r="F63" i="114"/>
  <c r="F62" i="114"/>
  <c r="F61" i="114"/>
  <c r="F60" i="114"/>
  <c r="F59" i="114"/>
  <c r="F58" i="114"/>
  <c r="F57" i="114"/>
  <c r="F56" i="114"/>
  <c r="F55" i="114"/>
  <c r="F54" i="114"/>
  <c r="F53" i="114"/>
  <c r="F52" i="114"/>
  <c r="F51" i="114"/>
  <c r="F50" i="114"/>
  <c r="F49" i="114"/>
  <c r="F48" i="114"/>
  <c r="F47" i="114"/>
  <c r="F46" i="114"/>
  <c r="F45" i="114"/>
  <c r="F44" i="114"/>
  <c r="F43" i="114"/>
  <c r="F42" i="114"/>
  <c r="F41" i="114"/>
  <c r="F40" i="114"/>
  <c r="F39" i="114"/>
  <c r="G39" i="114" s="1"/>
  <c r="F38" i="114"/>
  <c r="F37" i="114"/>
  <c r="G37" i="114" s="1"/>
  <c r="F36" i="114"/>
  <c r="G36" i="114" s="1"/>
  <c r="F35" i="114"/>
  <c r="F34" i="114"/>
  <c r="G34" i="114" s="1"/>
  <c r="F33" i="114"/>
  <c r="G33" i="114" s="1"/>
  <c r="F32" i="114"/>
  <c r="G32" i="114" s="1"/>
  <c r="F31" i="114"/>
  <c r="F30" i="114"/>
  <c r="G30" i="114" s="1"/>
  <c r="F29" i="114"/>
  <c r="G29" i="114" s="1"/>
  <c r="F28" i="114"/>
  <c r="G28" i="114" s="1"/>
  <c r="F27" i="114"/>
  <c r="G27" i="114" s="1"/>
  <c r="F26" i="114"/>
  <c r="G26" i="114" s="1"/>
  <c r="F25" i="114"/>
  <c r="G25" i="114" s="1"/>
  <c r="F24" i="114"/>
  <c r="G24" i="114" s="1"/>
  <c r="F23" i="114"/>
  <c r="F22" i="114"/>
  <c r="G22" i="114" s="1"/>
  <c r="F21" i="114"/>
  <c r="G21" i="114" s="1"/>
  <c r="F20" i="114"/>
  <c r="G20" i="114" s="1"/>
  <c r="F19" i="114"/>
  <c r="F18" i="114"/>
  <c r="F17" i="114"/>
  <c r="G17" i="114" s="1"/>
  <c r="F16" i="114"/>
  <c r="G16" i="114" s="1"/>
  <c r="F15" i="114"/>
  <c r="G15" i="114" s="1"/>
  <c r="F14" i="114"/>
  <c r="G14" i="114" s="1"/>
  <c r="F13" i="114"/>
  <c r="G13" i="114" s="1"/>
  <c r="F12" i="114"/>
  <c r="G12" i="114" s="1"/>
  <c r="F11" i="114"/>
  <c r="F10" i="114"/>
  <c r="F9" i="114"/>
  <c r="F8" i="114"/>
  <c r="F7" i="114"/>
  <c r="D5" i="114"/>
  <c r="E5" i="114" s="1"/>
  <c r="F5" i="114" s="1"/>
  <c r="G5" i="114" s="1"/>
  <c r="H5" i="114" s="1"/>
  <c r="I5" i="114" s="1"/>
  <c r="J5" i="114" s="1"/>
  <c r="K5" i="114" s="1"/>
  <c r="L5" i="114" s="1"/>
  <c r="M5" i="114" s="1"/>
  <c r="N5" i="114" s="1"/>
  <c r="O5" i="114" s="1"/>
  <c r="P5" i="114" s="1"/>
  <c r="Q5" i="114" s="1"/>
  <c r="R5" i="114" s="1"/>
  <c r="S5" i="114" s="1"/>
  <c r="T5" i="114" s="1"/>
  <c r="U5" i="114" s="1"/>
  <c r="V5" i="114" s="1"/>
  <c r="K76" i="113"/>
  <c r="F45" i="113"/>
  <c r="G45" i="113" s="1"/>
  <c r="F42" i="113"/>
  <c r="F23" i="113"/>
  <c r="G23" i="113" s="1"/>
  <c r="F76" i="113"/>
  <c r="F75" i="113"/>
  <c r="G75" i="113" s="1"/>
  <c r="F74" i="113"/>
  <c r="G74" i="113" s="1"/>
  <c r="F73" i="113"/>
  <c r="G73" i="113" s="1"/>
  <c r="F72" i="113"/>
  <c r="F71" i="113"/>
  <c r="G71" i="113" s="1"/>
  <c r="F70" i="113"/>
  <c r="G70" i="113" s="1"/>
  <c r="F69" i="113"/>
  <c r="G69" i="113" s="1"/>
  <c r="F68" i="113"/>
  <c r="G68" i="113" s="1"/>
  <c r="F67" i="113"/>
  <c r="G67" i="113" s="1"/>
  <c r="F66" i="113"/>
  <c r="G66" i="113" s="1"/>
  <c r="F65" i="113"/>
  <c r="G65" i="113" s="1"/>
  <c r="F64" i="113"/>
  <c r="G64" i="113" s="1"/>
  <c r="F63" i="113"/>
  <c r="G63" i="113" s="1"/>
  <c r="F62" i="113"/>
  <c r="F61" i="113"/>
  <c r="G61" i="113" s="1"/>
  <c r="F60" i="113"/>
  <c r="G60" i="113" s="1"/>
  <c r="F59" i="113"/>
  <c r="G59" i="113" s="1"/>
  <c r="F58" i="113"/>
  <c r="G58" i="113" s="1"/>
  <c r="F57" i="113"/>
  <c r="G57" i="113" s="1"/>
  <c r="F56" i="113"/>
  <c r="G56" i="113" s="1"/>
  <c r="F55" i="113"/>
  <c r="G55" i="113" s="1"/>
  <c r="F54" i="113"/>
  <c r="G54" i="113" s="1"/>
  <c r="F53" i="113"/>
  <c r="G53" i="113" s="1"/>
  <c r="F52" i="113"/>
  <c r="G52" i="113" s="1"/>
  <c r="F51" i="113"/>
  <c r="G51" i="113" s="1"/>
  <c r="F50" i="113"/>
  <c r="G50" i="113" s="1"/>
  <c r="F49" i="113"/>
  <c r="G49" i="113" s="1"/>
  <c r="F48" i="113"/>
  <c r="G48" i="113" s="1"/>
  <c r="F47" i="113"/>
  <c r="G47" i="113" s="1"/>
  <c r="F46" i="113"/>
  <c r="G46" i="113" s="1"/>
  <c r="F44" i="113"/>
  <c r="F43" i="113"/>
  <c r="G43" i="113" s="1"/>
  <c r="F41" i="113"/>
  <c r="G41" i="113" s="1"/>
  <c r="F40" i="113"/>
  <c r="F39" i="113"/>
  <c r="G39" i="113" s="1"/>
  <c r="F38" i="113"/>
  <c r="F37" i="113"/>
  <c r="G37" i="113" s="1"/>
  <c r="F36" i="113"/>
  <c r="F35" i="113"/>
  <c r="G35" i="113" s="1"/>
  <c r="F34" i="113"/>
  <c r="F33" i="113"/>
  <c r="G33" i="113" s="1"/>
  <c r="F32" i="113"/>
  <c r="F31" i="113"/>
  <c r="G31" i="113" s="1"/>
  <c r="F30" i="113"/>
  <c r="F29" i="113"/>
  <c r="G29" i="113" s="1"/>
  <c r="F28" i="113"/>
  <c r="F27" i="113"/>
  <c r="G27" i="113" s="1"/>
  <c r="F26" i="113"/>
  <c r="F25" i="113"/>
  <c r="G25" i="113" s="1"/>
  <c r="F24" i="113"/>
  <c r="F22" i="113"/>
  <c r="F21" i="113"/>
  <c r="G21" i="113" s="1"/>
  <c r="F20" i="113"/>
  <c r="G20" i="113" s="1"/>
  <c r="F19" i="113"/>
  <c r="G19" i="113" s="1"/>
  <c r="F18" i="113"/>
  <c r="F17" i="113"/>
  <c r="G17" i="113" s="1"/>
  <c r="F16" i="113"/>
  <c r="G16" i="113" s="1"/>
  <c r="F15" i="113"/>
  <c r="G15" i="113" s="1"/>
  <c r="F14" i="113"/>
  <c r="F13" i="113"/>
  <c r="G13" i="113" s="1"/>
  <c r="F12" i="113"/>
  <c r="G12" i="113" s="1"/>
  <c r="F11" i="113"/>
  <c r="G11" i="113" s="1"/>
  <c r="F10" i="113"/>
  <c r="F9" i="113"/>
  <c r="G9" i="113" s="1"/>
  <c r="F8" i="113"/>
  <c r="G8" i="113" s="1"/>
  <c r="F7" i="113"/>
  <c r="T76" i="113"/>
  <c r="G72" i="113"/>
  <c r="G62" i="113"/>
  <c r="C76" i="113"/>
  <c r="D5" i="113"/>
  <c r="E5" i="113" s="1"/>
  <c r="F5" i="113" s="1"/>
  <c r="G5" i="113" s="1"/>
  <c r="H5" i="113" s="1"/>
  <c r="I5" i="113" s="1"/>
  <c r="J5" i="113" s="1"/>
  <c r="K5" i="113" s="1"/>
  <c r="L5" i="113" s="1"/>
  <c r="M5" i="113" s="1"/>
  <c r="N5" i="113" s="1"/>
  <c r="O5" i="113" s="1"/>
  <c r="P5" i="113" s="1"/>
  <c r="Q5" i="113" s="1"/>
  <c r="R5" i="113" s="1"/>
  <c r="S5" i="113" s="1"/>
  <c r="T5" i="113" s="1"/>
  <c r="U5" i="113" s="1"/>
  <c r="V5" i="113" s="1"/>
  <c r="W5" i="113" s="1"/>
  <c r="X5" i="113" s="1"/>
  <c r="G42" i="113" l="1"/>
  <c r="G44" i="113"/>
  <c r="G19" i="114"/>
  <c r="G35" i="114"/>
  <c r="C76" i="115"/>
  <c r="G24" i="113"/>
  <c r="G28" i="113"/>
  <c r="G32" i="113"/>
  <c r="G36" i="113"/>
  <c r="G40" i="113"/>
  <c r="G18" i="114"/>
  <c r="G67" i="115"/>
  <c r="G18" i="118"/>
  <c r="G26" i="118"/>
  <c r="G34" i="118"/>
  <c r="G38" i="114"/>
  <c r="C77" i="114"/>
  <c r="G31" i="114"/>
  <c r="G50" i="115"/>
  <c r="G11" i="115"/>
  <c r="G19" i="115"/>
  <c r="G31" i="115"/>
  <c r="G39" i="115"/>
  <c r="G10" i="113"/>
  <c r="G14" i="113"/>
  <c r="G18" i="113"/>
  <c r="G22" i="113"/>
  <c r="G26" i="113"/>
  <c r="G30" i="113"/>
  <c r="G34" i="113"/>
  <c r="G38" i="113"/>
  <c r="G71" i="115"/>
  <c r="G17" i="118"/>
  <c r="G25" i="118"/>
  <c r="G33" i="118"/>
  <c r="G7" i="113"/>
  <c r="G59" i="115"/>
  <c r="G75" i="115"/>
  <c r="G7" i="120"/>
  <c r="G8" i="120"/>
  <c r="G9" i="120"/>
  <c r="G10" i="120"/>
  <c r="G11" i="120"/>
  <c r="G12" i="120"/>
  <c r="G13" i="120"/>
  <c r="G14" i="120"/>
  <c r="G20" i="120"/>
  <c r="G21" i="120"/>
  <c r="G22" i="120"/>
  <c r="G23" i="120"/>
  <c r="G24" i="120"/>
  <c r="G25" i="120"/>
  <c r="G26" i="120"/>
  <c r="G27" i="120"/>
  <c r="G28" i="120"/>
  <c r="G29" i="120"/>
  <c r="G30" i="120"/>
  <c r="G31" i="120"/>
  <c r="G32" i="120"/>
  <c r="G33" i="120"/>
  <c r="G34" i="120"/>
  <c r="G35" i="120"/>
  <c r="G36" i="120"/>
  <c r="G37" i="120"/>
  <c r="G38" i="120"/>
  <c r="G59" i="120"/>
  <c r="G60" i="120"/>
  <c r="G61" i="120"/>
  <c r="G62" i="120"/>
  <c r="G63" i="120"/>
  <c r="G64" i="120"/>
  <c r="G65" i="120"/>
  <c r="G66" i="120"/>
  <c r="G67" i="120"/>
  <c r="G68" i="120"/>
  <c r="G69" i="120"/>
  <c r="G70" i="120"/>
  <c r="G71" i="120"/>
  <c r="G72" i="120"/>
  <c r="G73" i="120"/>
  <c r="G74" i="120"/>
  <c r="G75" i="120"/>
  <c r="C76" i="119"/>
  <c r="G7" i="119"/>
  <c r="G8" i="119"/>
  <c r="G9" i="119"/>
  <c r="G10" i="119"/>
  <c r="G11" i="119"/>
  <c r="G12" i="119"/>
  <c r="G13" i="119"/>
  <c r="G14" i="119"/>
  <c r="G15" i="119"/>
  <c r="G16" i="119"/>
  <c r="G17" i="119"/>
  <c r="G18" i="119"/>
  <c r="G19" i="119"/>
  <c r="G20" i="119"/>
  <c r="G21" i="119"/>
  <c r="G22" i="119"/>
  <c r="G23" i="119"/>
  <c r="G24" i="119"/>
  <c r="G25" i="119"/>
  <c r="G26" i="119"/>
  <c r="G27" i="119"/>
  <c r="G28" i="119"/>
  <c r="G29" i="119"/>
  <c r="G30" i="119"/>
  <c r="G31" i="119"/>
  <c r="G32" i="119"/>
  <c r="G33" i="119"/>
  <c r="G34" i="119"/>
  <c r="G40" i="119"/>
  <c r="G41" i="119"/>
  <c r="G43" i="119"/>
  <c r="G45" i="119"/>
  <c r="G42" i="119"/>
  <c r="G44" i="119"/>
  <c r="G46" i="119"/>
  <c r="G47" i="119"/>
  <c r="G48" i="119"/>
  <c r="G49" i="119"/>
  <c r="G50" i="119"/>
  <c r="G51" i="119"/>
  <c r="G52" i="119"/>
  <c r="G53" i="119"/>
  <c r="G54" i="119"/>
  <c r="G55" i="119"/>
  <c r="G56" i="119"/>
  <c r="G57" i="119"/>
  <c r="G58" i="119"/>
  <c r="G59" i="119"/>
  <c r="G60" i="119"/>
  <c r="G61" i="119"/>
  <c r="G62" i="119"/>
  <c r="G63" i="119"/>
  <c r="G64" i="119"/>
  <c r="G65" i="119"/>
  <c r="G66" i="119"/>
  <c r="G67" i="119"/>
  <c r="G68" i="119"/>
  <c r="G69" i="119"/>
  <c r="G70" i="119"/>
  <c r="G71" i="119"/>
  <c r="G72" i="119"/>
  <c r="G73" i="119"/>
  <c r="G74" i="119"/>
  <c r="G75" i="119"/>
  <c r="G8" i="118"/>
  <c r="G10" i="118"/>
  <c r="C76" i="118"/>
  <c r="G7" i="118"/>
  <c r="G9" i="118"/>
  <c r="G11" i="118"/>
  <c r="G46" i="118"/>
  <c r="G42" i="118"/>
  <c r="G44" i="118"/>
  <c r="G40" i="118"/>
  <c r="G41" i="118"/>
  <c r="G43" i="118"/>
  <c r="G45" i="118"/>
  <c r="G47" i="118"/>
  <c r="G48" i="118"/>
  <c r="G49" i="118"/>
  <c r="G50" i="118"/>
  <c r="G51" i="118"/>
  <c r="G52" i="118"/>
  <c r="G53" i="118"/>
  <c r="G54" i="118"/>
  <c r="G55" i="118"/>
  <c r="G56" i="118"/>
  <c r="G57" i="118"/>
  <c r="G58" i="118"/>
  <c r="G59" i="118"/>
  <c r="G60" i="118"/>
  <c r="G61" i="118"/>
  <c r="G62" i="118"/>
  <c r="G63" i="118"/>
  <c r="G64" i="118"/>
  <c r="G65" i="118"/>
  <c r="G66" i="118"/>
  <c r="G67" i="118"/>
  <c r="G68" i="118"/>
  <c r="G69" i="118"/>
  <c r="G70" i="118"/>
  <c r="G71" i="118"/>
  <c r="G72" i="118"/>
  <c r="G73" i="118"/>
  <c r="G74" i="118"/>
  <c r="G75" i="118"/>
  <c r="G43" i="117"/>
  <c r="G7" i="117"/>
  <c r="G8" i="117"/>
  <c r="G9" i="117"/>
  <c r="G10" i="117"/>
  <c r="G11" i="117"/>
  <c r="G12" i="117"/>
  <c r="G13" i="117"/>
  <c r="G14" i="117"/>
  <c r="G15" i="117"/>
  <c r="G16" i="117"/>
  <c r="G17" i="117"/>
  <c r="G18" i="117"/>
  <c r="G19" i="117"/>
  <c r="G20" i="117"/>
  <c r="G21" i="117"/>
  <c r="G22" i="117"/>
  <c r="G23" i="117"/>
  <c r="G24" i="117"/>
  <c r="G25" i="117"/>
  <c r="G26" i="117"/>
  <c r="G27" i="117"/>
  <c r="G28" i="117"/>
  <c r="G29" i="117"/>
  <c r="G30" i="117"/>
  <c r="G31" i="117"/>
  <c r="G32" i="117"/>
  <c r="G33" i="117"/>
  <c r="G34" i="117"/>
  <c r="G35" i="117"/>
  <c r="G40" i="117"/>
  <c r="G41" i="117"/>
  <c r="G42" i="117"/>
  <c r="G44" i="117"/>
  <c r="G45" i="117"/>
  <c r="G46" i="117"/>
  <c r="G47" i="117"/>
  <c r="G48" i="117"/>
  <c r="G49" i="117"/>
  <c r="G50" i="117"/>
  <c r="G51" i="117"/>
  <c r="G52" i="117"/>
  <c r="G53" i="117"/>
  <c r="G54" i="117"/>
  <c r="G55" i="117"/>
  <c r="G56" i="117"/>
  <c r="G57" i="117"/>
  <c r="G58" i="117"/>
  <c r="G59" i="117"/>
  <c r="G60" i="117"/>
  <c r="G61" i="117"/>
  <c r="G62" i="117"/>
  <c r="G63" i="117"/>
  <c r="G64" i="117"/>
  <c r="G65" i="117"/>
  <c r="G66" i="117"/>
  <c r="G67" i="117"/>
  <c r="G68" i="117"/>
  <c r="G69" i="117"/>
  <c r="G70" i="117"/>
  <c r="G71" i="117"/>
  <c r="G72" i="117"/>
  <c r="G73" i="117"/>
  <c r="G74" i="117"/>
  <c r="G75" i="117"/>
  <c r="G7" i="116"/>
  <c r="G8" i="116"/>
  <c r="G9" i="116"/>
  <c r="G10" i="116"/>
  <c r="G11" i="116"/>
  <c r="G12" i="116"/>
  <c r="G13" i="116"/>
  <c r="G14" i="116"/>
  <c r="G15" i="116"/>
  <c r="G16" i="116"/>
  <c r="G17" i="116"/>
  <c r="G18" i="116"/>
  <c r="G19" i="116"/>
  <c r="G20" i="116"/>
  <c r="G21" i="116"/>
  <c r="G22" i="116"/>
  <c r="G23" i="116"/>
  <c r="G24" i="116"/>
  <c r="G25" i="116"/>
  <c r="G26" i="116"/>
  <c r="G27" i="116"/>
  <c r="G28" i="116"/>
  <c r="G29" i="116"/>
  <c r="G30" i="116"/>
  <c r="G31" i="116"/>
  <c r="G32" i="116"/>
  <c r="G33" i="116"/>
  <c r="G34" i="116"/>
  <c r="G35" i="116"/>
  <c r="G36" i="116"/>
  <c r="G40" i="116"/>
  <c r="G41" i="116"/>
  <c r="G43" i="116"/>
  <c r="G42" i="116"/>
  <c r="G44" i="116"/>
  <c r="G45" i="116"/>
  <c r="G46" i="116"/>
  <c r="G47" i="116"/>
  <c r="G48" i="116"/>
  <c r="G49" i="116"/>
  <c r="G50" i="116"/>
  <c r="G51" i="116"/>
  <c r="G52" i="116"/>
  <c r="G53" i="116"/>
  <c r="G54" i="116"/>
  <c r="G55" i="116"/>
  <c r="G56" i="116"/>
  <c r="G57" i="116"/>
  <c r="G58" i="116"/>
  <c r="G59" i="116"/>
  <c r="G60" i="116"/>
  <c r="G61" i="116"/>
  <c r="G62" i="116"/>
  <c r="G63" i="116"/>
  <c r="G64" i="116"/>
  <c r="G65" i="116"/>
  <c r="G66" i="116"/>
  <c r="G67" i="116"/>
  <c r="G68" i="116"/>
  <c r="G69" i="116"/>
  <c r="G70" i="116"/>
  <c r="G71" i="116"/>
  <c r="G72" i="116"/>
  <c r="G73" i="116"/>
  <c r="G74" i="116"/>
  <c r="G75" i="116"/>
  <c r="G7" i="115"/>
  <c r="G23" i="115"/>
  <c r="G41" i="115"/>
  <c r="G42" i="115"/>
  <c r="G43" i="115"/>
  <c r="G44" i="115"/>
  <c r="G45" i="115"/>
  <c r="G46" i="115"/>
  <c r="G47" i="115"/>
  <c r="G48" i="115"/>
  <c r="G8" i="114"/>
  <c r="G10" i="114"/>
  <c r="G7" i="114"/>
  <c r="G9" i="114"/>
  <c r="G11" i="114"/>
  <c r="G42" i="114"/>
  <c r="G44" i="114"/>
  <c r="G45" i="114"/>
  <c r="G23" i="114"/>
  <c r="G40" i="114"/>
  <c r="G41" i="114"/>
  <c r="G43" i="114"/>
  <c r="G46" i="114"/>
  <c r="G47" i="114"/>
  <c r="G48" i="114"/>
  <c r="G49" i="114"/>
  <c r="G50" i="114"/>
  <c r="G51" i="114"/>
  <c r="G52" i="114"/>
  <c r="G53" i="114"/>
  <c r="G54" i="114"/>
  <c r="G55" i="114"/>
  <c r="G56" i="114"/>
  <c r="G57" i="114"/>
  <c r="G58" i="114"/>
  <c r="G59" i="114"/>
  <c r="G60" i="114"/>
  <c r="G61" i="114"/>
  <c r="G62" i="114"/>
  <c r="G63" i="114"/>
  <c r="G64" i="114"/>
  <c r="G65" i="114"/>
  <c r="G66" i="114"/>
  <c r="G67" i="114"/>
  <c r="G68" i="114"/>
  <c r="G69" i="114"/>
  <c r="G70" i="114"/>
  <c r="G71" i="114"/>
  <c r="G72" i="114"/>
  <c r="G73" i="114"/>
  <c r="G74" i="114"/>
  <c r="G75" i="114"/>
  <c r="G76" i="113" l="1"/>
  <c r="G77" i="114"/>
  <c r="G76" i="120"/>
  <c r="G76" i="119"/>
  <c r="G76" i="118"/>
  <c r="G76" i="117"/>
  <c r="G76" i="116"/>
  <c r="G76" i="115"/>
  <c r="U76" i="90" l="1"/>
  <c r="U78" i="90" s="1"/>
  <c r="L76" i="90"/>
  <c r="L78" i="90" s="1"/>
  <c r="Q76" i="88"/>
  <c r="Q76" i="91"/>
  <c r="Q76" i="92"/>
  <c r="S76" i="87"/>
  <c r="J76" i="88"/>
  <c r="J76" i="91"/>
  <c r="J76" i="92"/>
  <c r="J76" i="87"/>
  <c r="Q76" i="86"/>
  <c r="J76" i="86"/>
  <c r="D5" i="100" l="1"/>
  <c r="E5" i="100" l="1"/>
  <c r="F5" i="100" s="1"/>
  <c r="G5" i="100" s="1"/>
  <c r="H5" i="100" s="1"/>
  <c r="I5" i="100" s="1"/>
  <c r="J5" i="100" s="1"/>
  <c r="K5" i="100" s="1"/>
  <c r="L5" i="100" s="1"/>
  <c r="G57" i="31" l="1"/>
  <c r="Q75" i="67" l="1"/>
  <c r="Q74" i="67"/>
  <c r="Q73" i="67"/>
  <c r="Q71" i="67"/>
  <c r="Q70" i="67"/>
  <c r="Q69" i="67"/>
  <c r="Q68" i="67"/>
  <c r="Q67" i="67"/>
  <c r="Q66" i="67"/>
  <c r="Q65" i="67"/>
  <c r="Q64" i="67"/>
  <c r="Q63" i="67"/>
  <c r="Q62" i="67"/>
  <c r="Q60" i="67"/>
  <c r="Q59" i="67"/>
  <c r="Q58" i="67"/>
  <c r="Q57" i="67"/>
  <c r="Q56" i="67"/>
  <c r="Q54" i="67"/>
  <c r="Q53" i="67"/>
  <c r="Q52" i="67"/>
  <c r="Q51" i="67"/>
  <c r="Q50" i="67"/>
  <c r="Q49" i="67"/>
  <c r="Q48" i="67"/>
  <c r="Q47" i="67"/>
  <c r="Q45" i="67"/>
  <c r="Q44" i="67"/>
  <c r="Q41" i="67"/>
  <c r="Q40" i="67"/>
  <c r="Q39" i="67"/>
  <c r="Q38" i="67"/>
  <c r="Q36" i="67"/>
  <c r="Q34" i="67"/>
  <c r="Q33" i="67"/>
  <c r="Q31" i="67"/>
  <c r="Q30" i="67"/>
  <c r="Q28" i="67"/>
  <c r="Q27" i="67"/>
  <c r="Q25" i="67"/>
  <c r="Q24" i="67"/>
  <c r="Q22" i="67"/>
  <c r="Q21" i="67"/>
  <c r="Q20" i="67"/>
  <c r="Q19" i="67"/>
  <c r="Q18" i="67"/>
  <c r="Q17" i="67"/>
  <c r="Q14" i="67"/>
  <c r="Q13" i="67"/>
  <c r="Q12" i="67"/>
  <c r="Q11" i="67"/>
  <c r="Q10" i="67"/>
  <c r="Q9" i="67"/>
  <c r="Q8" i="67"/>
  <c r="Q7" i="67"/>
  <c r="I75" i="67"/>
  <c r="I74" i="67"/>
  <c r="I73" i="67"/>
  <c r="I71" i="67"/>
  <c r="I70" i="67"/>
  <c r="I69" i="67"/>
  <c r="I68" i="67"/>
  <c r="I67" i="67"/>
  <c r="I66" i="67"/>
  <c r="I65" i="67"/>
  <c r="I64" i="67"/>
  <c r="I63" i="67"/>
  <c r="I62" i="67"/>
  <c r="I60" i="67"/>
  <c r="I59" i="67"/>
  <c r="I58" i="67"/>
  <c r="I57" i="67"/>
  <c r="I56" i="67"/>
  <c r="I54" i="67"/>
  <c r="I53" i="67"/>
  <c r="I52" i="67"/>
  <c r="I51" i="67"/>
  <c r="I50" i="67"/>
  <c r="I49" i="67"/>
  <c r="I48" i="67"/>
  <c r="I47" i="67"/>
  <c r="I45" i="67"/>
  <c r="I44" i="67"/>
  <c r="I41" i="67"/>
  <c r="I40" i="67"/>
  <c r="I39" i="67"/>
  <c r="I38" i="67"/>
  <c r="I36" i="67"/>
  <c r="I34" i="67"/>
  <c r="I33" i="67"/>
  <c r="I31" i="67"/>
  <c r="I30" i="67"/>
  <c r="I28" i="67"/>
  <c r="I27" i="67"/>
  <c r="I25" i="67"/>
  <c r="I24" i="67"/>
  <c r="I22" i="67"/>
  <c r="I21" i="67"/>
  <c r="I20" i="67"/>
  <c r="I19" i="67"/>
  <c r="I18" i="67"/>
  <c r="I17" i="67"/>
  <c r="I14" i="67"/>
  <c r="I13" i="67"/>
  <c r="I12" i="67"/>
  <c r="I11" i="67"/>
  <c r="I10" i="67"/>
  <c r="I9" i="67"/>
  <c r="I8" i="67"/>
  <c r="I7" i="67"/>
  <c r="Q76" i="67" l="1"/>
  <c r="I76" i="67"/>
  <c r="E81" i="81" s="1"/>
  <c r="Q71" i="85" l="1"/>
  <c r="Q76" i="85" s="1"/>
  <c r="J76" i="85" l="1"/>
  <c r="E75" i="90" l="1"/>
  <c r="E74" i="90"/>
  <c r="E73" i="90"/>
  <c r="E72" i="90"/>
  <c r="E71" i="90"/>
  <c r="E70" i="90"/>
  <c r="E69" i="90"/>
  <c r="E68" i="90"/>
  <c r="E67" i="90"/>
  <c r="E66" i="90"/>
  <c r="E65" i="90"/>
  <c r="E64" i="90"/>
  <c r="E63" i="90"/>
  <c r="E62" i="90"/>
  <c r="E61" i="90"/>
  <c r="E60" i="90"/>
  <c r="E59" i="90"/>
  <c r="E58" i="90"/>
  <c r="E57" i="90"/>
  <c r="E56" i="90"/>
  <c r="E55" i="90"/>
  <c r="E54" i="90"/>
  <c r="E53" i="90"/>
  <c r="E52" i="90"/>
  <c r="E51" i="90"/>
  <c r="E50" i="90"/>
  <c r="E49" i="90"/>
  <c r="E48" i="90"/>
  <c r="E47" i="90"/>
  <c r="E46" i="90"/>
  <c r="E45" i="90"/>
  <c r="E43" i="90"/>
  <c r="E41" i="90"/>
  <c r="E40" i="90"/>
  <c r="E39" i="90"/>
  <c r="E38" i="90"/>
  <c r="E37" i="90"/>
  <c r="E36" i="90"/>
  <c r="E35" i="90"/>
  <c r="E34" i="90"/>
  <c r="E33" i="90"/>
  <c r="E32" i="90"/>
  <c r="E31" i="90"/>
  <c r="E30" i="90"/>
  <c r="E29" i="90"/>
  <c r="E28" i="90"/>
  <c r="E27" i="90"/>
  <c r="E26" i="90"/>
  <c r="E25" i="90"/>
  <c r="E24" i="90"/>
  <c r="E23" i="90"/>
  <c r="E22" i="90"/>
  <c r="E21" i="90"/>
  <c r="E20" i="90"/>
  <c r="E19" i="90"/>
  <c r="E18" i="90"/>
  <c r="E17" i="90"/>
  <c r="E16" i="90"/>
  <c r="E15" i="90"/>
  <c r="E14" i="90"/>
  <c r="E13" i="90"/>
  <c r="E12" i="90"/>
  <c r="E11" i="90"/>
  <c r="E10" i="90"/>
  <c r="E9" i="90"/>
  <c r="E8" i="90"/>
  <c r="E7" i="90"/>
  <c r="D76" i="90"/>
  <c r="D5" i="90"/>
  <c r="E5" i="90" s="1"/>
  <c r="F5" i="90" s="1"/>
  <c r="G5" i="90" s="1"/>
  <c r="H5" i="90" s="1"/>
  <c r="I5" i="90" s="1"/>
  <c r="M5" i="100"/>
  <c r="N5" i="100" s="1"/>
  <c r="O5" i="100" s="1"/>
  <c r="P5" i="100" s="1"/>
  <c r="Q5" i="100" s="1"/>
  <c r="R5" i="100" s="1"/>
  <c r="S5" i="100" s="1"/>
  <c r="T5" i="100" s="1"/>
  <c r="U5" i="100" s="1"/>
  <c r="V5" i="100" s="1"/>
  <c r="W5" i="100" s="1"/>
  <c r="X5" i="100" s="1"/>
  <c r="Y5" i="100" s="1"/>
  <c r="Z5" i="100" s="1"/>
  <c r="AA5" i="100" s="1"/>
  <c r="AB5" i="100" s="1"/>
  <c r="AC5" i="100" s="1"/>
  <c r="AD5" i="100" s="1"/>
  <c r="AE5" i="100" s="1"/>
  <c r="AF5" i="100" s="1"/>
  <c r="AG5" i="100" s="1"/>
  <c r="AH5" i="100" s="1"/>
  <c r="AI5" i="100" s="1"/>
  <c r="AJ5" i="100" s="1"/>
  <c r="AK5" i="100" s="1"/>
  <c r="AL5" i="100" s="1"/>
  <c r="E44" i="90" l="1"/>
  <c r="E42" i="90"/>
  <c r="C76" i="99"/>
  <c r="F75" i="99"/>
  <c r="G75" i="99" s="1"/>
  <c r="F74" i="99"/>
  <c r="G74" i="99" s="1"/>
  <c r="F73" i="99"/>
  <c r="G73" i="99" s="1"/>
  <c r="F72" i="99"/>
  <c r="G72" i="99" s="1"/>
  <c r="F71" i="99"/>
  <c r="G71" i="99" s="1"/>
  <c r="F70" i="99"/>
  <c r="G70" i="99" s="1"/>
  <c r="F69" i="99"/>
  <c r="G69" i="99" s="1"/>
  <c r="F68" i="99"/>
  <c r="G68" i="99" s="1"/>
  <c r="F67" i="99"/>
  <c r="G67" i="99" s="1"/>
  <c r="F66" i="99"/>
  <c r="G66" i="99" s="1"/>
  <c r="F65" i="99"/>
  <c r="G65" i="99" s="1"/>
  <c r="F64" i="99"/>
  <c r="G64" i="99" s="1"/>
  <c r="F63" i="99"/>
  <c r="G63" i="99" s="1"/>
  <c r="F62" i="99"/>
  <c r="G62" i="99" s="1"/>
  <c r="F61" i="99"/>
  <c r="G61" i="99" s="1"/>
  <c r="F60" i="99"/>
  <c r="G60" i="99" s="1"/>
  <c r="F59" i="99"/>
  <c r="G59" i="99" s="1"/>
  <c r="F58" i="99"/>
  <c r="G58" i="99" s="1"/>
  <c r="F57" i="99"/>
  <c r="G57" i="99" s="1"/>
  <c r="F56" i="99"/>
  <c r="G56" i="99" s="1"/>
  <c r="F55" i="99"/>
  <c r="G55" i="99" s="1"/>
  <c r="F54" i="99"/>
  <c r="G54" i="99" s="1"/>
  <c r="F53" i="99"/>
  <c r="G53" i="99" s="1"/>
  <c r="F52" i="99"/>
  <c r="G52" i="99" s="1"/>
  <c r="F51" i="99"/>
  <c r="G51" i="99" s="1"/>
  <c r="F50" i="99"/>
  <c r="G50" i="99" s="1"/>
  <c r="F49" i="99"/>
  <c r="G49" i="99" s="1"/>
  <c r="F48" i="99"/>
  <c r="G48" i="99" s="1"/>
  <c r="F47" i="99"/>
  <c r="G47" i="99" s="1"/>
  <c r="F46" i="99"/>
  <c r="G46" i="99" s="1"/>
  <c r="F45" i="99"/>
  <c r="G45" i="99" s="1"/>
  <c r="F44" i="99"/>
  <c r="G44" i="99" s="1"/>
  <c r="F43" i="99"/>
  <c r="G43" i="99" s="1"/>
  <c r="F42" i="99"/>
  <c r="G42" i="99" s="1"/>
  <c r="F41" i="99"/>
  <c r="G41" i="99" s="1"/>
  <c r="F40" i="99"/>
  <c r="G40" i="99" s="1"/>
  <c r="F39" i="99"/>
  <c r="G39" i="99" s="1"/>
  <c r="F38" i="99"/>
  <c r="G38" i="99" s="1"/>
  <c r="F37" i="99"/>
  <c r="G37" i="99" s="1"/>
  <c r="F36" i="99"/>
  <c r="G36" i="99" s="1"/>
  <c r="F35" i="99"/>
  <c r="G35" i="99" s="1"/>
  <c r="F34" i="99"/>
  <c r="G34" i="99" s="1"/>
  <c r="F33" i="99"/>
  <c r="G33" i="99" s="1"/>
  <c r="F32" i="99"/>
  <c r="G32" i="99" s="1"/>
  <c r="F31" i="99"/>
  <c r="G31" i="99" s="1"/>
  <c r="F30" i="99"/>
  <c r="G30" i="99" s="1"/>
  <c r="F29" i="99"/>
  <c r="G29" i="99" s="1"/>
  <c r="F28" i="99"/>
  <c r="G28" i="99" s="1"/>
  <c r="F27" i="99"/>
  <c r="G27" i="99" s="1"/>
  <c r="F26" i="99"/>
  <c r="G26" i="99" s="1"/>
  <c r="F25" i="99"/>
  <c r="G25" i="99" s="1"/>
  <c r="F24" i="99"/>
  <c r="G24" i="99" s="1"/>
  <c r="F23" i="99"/>
  <c r="G23" i="99" s="1"/>
  <c r="F22" i="99"/>
  <c r="G22" i="99" s="1"/>
  <c r="F21" i="99"/>
  <c r="G21" i="99" s="1"/>
  <c r="F20" i="99"/>
  <c r="G20" i="99" s="1"/>
  <c r="F19" i="99"/>
  <c r="G19" i="99" s="1"/>
  <c r="F18" i="99"/>
  <c r="G18" i="99" s="1"/>
  <c r="F17" i="99"/>
  <c r="G17" i="99" s="1"/>
  <c r="F16" i="99"/>
  <c r="G16" i="99" s="1"/>
  <c r="F15" i="99"/>
  <c r="G15" i="99" s="1"/>
  <c r="F14" i="99"/>
  <c r="G14" i="99" s="1"/>
  <c r="F13" i="99"/>
  <c r="G13" i="99" s="1"/>
  <c r="F12" i="99"/>
  <c r="G12" i="99" s="1"/>
  <c r="F11" i="99"/>
  <c r="G11" i="99" s="1"/>
  <c r="F10" i="99"/>
  <c r="G10" i="99" s="1"/>
  <c r="F9" i="99"/>
  <c r="G9" i="99" s="1"/>
  <c r="F8" i="99"/>
  <c r="G8" i="99" s="1"/>
  <c r="F7" i="99"/>
  <c r="G7" i="99" s="1"/>
  <c r="D5" i="99"/>
  <c r="E5" i="99" s="1"/>
  <c r="F5" i="99" s="1"/>
  <c r="G5" i="99" s="1"/>
  <c r="H5" i="99" s="1"/>
  <c r="I5" i="99" s="1"/>
  <c r="J5" i="99" s="1"/>
  <c r="K5" i="99" s="1"/>
  <c r="L5" i="99" s="1"/>
  <c r="M5" i="99" s="1"/>
  <c r="N5" i="99" s="1"/>
  <c r="F45" i="98"/>
  <c r="G45" i="98" s="1"/>
  <c r="F42" i="98"/>
  <c r="G42" i="98" s="1"/>
  <c r="F23" i="98"/>
  <c r="G23" i="98" s="1"/>
  <c r="F75" i="98"/>
  <c r="G75" i="98" s="1"/>
  <c r="F74" i="98"/>
  <c r="G74" i="98" s="1"/>
  <c r="F73" i="98"/>
  <c r="G73" i="98" s="1"/>
  <c r="F72" i="98"/>
  <c r="G72" i="98" s="1"/>
  <c r="F71" i="98"/>
  <c r="G71" i="98" s="1"/>
  <c r="F70" i="98"/>
  <c r="G70" i="98" s="1"/>
  <c r="F69" i="98"/>
  <c r="G69" i="98" s="1"/>
  <c r="F68" i="98"/>
  <c r="G68" i="98" s="1"/>
  <c r="F67" i="98"/>
  <c r="G67" i="98" s="1"/>
  <c r="F66" i="98"/>
  <c r="G66" i="98" s="1"/>
  <c r="F65" i="98"/>
  <c r="G65" i="98" s="1"/>
  <c r="F64" i="98"/>
  <c r="G64" i="98" s="1"/>
  <c r="F63" i="98"/>
  <c r="G63" i="98" s="1"/>
  <c r="F62" i="98"/>
  <c r="G62" i="98" s="1"/>
  <c r="F61" i="98"/>
  <c r="G61" i="98" s="1"/>
  <c r="F60" i="98"/>
  <c r="G60" i="98" s="1"/>
  <c r="F59" i="98"/>
  <c r="G59" i="98" s="1"/>
  <c r="F58" i="98"/>
  <c r="G58" i="98" s="1"/>
  <c r="F57" i="98"/>
  <c r="G57" i="98" s="1"/>
  <c r="F56" i="98"/>
  <c r="G56" i="98" s="1"/>
  <c r="F55" i="98"/>
  <c r="G55" i="98" s="1"/>
  <c r="F54" i="98"/>
  <c r="G54" i="98" s="1"/>
  <c r="F53" i="98"/>
  <c r="G53" i="98" s="1"/>
  <c r="F52" i="98"/>
  <c r="G52" i="98" s="1"/>
  <c r="F51" i="98"/>
  <c r="G51" i="98" s="1"/>
  <c r="F50" i="98"/>
  <c r="G50" i="98" s="1"/>
  <c r="F49" i="98"/>
  <c r="G49" i="98" s="1"/>
  <c r="F48" i="98"/>
  <c r="G48" i="98" s="1"/>
  <c r="F47" i="98"/>
  <c r="G47" i="98" s="1"/>
  <c r="F46" i="98"/>
  <c r="G46" i="98" s="1"/>
  <c r="F44" i="98"/>
  <c r="G44" i="98" s="1"/>
  <c r="F43" i="98"/>
  <c r="G43" i="98" s="1"/>
  <c r="F41" i="98"/>
  <c r="G41" i="98" s="1"/>
  <c r="F40" i="98"/>
  <c r="G40" i="98" s="1"/>
  <c r="F39" i="98"/>
  <c r="G39" i="98" s="1"/>
  <c r="F38" i="98"/>
  <c r="G38" i="98" s="1"/>
  <c r="F37" i="98"/>
  <c r="G37" i="98" s="1"/>
  <c r="F36" i="98"/>
  <c r="G36" i="98" s="1"/>
  <c r="F35" i="98"/>
  <c r="G35" i="98" s="1"/>
  <c r="F34" i="98"/>
  <c r="G34" i="98" s="1"/>
  <c r="F33" i="98"/>
  <c r="G33" i="98" s="1"/>
  <c r="F32" i="98"/>
  <c r="G32" i="98" s="1"/>
  <c r="F31" i="98"/>
  <c r="G31" i="98" s="1"/>
  <c r="F30" i="98"/>
  <c r="G30" i="98" s="1"/>
  <c r="F29" i="98"/>
  <c r="G29" i="98" s="1"/>
  <c r="F28" i="98"/>
  <c r="G28" i="98" s="1"/>
  <c r="F27" i="98"/>
  <c r="G27" i="98" s="1"/>
  <c r="F26" i="98"/>
  <c r="G26" i="98" s="1"/>
  <c r="F25" i="98"/>
  <c r="G25" i="98" s="1"/>
  <c r="F24" i="98"/>
  <c r="G24" i="98" s="1"/>
  <c r="F22" i="98"/>
  <c r="G22" i="98" s="1"/>
  <c r="F21" i="98"/>
  <c r="G21" i="98" s="1"/>
  <c r="F20" i="98"/>
  <c r="G20" i="98" s="1"/>
  <c r="F19" i="98"/>
  <c r="G19" i="98" s="1"/>
  <c r="F18" i="98"/>
  <c r="G18" i="98" s="1"/>
  <c r="F17" i="98"/>
  <c r="G17" i="98" s="1"/>
  <c r="F16" i="98"/>
  <c r="G16" i="98" s="1"/>
  <c r="F15" i="98"/>
  <c r="G15" i="98" s="1"/>
  <c r="F14" i="98"/>
  <c r="G14" i="98" s="1"/>
  <c r="F13" i="98"/>
  <c r="G13" i="98" s="1"/>
  <c r="F12" i="98"/>
  <c r="G12" i="98" s="1"/>
  <c r="F11" i="98"/>
  <c r="G11" i="98" s="1"/>
  <c r="F10" i="98"/>
  <c r="G10" i="98" s="1"/>
  <c r="F9" i="98"/>
  <c r="G9" i="98" s="1"/>
  <c r="F8" i="98"/>
  <c r="G8" i="98" s="1"/>
  <c r="F7" i="98"/>
  <c r="G7" i="98" s="1"/>
  <c r="G77" i="98" l="1"/>
  <c r="E76" i="90"/>
  <c r="G76" i="99"/>
  <c r="H82" i="81" l="1"/>
  <c r="G95" i="81"/>
  <c r="D5" i="98" l="1"/>
  <c r="E5" i="98" s="1"/>
  <c r="F5" i="98" l="1"/>
  <c r="G5" i="98" l="1"/>
  <c r="H5" i="98" s="1"/>
  <c r="I5" i="98" s="1"/>
  <c r="J5" i="98" s="1"/>
  <c r="K5" i="98" s="1"/>
  <c r="L5" i="98" s="1"/>
  <c r="M5" i="98" s="1"/>
  <c r="N5" i="98" s="1"/>
  <c r="C78" i="1"/>
  <c r="E12" i="81" l="1"/>
  <c r="G16" i="46"/>
  <c r="G41" i="31" l="1"/>
  <c r="G37" i="31"/>
  <c r="G18" i="31"/>
  <c r="G17" i="31"/>
  <c r="G33" i="31"/>
  <c r="G34" i="31"/>
  <c r="F73" i="92" l="1"/>
  <c r="F73" i="91"/>
  <c r="F73" i="89"/>
  <c r="F73" i="88"/>
  <c r="F73" i="87"/>
  <c r="F73" i="86"/>
  <c r="F54" i="86"/>
  <c r="F32" i="86"/>
  <c r="F11" i="86"/>
  <c r="F75" i="88"/>
  <c r="F74" i="88"/>
  <c r="F72" i="88"/>
  <c r="F71" i="88"/>
  <c r="F70" i="88"/>
  <c r="F68" i="88"/>
  <c r="F67" i="88"/>
  <c r="F66" i="88"/>
  <c r="F64" i="88"/>
  <c r="F63" i="88"/>
  <c r="F62" i="88"/>
  <c r="F60" i="88"/>
  <c r="F59" i="88"/>
  <c r="F58" i="88"/>
  <c r="F56" i="88"/>
  <c r="F55" i="88"/>
  <c r="F54" i="88"/>
  <c r="F52" i="88"/>
  <c r="F51" i="88"/>
  <c r="F50" i="88"/>
  <c r="F48" i="88"/>
  <c r="F47" i="88"/>
  <c r="F46" i="88"/>
  <c r="F44" i="88"/>
  <c r="F43" i="88"/>
  <c r="F42" i="88"/>
  <c r="F40" i="88"/>
  <c r="F39" i="88"/>
  <c r="F38" i="88"/>
  <c r="F36" i="88"/>
  <c r="F35" i="88"/>
  <c r="F34" i="88"/>
  <c r="F32" i="88"/>
  <c r="F31" i="88"/>
  <c r="F30" i="88"/>
  <c r="F28" i="88"/>
  <c r="F27" i="88"/>
  <c r="F26" i="88"/>
  <c r="F24" i="88"/>
  <c r="F23" i="88"/>
  <c r="F22" i="88"/>
  <c r="F20" i="88"/>
  <c r="F19" i="88"/>
  <c r="F18" i="88"/>
  <c r="F16" i="88"/>
  <c r="F15" i="88"/>
  <c r="F14" i="88"/>
  <c r="F12" i="88"/>
  <c r="F11" i="88"/>
  <c r="F10" i="88"/>
  <c r="F8" i="88"/>
  <c r="F75" i="89"/>
  <c r="F74" i="89"/>
  <c r="F72" i="89"/>
  <c r="F71" i="89"/>
  <c r="F70" i="89"/>
  <c r="F68" i="89"/>
  <c r="F67" i="89"/>
  <c r="F66" i="89"/>
  <c r="F64" i="89"/>
  <c r="F63" i="89"/>
  <c r="F62" i="89"/>
  <c r="F60" i="89"/>
  <c r="F59" i="89"/>
  <c r="F58" i="89"/>
  <c r="F56" i="89"/>
  <c r="F55" i="89"/>
  <c r="F54" i="89"/>
  <c r="F52" i="89"/>
  <c r="F51" i="89"/>
  <c r="F50" i="89"/>
  <c r="F48" i="89"/>
  <c r="F47" i="89"/>
  <c r="F46" i="89"/>
  <c r="F44" i="89"/>
  <c r="F43" i="89"/>
  <c r="F42" i="89"/>
  <c r="F40" i="89"/>
  <c r="F39" i="89"/>
  <c r="F38" i="89"/>
  <c r="F36" i="89"/>
  <c r="F35" i="89"/>
  <c r="F34" i="89"/>
  <c r="F32" i="89"/>
  <c r="F31" i="89"/>
  <c r="F30" i="89"/>
  <c r="F28" i="89"/>
  <c r="F27" i="89"/>
  <c r="F26" i="89"/>
  <c r="F24" i="89"/>
  <c r="F23" i="89"/>
  <c r="F22" i="89"/>
  <c r="F20" i="89"/>
  <c r="F19" i="89"/>
  <c r="F18" i="89"/>
  <c r="F16" i="89"/>
  <c r="F15" i="89"/>
  <c r="F14" i="89"/>
  <c r="F12" i="89"/>
  <c r="F11" i="89"/>
  <c r="F10" i="89"/>
  <c r="F8" i="89"/>
  <c r="F75" i="92"/>
  <c r="F74" i="92"/>
  <c r="F72" i="92"/>
  <c r="F71" i="92"/>
  <c r="F70" i="92"/>
  <c r="F68" i="92"/>
  <c r="F67" i="92"/>
  <c r="F66" i="92"/>
  <c r="F64" i="92"/>
  <c r="F63" i="92"/>
  <c r="F62" i="92"/>
  <c r="F60" i="92"/>
  <c r="F59" i="92"/>
  <c r="F58" i="92"/>
  <c r="F56" i="92"/>
  <c r="F55" i="92"/>
  <c r="F54" i="92"/>
  <c r="F52" i="92"/>
  <c r="F51" i="92"/>
  <c r="F50" i="92"/>
  <c r="F48" i="92"/>
  <c r="F47" i="92"/>
  <c r="F46" i="92"/>
  <c r="F44" i="92"/>
  <c r="F43" i="92"/>
  <c r="F42" i="92"/>
  <c r="F40" i="92"/>
  <c r="F39" i="92"/>
  <c r="F38" i="92"/>
  <c r="F36" i="92"/>
  <c r="F35" i="92"/>
  <c r="F34" i="92"/>
  <c r="F32" i="92"/>
  <c r="F31" i="92"/>
  <c r="F30" i="92"/>
  <c r="F28" i="92"/>
  <c r="F27" i="92"/>
  <c r="F26" i="92"/>
  <c r="F24" i="92"/>
  <c r="F23" i="92"/>
  <c r="F22" i="92"/>
  <c r="F20" i="92"/>
  <c r="F19" i="92"/>
  <c r="F18" i="92"/>
  <c r="F16" i="92"/>
  <c r="F15" i="92"/>
  <c r="F14" i="92"/>
  <c r="F12" i="92"/>
  <c r="F11" i="92"/>
  <c r="F10" i="92"/>
  <c r="F8" i="92"/>
  <c r="F7" i="92"/>
  <c r="F72" i="85"/>
  <c r="C99" i="92"/>
  <c r="C92" i="92"/>
  <c r="C97" i="92" s="1"/>
  <c r="C88" i="92"/>
  <c r="C76" i="92"/>
  <c r="D5" i="92"/>
  <c r="E5" i="92" s="1"/>
  <c r="F5" i="92" s="1"/>
  <c r="G5" i="92" s="1"/>
  <c r="H5" i="92" s="1"/>
  <c r="I5" i="92" s="1"/>
  <c r="J5" i="92" s="1"/>
  <c r="K5" i="92" s="1"/>
  <c r="L5" i="92" s="1"/>
  <c r="C99" i="91"/>
  <c r="C92" i="91"/>
  <c r="C95" i="91" s="1"/>
  <c r="C96" i="91" s="1"/>
  <c r="C88" i="91"/>
  <c r="C76" i="91"/>
  <c r="D5" i="91"/>
  <c r="E5" i="91" s="1"/>
  <c r="F5" i="91" s="1"/>
  <c r="G5" i="91" s="1"/>
  <c r="H5" i="91" s="1"/>
  <c r="I5" i="91" s="1"/>
  <c r="J5" i="91" s="1"/>
  <c r="K5" i="91" s="1"/>
  <c r="L5" i="91" s="1"/>
  <c r="C76" i="90"/>
  <c r="J5" i="90"/>
  <c r="K5" i="90" s="1"/>
  <c r="L5" i="90" s="1"/>
  <c r="M5" i="90" s="1"/>
  <c r="N5" i="90" s="1"/>
  <c r="O5" i="90" s="1"/>
  <c r="P5" i="90" s="1"/>
  <c r="Q5" i="90" s="1"/>
  <c r="R5" i="90" s="1"/>
  <c r="C99" i="89"/>
  <c r="C92" i="89"/>
  <c r="C95" i="89" s="1"/>
  <c r="C96" i="89" s="1"/>
  <c r="C88" i="89"/>
  <c r="C76" i="89"/>
  <c r="D5" i="89"/>
  <c r="E5" i="89" s="1"/>
  <c r="F5" i="89" s="1"/>
  <c r="G5" i="89" s="1"/>
  <c r="H5" i="89" s="1"/>
  <c r="I5" i="89" s="1"/>
  <c r="J5" i="89" s="1"/>
  <c r="K5" i="89" s="1"/>
  <c r="L5" i="89" s="1"/>
  <c r="C99" i="88"/>
  <c r="C92" i="88"/>
  <c r="C97" i="88" s="1"/>
  <c r="C88" i="88"/>
  <c r="C76" i="88"/>
  <c r="D5" i="88"/>
  <c r="E5" i="88" s="1"/>
  <c r="F5" i="88" s="1"/>
  <c r="G5" i="88" s="1"/>
  <c r="H5" i="88" s="1"/>
  <c r="I5" i="88" s="1"/>
  <c r="J5" i="88" s="1"/>
  <c r="K5" i="88" s="1"/>
  <c r="L5" i="88" s="1"/>
  <c r="C99" i="87"/>
  <c r="C92" i="87"/>
  <c r="C97" i="87" s="1"/>
  <c r="C88" i="87"/>
  <c r="C76" i="87"/>
  <c r="D5" i="87"/>
  <c r="E5" i="87" s="1"/>
  <c r="F5" i="87" s="1"/>
  <c r="G5" i="87" s="1"/>
  <c r="H5" i="87" s="1"/>
  <c r="I5" i="87" s="1"/>
  <c r="J5" i="87" s="1"/>
  <c r="K5" i="87" s="1"/>
  <c r="L5" i="87" s="1"/>
  <c r="M5" i="87" s="1"/>
  <c r="N5" i="87" s="1"/>
  <c r="O5" i="87" s="1"/>
  <c r="P5" i="87" s="1"/>
  <c r="Q5" i="87" s="1"/>
  <c r="R5" i="87" s="1"/>
  <c r="S5" i="87" s="1"/>
  <c r="T5" i="87" s="1"/>
  <c r="U5" i="87" s="1"/>
  <c r="V5" i="87" s="1"/>
  <c r="W5" i="87" s="1"/>
  <c r="C99" i="86"/>
  <c r="C92" i="86"/>
  <c r="C88" i="86"/>
  <c r="C76" i="86"/>
  <c r="D5" i="86"/>
  <c r="E5" i="86" s="1"/>
  <c r="F5" i="86" s="1"/>
  <c r="G5" i="86" s="1"/>
  <c r="H5" i="86" s="1"/>
  <c r="I5" i="86" s="1"/>
  <c r="J5" i="86" s="1"/>
  <c r="K5" i="86" s="1"/>
  <c r="L5" i="86" s="1"/>
  <c r="C99" i="85"/>
  <c r="C92" i="85"/>
  <c r="C95" i="85" s="1"/>
  <c r="C96" i="85" s="1"/>
  <c r="C88" i="85"/>
  <c r="C76" i="85"/>
  <c r="D5" i="85"/>
  <c r="E5" i="85" s="1"/>
  <c r="F5" i="85" s="1"/>
  <c r="G5" i="85" s="1"/>
  <c r="H5" i="85" s="1"/>
  <c r="I5" i="85" s="1"/>
  <c r="J5" i="85" s="1"/>
  <c r="K5" i="85" s="1"/>
  <c r="L5" i="85" s="1"/>
  <c r="S5" i="90" l="1"/>
  <c r="T5" i="90" s="1"/>
  <c r="U5" i="90" s="1"/>
  <c r="V5" i="90" s="1"/>
  <c r="W5" i="90" s="1"/>
  <c r="X5" i="90" s="1"/>
  <c r="Y5" i="90" s="1"/>
  <c r="H73" i="90"/>
  <c r="H69" i="90"/>
  <c r="H65" i="90"/>
  <c r="H61" i="90"/>
  <c r="H57" i="90"/>
  <c r="H53" i="90"/>
  <c r="H49" i="90"/>
  <c r="H45" i="90"/>
  <c r="H41" i="90"/>
  <c r="H37" i="90"/>
  <c r="H33" i="90"/>
  <c r="H29" i="90"/>
  <c r="H25" i="90"/>
  <c r="H21" i="90"/>
  <c r="H17" i="90"/>
  <c r="H13" i="90"/>
  <c r="H9" i="90"/>
  <c r="H75" i="90"/>
  <c r="H71" i="90"/>
  <c r="H67" i="90"/>
  <c r="H63" i="90"/>
  <c r="H59" i="90"/>
  <c r="H55" i="90"/>
  <c r="H51" i="90"/>
  <c r="H47" i="90"/>
  <c r="H43" i="90"/>
  <c r="H39" i="90"/>
  <c r="H35" i="90"/>
  <c r="H31" i="90"/>
  <c r="H27" i="90"/>
  <c r="H23" i="90"/>
  <c r="H19" i="90"/>
  <c r="H15" i="90"/>
  <c r="H11" i="90"/>
  <c r="H7" i="90"/>
  <c r="H74" i="90"/>
  <c r="H70" i="90"/>
  <c r="H66" i="90"/>
  <c r="H62" i="90"/>
  <c r="H58" i="90"/>
  <c r="H54" i="90"/>
  <c r="H50" i="90"/>
  <c r="H46" i="90"/>
  <c r="H42" i="90"/>
  <c r="H38" i="90"/>
  <c r="H34" i="90"/>
  <c r="H30" i="90"/>
  <c r="H26" i="90"/>
  <c r="H22" i="90"/>
  <c r="H18" i="90"/>
  <c r="H14" i="90"/>
  <c r="H10" i="90"/>
  <c r="H72" i="90"/>
  <c r="H68" i="90"/>
  <c r="H64" i="90"/>
  <c r="H60" i="90"/>
  <c r="H56" i="90"/>
  <c r="H52" i="90"/>
  <c r="H48" i="90"/>
  <c r="H44" i="90"/>
  <c r="H40" i="90"/>
  <c r="H36" i="90"/>
  <c r="H32" i="90"/>
  <c r="H28" i="90"/>
  <c r="H24" i="90"/>
  <c r="H20" i="90"/>
  <c r="H16" i="90"/>
  <c r="H12" i="90"/>
  <c r="H8" i="90"/>
  <c r="F50" i="87"/>
  <c r="F50" i="91"/>
  <c r="F70" i="85"/>
  <c r="F16" i="86"/>
  <c r="F38" i="86"/>
  <c r="F59" i="86"/>
  <c r="C95" i="92"/>
  <c r="C96" i="92" s="1"/>
  <c r="C98" i="92" s="1"/>
  <c r="C100" i="92" s="1"/>
  <c r="F7" i="86"/>
  <c r="F22" i="86"/>
  <c r="F43" i="86"/>
  <c r="F64" i="86"/>
  <c r="C97" i="85"/>
  <c r="C98" i="85" s="1"/>
  <c r="C100" i="85" s="1"/>
  <c r="C97" i="89"/>
  <c r="C98" i="89" s="1"/>
  <c r="C100" i="89" s="1"/>
  <c r="C97" i="91"/>
  <c r="C98" i="91" s="1"/>
  <c r="C100" i="91" s="1"/>
  <c r="F38" i="85"/>
  <c r="F27" i="86"/>
  <c r="F48" i="86"/>
  <c r="F70" i="86"/>
  <c r="F26" i="85"/>
  <c r="F58" i="85"/>
  <c r="F34" i="91"/>
  <c r="F44" i="87"/>
  <c r="F10" i="85"/>
  <c r="F42" i="85"/>
  <c r="F74" i="85"/>
  <c r="F12" i="91"/>
  <c r="F55" i="91"/>
  <c r="F23" i="87"/>
  <c r="F66" i="87"/>
  <c r="F7" i="85"/>
  <c r="F22" i="85"/>
  <c r="F54" i="85"/>
  <c r="F28" i="91"/>
  <c r="F71" i="91"/>
  <c r="F28" i="87"/>
  <c r="F71" i="87"/>
  <c r="F14" i="85"/>
  <c r="F30" i="85"/>
  <c r="F46" i="85"/>
  <c r="F62" i="85"/>
  <c r="F18" i="91"/>
  <c r="F39" i="91"/>
  <c r="F60" i="91"/>
  <c r="F12" i="87"/>
  <c r="F34" i="87"/>
  <c r="F55" i="87"/>
  <c r="F8" i="86"/>
  <c r="F14" i="86"/>
  <c r="F19" i="86"/>
  <c r="F24" i="86"/>
  <c r="F30" i="86"/>
  <c r="F35" i="86"/>
  <c r="F40" i="86"/>
  <c r="F46" i="86"/>
  <c r="F51" i="86"/>
  <c r="F56" i="86"/>
  <c r="F62" i="86"/>
  <c r="F67" i="86"/>
  <c r="F72" i="86"/>
  <c r="F12" i="86"/>
  <c r="F18" i="86"/>
  <c r="F23" i="86"/>
  <c r="F28" i="86"/>
  <c r="F34" i="86"/>
  <c r="F39" i="86"/>
  <c r="F44" i="86"/>
  <c r="F50" i="86"/>
  <c r="F55" i="86"/>
  <c r="F60" i="86"/>
  <c r="F66" i="86"/>
  <c r="F71" i="86"/>
  <c r="F7" i="87"/>
  <c r="F18" i="85"/>
  <c r="F34" i="85"/>
  <c r="F50" i="85"/>
  <c r="F66" i="85"/>
  <c r="F23" i="91"/>
  <c r="F44" i="91"/>
  <c r="F66" i="91"/>
  <c r="F18" i="87"/>
  <c r="F39" i="87"/>
  <c r="F60" i="87"/>
  <c r="F10" i="86"/>
  <c r="F15" i="86"/>
  <c r="F20" i="86"/>
  <c r="F26" i="86"/>
  <c r="F31" i="86"/>
  <c r="F36" i="86"/>
  <c r="F42" i="86"/>
  <c r="F47" i="86"/>
  <c r="F52" i="86"/>
  <c r="F58" i="86"/>
  <c r="F63" i="86"/>
  <c r="F68" i="86"/>
  <c r="F74" i="86"/>
  <c r="F9" i="85"/>
  <c r="F13" i="85"/>
  <c r="F17" i="85"/>
  <c r="F21" i="85"/>
  <c r="F25" i="85"/>
  <c r="F29" i="85"/>
  <c r="F33" i="85"/>
  <c r="F37" i="85"/>
  <c r="F41" i="85"/>
  <c r="F45" i="85"/>
  <c r="F49" i="85"/>
  <c r="F53" i="85"/>
  <c r="F57" i="85"/>
  <c r="F61" i="85"/>
  <c r="F65" i="85"/>
  <c r="F69" i="85"/>
  <c r="F73" i="85"/>
  <c r="F11" i="91"/>
  <c r="F16" i="91"/>
  <c r="F22" i="91"/>
  <c r="F27" i="91"/>
  <c r="F32" i="91"/>
  <c r="F38" i="91"/>
  <c r="F43" i="91"/>
  <c r="F48" i="91"/>
  <c r="F54" i="91"/>
  <c r="F59" i="91"/>
  <c r="F64" i="91"/>
  <c r="F70" i="91"/>
  <c r="F75" i="91"/>
  <c r="F11" i="87"/>
  <c r="F16" i="87"/>
  <c r="F22" i="87"/>
  <c r="F27" i="87"/>
  <c r="F32" i="87"/>
  <c r="F38" i="87"/>
  <c r="F43" i="87"/>
  <c r="F48" i="87"/>
  <c r="F54" i="87"/>
  <c r="F59" i="87"/>
  <c r="F64" i="87"/>
  <c r="F70" i="87"/>
  <c r="F75" i="87"/>
  <c r="F11" i="85"/>
  <c r="F15" i="85"/>
  <c r="F19" i="85"/>
  <c r="F23" i="85"/>
  <c r="F27" i="85"/>
  <c r="F31" i="85"/>
  <c r="F35" i="85"/>
  <c r="F39" i="85"/>
  <c r="F43" i="85"/>
  <c r="F47" i="85"/>
  <c r="F51" i="85"/>
  <c r="F55" i="85"/>
  <c r="F59" i="85"/>
  <c r="F63" i="85"/>
  <c r="F67" i="85"/>
  <c r="F71" i="85"/>
  <c r="F75" i="85"/>
  <c r="F8" i="91"/>
  <c r="F14" i="91"/>
  <c r="F19" i="91"/>
  <c r="F24" i="91"/>
  <c r="F30" i="91"/>
  <c r="F35" i="91"/>
  <c r="F40" i="91"/>
  <c r="F46" i="91"/>
  <c r="F51" i="91"/>
  <c r="F56" i="91"/>
  <c r="F62" i="91"/>
  <c r="F67" i="91"/>
  <c r="F72" i="91"/>
  <c r="F8" i="87"/>
  <c r="F14" i="87"/>
  <c r="F19" i="87"/>
  <c r="F24" i="87"/>
  <c r="F30" i="87"/>
  <c r="F35" i="87"/>
  <c r="F40" i="87"/>
  <c r="F46" i="87"/>
  <c r="F51" i="87"/>
  <c r="F56" i="87"/>
  <c r="F62" i="87"/>
  <c r="F67" i="87"/>
  <c r="F72" i="87"/>
  <c r="F7" i="91"/>
  <c r="F8" i="85"/>
  <c r="F12" i="85"/>
  <c r="F16" i="85"/>
  <c r="F20" i="85"/>
  <c r="F24" i="85"/>
  <c r="F28" i="85"/>
  <c r="F32" i="85"/>
  <c r="F36" i="85"/>
  <c r="F40" i="85"/>
  <c r="F44" i="85"/>
  <c r="F48" i="85"/>
  <c r="F52" i="85"/>
  <c r="F56" i="85"/>
  <c r="F60" i="85"/>
  <c r="F64" i="85"/>
  <c r="F68" i="85"/>
  <c r="F10" i="91"/>
  <c r="F15" i="91"/>
  <c r="F20" i="91"/>
  <c r="F26" i="91"/>
  <c r="F31" i="91"/>
  <c r="F36" i="91"/>
  <c r="F42" i="91"/>
  <c r="F47" i="91"/>
  <c r="F52" i="91"/>
  <c r="F58" i="91"/>
  <c r="F63" i="91"/>
  <c r="F68" i="91"/>
  <c r="F74" i="91"/>
  <c r="F10" i="87"/>
  <c r="F15" i="87"/>
  <c r="F20" i="87"/>
  <c r="F26" i="87"/>
  <c r="F31" i="87"/>
  <c r="F36" i="87"/>
  <c r="F42" i="87"/>
  <c r="F47" i="87"/>
  <c r="F52" i="87"/>
  <c r="F58" i="87"/>
  <c r="F63" i="87"/>
  <c r="F68" i="87"/>
  <c r="F74" i="87"/>
  <c r="F75" i="86"/>
  <c r="F9" i="92"/>
  <c r="F13" i="92"/>
  <c r="F17" i="92"/>
  <c r="F21" i="92"/>
  <c r="F25" i="92"/>
  <c r="F29" i="92"/>
  <c r="F33" i="92"/>
  <c r="F37" i="92"/>
  <c r="F41" i="92"/>
  <c r="F45" i="92"/>
  <c r="F49" i="92"/>
  <c r="F53" i="92"/>
  <c r="F57" i="92"/>
  <c r="F61" i="92"/>
  <c r="F65" i="92"/>
  <c r="F69" i="92"/>
  <c r="F9" i="91"/>
  <c r="F13" i="91"/>
  <c r="F17" i="91"/>
  <c r="F21" i="91"/>
  <c r="F25" i="91"/>
  <c r="F29" i="91"/>
  <c r="F33" i="91"/>
  <c r="F37" i="91"/>
  <c r="F41" i="91"/>
  <c r="F45" i="91"/>
  <c r="F49" i="91"/>
  <c r="F53" i="91"/>
  <c r="F57" i="91"/>
  <c r="F61" i="91"/>
  <c r="F65" i="91"/>
  <c r="F69" i="91"/>
  <c r="F7" i="89"/>
  <c r="F9" i="89"/>
  <c r="F13" i="89"/>
  <c r="F17" i="89"/>
  <c r="F21" i="89"/>
  <c r="F25" i="89"/>
  <c r="F29" i="89"/>
  <c r="F33" i="89"/>
  <c r="F37" i="89"/>
  <c r="F41" i="89"/>
  <c r="F45" i="89"/>
  <c r="F49" i="89"/>
  <c r="F53" i="89"/>
  <c r="F57" i="89"/>
  <c r="F61" i="89"/>
  <c r="F65" i="89"/>
  <c r="F69" i="89"/>
  <c r="F7" i="88"/>
  <c r="F9" i="88"/>
  <c r="F13" i="88"/>
  <c r="F17" i="88"/>
  <c r="F21" i="88"/>
  <c r="F25" i="88"/>
  <c r="F29" i="88"/>
  <c r="F33" i="88"/>
  <c r="F37" i="88"/>
  <c r="F41" i="88"/>
  <c r="F45" i="88"/>
  <c r="F49" i="88"/>
  <c r="F53" i="88"/>
  <c r="F57" i="88"/>
  <c r="F61" i="88"/>
  <c r="F65" i="88"/>
  <c r="F69" i="88"/>
  <c r="F9" i="87"/>
  <c r="F13" i="87"/>
  <c r="F17" i="87"/>
  <c r="F21" i="87"/>
  <c r="F25" i="87"/>
  <c r="F29" i="87"/>
  <c r="F33" i="87"/>
  <c r="F37" i="87"/>
  <c r="F41" i="87"/>
  <c r="F45" i="87"/>
  <c r="F49" i="87"/>
  <c r="F53" i="87"/>
  <c r="F57" i="87"/>
  <c r="F61" i="87"/>
  <c r="F65" i="87"/>
  <c r="F69" i="87"/>
  <c r="F9" i="86"/>
  <c r="F13" i="86"/>
  <c r="F17" i="86"/>
  <c r="F21" i="86"/>
  <c r="F25" i="86"/>
  <c r="F29" i="86"/>
  <c r="F33" i="86"/>
  <c r="F37" i="86"/>
  <c r="F41" i="86"/>
  <c r="F45" i="86"/>
  <c r="F49" i="86"/>
  <c r="F53" i="86"/>
  <c r="F57" i="86"/>
  <c r="F61" i="86"/>
  <c r="F65" i="86"/>
  <c r="F69" i="86"/>
  <c r="M5" i="91"/>
  <c r="N5" i="91" s="1"/>
  <c r="O5" i="91" s="1"/>
  <c r="P5" i="91" s="1"/>
  <c r="Q5" i="91" s="1"/>
  <c r="R5" i="91" s="1"/>
  <c r="S5" i="91" s="1"/>
  <c r="T5" i="91" s="1"/>
  <c r="U5" i="91" s="1"/>
  <c r="M5" i="92"/>
  <c r="N5" i="92" s="1"/>
  <c r="O5" i="92" s="1"/>
  <c r="P5" i="92" s="1"/>
  <c r="Q5" i="92" s="1"/>
  <c r="R5" i="92" s="1"/>
  <c r="S5" i="92" s="1"/>
  <c r="T5" i="92" s="1"/>
  <c r="U5" i="92" s="1"/>
  <c r="M5" i="85"/>
  <c r="N5" i="85" s="1"/>
  <c r="O5" i="85" s="1"/>
  <c r="P5" i="85" s="1"/>
  <c r="Q5" i="85" s="1"/>
  <c r="R5" i="85" s="1"/>
  <c r="S5" i="85" s="1"/>
  <c r="T5" i="85" s="1"/>
  <c r="U5" i="85" s="1"/>
  <c r="M5" i="86"/>
  <c r="N5" i="86" s="1"/>
  <c r="O5" i="86" s="1"/>
  <c r="P5" i="86" s="1"/>
  <c r="Q5" i="86" s="1"/>
  <c r="R5" i="86" s="1"/>
  <c r="S5" i="86" s="1"/>
  <c r="T5" i="86" s="1"/>
  <c r="U5" i="86" s="1"/>
  <c r="M5" i="88"/>
  <c r="N5" i="88" s="1"/>
  <c r="O5" i="88" s="1"/>
  <c r="P5" i="88" s="1"/>
  <c r="Q5" i="88" s="1"/>
  <c r="R5" i="88" s="1"/>
  <c r="S5" i="88" s="1"/>
  <c r="T5" i="88" s="1"/>
  <c r="U5" i="88" s="1"/>
  <c r="C95" i="88"/>
  <c r="C96" i="88" s="1"/>
  <c r="C101" i="88" s="1"/>
  <c r="M5" i="89"/>
  <c r="N5" i="89" s="1"/>
  <c r="O5" i="89" s="1"/>
  <c r="P5" i="89" s="1"/>
  <c r="Q5" i="89" s="1"/>
  <c r="R5" i="89" s="1"/>
  <c r="S5" i="89" s="1"/>
  <c r="T5" i="89" s="1"/>
  <c r="U5" i="89" s="1"/>
  <c r="C95" i="86"/>
  <c r="C96" i="86" s="1"/>
  <c r="C101" i="86" s="1"/>
  <c r="C97" i="86"/>
  <c r="C101" i="91"/>
  <c r="C101" i="89"/>
  <c r="C101" i="85"/>
  <c r="C95" i="87"/>
  <c r="C96" i="87" s="1"/>
  <c r="C98" i="88" l="1"/>
  <c r="C100" i="88" s="1"/>
  <c r="C102" i="88" s="1"/>
  <c r="F76" i="92"/>
  <c r="C98" i="86"/>
  <c r="C100" i="86" s="1"/>
  <c r="C102" i="86" s="1"/>
  <c r="F76" i="88"/>
  <c r="F76" i="91"/>
  <c r="F76" i="85"/>
  <c r="F76" i="89"/>
  <c r="F76" i="87"/>
  <c r="F76" i="86"/>
  <c r="H76" i="90"/>
  <c r="C101" i="92"/>
  <c r="C102" i="92" s="1"/>
  <c r="C102" i="91"/>
  <c r="C102" i="85"/>
  <c r="C102" i="89"/>
  <c r="C101" i="87"/>
  <c r="C98" i="87"/>
  <c r="C100" i="87" s="1"/>
  <c r="C102" i="87" l="1"/>
  <c r="C99" i="84" l="1"/>
  <c r="C92" i="84"/>
  <c r="C97" i="84" s="1"/>
  <c r="C88" i="84"/>
  <c r="E5" i="84"/>
  <c r="F5" i="84" s="1"/>
  <c r="G5" i="84" s="1"/>
  <c r="H5" i="84" s="1"/>
  <c r="I5" i="84" s="1"/>
  <c r="J5" i="84" s="1"/>
  <c r="K5" i="84" s="1"/>
  <c r="L5" i="84" s="1"/>
  <c r="M5" i="84" s="1"/>
  <c r="N5" i="84" s="1"/>
  <c r="H17" i="81" l="1"/>
  <c r="C95" i="84"/>
  <c r="C96" i="84" s="1"/>
  <c r="C98" i="84" s="1"/>
  <c r="C100" i="84" s="1"/>
  <c r="C101" i="84" l="1"/>
  <c r="C102" i="84" s="1"/>
  <c r="C100" i="83"/>
  <c r="C93" i="83"/>
  <c r="C98" i="83" s="1"/>
  <c r="C89" i="83"/>
  <c r="E5" i="83"/>
  <c r="F5" i="83" s="1"/>
  <c r="G5" i="83" s="1"/>
  <c r="H5" i="83" s="1"/>
  <c r="I5" i="83" s="1"/>
  <c r="J5" i="83" s="1"/>
  <c r="K5" i="83" s="1"/>
  <c r="L5" i="83" s="1"/>
  <c r="M5" i="83" s="1"/>
  <c r="N5" i="83" s="1"/>
  <c r="O5" i="83" s="1"/>
  <c r="P5" i="83" s="1"/>
  <c r="C77" i="83" l="1"/>
  <c r="C96" i="83"/>
  <c r="C97" i="83" s="1"/>
  <c r="C99" i="83" s="1"/>
  <c r="C101" i="83" s="1"/>
  <c r="H16" i="81" l="1"/>
  <c r="C102" i="83"/>
  <c r="C103" i="83" s="1"/>
  <c r="H15" i="81" l="1"/>
  <c r="G15" i="81" l="1"/>
  <c r="AI9" i="1" l="1"/>
  <c r="I9" i="1"/>
  <c r="E9" i="1"/>
  <c r="G9" i="1"/>
  <c r="AI17" i="1"/>
  <c r="I17" i="1"/>
  <c r="G17" i="1"/>
  <c r="E17" i="1"/>
  <c r="AI21" i="1"/>
  <c r="E21" i="1"/>
  <c r="I21" i="1"/>
  <c r="G21" i="1"/>
  <c r="AI29" i="1"/>
  <c r="I29" i="1"/>
  <c r="G29" i="1"/>
  <c r="E29" i="1"/>
  <c r="AI37" i="1"/>
  <c r="I37" i="1"/>
  <c r="G37" i="1"/>
  <c r="E37" i="1"/>
  <c r="I10" i="1"/>
  <c r="G10" i="1"/>
  <c r="AI10" i="1"/>
  <c r="I14" i="1"/>
  <c r="G14" i="1"/>
  <c r="E14" i="1"/>
  <c r="AI14" i="1"/>
  <c r="I18" i="1"/>
  <c r="G18" i="1"/>
  <c r="E18" i="1"/>
  <c r="AI18" i="1"/>
  <c r="I22" i="1"/>
  <c r="G22" i="1"/>
  <c r="E22" i="1"/>
  <c r="AI22" i="1"/>
  <c r="I26" i="1"/>
  <c r="G26" i="1"/>
  <c r="E26" i="1"/>
  <c r="AI26" i="1"/>
  <c r="I30" i="1"/>
  <c r="G30" i="1"/>
  <c r="E30" i="1"/>
  <c r="AI30" i="1"/>
  <c r="I34" i="1"/>
  <c r="G34" i="1"/>
  <c r="E34" i="1"/>
  <c r="AI34" i="1"/>
  <c r="I38" i="1"/>
  <c r="G38" i="1"/>
  <c r="E38" i="1"/>
  <c r="AI38" i="1"/>
  <c r="I42" i="1"/>
  <c r="G42" i="1"/>
  <c r="E42" i="1"/>
  <c r="AI42" i="1"/>
  <c r="I46" i="1"/>
  <c r="G46" i="1"/>
  <c r="E46" i="1"/>
  <c r="AI46" i="1"/>
  <c r="I50" i="1"/>
  <c r="G50" i="1"/>
  <c r="E50" i="1"/>
  <c r="AI50" i="1"/>
  <c r="I54" i="1"/>
  <c r="G54" i="1"/>
  <c r="E54" i="1"/>
  <c r="AI54" i="1"/>
  <c r="I58" i="1"/>
  <c r="G58" i="1"/>
  <c r="AI58" i="1"/>
  <c r="I62" i="1"/>
  <c r="G62" i="1"/>
  <c r="E62" i="1"/>
  <c r="AI62" i="1"/>
  <c r="I66" i="1"/>
  <c r="G66" i="1"/>
  <c r="E66" i="1"/>
  <c r="AI66" i="1"/>
  <c r="I70" i="1"/>
  <c r="G70" i="1"/>
  <c r="E70" i="1"/>
  <c r="AI70" i="1"/>
  <c r="I74" i="1"/>
  <c r="G74" i="1"/>
  <c r="E74" i="1"/>
  <c r="AI74" i="1"/>
  <c r="G15" i="1"/>
  <c r="E15" i="1"/>
  <c r="AI15" i="1"/>
  <c r="I15" i="1"/>
  <c r="G23" i="1"/>
  <c r="I23" i="1"/>
  <c r="E23" i="1"/>
  <c r="AI23" i="1"/>
  <c r="G35" i="1"/>
  <c r="I35" i="1"/>
  <c r="E35" i="1"/>
  <c r="AI35" i="1"/>
  <c r="G43" i="1"/>
  <c r="E43" i="1"/>
  <c r="AI43" i="1"/>
  <c r="I43" i="1"/>
  <c r="G47" i="1"/>
  <c r="E47" i="1"/>
  <c r="I47" i="1"/>
  <c r="AI47" i="1"/>
  <c r="G51" i="1"/>
  <c r="E51" i="1"/>
  <c r="AI51" i="1"/>
  <c r="I51" i="1"/>
  <c r="G55" i="1"/>
  <c r="E55" i="1"/>
  <c r="AI55" i="1"/>
  <c r="I55" i="1"/>
  <c r="G59" i="1"/>
  <c r="E59" i="1"/>
  <c r="AI59" i="1"/>
  <c r="I59" i="1"/>
  <c r="G63" i="1"/>
  <c r="E63" i="1"/>
  <c r="AI63" i="1"/>
  <c r="I63" i="1"/>
  <c r="G67" i="1"/>
  <c r="E67" i="1"/>
  <c r="AI67" i="1"/>
  <c r="I67" i="1"/>
  <c r="G71" i="1"/>
  <c r="E71" i="1"/>
  <c r="AI71" i="1"/>
  <c r="I71" i="1"/>
  <c r="G75" i="1"/>
  <c r="I75" i="1"/>
  <c r="E75" i="1"/>
  <c r="AI75" i="1"/>
  <c r="G11" i="1"/>
  <c r="E11" i="1"/>
  <c r="AI11" i="1"/>
  <c r="G19" i="1"/>
  <c r="E19" i="1"/>
  <c r="I19" i="1"/>
  <c r="AI19" i="1"/>
  <c r="G27" i="1"/>
  <c r="E27" i="1"/>
  <c r="AI27" i="1"/>
  <c r="I27" i="1"/>
  <c r="G31" i="1"/>
  <c r="E31" i="1"/>
  <c r="I31" i="1"/>
  <c r="AI31" i="1"/>
  <c r="G39" i="1"/>
  <c r="E39" i="1"/>
  <c r="AI39" i="1"/>
  <c r="I39" i="1"/>
  <c r="E12" i="1"/>
  <c r="AI12" i="1"/>
  <c r="I12" i="1"/>
  <c r="G12" i="1"/>
  <c r="E16" i="1"/>
  <c r="AI16" i="1"/>
  <c r="I16" i="1"/>
  <c r="G16" i="1"/>
  <c r="E20" i="1"/>
  <c r="G20" i="1"/>
  <c r="AI20" i="1"/>
  <c r="I20" i="1"/>
  <c r="E24" i="1"/>
  <c r="AI24" i="1"/>
  <c r="G24" i="1"/>
  <c r="I24" i="1"/>
  <c r="E28" i="1"/>
  <c r="AI28" i="1"/>
  <c r="I28" i="1"/>
  <c r="G28" i="1"/>
  <c r="E32" i="1"/>
  <c r="AI32" i="1"/>
  <c r="I32" i="1"/>
  <c r="G32" i="1"/>
  <c r="E36" i="1"/>
  <c r="G36" i="1"/>
  <c r="AI36" i="1"/>
  <c r="I36" i="1"/>
  <c r="E40" i="1"/>
  <c r="AI40" i="1"/>
  <c r="G40" i="1"/>
  <c r="I40" i="1"/>
  <c r="E44" i="1"/>
  <c r="AI44" i="1"/>
  <c r="I44" i="1"/>
  <c r="G44" i="1"/>
  <c r="E48" i="1"/>
  <c r="G48" i="1"/>
  <c r="AI48" i="1"/>
  <c r="I48" i="1"/>
  <c r="E52" i="1"/>
  <c r="AI52" i="1"/>
  <c r="I52" i="1"/>
  <c r="G52" i="1"/>
  <c r="E56" i="1"/>
  <c r="AI56" i="1"/>
  <c r="G56" i="1"/>
  <c r="I56" i="1"/>
  <c r="E60" i="1"/>
  <c r="G60" i="1"/>
  <c r="AI60" i="1"/>
  <c r="I60" i="1"/>
  <c r="E64" i="1"/>
  <c r="AI64" i="1"/>
  <c r="I64" i="1"/>
  <c r="G64" i="1"/>
  <c r="E68" i="1"/>
  <c r="AI68" i="1"/>
  <c r="I68" i="1"/>
  <c r="G68" i="1"/>
  <c r="E72" i="1"/>
  <c r="AI72" i="1"/>
  <c r="G72" i="1"/>
  <c r="I72" i="1"/>
  <c r="E76" i="1"/>
  <c r="G76" i="1"/>
  <c r="AI76" i="1"/>
  <c r="I76" i="1"/>
  <c r="AI13" i="1"/>
  <c r="I13" i="1"/>
  <c r="G13" i="1"/>
  <c r="E13" i="1"/>
  <c r="AI25" i="1"/>
  <c r="I25" i="1"/>
  <c r="E25" i="1"/>
  <c r="G25" i="1"/>
  <c r="AI33" i="1"/>
  <c r="E33" i="1"/>
  <c r="I33" i="1"/>
  <c r="G33" i="1"/>
  <c r="AI41" i="1"/>
  <c r="I41" i="1"/>
  <c r="E41" i="1"/>
  <c r="G41" i="1"/>
  <c r="AI45" i="1"/>
  <c r="I45" i="1"/>
  <c r="G45" i="1"/>
  <c r="E45" i="1"/>
  <c r="AI49" i="1"/>
  <c r="E49" i="1"/>
  <c r="G49" i="1"/>
  <c r="I53" i="1"/>
  <c r="G53" i="1"/>
  <c r="E53" i="1"/>
  <c r="AI57" i="1"/>
  <c r="I57" i="1"/>
  <c r="E57" i="1"/>
  <c r="G57" i="1"/>
  <c r="AI61" i="1"/>
  <c r="I61" i="1"/>
  <c r="G61" i="1"/>
  <c r="E61" i="1"/>
  <c r="AI65" i="1"/>
  <c r="E65" i="1"/>
  <c r="I65" i="1"/>
  <c r="G65" i="1"/>
  <c r="AI69" i="1"/>
  <c r="I69" i="1"/>
  <c r="E69" i="1"/>
  <c r="AI73" i="1"/>
  <c r="E73" i="1"/>
  <c r="I73" i="1"/>
  <c r="G73" i="1"/>
  <c r="AI77" i="1"/>
  <c r="I77" i="1"/>
  <c r="E77" i="1"/>
  <c r="G77" i="1"/>
  <c r="G82" i="81"/>
  <c r="J75" i="72"/>
  <c r="S73" i="80"/>
  <c r="S77" i="80" s="1"/>
  <c r="S73" i="76"/>
  <c r="S77" i="76" s="1"/>
  <c r="L73" i="80"/>
  <c r="L77" i="80" s="1"/>
  <c r="C73" i="80"/>
  <c r="C77" i="80" s="1"/>
  <c r="F42" i="80"/>
  <c r="G42" i="80" s="1"/>
  <c r="F39" i="80"/>
  <c r="F20" i="80"/>
  <c r="G20" i="80" s="1"/>
  <c r="D3" i="80"/>
  <c r="E3" i="80" s="1"/>
  <c r="F3" i="80" s="1"/>
  <c r="G3" i="80" s="1"/>
  <c r="H3" i="80" s="1"/>
  <c r="I3" i="80" s="1"/>
  <c r="J3" i="80" s="1"/>
  <c r="K3" i="80" s="1"/>
  <c r="L3" i="80" s="1"/>
  <c r="M3" i="80" s="1"/>
  <c r="N3" i="80" s="1"/>
  <c r="O3" i="80" s="1"/>
  <c r="P3" i="80" s="1"/>
  <c r="Q3" i="80" s="1"/>
  <c r="R3" i="80" s="1"/>
  <c r="S3" i="80" s="1"/>
  <c r="T3" i="80" s="1"/>
  <c r="U3" i="80" s="1"/>
  <c r="V3" i="80" s="1"/>
  <c r="W3" i="80" s="1"/>
  <c r="L73" i="76"/>
  <c r="C73" i="76"/>
  <c r="C77" i="76" s="1"/>
  <c r="F42" i="76"/>
  <c r="G42" i="76" s="1"/>
  <c r="O44" i="2" s="1"/>
  <c r="F39" i="76"/>
  <c r="F20" i="76"/>
  <c r="G20" i="76" s="1"/>
  <c r="G14" i="31"/>
  <c r="G26" i="31"/>
  <c r="G61" i="31"/>
  <c r="G19" i="31"/>
  <c r="G20" i="31"/>
  <c r="G27" i="31"/>
  <c r="G28" i="31"/>
  <c r="G35" i="46"/>
  <c r="G33" i="46"/>
  <c r="G26" i="46"/>
  <c r="C24" i="46"/>
  <c r="C18" i="46"/>
  <c r="M53" i="67"/>
  <c r="M75" i="67"/>
  <c r="M58" i="67"/>
  <c r="M43" i="67"/>
  <c r="G62" i="31"/>
  <c r="G60" i="31"/>
  <c r="G59" i="31"/>
  <c r="G58" i="31"/>
  <c r="G56" i="31"/>
  <c r="G55" i="31"/>
  <c r="G54" i="31"/>
  <c r="G53" i="31"/>
  <c r="G52" i="31"/>
  <c r="G51" i="31"/>
  <c r="G49" i="31"/>
  <c r="G48" i="31"/>
  <c r="G47" i="31"/>
  <c r="G46" i="31"/>
  <c r="G45" i="31"/>
  <c r="G44" i="31"/>
  <c r="G43" i="31"/>
  <c r="G42" i="31"/>
  <c r="G40" i="31"/>
  <c r="G39" i="31"/>
  <c r="G38" i="31"/>
  <c r="G63" i="31"/>
  <c r="G36" i="31"/>
  <c r="G35" i="31"/>
  <c r="G32" i="31"/>
  <c r="G31" i="31"/>
  <c r="G30" i="31"/>
  <c r="G25" i="31"/>
  <c r="G24" i="31"/>
  <c r="G23" i="31"/>
  <c r="G22" i="31"/>
  <c r="G21" i="31"/>
  <c r="G15" i="31"/>
  <c r="G13" i="31"/>
  <c r="G7" i="31"/>
  <c r="M69" i="67"/>
  <c r="M65" i="67"/>
  <c r="M61" i="67"/>
  <c r="M60" i="67"/>
  <c r="M55" i="67"/>
  <c r="M50" i="67"/>
  <c r="M46" i="67"/>
  <c r="M44" i="67"/>
  <c r="M38" i="67"/>
  <c r="M34" i="67"/>
  <c r="M33" i="67"/>
  <c r="M28" i="67"/>
  <c r="M19" i="67"/>
  <c r="M17" i="67"/>
  <c r="M14" i="67"/>
  <c r="M74" i="67"/>
  <c r="M73" i="67"/>
  <c r="M72" i="67"/>
  <c r="M70" i="67"/>
  <c r="M68" i="67"/>
  <c r="M66" i="67"/>
  <c r="M64" i="67"/>
  <c r="M62" i="67"/>
  <c r="M59" i="67"/>
  <c r="M56" i="67"/>
  <c r="M54" i="67"/>
  <c r="M49" i="67"/>
  <c r="M48" i="67"/>
  <c r="M47" i="67"/>
  <c r="M41" i="67"/>
  <c r="M39" i="67"/>
  <c r="M37" i="67"/>
  <c r="M36" i="67"/>
  <c r="M32" i="67"/>
  <c r="M31" i="67"/>
  <c r="M29" i="67"/>
  <c r="M27" i="67"/>
  <c r="M25" i="67"/>
  <c r="M24" i="67"/>
  <c r="M22" i="67"/>
  <c r="M20" i="67"/>
  <c r="M18" i="67"/>
  <c r="M13" i="67"/>
  <c r="N13" i="67" s="1"/>
  <c r="M11" i="67"/>
  <c r="M10" i="67"/>
  <c r="M9" i="67"/>
  <c r="M7" i="67"/>
  <c r="D3" i="76"/>
  <c r="E3" i="76" s="1"/>
  <c r="F3" i="76" s="1"/>
  <c r="G3" i="76" s="1"/>
  <c r="H3" i="76" s="1"/>
  <c r="I3" i="76" s="1"/>
  <c r="J3" i="76" s="1"/>
  <c r="K3" i="76" s="1"/>
  <c r="L3" i="76" s="1"/>
  <c r="M3" i="76" s="1"/>
  <c r="N3" i="76" s="1"/>
  <c r="O3" i="76" s="1"/>
  <c r="P3" i="76" s="1"/>
  <c r="Q3" i="76" s="1"/>
  <c r="R3" i="76" s="1"/>
  <c r="S3" i="76" s="1"/>
  <c r="T3" i="76" s="1"/>
  <c r="U3" i="76" s="1"/>
  <c r="V3" i="76" s="1"/>
  <c r="W3" i="76" s="1"/>
  <c r="X76" i="13"/>
  <c r="I74" i="2"/>
  <c r="I71" i="2"/>
  <c r="I69" i="2"/>
  <c r="I67" i="2"/>
  <c r="I64" i="2"/>
  <c r="I63" i="2"/>
  <c r="I60" i="2"/>
  <c r="I59" i="2"/>
  <c r="I58" i="2"/>
  <c r="I57" i="2"/>
  <c r="I56" i="2"/>
  <c r="I55" i="2"/>
  <c r="I53" i="2"/>
  <c r="I52" i="2"/>
  <c r="I51" i="2"/>
  <c r="I48" i="2"/>
  <c r="I47" i="2"/>
  <c r="I45" i="2"/>
  <c r="I42" i="2"/>
  <c r="I35" i="2"/>
  <c r="I33" i="2"/>
  <c r="I31" i="2"/>
  <c r="I29" i="2"/>
  <c r="I28" i="2"/>
  <c r="I27" i="2"/>
  <c r="I26" i="2"/>
  <c r="I25" i="2"/>
  <c r="I23" i="2"/>
  <c r="I22" i="2"/>
  <c r="I21" i="2"/>
  <c r="I19" i="2"/>
  <c r="I17" i="2"/>
  <c r="I15" i="2"/>
  <c r="I13" i="2"/>
  <c r="I10" i="2"/>
  <c r="I9" i="2"/>
  <c r="I7" i="2"/>
  <c r="I6" i="2"/>
  <c r="AH77" i="13"/>
  <c r="AG77" i="13"/>
  <c r="BP75" i="72"/>
  <c r="D5" i="72"/>
  <c r="E5" i="72" s="1"/>
  <c r="F5" i="72" s="1"/>
  <c r="G5" i="72" s="1"/>
  <c r="H5" i="72" s="1"/>
  <c r="I5" i="72" s="1"/>
  <c r="J5" i="72" s="1"/>
  <c r="K5" i="72" s="1"/>
  <c r="L5" i="72" s="1"/>
  <c r="M5" i="72" s="1"/>
  <c r="N5" i="72" s="1"/>
  <c r="O5" i="72" s="1"/>
  <c r="P5" i="72" s="1"/>
  <c r="Q5" i="72" s="1"/>
  <c r="R5" i="72" s="1"/>
  <c r="S5" i="72" s="1"/>
  <c r="T5" i="72" s="1"/>
  <c r="U5" i="72" s="1"/>
  <c r="V5" i="72" s="1"/>
  <c r="W5" i="72" s="1"/>
  <c r="X5" i="72" s="1"/>
  <c r="Y5" i="72" s="1"/>
  <c r="Z5" i="72" s="1"/>
  <c r="AA5" i="72" s="1"/>
  <c r="AB5" i="72" s="1"/>
  <c r="AC5" i="72" s="1"/>
  <c r="AD5" i="72" s="1"/>
  <c r="AE5" i="72" s="1"/>
  <c r="AF5" i="72" s="1"/>
  <c r="AG5" i="72" s="1"/>
  <c r="AH5" i="72" s="1"/>
  <c r="AI5" i="72" s="1"/>
  <c r="AJ5" i="72" s="1"/>
  <c r="AK5" i="72" s="1"/>
  <c r="AL5" i="72" s="1"/>
  <c r="AM5" i="72" s="1"/>
  <c r="AN5" i="72" s="1"/>
  <c r="AO5" i="72" s="1"/>
  <c r="AP5" i="72" s="1"/>
  <c r="AQ5" i="72" s="1"/>
  <c r="AR5" i="72" s="1"/>
  <c r="AS5" i="72" s="1"/>
  <c r="AT5" i="72" s="1"/>
  <c r="AU5" i="72" s="1"/>
  <c r="AV5" i="72" s="1"/>
  <c r="AW5" i="72" s="1"/>
  <c r="AX5" i="72" s="1"/>
  <c r="AY5" i="72" s="1"/>
  <c r="AZ5" i="72" s="1"/>
  <c r="BA5" i="72" s="1"/>
  <c r="BB5" i="72" s="1"/>
  <c r="BC5" i="72" s="1"/>
  <c r="BD5" i="72" s="1"/>
  <c r="BE5" i="72" s="1"/>
  <c r="BF5" i="72" s="1"/>
  <c r="BG5" i="72" s="1"/>
  <c r="BH5" i="72" s="1"/>
  <c r="BI5" i="72" s="1"/>
  <c r="BJ5" i="72" s="1"/>
  <c r="BK5" i="72" s="1"/>
  <c r="BL5" i="72" s="1"/>
  <c r="BM5" i="72" s="1"/>
  <c r="BN5" i="72" s="1"/>
  <c r="BO5" i="72" s="1"/>
  <c r="AS5" i="1"/>
  <c r="AS13" i="1" s="1"/>
  <c r="E9" i="5"/>
  <c r="E8" i="5"/>
  <c r="C99" i="67"/>
  <c r="C92" i="67"/>
  <c r="C97" i="67" s="1"/>
  <c r="C88" i="67"/>
  <c r="E81" i="67"/>
  <c r="E83" i="67" s="1"/>
  <c r="E4" i="67" s="1"/>
  <c r="D5" i="67"/>
  <c r="E5" i="67" s="1"/>
  <c r="F5" i="67" s="1"/>
  <c r="G5" i="67" s="1"/>
  <c r="G29" i="46"/>
  <c r="M45" i="67"/>
  <c r="V77" i="13"/>
  <c r="F77" i="13"/>
  <c r="H40" i="13"/>
  <c r="D41" i="25" s="1"/>
  <c r="H38" i="13"/>
  <c r="D39" i="25" s="1"/>
  <c r="H34" i="13"/>
  <c r="D35" i="25" s="1"/>
  <c r="H32" i="13"/>
  <c r="D33" i="25" s="1"/>
  <c r="G30" i="13"/>
  <c r="H28" i="13"/>
  <c r="D29" i="25" s="1"/>
  <c r="G26" i="13"/>
  <c r="H24" i="13"/>
  <c r="D25" i="25" s="1"/>
  <c r="G22" i="13"/>
  <c r="H16" i="13"/>
  <c r="D17" i="25" s="1"/>
  <c r="G14" i="13"/>
  <c r="H12" i="13"/>
  <c r="D13" i="25" s="1"/>
  <c r="H9" i="13"/>
  <c r="D10" i="25" s="1"/>
  <c r="H13" i="13"/>
  <c r="D14" i="25" s="1"/>
  <c r="H17" i="13"/>
  <c r="D18" i="25" s="1"/>
  <c r="H21" i="13"/>
  <c r="D22" i="25" s="1"/>
  <c r="H25" i="13"/>
  <c r="D26" i="25" s="1"/>
  <c r="H29" i="13"/>
  <c r="D30" i="25" s="1"/>
  <c r="H33" i="13"/>
  <c r="D34" i="25" s="1"/>
  <c r="G37" i="13"/>
  <c r="H44" i="13"/>
  <c r="D45" i="25" s="1"/>
  <c r="H45" i="13"/>
  <c r="D46" i="25" s="1"/>
  <c r="H46" i="13"/>
  <c r="D47" i="25" s="1"/>
  <c r="H48" i="13"/>
  <c r="D49" i="25" s="1"/>
  <c r="H49" i="13"/>
  <c r="D50" i="25" s="1"/>
  <c r="G50" i="13"/>
  <c r="H52" i="13"/>
  <c r="D53" i="25" s="1"/>
  <c r="H53" i="13"/>
  <c r="D54" i="25" s="1"/>
  <c r="H54" i="13"/>
  <c r="D55" i="25" s="1"/>
  <c r="H56" i="13"/>
  <c r="D57" i="25" s="1"/>
  <c r="H57" i="13"/>
  <c r="D58" i="25" s="1"/>
  <c r="H58" i="13"/>
  <c r="D59" i="25" s="1"/>
  <c r="G60" i="13"/>
  <c r="H62" i="13"/>
  <c r="D63" i="25" s="1"/>
  <c r="H64" i="13"/>
  <c r="D65" i="25" s="1"/>
  <c r="H65" i="13"/>
  <c r="D66" i="25" s="1"/>
  <c r="G66" i="13"/>
  <c r="H69" i="13"/>
  <c r="D70" i="25" s="1"/>
  <c r="H70" i="13"/>
  <c r="D71" i="25" s="1"/>
  <c r="H72" i="13"/>
  <c r="D73" i="25" s="1"/>
  <c r="H73" i="13"/>
  <c r="D74" i="25" s="1"/>
  <c r="H74" i="13"/>
  <c r="D75" i="25" s="1"/>
  <c r="G76" i="13"/>
  <c r="I20" i="2"/>
  <c r="I50" i="2"/>
  <c r="I68" i="2"/>
  <c r="I64" i="25"/>
  <c r="I9" i="25"/>
  <c r="I10" i="25"/>
  <c r="I11" i="25"/>
  <c r="I12" i="25"/>
  <c r="I13" i="25"/>
  <c r="I14" i="25"/>
  <c r="I15" i="25"/>
  <c r="I16" i="25"/>
  <c r="I17" i="25"/>
  <c r="I18" i="25"/>
  <c r="I19" i="25"/>
  <c r="I20" i="25"/>
  <c r="I21" i="25"/>
  <c r="I22" i="25"/>
  <c r="I23" i="25"/>
  <c r="I24" i="25"/>
  <c r="I25" i="25"/>
  <c r="I26" i="25"/>
  <c r="I27" i="25"/>
  <c r="I28" i="25"/>
  <c r="I29" i="25"/>
  <c r="I30" i="25"/>
  <c r="I31" i="25"/>
  <c r="I32" i="25"/>
  <c r="I33" i="25"/>
  <c r="I34" i="25"/>
  <c r="I35" i="25"/>
  <c r="I36" i="25"/>
  <c r="I37" i="25"/>
  <c r="I38" i="25"/>
  <c r="I39" i="25"/>
  <c r="I40" i="25"/>
  <c r="I41" i="25"/>
  <c r="I42" i="25"/>
  <c r="I43" i="25"/>
  <c r="I44" i="25"/>
  <c r="I45" i="25"/>
  <c r="I46" i="25"/>
  <c r="I47" i="25"/>
  <c r="I48" i="25"/>
  <c r="I49" i="25"/>
  <c r="I50" i="25"/>
  <c r="I51" i="25"/>
  <c r="I52" i="25"/>
  <c r="I53" i="25"/>
  <c r="I54" i="25"/>
  <c r="I55" i="25"/>
  <c r="I56" i="25"/>
  <c r="I57" i="25"/>
  <c r="I58" i="25"/>
  <c r="I59" i="25"/>
  <c r="I60" i="25"/>
  <c r="I61" i="25"/>
  <c r="I62" i="25"/>
  <c r="I63" i="25"/>
  <c r="I65" i="25"/>
  <c r="I66" i="25"/>
  <c r="I67" i="25"/>
  <c r="I68" i="25"/>
  <c r="I69" i="25"/>
  <c r="I70" i="25"/>
  <c r="I71" i="25"/>
  <c r="I72" i="25"/>
  <c r="I73" i="25"/>
  <c r="I74" i="25"/>
  <c r="I75" i="25"/>
  <c r="I76" i="25"/>
  <c r="I77" i="25"/>
  <c r="G12" i="46"/>
  <c r="G50" i="31"/>
  <c r="D6" i="46"/>
  <c r="E6" i="46" s="1"/>
  <c r="F6" i="46" s="1"/>
  <c r="G6" i="46" s="1"/>
  <c r="H6" i="46" s="1"/>
  <c r="I6" i="46" s="1"/>
  <c r="J6" i="46" s="1"/>
  <c r="K6" i="46" s="1"/>
  <c r="L6" i="46" s="1"/>
  <c r="M6" i="46" s="1"/>
  <c r="N6" i="46" s="1"/>
  <c r="O6" i="46" s="1"/>
  <c r="P6" i="46" s="1"/>
  <c r="Q6" i="46" s="1"/>
  <c r="R6" i="46" s="1"/>
  <c r="S6" i="46" s="1"/>
  <c r="T6" i="46" s="1"/>
  <c r="U6" i="46" s="1"/>
  <c r="V6" i="46" s="1"/>
  <c r="W6" i="46" s="1"/>
  <c r="X6" i="46" s="1"/>
  <c r="Y6" i="46" s="1"/>
  <c r="Z6" i="46" s="1"/>
  <c r="I49" i="1"/>
  <c r="AI53" i="1"/>
  <c r="E58" i="1"/>
  <c r="G69" i="1"/>
  <c r="D6" i="31"/>
  <c r="E6" i="31" s="1"/>
  <c r="F6" i="31" s="1"/>
  <c r="G6" i="31" s="1"/>
  <c r="H6" i="31" s="1"/>
  <c r="I6" i="31" s="1"/>
  <c r="J6" i="31" s="1"/>
  <c r="L6" i="31" s="1"/>
  <c r="AI76" i="13"/>
  <c r="F77" i="25" s="1"/>
  <c r="AI75" i="13"/>
  <c r="AK75" i="13" s="1"/>
  <c r="AL75" i="13" s="1"/>
  <c r="AI74" i="13"/>
  <c r="AK74" i="13" s="1"/>
  <c r="AI73" i="13"/>
  <c r="AK73" i="13" s="1"/>
  <c r="AL73" i="13" s="1"/>
  <c r="AI72" i="13"/>
  <c r="AI71" i="13"/>
  <c r="AK71" i="13" s="1"/>
  <c r="AI70" i="13"/>
  <c r="AK70" i="13" s="1"/>
  <c r="AO70" i="13" s="1"/>
  <c r="AI69" i="13"/>
  <c r="AK69" i="13" s="1"/>
  <c r="AO69" i="13" s="1"/>
  <c r="AI68" i="13"/>
  <c r="F69" i="25" s="1"/>
  <c r="AI67" i="13"/>
  <c r="AK67" i="13" s="1"/>
  <c r="AL67" i="13" s="1"/>
  <c r="AI66" i="13"/>
  <c r="AI65" i="13"/>
  <c r="AK65" i="13" s="1"/>
  <c r="AL65" i="13" s="1"/>
  <c r="AI64" i="13"/>
  <c r="AK64" i="13" s="1"/>
  <c r="AI63" i="13"/>
  <c r="AK63" i="13" s="1"/>
  <c r="AI62" i="13"/>
  <c r="AI61" i="13"/>
  <c r="AK61" i="13" s="1"/>
  <c r="AM61" i="13" s="1"/>
  <c r="G62" i="25" s="1"/>
  <c r="AI60" i="13"/>
  <c r="F61" i="25" s="1"/>
  <c r="AI59" i="13"/>
  <c r="AK59" i="13" s="1"/>
  <c r="AL59" i="13" s="1"/>
  <c r="AI58" i="13"/>
  <c r="AK58" i="13" s="1"/>
  <c r="AI57" i="13"/>
  <c r="AK57" i="13" s="1"/>
  <c r="AL57" i="13" s="1"/>
  <c r="AI56" i="13"/>
  <c r="AI55" i="13"/>
  <c r="AK55" i="13" s="1"/>
  <c r="AI54" i="13"/>
  <c r="AK54" i="13" s="1"/>
  <c r="AN54" i="13" s="1"/>
  <c r="AI53" i="13"/>
  <c r="AK53" i="13" s="1"/>
  <c r="AL53" i="13" s="1"/>
  <c r="AI52" i="13"/>
  <c r="F53" i="25" s="1"/>
  <c r="AI51" i="13"/>
  <c r="AK51" i="13" s="1"/>
  <c r="AL51" i="13" s="1"/>
  <c r="AI50" i="13"/>
  <c r="AI49" i="13"/>
  <c r="AK49" i="13" s="1"/>
  <c r="AL49" i="13" s="1"/>
  <c r="AI48" i="13"/>
  <c r="AK48" i="13" s="1"/>
  <c r="AI47" i="13"/>
  <c r="AK47" i="13" s="1"/>
  <c r="AI46" i="13"/>
  <c r="AI45" i="13"/>
  <c r="AK45" i="13" s="1"/>
  <c r="AN45" i="13" s="1"/>
  <c r="AI44" i="13"/>
  <c r="F45" i="25" s="1"/>
  <c r="AI43" i="13"/>
  <c r="AK43" i="13" s="1"/>
  <c r="AL43" i="13" s="1"/>
  <c r="AI42" i="13"/>
  <c r="AK42" i="13" s="1"/>
  <c r="AI41" i="13"/>
  <c r="AK41" i="13" s="1"/>
  <c r="AL41" i="13" s="1"/>
  <c r="AI40" i="13"/>
  <c r="AI38" i="13"/>
  <c r="AK38" i="13" s="1"/>
  <c r="AI37" i="13"/>
  <c r="AK37" i="13" s="1"/>
  <c r="AL37" i="13" s="1"/>
  <c r="AI36" i="13"/>
  <c r="AK36" i="13" s="1"/>
  <c r="AI35" i="13"/>
  <c r="AI34" i="13"/>
  <c r="AK34" i="13" s="1"/>
  <c r="AM34" i="13" s="1"/>
  <c r="G35" i="25" s="1"/>
  <c r="AI33" i="13"/>
  <c r="AI32" i="13"/>
  <c r="AK32" i="13" s="1"/>
  <c r="AN32" i="13" s="1"/>
  <c r="AI31" i="13"/>
  <c r="AK31" i="13" s="1"/>
  <c r="AI30" i="13"/>
  <c r="AK30" i="13" s="1"/>
  <c r="AI29" i="13"/>
  <c r="AK29" i="13" s="1"/>
  <c r="AL29" i="13" s="1"/>
  <c r="AI28" i="13"/>
  <c r="AK28" i="13" s="1"/>
  <c r="AI27" i="13"/>
  <c r="AI26" i="13"/>
  <c r="AK26" i="13" s="1"/>
  <c r="AN26" i="13" s="1"/>
  <c r="AI25" i="13"/>
  <c r="AK25" i="13" s="1"/>
  <c r="AI24" i="13"/>
  <c r="AI23" i="13"/>
  <c r="AK23" i="13" s="1"/>
  <c r="AN23" i="13" s="1"/>
  <c r="AI22" i="13"/>
  <c r="AK22" i="13" s="1"/>
  <c r="AI21" i="13"/>
  <c r="AK21" i="13" s="1"/>
  <c r="AN21" i="13" s="1"/>
  <c r="AI20" i="13"/>
  <c r="AK20" i="13" s="1"/>
  <c r="AL20" i="13" s="1"/>
  <c r="AI19" i="13"/>
  <c r="F20" i="25" s="1"/>
  <c r="AI18" i="13"/>
  <c r="AK18" i="13" s="1"/>
  <c r="AL18" i="13" s="1"/>
  <c r="AI17" i="13"/>
  <c r="AI16" i="13"/>
  <c r="AK16" i="13" s="1"/>
  <c r="AM16" i="13" s="1"/>
  <c r="G17" i="25" s="1"/>
  <c r="AI15" i="13"/>
  <c r="F16" i="25" s="1"/>
  <c r="AI14" i="13"/>
  <c r="AK14" i="13" s="1"/>
  <c r="AM14" i="13" s="1"/>
  <c r="G15" i="25" s="1"/>
  <c r="AI13" i="13"/>
  <c r="AK13" i="13" s="1"/>
  <c r="AO13" i="13" s="1"/>
  <c r="AI12" i="13"/>
  <c r="AK12" i="13" s="1"/>
  <c r="AM12" i="13" s="1"/>
  <c r="G13" i="25" s="1"/>
  <c r="AI11" i="13"/>
  <c r="AI10" i="13"/>
  <c r="AK10" i="13" s="1"/>
  <c r="AI9" i="13"/>
  <c r="AK9" i="13" s="1"/>
  <c r="AM9" i="13" s="1"/>
  <c r="G10" i="25" s="1"/>
  <c r="AI8" i="13"/>
  <c r="AK8" i="13" s="1"/>
  <c r="AA76" i="13"/>
  <c r="Z76" i="13"/>
  <c r="Y76" i="13"/>
  <c r="O77" i="13"/>
  <c r="Q76" i="13"/>
  <c r="Q24" i="13"/>
  <c r="C7" i="5"/>
  <c r="D7" i="5" s="1"/>
  <c r="E7" i="5" s="1"/>
  <c r="F7" i="5" s="1"/>
  <c r="G7" i="5" s="1"/>
  <c r="H7" i="5" s="1"/>
  <c r="I7" i="5" s="1"/>
  <c r="K7" i="5" s="1"/>
  <c r="L7" i="5" s="1"/>
  <c r="J7" i="5" s="1"/>
  <c r="E6" i="2"/>
  <c r="E7" i="2"/>
  <c r="E8" i="2"/>
  <c r="E9" i="2"/>
  <c r="E10" i="2"/>
  <c r="E11" i="2"/>
  <c r="G11" i="2" s="1"/>
  <c r="H11" i="2" s="1"/>
  <c r="E12" i="2"/>
  <c r="G12" i="2" s="1"/>
  <c r="H12" i="2" s="1"/>
  <c r="E13" i="2"/>
  <c r="E14" i="2"/>
  <c r="E15" i="2"/>
  <c r="E16" i="2"/>
  <c r="G16" i="2" s="1"/>
  <c r="H16" i="2" s="1"/>
  <c r="E17" i="2"/>
  <c r="G17" i="2" s="1"/>
  <c r="H17" i="2" s="1"/>
  <c r="E18" i="2"/>
  <c r="E19" i="2"/>
  <c r="E20" i="2"/>
  <c r="G20" i="2" s="1"/>
  <c r="H20" i="2" s="1"/>
  <c r="E21" i="2"/>
  <c r="G21" i="2" s="1"/>
  <c r="H21" i="2" s="1"/>
  <c r="E22" i="2"/>
  <c r="E23" i="2"/>
  <c r="E24" i="2"/>
  <c r="G24" i="2" s="1"/>
  <c r="H24" i="2" s="1"/>
  <c r="E25" i="2"/>
  <c r="E26" i="2"/>
  <c r="E27" i="2"/>
  <c r="E28" i="2"/>
  <c r="G28" i="2" s="1"/>
  <c r="H28" i="2" s="1"/>
  <c r="E29" i="2"/>
  <c r="E30" i="2"/>
  <c r="E31" i="2"/>
  <c r="E32" i="2"/>
  <c r="G32" i="2" s="1"/>
  <c r="H32" i="2" s="1"/>
  <c r="E33" i="2"/>
  <c r="E34" i="2"/>
  <c r="E35" i="2"/>
  <c r="E36" i="2"/>
  <c r="G36" i="2" s="1"/>
  <c r="H36" i="2" s="1"/>
  <c r="E37" i="2"/>
  <c r="G37" i="2" s="1"/>
  <c r="H37" i="2" s="1"/>
  <c r="E38" i="2"/>
  <c r="E39" i="2"/>
  <c r="E40" i="2"/>
  <c r="G40" i="2" s="1"/>
  <c r="H40" i="2" s="1"/>
  <c r="E41" i="2"/>
  <c r="E42" i="2"/>
  <c r="E43" i="2"/>
  <c r="G43" i="2" s="1"/>
  <c r="H43" i="2" s="1"/>
  <c r="E44" i="2"/>
  <c r="G44" i="2" s="1"/>
  <c r="H44" i="2" s="1"/>
  <c r="E45" i="2"/>
  <c r="G45" i="2" s="1"/>
  <c r="H45" i="2" s="1"/>
  <c r="E46" i="2"/>
  <c r="E47" i="2"/>
  <c r="E48" i="2"/>
  <c r="E49" i="2"/>
  <c r="G49" i="2" s="1"/>
  <c r="H49" i="2" s="1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G73" i="2" s="1"/>
  <c r="H73" i="2" s="1"/>
  <c r="E74" i="2"/>
  <c r="D75" i="2"/>
  <c r="E43" i="81" s="1"/>
  <c r="G43" i="81" s="1"/>
  <c r="Q9" i="13"/>
  <c r="X9" i="13"/>
  <c r="X8" i="13"/>
  <c r="Q10" i="13"/>
  <c r="X10" i="13"/>
  <c r="Q11" i="13"/>
  <c r="X11" i="13"/>
  <c r="Q12" i="13"/>
  <c r="X12" i="13"/>
  <c r="Q13" i="13"/>
  <c r="X13" i="13"/>
  <c r="Q14" i="13"/>
  <c r="X14" i="13"/>
  <c r="Q15" i="13"/>
  <c r="X15" i="13"/>
  <c r="Q16" i="13"/>
  <c r="X16" i="13"/>
  <c r="Q17" i="13"/>
  <c r="X17" i="13"/>
  <c r="Q18" i="13"/>
  <c r="X18" i="13"/>
  <c r="Q19" i="13"/>
  <c r="X19" i="13"/>
  <c r="Q20" i="13"/>
  <c r="X20" i="13"/>
  <c r="Q21" i="13"/>
  <c r="X21" i="13"/>
  <c r="Q22" i="13"/>
  <c r="X22" i="13"/>
  <c r="Q23" i="13"/>
  <c r="X23" i="13"/>
  <c r="X24" i="13"/>
  <c r="Q25" i="13"/>
  <c r="X25" i="13"/>
  <c r="Q26" i="13"/>
  <c r="X26" i="13"/>
  <c r="Q27" i="13"/>
  <c r="X27" i="13"/>
  <c r="Q28" i="13"/>
  <c r="X28" i="13"/>
  <c r="Q29" i="13"/>
  <c r="X29" i="13"/>
  <c r="Q30" i="13"/>
  <c r="X30" i="13"/>
  <c r="Q31" i="13"/>
  <c r="X31" i="13"/>
  <c r="Q32" i="13"/>
  <c r="X32" i="13"/>
  <c r="Q33" i="13"/>
  <c r="X33" i="13"/>
  <c r="Q34" i="13"/>
  <c r="X34" i="13"/>
  <c r="Q35" i="13"/>
  <c r="X35" i="13"/>
  <c r="Q36" i="13"/>
  <c r="X36" i="13"/>
  <c r="Q37" i="13"/>
  <c r="X37" i="13"/>
  <c r="Q38" i="13"/>
  <c r="X38" i="13"/>
  <c r="Q39" i="13"/>
  <c r="X39" i="13"/>
  <c r="Q40" i="13"/>
  <c r="X40" i="13"/>
  <c r="Q41" i="13"/>
  <c r="X41" i="13"/>
  <c r="Q42" i="13"/>
  <c r="X42" i="13"/>
  <c r="Q43" i="13"/>
  <c r="X43" i="13"/>
  <c r="Q44" i="13"/>
  <c r="X44" i="13"/>
  <c r="Q45" i="13"/>
  <c r="X45" i="13"/>
  <c r="Q46" i="13"/>
  <c r="X46" i="13"/>
  <c r="Q47" i="13"/>
  <c r="X47" i="13"/>
  <c r="Q48" i="13"/>
  <c r="X48" i="13"/>
  <c r="Q49" i="13"/>
  <c r="X49" i="13"/>
  <c r="Q50" i="13"/>
  <c r="X50" i="13"/>
  <c r="Q51" i="13"/>
  <c r="X51" i="13"/>
  <c r="Q52" i="13"/>
  <c r="X52" i="13"/>
  <c r="Q53" i="13"/>
  <c r="X53" i="13"/>
  <c r="Q54" i="13"/>
  <c r="X54" i="13"/>
  <c r="Q55" i="13"/>
  <c r="X55" i="13"/>
  <c r="Q56" i="13"/>
  <c r="X56" i="13"/>
  <c r="Q57" i="13"/>
  <c r="X57" i="13"/>
  <c r="Q58" i="13"/>
  <c r="X58" i="13"/>
  <c r="Q59" i="13"/>
  <c r="X59" i="13"/>
  <c r="Q60" i="13"/>
  <c r="X60" i="13"/>
  <c r="Q61" i="13"/>
  <c r="X61" i="13"/>
  <c r="Q62" i="13"/>
  <c r="X62" i="13"/>
  <c r="Q63" i="13"/>
  <c r="X63" i="13"/>
  <c r="Q64" i="13"/>
  <c r="X64" i="13"/>
  <c r="Q65" i="13"/>
  <c r="X65" i="13"/>
  <c r="Q66" i="13"/>
  <c r="X66" i="13"/>
  <c r="Q67" i="13"/>
  <c r="X67" i="13"/>
  <c r="Q68" i="13"/>
  <c r="X68" i="13"/>
  <c r="Q69" i="13"/>
  <c r="X69" i="13"/>
  <c r="Q70" i="13"/>
  <c r="X70" i="13"/>
  <c r="Q71" i="13"/>
  <c r="X71" i="13"/>
  <c r="Q72" i="13"/>
  <c r="X72" i="13"/>
  <c r="Q73" i="13"/>
  <c r="X73" i="13"/>
  <c r="Q74" i="13"/>
  <c r="X74" i="13"/>
  <c r="Q75" i="13"/>
  <c r="X75" i="13"/>
  <c r="C6" i="33"/>
  <c r="D6" i="33" s="1"/>
  <c r="E6" i="33" s="1"/>
  <c r="F6" i="33" s="1"/>
  <c r="G6" i="33" s="1"/>
  <c r="H6" i="33" s="1"/>
  <c r="I6" i="33" s="1"/>
  <c r="J6" i="33" s="1"/>
  <c r="K6" i="33" s="1"/>
  <c r="L6" i="33" s="1"/>
  <c r="M6" i="33" s="1"/>
  <c r="N6" i="33" s="1"/>
  <c r="O6" i="33" s="1"/>
  <c r="P6" i="33" s="1"/>
  <c r="Q6" i="33" s="1"/>
  <c r="R6" i="33" s="1"/>
  <c r="S6" i="33" s="1"/>
  <c r="T6" i="33" s="1"/>
  <c r="U6" i="33" s="1"/>
  <c r="V6" i="33" s="1"/>
  <c r="W6" i="33" s="1"/>
  <c r="X6" i="33" s="1"/>
  <c r="Y6" i="33" s="1"/>
  <c r="Z6" i="33" s="1"/>
  <c r="AA6" i="33" s="1"/>
  <c r="AB6" i="33" s="1"/>
  <c r="AC6" i="33" s="1"/>
  <c r="AD6" i="33" s="1"/>
  <c r="AE6" i="33" s="1"/>
  <c r="AF6" i="33" s="1"/>
  <c r="AG6" i="33" s="1"/>
  <c r="AH6" i="33" s="1"/>
  <c r="AI6" i="33" s="1"/>
  <c r="AJ6" i="33" s="1"/>
  <c r="AK6" i="33" s="1"/>
  <c r="AL6" i="33" s="1"/>
  <c r="AM6" i="33" s="1"/>
  <c r="I6" i="13"/>
  <c r="J6" i="13" s="1"/>
  <c r="K6" i="13" s="1"/>
  <c r="L6" i="13" s="1"/>
  <c r="M6" i="13" s="1"/>
  <c r="N6" i="13" s="1"/>
  <c r="O6" i="13" s="1"/>
  <c r="P6" i="13" s="1"/>
  <c r="Q6" i="13" s="1"/>
  <c r="R6" i="13" s="1"/>
  <c r="S6" i="13" s="1"/>
  <c r="T6" i="13" s="1"/>
  <c r="U6" i="13" s="1"/>
  <c r="V6" i="13" s="1"/>
  <c r="W6" i="13" s="1"/>
  <c r="X6" i="13" s="1"/>
  <c r="Y6" i="13" s="1"/>
  <c r="Z6" i="13" s="1"/>
  <c r="AA6" i="13" s="1"/>
  <c r="AB6" i="13" s="1"/>
  <c r="AC6" i="13" s="1"/>
  <c r="AD6" i="13" s="1"/>
  <c r="AE6" i="13" s="1"/>
  <c r="AF6" i="13" s="1"/>
  <c r="AG6" i="13" s="1"/>
  <c r="AH6" i="13" s="1"/>
  <c r="AI6" i="13" s="1"/>
  <c r="AJ6" i="13" s="1"/>
  <c r="AK6" i="13" s="1"/>
  <c r="AL6" i="13" s="1"/>
  <c r="AM6" i="13" s="1"/>
  <c r="AN6" i="13" s="1"/>
  <c r="AO6" i="13" s="1"/>
  <c r="AP6" i="13" s="1"/>
  <c r="AQ6" i="13" s="1"/>
  <c r="AR6" i="13" s="1"/>
  <c r="D6" i="13"/>
  <c r="D7" i="25"/>
  <c r="E7" i="25" s="1"/>
  <c r="F7" i="25" s="1"/>
  <c r="G7" i="25" s="1"/>
  <c r="H7" i="25" s="1"/>
  <c r="I7" i="25" s="1"/>
  <c r="J7" i="25" s="1"/>
  <c r="AP5" i="1"/>
  <c r="C75" i="2"/>
  <c r="F60" i="25"/>
  <c r="AP77" i="13"/>
  <c r="E35" i="81" s="1"/>
  <c r="H35" i="81" s="1"/>
  <c r="AA8" i="13"/>
  <c r="AA9" i="13"/>
  <c r="AA10" i="13"/>
  <c r="AA11" i="13"/>
  <c r="AA12" i="13"/>
  <c r="AA13" i="13"/>
  <c r="AA14" i="13"/>
  <c r="AA15" i="13"/>
  <c r="AA16" i="13"/>
  <c r="AA17" i="13"/>
  <c r="AA18" i="13"/>
  <c r="AA19" i="13"/>
  <c r="AA20" i="13"/>
  <c r="AA21" i="13"/>
  <c r="AA22" i="13"/>
  <c r="AA23" i="13"/>
  <c r="AA24" i="13"/>
  <c r="AA25" i="13"/>
  <c r="AA26" i="13"/>
  <c r="AA27" i="13"/>
  <c r="AA28" i="13"/>
  <c r="AA29" i="13"/>
  <c r="AA30" i="13"/>
  <c r="AA31" i="13"/>
  <c r="AA32" i="13"/>
  <c r="AA33" i="13"/>
  <c r="AA34" i="13"/>
  <c r="AA35" i="13"/>
  <c r="AA36" i="13"/>
  <c r="AA37" i="13"/>
  <c r="AA38" i="13"/>
  <c r="AA39" i="13"/>
  <c r="AA40" i="13"/>
  <c r="AA41" i="13"/>
  <c r="AA42" i="13"/>
  <c r="AA43" i="13"/>
  <c r="AA44" i="13"/>
  <c r="AA45" i="13"/>
  <c r="AA46" i="13"/>
  <c r="AA47" i="13"/>
  <c r="AA48" i="13"/>
  <c r="AA49" i="13"/>
  <c r="AA50" i="13"/>
  <c r="AA51" i="13"/>
  <c r="AA52" i="13"/>
  <c r="AA53" i="13"/>
  <c r="AA54" i="13"/>
  <c r="AA55" i="13"/>
  <c r="AA56" i="13"/>
  <c r="AA57" i="13"/>
  <c r="AA58" i="13"/>
  <c r="AA59" i="13"/>
  <c r="AA60" i="13"/>
  <c r="AA61" i="13"/>
  <c r="AA62" i="13"/>
  <c r="AA63" i="13"/>
  <c r="AA64" i="13"/>
  <c r="AA65" i="13"/>
  <c r="AA66" i="13"/>
  <c r="AA67" i="13"/>
  <c r="AA68" i="13"/>
  <c r="AA69" i="13"/>
  <c r="AA70" i="13"/>
  <c r="AA71" i="13"/>
  <c r="AA72" i="13"/>
  <c r="AA73" i="13"/>
  <c r="AA74" i="13"/>
  <c r="AA75" i="13"/>
  <c r="Z21" i="13"/>
  <c r="Z8" i="13"/>
  <c r="Z9" i="13"/>
  <c r="Z10" i="13"/>
  <c r="Z11" i="13"/>
  <c r="Z12" i="13"/>
  <c r="Z13" i="13"/>
  <c r="Z14" i="13"/>
  <c r="Z15" i="13"/>
  <c r="Z16" i="13"/>
  <c r="Z17" i="13"/>
  <c r="Z18" i="13"/>
  <c r="Z19" i="13"/>
  <c r="Z20" i="13"/>
  <c r="Z22" i="13"/>
  <c r="Z23" i="13"/>
  <c r="Z24" i="13"/>
  <c r="Z25" i="13"/>
  <c r="Z26" i="13"/>
  <c r="Z27" i="13"/>
  <c r="Z28" i="13"/>
  <c r="Z29" i="13"/>
  <c r="Z30" i="13"/>
  <c r="Z31" i="13"/>
  <c r="Z32" i="13"/>
  <c r="Z33" i="13"/>
  <c r="Z34" i="13"/>
  <c r="Z35" i="13"/>
  <c r="Z36" i="13"/>
  <c r="Z37" i="13"/>
  <c r="Z38" i="13"/>
  <c r="Z39" i="13"/>
  <c r="Z40" i="13"/>
  <c r="Z41" i="13"/>
  <c r="Z42" i="13"/>
  <c r="Z43" i="13"/>
  <c r="Z44" i="13"/>
  <c r="Z45" i="13"/>
  <c r="Z46" i="13"/>
  <c r="Z47" i="13"/>
  <c r="Z48" i="13"/>
  <c r="Z49" i="13"/>
  <c r="Z50" i="13"/>
  <c r="Z51" i="13"/>
  <c r="Z52" i="13"/>
  <c r="Z53" i="13"/>
  <c r="Z54" i="13"/>
  <c r="Z55" i="13"/>
  <c r="Z56" i="13"/>
  <c r="Z57" i="13"/>
  <c r="Z58" i="13"/>
  <c r="Z59" i="13"/>
  <c r="Z60" i="13"/>
  <c r="Z61" i="13"/>
  <c r="Z62" i="13"/>
  <c r="Z63" i="13"/>
  <c r="Z64" i="13"/>
  <c r="Z65" i="13"/>
  <c r="Z66" i="13"/>
  <c r="Z67" i="13"/>
  <c r="Z68" i="13"/>
  <c r="Z70" i="13"/>
  <c r="Z71" i="13"/>
  <c r="Z72" i="13"/>
  <c r="Z73" i="13"/>
  <c r="Z74" i="13"/>
  <c r="Z75" i="13"/>
  <c r="W77" i="13"/>
  <c r="S77" i="13"/>
  <c r="P77" i="13"/>
  <c r="L77" i="13"/>
  <c r="J77" i="13"/>
  <c r="C77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AN19" i="13"/>
  <c r="AO19" i="13"/>
  <c r="D77" i="13"/>
  <c r="G12" i="31"/>
  <c r="AN10" i="1"/>
  <c r="AO10" i="1" s="1"/>
  <c r="AP10" i="1" s="1"/>
  <c r="I8" i="2"/>
  <c r="AN11" i="1"/>
  <c r="AO11" i="1" s="1"/>
  <c r="AP11" i="1" s="1"/>
  <c r="AN12" i="1"/>
  <c r="AO12" i="1" s="1"/>
  <c r="AP12" i="1" s="1"/>
  <c r="AN13" i="1"/>
  <c r="AO13" i="1" s="1"/>
  <c r="AP13" i="1" s="1"/>
  <c r="AN14" i="1"/>
  <c r="AO14" i="1" s="1"/>
  <c r="AP14" i="1" s="1"/>
  <c r="I12" i="2"/>
  <c r="AN15" i="1"/>
  <c r="AO15" i="1" s="1"/>
  <c r="AP15" i="1" s="1"/>
  <c r="AN16" i="1"/>
  <c r="AO16" i="1" s="1"/>
  <c r="AP16" i="1" s="1"/>
  <c r="AN18" i="1"/>
  <c r="AO18" i="1" s="1"/>
  <c r="AP18" i="1" s="1"/>
  <c r="I16" i="2"/>
  <c r="AN19" i="1"/>
  <c r="AO19" i="1" s="1"/>
  <c r="AP19" i="1" s="1"/>
  <c r="AN20" i="1"/>
  <c r="AO20" i="1" s="1"/>
  <c r="AP20" i="1" s="1"/>
  <c r="I18" i="2"/>
  <c r="AN21" i="1"/>
  <c r="AO21" i="1" s="1"/>
  <c r="AP21" i="1" s="1"/>
  <c r="AN22" i="1"/>
  <c r="AO22" i="1" s="1"/>
  <c r="AP22" i="1" s="1"/>
  <c r="AN24" i="1"/>
  <c r="AO24" i="1" s="1"/>
  <c r="AP24" i="1" s="1"/>
  <c r="I24" i="2"/>
  <c r="AN27" i="1"/>
  <c r="AO27" i="1" s="1"/>
  <c r="AP27" i="1" s="1"/>
  <c r="AN28" i="1"/>
  <c r="AO28" i="1" s="1"/>
  <c r="AP28" i="1" s="1"/>
  <c r="AN29" i="1"/>
  <c r="AO29" i="1" s="1"/>
  <c r="AP29" i="1" s="1"/>
  <c r="AN30" i="1"/>
  <c r="AO30" i="1" s="1"/>
  <c r="AP30" i="1" s="1"/>
  <c r="AN31" i="1"/>
  <c r="AO31" i="1" s="1"/>
  <c r="AP31" i="1" s="1"/>
  <c r="AN32" i="1"/>
  <c r="AO32" i="1" s="1"/>
  <c r="AP32" i="1" s="1"/>
  <c r="I30" i="2"/>
  <c r="AN33" i="1"/>
  <c r="AO33" i="1" s="1"/>
  <c r="AP33" i="1" s="1"/>
  <c r="AN34" i="1"/>
  <c r="AO34" i="1" s="1"/>
  <c r="AP34" i="1" s="1"/>
  <c r="I32" i="2"/>
  <c r="AN35" i="1"/>
  <c r="AO35" i="1" s="1"/>
  <c r="AP35" i="1" s="1"/>
  <c r="AN36" i="1"/>
  <c r="AO36" i="1" s="1"/>
  <c r="AP36" i="1" s="1"/>
  <c r="AN37" i="1"/>
  <c r="AO37" i="1" s="1"/>
  <c r="AP37" i="1" s="1"/>
  <c r="AN38" i="1"/>
  <c r="AO38" i="1" s="1"/>
  <c r="AP38" i="1" s="1"/>
  <c r="I36" i="2"/>
  <c r="AN39" i="1"/>
  <c r="AO39" i="1" s="1"/>
  <c r="AP39" i="1" s="1"/>
  <c r="AN40" i="1"/>
  <c r="AO40" i="1" s="1"/>
  <c r="AP40" i="1" s="1"/>
  <c r="I38" i="2"/>
  <c r="AN41" i="1"/>
  <c r="AO41" i="1" s="1"/>
  <c r="AP41" i="1" s="1"/>
  <c r="AN42" i="1"/>
  <c r="AO42" i="1" s="1"/>
  <c r="AP42" i="1" s="1"/>
  <c r="I40" i="2"/>
  <c r="AN43" i="1"/>
  <c r="AO43" i="1" s="1"/>
  <c r="AP43" i="1" s="1"/>
  <c r="AN45" i="1"/>
  <c r="AO45" i="1" s="1"/>
  <c r="AP45" i="1" s="1"/>
  <c r="AN46" i="1"/>
  <c r="AO46" i="1" s="1"/>
  <c r="AP46" i="1" s="1"/>
  <c r="AN48" i="1"/>
  <c r="AO48" i="1" s="1"/>
  <c r="AP48" i="1" s="1"/>
  <c r="AN49" i="1"/>
  <c r="AO49" i="1" s="1"/>
  <c r="AP49" i="1" s="1"/>
  <c r="AN50" i="1"/>
  <c r="AO50" i="1" s="1"/>
  <c r="AP50" i="1" s="1"/>
  <c r="AN51" i="1"/>
  <c r="AO51" i="1" s="1"/>
  <c r="AP51" i="1" s="1"/>
  <c r="AN52" i="1"/>
  <c r="AO52" i="1" s="1"/>
  <c r="AP52" i="1" s="1"/>
  <c r="AN53" i="1"/>
  <c r="AO53" i="1" s="1"/>
  <c r="AP53" i="1" s="1"/>
  <c r="AN55" i="1"/>
  <c r="AO55" i="1" s="1"/>
  <c r="AP55" i="1" s="1"/>
  <c r="AN56" i="1"/>
  <c r="AO56" i="1" s="1"/>
  <c r="AP56" i="1" s="1"/>
  <c r="AN57" i="1"/>
  <c r="AO57" i="1" s="1"/>
  <c r="AP57" i="1" s="1"/>
  <c r="AN58" i="1"/>
  <c r="AO58" i="1" s="1"/>
  <c r="AP58" i="1" s="1"/>
  <c r="AN59" i="1"/>
  <c r="AO59" i="1" s="1"/>
  <c r="AP59" i="1" s="1"/>
  <c r="AN60" i="1"/>
  <c r="AO60" i="1" s="1"/>
  <c r="AP60" i="1" s="1"/>
  <c r="AN61" i="1"/>
  <c r="AO61" i="1" s="1"/>
  <c r="AP61" i="1" s="1"/>
  <c r="AN62" i="1"/>
  <c r="AO62" i="1" s="1"/>
  <c r="AP62" i="1" s="1"/>
  <c r="AN63" i="1"/>
  <c r="AO63" i="1" s="1"/>
  <c r="AP63" i="1" s="1"/>
  <c r="I61" i="2"/>
  <c r="AN64" i="1"/>
  <c r="AO64" i="1" s="1"/>
  <c r="AP64" i="1" s="1"/>
  <c r="AN65" i="1"/>
  <c r="AO65" i="1" s="1"/>
  <c r="AP65" i="1" s="1"/>
  <c r="AN66" i="1"/>
  <c r="AO66" i="1" s="1"/>
  <c r="AP66" i="1" s="1"/>
  <c r="AN67" i="1"/>
  <c r="AO67" i="1" s="1"/>
  <c r="AP67" i="1" s="1"/>
  <c r="K64" i="2"/>
  <c r="L64" i="2" s="1"/>
  <c r="K63" i="2"/>
  <c r="L63" i="2" s="1"/>
  <c r="K62" i="2"/>
  <c r="L62" i="2" s="1"/>
  <c r="K60" i="2"/>
  <c r="L60" i="2" s="1"/>
  <c r="K59" i="2"/>
  <c r="L59" i="2" s="1"/>
  <c r="K58" i="2"/>
  <c r="L58" i="2" s="1"/>
  <c r="K57" i="2"/>
  <c r="L57" i="2" s="1"/>
  <c r="K56" i="2"/>
  <c r="L56" i="2" s="1"/>
  <c r="K55" i="2"/>
  <c r="L55" i="2" s="1"/>
  <c r="K54" i="2"/>
  <c r="L54" i="2" s="1"/>
  <c r="K53" i="2"/>
  <c r="L53" i="2" s="1"/>
  <c r="K52" i="2"/>
  <c r="L52" i="2" s="1"/>
  <c r="K50" i="2"/>
  <c r="L50" i="2" s="1"/>
  <c r="K49" i="2"/>
  <c r="L49" i="2" s="1"/>
  <c r="K48" i="2"/>
  <c r="L48" i="2" s="1"/>
  <c r="K47" i="2"/>
  <c r="L47" i="2" s="1"/>
  <c r="K46" i="2"/>
  <c r="L46" i="2" s="1"/>
  <c r="K45" i="2"/>
  <c r="L45" i="2" s="1"/>
  <c r="K43" i="2"/>
  <c r="L43" i="2" s="1"/>
  <c r="K42" i="2"/>
  <c r="L42" i="2" s="1"/>
  <c r="K40" i="2"/>
  <c r="L40" i="2" s="1"/>
  <c r="K38" i="2"/>
  <c r="L38" i="2" s="1"/>
  <c r="K37" i="2"/>
  <c r="L37" i="2" s="1"/>
  <c r="K36" i="2"/>
  <c r="L36" i="2" s="1"/>
  <c r="K35" i="2"/>
  <c r="L35" i="2" s="1"/>
  <c r="K34" i="2"/>
  <c r="L34" i="2" s="1"/>
  <c r="K33" i="2"/>
  <c r="L33" i="2" s="1"/>
  <c r="K32" i="2"/>
  <c r="L32" i="2" s="1"/>
  <c r="K31" i="2"/>
  <c r="L31" i="2" s="1"/>
  <c r="K30" i="2"/>
  <c r="L30" i="2" s="1"/>
  <c r="K29" i="2"/>
  <c r="L29" i="2" s="1"/>
  <c r="K28" i="2"/>
  <c r="L28" i="2" s="1"/>
  <c r="K27" i="2"/>
  <c r="L27" i="2" s="1"/>
  <c r="K26" i="2"/>
  <c r="L26" i="2" s="1"/>
  <c r="K25" i="2"/>
  <c r="L25" i="2" s="1"/>
  <c r="K24" i="2"/>
  <c r="L24" i="2" s="1"/>
  <c r="K23" i="2"/>
  <c r="L23" i="2" s="1"/>
  <c r="K21" i="2"/>
  <c r="L21" i="2" s="1"/>
  <c r="K20" i="2"/>
  <c r="L20" i="2" s="1"/>
  <c r="K19" i="2"/>
  <c r="L19" i="2" s="1"/>
  <c r="K18" i="2"/>
  <c r="L18" i="2" s="1"/>
  <c r="K17" i="2"/>
  <c r="L17" i="2" s="1"/>
  <c r="K16" i="2"/>
  <c r="L16" i="2" s="1"/>
  <c r="K15" i="2"/>
  <c r="L15" i="2" s="1"/>
  <c r="K13" i="2"/>
  <c r="L13" i="2" s="1"/>
  <c r="K12" i="2"/>
  <c r="L12" i="2" s="1"/>
  <c r="K11" i="2"/>
  <c r="L11" i="2" s="1"/>
  <c r="K10" i="2"/>
  <c r="L10" i="2" s="1"/>
  <c r="K9" i="2"/>
  <c r="L9" i="2" s="1"/>
  <c r="K8" i="2"/>
  <c r="L8" i="2" s="1"/>
  <c r="K7" i="2"/>
  <c r="L7" i="2" s="1"/>
  <c r="K39" i="2"/>
  <c r="L39" i="2" s="1"/>
  <c r="K61" i="2"/>
  <c r="L61" i="2" s="1"/>
  <c r="G11" i="46"/>
  <c r="G21" i="46"/>
  <c r="G7" i="46"/>
  <c r="G13" i="46"/>
  <c r="G14" i="46"/>
  <c r="G10" i="46"/>
  <c r="G17" i="46"/>
  <c r="G29" i="31"/>
  <c r="I65" i="2"/>
  <c r="AN68" i="1"/>
  <c r="AO68" i="1" s="1"/>
  <c r="AP68" i="1" s="1"/>
  <c r="K65" i="2"/>
  <c r="L65" i="2" s="1"/>
  <c r="I66" i="2"/>
  <c r="AN69" i="1"/>
  <c r="AO69" i="1" s="1"/>
  <c r="AP69" i="1" s="1"/>
  <c r="K66" i="2"/>
  <c r="L66" i="2" s="1"/>
  <c r="AN70" i="1"/>
  <c r="AO70" i="1" s="1"/>
  <c r="AP70" i="1" s="1"/>
  <c r="K67" i="2"/>
  <c r="L67" i="2" s="1"/>
  <c r="AN71" i="1"/>
  <c r="AO71" i="1" s="1"/>
  <c r="AP71" i="1" s="1"/>
  <c r="K68" i="2"/>
  <c r="L68" i="2" s="1"/>
  <c r="AN72" i="1"/>
  <c r="AO72" i="1" s="1"/>
  <c r="AP72" i="1" s="1"/>
  <c r="K69" i="2"/>
  <c r="L69" i="2" s="1"/>
  <c r="AN73" i="1"/>
  <c r="AO73" i="1" s="1"/>
  <c r="AP73" i="1" s="1"/>
  <c r="K70" i="2"/>
  <c r="L70" i="2" s="1"/>
  <c r="AN74" i="1"/>
  <c r="AO74" i="1" s="1"/>
  <c r="AP74" i="1" s="1"/>
  <c r="K71" i="2"/>
  <c r="L71" i="2" s="1"/>
  <c r="I72" i="2"/>
  <c r="AN75" i="1"/>
  <c r="AO75" i="1" s="1"/>
  <c r="AP75" i="1" s="1"/>
  <c r="K72" i="2"/>
  <c r="L72" i="2" s="1"/>
  <c r="AN76" i="1"/>
  <c r="AO76" i="1" s="1"/>
  <c r="AP76" i="1" s="1"/>
  <c r="K73" i="2"/>
  <c r="L73" i="2" s="1"/>
  <c r="AN77" i="1"/>
  <c r="AO77" i="1" s="1"/>
  <c r="AP77" i="1" s="1"/>
  <c r="K74" i="2"/>
  <c r="L74" i="2" s="1"/>
  <c r="AN9" i="1"/>
  <c r="AO9" i="1" s="1"/>
  <c r="AP9" i="1" s="1"/>
  <c r="K6" i="2"/>
  <c r="L6" i="2" s="1"/>
  <c r="AK39" i="13"/>
  <c r="AL39" i="13" s="1"/>
  <c r="F40" i="25"/>
  <c r="AN23" i="1"/>
  <c r="AO23" i="1" s="1"/>
  <c r="AP23" i="1" s="1"/>
  <c r="AN26" i="1"/>
  <c r="AO26" i="1" s="1"/>
  <c r="AP26" i="1" s="1"/>
  <c r="AJ77" i="13"/>
  <c r="AM19" i="13"/>
  <c r="G20" i="25" s="1"/>
  <c r="AL19" i="13"/>
  <c r="D5" i="2"/>
  <c r="E5" i="2" s="1"/>
  <c r="F5" i="2" s="1"/>
  <c r="G5" i="2" s="1"/>
  <c r="H5" i="2" s="1"/>
  <c r="I5" i="2" s="1"/>
  <c r="J5" i="2" s="1"/>
  <c r="K5" i="2" s="1"/>
  <c r="L5" i="2" s="1"/>
  <c r="M5" i="2" s="1"/>
  <c r="N5" i="2" s="1"/>
  <c r="O5" i="2" s="1"/>
  <c r="P5" i="2" s="1"/>
  <c r="CH78" i="1"/>
  <c r="M23" i="67"/>
  <c r="AN25" i="1"/>
  <c r="AO25" i="1" s="1"/>
  <c r="AP25" i="1" s="1"/>
  <c r="K22" i="2"/>
  <c r="L22" i="2" s="1"/>
  <c r="M52" i="67"/>
  <c r="AN54" i="1"/>
  <c r="AO54" i="1" s="1"/>
  <c r="AP54" i="1" s="1"/>
  <c r="K51" i="2"/>
  <c r="L51" i="2" s="1"/>
  <c r="O22" i="2" l="1"/>
  <c r="G39" i="76"/>
  <c r="G39" i="80"/>
  <c r="G69" i="31"/>
  <c r="AC28" i="13"/>
  <c r="AS17" i="1"/>
  <c r="F32" i="25"/>
  <c r="G64" i="13"/>
  <c r="AC48" i="13"/>
  <c r="F65" i="25"/>
  <c r="AC73" i="13"/>
  <c r="AC61" i="13"/>
  <c r="AC57" i="13"/>
  <c r="AC45" i="13"/>
  <c r="AC39" i="13"/>
  <c r="AS71" i="1"/>
  <c r="G29" i="13"/>
  <c r="AB37" i="13"/>
  <c r="AC21" i="13"/>
  <c r="F38" i="25"/>
  <c r="AS52" i="1"/>
  <c r="AS60" i="1"/>
  <c r="AS37" i="1"/>
  <c r="L77" i="76"/>
  <c r="F43" i="25"/>
  <c r="F14" i="25"/>
  <c r="F55" i="25"/>
  <c r="F75" i="25"/>
  <c r="G54" i="13"/>
  <c r="F59" i="25"/>
  <c r="AC74" i="13"/>
  <c r="AC66" i="13"/>
  <c r="AC62" i="13"/>
  <c r="AC54" i="13"/>
  <c r="AC38" i="13"/>
  <c r="AB75" i="13"/>
  <c r="F74" i="25"/>
  <c r="G12" i="13"/>
  <c r="F49" i="25"/>
  <c r="F62" i="25"/>
  <c r="AB28" i="13"/>
  <c r="G28" i="13"/>
  <c r="F66" i="25"/>
  <c r="AC55" i="13"/>
  <c r="AC47" i="13"/>
  <c r="AB8" i="13"/>
  <c r="AO16" i="13"/>
  <c r="F70" i="25"/>
  <c r="AC12" i="13"/>
  <c r="AC20" i="13"/>
  <c r="F22" i="25"/>
  <c r="G8" i="13"/>
  <c r="F76" i="25"/>
  <c r="H8" i="13"/>
  <c r="D9" i="25" s="1"/>
  <c r="AL26" i="13"/>
  <c r="F72" i="25"/>
  <c r="G65" i="13"/>
  <c r="G16" i="13"/>
  <c r="G69" i="13"/>
  <c r="AB23" i="13"/>
  <c r="F11" i="25"/>
  <c r="G24" i="13"/>
  <c r="G57" i="13"/>
  <c r="AB65" i="13"/>
  <c r="AC15" i="13"/>
  <c r="AC8" i="13"/>
  <c r="H5" i="67"/>
  <c r="I5" i="67"/>
  <c r="J5" i="67" s="1"/>
  <c r="K5" i="67" s="1"/>
  <c r="L5" i="67" s="1"/>
  <c r="M5" i="67" s="1"/>
  <c r="N5" i="67" s="1"/>
  <c r="O5" i="67" s="1"/>
  <c r="P5" i="67" s="1"/>
  <c r="Q5" i="67" s="1"/>
  <c r="R5" i="67" s="1"/>
  <c r="S5" i="67" s="1"/>
  <c r="T5" i="67" s="1"/>
  <c r="U5" i="67" s="1"/>
  <c r="V5" i="67" s="1"/>
  <c r="AS68" i="1"/>
  <c r="AS56" i="1"/>
  <c r="AS48" i="1"/>
  <c r="AS28" i="1"/>
  <c r="AC42" i="13"/>
  <c r="AM20" i="13"/>
  <c r="G21" i="25" s="1"/>
  <c r="G58" i="13"/>
  <c r="AC25" i="13"/>
  <c r="G46" i="13"/>
  <c r="G62" i="13"/>
  <c r="G74" i="13"/>
  <c r="AK60" i="13"/>
  <c r="AO60" i="13" s="1"/>
  <c r="AS75" i="1"/>
  <c r="AS65" i="1"/>
  <c r="AS43" i="1"/>
  <c r="AS23" i="1"/>
  <c r="AS33" i="1"/>
  <c r="AS12" i="1"/>
  <c r="AN16" i="13"/>
  <c r="F50" i="25"/>
  <c r="F71" i="25"/>
  <c r="G21" i="13"/>
  <c r="AC29" i="13"/>
  <c r="AB18" i="13"/>
  <c r="N18" i="67"/>
  <c r="N54" i="67"/>
  <c r="AL32" i="13"/>
  <c r="AL16" i="13"/>
  <c r="F21" i="25"/>
  <c r="AB21" i="13"/>
  <c r="AC64" i="13"/>
  <c r="AB52" i="13"/>
  <c r="AB48" i="13"/>
  <c r="AL12" i="13"/>
  <c r="F9" i="25"/>
  <c r="F46" i="25"/>
  <c r="G52" i="13"/>
  <c r="AC68" i="13"/>
  <c r="AC52" i="13"/>
  <c r="AC26" i="13"/>
  <c r="AE11" i="13"/>
  <c r="C12" i="25" s="1"/>
  <c r="AK52" i="13"/>
  <c r="AM52" i="13" s="1"/>
  <c r="G53" i="25" s="1"/>
  <c r="AK44" i="13"/>
  <c r="AL44" i="13" s="1"/>
  <c r="AK68" i="13"/>
  <c r="AL68" i="13" s="1"/>
  <c r="X79" i="13"/>
  <c r="M6" i="31"/>
  <c r="N6" i="31" s="1"/>
  <c r="O6" i="31" s="1"/>
  <c r="P6" i="31" s="1"/>
  <c r="Q6" i="31" s="1"/>
  <c r="R6" i="31" s="1"/>
  <c r="S6" i="31" s="1"/>
  <c r="C95" i="67"/>
  <c r="C96" i="67" s="1"/>
  <c r="C101" i="67" s="1"/>
  <c r="AM26" i="13"/>
  <c r="G27" i="25" s="1"/>
  <c r="F27" i="25"/>
  <c r="F39" i="25"/>
  <c r="AC9" i="13"/>
  <c r="G33" i="13"/>
  <c r="AS74" i="1"/>
  <c r="AS70" i="1"/>
  <c r="AS64" i="1"/>
  <c r="AS59" i="1"/>
  <c r="AS55" i="1"/>
  <c r="AS51" i="1"/>
  <c r="AS47" i="1"/>
  <c r="AS41" i="1"/>
  <c r="AS36" i="1"/>
  <c r="AS32" i="1"/>
  <c r="AS27" i="1"/>
  <c r="AS21" i="1"/>
  <c r="AS16" i="1"/>
  <c r="AS11" i="1"/>
  <c r="H37" i="13"/>
  <c r="D38" i="25" s="1"/>
  <c r="AB31" i="13"/>
  <c r="AN70" i="13"/>
  <c r="AM18" i="13"/>
  <c r="G19" i="25" s="1"/>
  <c r="AS78" i="1"/>
  <c r="E9" i="81" s="1"/>
  <c r="H9" i="81" s="1"/>
  <c r="F15" i="25"/>
  <c r="G38" i="13"/>
  <c r="AC60" i="13"/>
  <c r="AS77" i="1"/>
  <c r="AS73" i="1"/>
  <c r="AS69" i="1"/>
  <c r="AS67" i="1"/>
  <c r="AS63" i="1"/>
  <c r="AS53" i="1"/>
  <c r="AS49" i="1"/>
  <c r="AS45" i="1"/>
  <c r="AS40" i="1"/>
  <c r="AS35" i="1"/>
  <c r="AS31" i="1"/>
  <c r="AS25" i="1"/>
  <c r="AS20" i="1"/>
  <c r="AS15" i="1"/>
  <c r="AS9" i="1"/>
  <c r="F35" i="25"/>
  <c r="F44" i="25"/>
  <c r="G9" i="13"/>
  <c r="G17" i="13"/>
  <c r="G45" i="13"/>
  <c r="AB33" i="13"/>
  <c r="AS76" i="1"/>
  <c r="AS72" i="1"/>
  <c r="AS66" i="1"/>
  <c r="AS61" i="1"/>
  <c r="AS57" i="1"/>
  <c r="AS44" i="1"/>
  <c r="AS39" i="1"/>
  <c r="AS29" i="1"/>
  <c r="AS24" i="1"/>
  <c r="AS19" i="1"/>
  <c r="AI81" i="13"/>
  <c r="N62" i="67"/>
  <c r="N70" i="67"/>
  <c r="N14" i="67"/>
  <c r="N38" i="67"/>
  <c r="N34" i="67"/>
  <c r="N50" i="67"/>
  <c r="N74" i="67"/>
  <c r="N9" i="67"/>
  <c r="I43" i="2"/>
  <c r="G16" i="81"/>
  <c r="G17" i="81"/>
  <c r="G36" i="46"/>
  <c r="G28" i="46"/>
  <c r="G30" i="46" s="1"/>
  <c r="N7" i="67"/>
  <c r="N31" i="67"/>
  <c r="N39" i="67"/>
  <c r="N43" i="67"/>
  <c r="N75" i="67"/>
  <c r="D80" i="1"/>
  <c r="N22" i="67"/>
  <c r="N46" i="67"/>
  <c r="G14" i="2"/>
  <c r="H14" i="2" s="1"/>
  <c r="G46" i="2"/>
  <c r="H46" i="2" s="1"/>
  <c r="N19" i="67"/>
  <c r="N55" i="67"/>
  <c r="N23" i="67"/>
  <c r="G31" i="2"/>
  <c r="H31" i="2" s="1"/>
  <c r="G27" i="2"/>
  <c r="H27" i="2" s="1"/>
  <c r="G23" i="2"/>
  <c r="H23" i="2" s="1"/>
  <c r="G72" i="2"/>
  <c r="H72" i="2" s="1"/>
  <c r="G68" i="2"/>
  <c r="H68" i="2" s="1"/>
  <c r="G64" i="2"/>
  <c r="H64" i="2" s="1"/>
  <c r="G60" i="2"/>
  <c r="H60" i="2" s="1"/>
  <c r="G56" i="2"/>
  <c r="H56" i="2" s="1"/>
  <c r="G52" i="2"/>
  <c r="H52" i="2" s="1"/>
  <c r="G48" i="2"/>
  <c r="H48" i="2" s="1"/>
  <c r="G8" i="2"/>
  <c r="H8" i="2" s="1"/>
  <c r="N10" i="67"/>
  <c r="N20" i="67"/>
  <c r="N27" i="67"/>
  <c r="N36" i="67"/>
  <c r="N47" i="67"/>
  <c r="N56" i="67"/>
  <c r="N66" i="67"/>
  <c r="N60" i="67"/>
  <c r="N58" i="67"/>
  <c r="G63" i="2"/>
  <c r="H63" i="2" s="1"/>
  <c r="G59" i="2"/>
  <c r="H59" i="2" s="1"/>
  <c r="G55" i="2"/>
  <c r="H55" i="2" s="1"/>
  <c r="N11" i="67"/>
  <c r="N59" i="67"/>
  <c r="D78" i="1"/>
  <c r="H78" i="1"/>
  <c r="F78" i="1"/>
  <c r="AH78" i="1"/>
  <c r="I11" i="1"/>
  <c r="E10" i="1"/>
  <c r="N32" i="67"/>
  <c r="N48" i="67"/>
  <c r="N68" i="67"/>
  <c r="AI78" i="1"/>
  <c r="G78" i="1"/>
  <c r="E20" i="81" s="1"/>
  <c r="H20" i="81" s="1"/>
  <c r="I49" i="2"/>
  <c r="I37" i="2"/>
  <c r="G69" i="2"/>
  <c r="H69" i="2" s="1"/>
  <c r="G41" i="2"/>
  <c r="H41" i="2" s="1"/>
  <c r="G9" i="2"/>
  <c r="H9" i="2" s="1"/>
  <c r="N24" i="67"/>
  <c r="N28" i="67"/>
  <c r="I73" i="2"/>
  <c r="G61" i="2"/>
  <c r="H61" i="2" s="1"/>
  <c r="G57" i="2"/>
  <c r="H57" i="2" s="1"/>
  <c r="G53" i="2"/>
  <c r="H53" i="2" s="1"/>
  <c r="G33" i="2"/>
  <c r="H33" i="2" s="1"/>
  <c r="G29" i="2"/>
  <c r="H29" i="2" s="1"/>
  <c r="N52" i="67"/>
  <c r="G13" i="2"/>
  <c r="H13" i="2" s="1"/>
  <c r="N44" i="67"/>
  <c r="AK46" i="13"/>
  <c r="AO46" i="13" s="1"/>
  <c r="F47" i="25"/>
  <c r="F54" i="25"/>
  <c r="AK35" i="13"/>
  <c r="AN35" i="13" s="1"/>
  <c r="F36" i="25"/>
  <c r="AK40" i="13"/>
  <c r="AL40" i="13" s="1"/>
  <c r="F41" i="25"/>
  <c r="AE20" i="13"/>
  <c r="AD20" i="13" s="1"/>
  <c r="AB20" i="13"/>
  <c r="AK56" i="13"/>
  <c r="AL56" i="13" s="1"/>
  <c r="F57" i="25"/>
  <c r="AE69" i="13"/>
  <c r="C70" i="25" s="1"/>
  <c r="AC69" i="13"/>
  <c r="AE49" i="13"/>
  <c r="AQ49" i="13" s="1"/>
  <c r="BA50" i="1" s="1"/>
  <c r="AC49" i="13"/>
  <c r="AK50" i="13"/>
  <c r="AN50" i="13" s="1"/>
  <c r="F51" i="25"/>
  <c r="AK62" i="13"/>
  <c r="AL62" i="13" s="1"/>
  <c r="F63" i="25"/>
  <c r="AK66" i="13"/>
  <c r="AN66" i="13" s="1"/>
  <c r="F67" i="25"/>
  <c r="AK72" i="13"/>
  <c r="AO72" i="13" s="1"/>
  <c r="F73" i="25"/>
  <c r="AE50" i="13"/>
  <c r="C51" i="25" s="1"/>
  <c r="AE42" i="13"/>
  <c r="AE40" i="13"/>
  <c r="AD40" i="13" s="1"/>
  <c r="AE38" i="13"/>
  <c r="C39" i="25" s="1"/>
  <c r="H42" i="13"/>
  <c r="D43" i="25" s="1"/>
  <c r="G42" i="13"/>
  <c r="H68" i="13"/>
  <c r="D69" i="25" s="1"/>
  <c r="G68" i="13"/>
  <c r="H61" i="13"/>
  <c r="D62" i="25" s="1"/>
  <c r="G61" i="13"/>
  <c r="H20" i="13"/>
  <c r="D21" i="25" s="1"/>
  <c r="G20" i="13"/>
  <c r="M8" i="67"/>
  <c r="N8" i="67" s="1"/>
  <c r="M12" i="67"/>
  <c r="N12" i="67" s="1"/>
  <c r="M21" i="67"/>
  <c r="N21" i="67" s="1"/>
  <c r="M26" i="67"/>
  <c r="N26" i="67" s="1"/>
  <c r="M30" i="67"/>
  <c r="N30" i="67" s="1"/>
  <c r="M40" i="67"/>
  <c r="N40" i="67" s="1"/>
  <c r="M51" i="67"/>
  <c r="N51" i="67" s="1"/>
  <c r="M57" i="67"/>
  <c r="N57" i="67" s="1"/>
  <c r="M63" i="67"/>
  <c r="N63" i="67" s="1"/>
  <c r="M67" i="67"/>
  <c r="N67" i="67" s="1"/>
  <c r="M71" i="67"/>
  <c r="N71" i="67" s="1"/>
  <c r="G48" i="13"/>
  <c r="AN51" i="13"/>
  <c r="F10" i="25"/>
  <c r="F17" i="25"/>
  <c r="F29" i="25"/>
  <c r="F37" i="25"/>
  <c r="F42" i="25"/>
  <c r="F52" i="25"/>
  <c r="F58" i="25"/>
  <c r="F68" i="25"/>
  <c r="AB38" i="13"/>
  <c r="G23" i="46"/>
  <c r="G24" i="46" s="1"/>
  <c r="M35" i="67"/>
  <c r="N35" i="67" s="1"/>
  <c r="N64" i="67"/>
  <c r="N72" i="67"/>
  <c r="AE47" i="13"/>
  <c r="C48" i="25" s="1"/>
  <c r="AE45" i="13"/>
  <c r="C46" i="25" s="1"/>
  <c r="AE35" i="13"/>
  <c r="AQ35" i="13" s="1"/>
  <c r="BA36" i="1" s="1"/>
  <c r="AE27" i="13"/>
  <c r="C28" i="25" s="1"/>
  <c r="G65" i="2"/>
  <c r="H65" i="2" s="1"/>
  <c r="G25" i="2"/>
  <c r="H25" i="2" s="1"/>
  <c r="I78" i="25"/>
  <c r="C36" i="46"/>
  <c r="H60" i="13"/>
  <c r="D61" i="25" s="1"/>
  <c r="I34" i="2"/>
  <c r="I46" i="2"/>
  <c r="I54" i="2"/>
  <c r="I62" i="2"/>
  <c r="I70" i="2"/>
  <c r="F75" i="2"/>
  <c r="I11" i="2"/>
  <c r="G35" i="2"/>
  <c r="H35" i="2" s="1"/>
  <c r="I39" i="2"/>
  <c r="G67" i="2"/>
  <c r="H67" i="2" s="1"/>
  <c r="AN69" i="13"/>
  <c r="AO43" i="13"/>
  <c r="AM69" i="13"/>
  <c r="G70" i="25" s="1"/>
  <c r="AO61" i="13"/>
  <c r="AN34" i="13"/>
  <c r="AL61" i="13"/>
  <c r="AN75" i="13"/>
  <c r="AM59" i="13"/>
  <c r="G60" i="25" s="1"/>
  <c r="AL69" i="13"/>
  <c r="AM45" i="13"/>
  <c r="G46" i="25" s="1"/>
  <c r="AM75" i="13"/>
  <c r="G76" i="25" s="1"/>
  <c r="AO67" i="13"/>
  <c r="AN61" i="13"/>
  <c r="AO53" i="13"/>
  <c r="AM51" i="13"/>
  <c r="G52" i="25" s="1"/>
  <c r="AN43" i="13"/>
  <c r="AL34" i="13"/>
  <c r="F64" i="25"/>
  <c r="AM53" i="13"/>
  <c r="G54" i="25" s="1"/>
  <c r="AL45" i="13"/>
  <c r="AN67" i="13"/>
  <c r="AO59" i="13"/>
  <c r="AN53" i="13"/>
  <c r="AO45" i="13"/>
  <c r="AM43" i="13"/>
  <c r="G44" i="25" s="1"/>
  <c r="F56" i="25"/>
  <c r="AK76" i="13"/>
  <c r="AL76" i="13" s="1"/>
  <c r="AO75" i="13"/>
  <c r="AM67" i="13"/>
  <c r="G68" i="25" s="1"/>
  <c r="AN59" i="13"/>
  <c r="AO51" i="13"/>
  <c r="AO34" i="13"/>
  <c r="F13" i="25"/>
  <c r="F48" i="25"/>
  <c r="AK15" i="13"/>
  <c r="AO15" i="13" s="1"/>
  <c r="AB35" i="13"/>
  <c r="AB42" i="13"/>
  <c r="AE67" i="13"/>
  <c r="AD67" i="13" s="1"/>
  <c r="AE61" i="13"/>
  <c r="C62" i="25" s="1"/>
  <c r="AA77" i="13"/>
  <c r="N17" i="67"/>
  <c r="N25" i="67"/>
  <c r="N29" i="67"/>
  <c r="N33" i="67"/>
  <c r="N37" i="67"/>
  <c r="N41" i="67"/>
  <c r="N49" i="67"/>
  <c r="N53" i="67"/>
  <c r="N61" i="67"/>
  <c r="N65" i="67"/>
  <c r="N69" i="67"/>
  <c r="N73" i="67"/>
  <c r="AN60" i="13"/>
  <c r="AL54" i="13"/>
  <c r="AL14" i="13"/>
  <c r="AN25" i="13"/>
  <c r="AL25" i="13"/>
  <c r="AO25" i="13"/>
  <c r="AM25" i="13"/>
  <c r="G26" i="25" s="1"/>
  <c r="AM54" i="13"/>
  <c r="G55" i="25" s="1"/>
  <c r="AM32" i="13"/>
  <c r="G33" i="25" s="1"/>
  <c r="AO18" i="13"/>
  <c r="F23" i="25"/>
  <c r="AM70" i="13"/>
  <c r="G71" i="25" s="1"/>
  <c r="AO54" i="13"/>
  <c r="AO32" i="13"/>
  <c r="AO26" i="13"/>
  <c r="AN18" i="13"/>
  <c r="F24" i="25"/>
  <c r="F30" i="25"/>
  <c r="AI77" i="13"/>
  <c r="E34" i="81" s="1"/>
  <c r="AL70" i="13"/>
  <c r="F19" i="25"/>
  <c r="F33" i="25"/>
  <c r="F26" i="25"/>
  <c r="F31" i="25"/>
  <c r="AE75" i="13"/>
  <c r="AQ75" i="13" s="1"/>
  <c r="AE43" i="13"/>
  <c r="AQ43" i="13" s="1"/>
  <c r="BA44" i="1" s="1"/>
  <c r="AE41" i="13"/>
  <c r="AQ41" i="13" s="1"/>
  <c r="BA42" i="1" s="1"/>
  <c r="AE37" i="13"/>
  <c r="AQ37" i="13" s="1"/>
  <c r="AE18" i="13"/>
  <c r="AD18" i="13" s="1"/>
  <c r="AE14" i="13"/>
  <c r="C15" i="25" s="1"/>
  <c r="AE10" i="13"/>
  <c r="AQ10" i="13" s="1"/>
  <c r="BA11" i="1" s="1"/>
  <c r="AB14" i="13"/>
  <c r="AB45" i="13"/>
  <c r="AB19" i="13"/>
  <c r="AE59" i="13"/>
  <c r="C60" i="25" s="1"/>
  <c r="AE57" i="13"/>
  <c r="AQ57" i="13" s="1"/>
  <c r="AE25" i="13"/>
  <c r="AQ25" i="13" s="1"/>
  <c r="AE74" i="13"/>
  <c r="AD74" i="13" s="1"/>
  <c r="AE72" i="13"/>
  <c r="AD72" i="13" s="1"/>
  <c r="AE70" i="13"/>
  <c r="C71" i="25" s="1"/>
  <c r="AE23" i="13"/>
  <c r="C24" i="25" s="1"/>
  <c r="AE16" i="13"/>
  <c r="AD16" i="13" s="1"/>
  <c r="AE46" i="13"/>
  <c r="C47" i="25" s="1"/>
  <c r="AE32" i="13"/>
  <c r="AD32" i="13" s="1"/>
  <c r="AE30" i="13"/>
  <c r="AQ30" i="13" s="1"/>
  <c r="AE9" i="13"/>
  <c r="AC71" i="13"/>
  <c r="AC67" i="13"/>
  <c r="AC23" i="13"/>
  <c r="AC30" i="13"/>
  <c r="AE66" i="13"/>
  <c r="AD66" i="13" s="1"/>
  <c r="AE64" i="13"/>
  <c r="AE62" i="13"/>
  <c r="C63" i="25" s="1"/>
  <c r="AE55" i="13"/>
  <c r="AD55" i="13" s="1"/>
  <c r="AC41" i="13"/>
  <c r="AC10" i="13"/>
  <c r="AC18" i="13"/>
  <c r="G70" i="2"/>
  <c r="H70" i="2" s="1"/>
  <c r="G50" i="2"/>
  <c r="H50" i="2" s="1"/>
  <c r="G47" i="2"/>
  <c r="H47" i="2" s="1"/>
  <c r="G38" i="2"/>
  <c r="H38" i="2" s="1"/>
  <c r="G18" i="2"/>
  <c r="H18" i="2" s="1"/>
  <c r="G15" i="2"/>
  <c r="H15" i="2" s="1"/>
  <c r="G66" i="2"/>
  <c r="H66" i="2" s="1"/>
  <c r="G62" i="2"/>
  <c r="H62" i="2" s="1"/>
  <c r="G34" i="2"/>
  <c r="H34" i="2" s="1"/>
  <c r="G30" i="2"/>
  <c r="H30" i="2" s="1"/>
  <c r="N45" i="67"/>
  <c r="C76" i="67"/>
  <c r="E14" i="81" s="1"/>
  <c r="G74" i="2"/>
  <c r="H74" i="2" s="1"/>
  <c r="G71" i="2"/>
  <c r="H71" i="2" s="1"/>
  <c r="G58" i="2"/>
  <c r="H58" i="2" s="1"/>
  <c r="G54" i="2"/>
  <c r="H54" i="2" s="1"/>
  <c r="G51" i="2"/>
  <c r="H51" i="2" s="1"/>
  <c r="G42" i="2"/>
  <c r="H42" i="2" s="1"/>
  <c r="G39" i="2"/>
  <c r="H39" i="2" s="1"/>
  <c r="G26" i="2"/>
  <c r="H26" i="2" s="1"/>
  <c r="G22" i="2"/>
  <c r="H22" i="2" s="1"/>
  <c r="G19" i="2"/>
  <c r="H19" i="2" s="1"/>
  <c r="G10" i="2"/>
  <c r="H10" i="2" s="1"/>
  <c r="G7" i="2"/>
  <c r="H7" i="2" s="1"/>
  <c r="AB32" i="13"/>
  <c r="AC70" i="13"/>
  <c r="G25" i="13"/>
  <c r="G40" i="13"/>
  <c r="G53" i="13"/>
  <c r="H76" i="13"/>
  <c r="D77" i="25" s="1"/>
  <c r="AB13" i="13"/>
  <c r="AC16" i="13"/>
  <c r="AC32" i="13"/>
  <c r="AC37" i="13"/>
  <c r="AB40" i="13"/>
  <c r="AB44" i="13"/>
  <c r="AB46" i="13"/>
  <c r="AC56" i="13"/>
  <c r="AC72" i="13"/>
  <c r="G13" i="13"/>
  <c r="G72" i="13"/>
  <c r="AB16" i="13"/>
  <c r="G32" i="13"/>
  <c r="G70" i="13"/>
  <c r="AC31" i="13"/>
  <c r="AC13" i="13"/>
  <c r="AC17" i="13"/>
  <c r="AC24" i="13"/>
  <c r="AC40" i="13"/>
  <c r="AC44" i="13"/>
  <c r="AC46" i="13"/>
  <c r="AB49" i="13"/>
  <c r="AB53" i="13"/>
  <c r="AB57" i="13"/>
  <c r="AB69" i="13"/>
  <c r="AB73" i="13"/>
  <c r="G44" i="13"/>
  <c r="G49" i="13"/>
  <c r="G56" i="13"/>
  <c r="G73" i="13"/>
  <c r="AB9" i="13"/>
  <c r="AC14" i="13"/>
  <c r="AC22" i="13"/>
  <c r="AB25" i="13"/>
  <c r="AC34" i="13"/>
  <c r="AB47" i="13"/>
  <c r="AB55" i="13"/>
  <c r="G18" i="13"/>
  <c r="G34" i="13"/>
  <c r="G41" i="13"/>
  <c r="AC19" i="13"/>
  <c r="H66" i="13"/>
  <c r="D67" i="25" s="1"/>
  <c r="H50" i="13"/>
  <c r="D51" i="25" s="1"/>
  <c r="H41" i="13"/>
  <c r="D42" i="25" s="1"/>
  <c r="H10" i="13"/>
  <c r="D11" i="25" s="1"/>
  <c r="H14" i="13"/>
  <c r="D15" i="25" s="1"/>
  <c r="H18" i="13"/>
  <c r="D19" i="25" s="1"/>
  <c r="H22" i="13"/>
  <c r="D23" i="25" s="1"/>
  <c r="H26" i="13"/>
  <c r="D27" i="25" s="1"/>
  <c r="H30" i="13"/>
  <c r="D31" i="25" s="1"/>
  <c r="AB76" i="13"/>
  <c r="AB10" i="13"/>
  <c r="AB26" i="13"/>
  <c r="AB30" i="13"/>
  <c r="AC35" i="13"/>
  <c r="AB41" i="13"/>
  <c r="AB50" i="13"/>
  <c r="G10" i="13"/>
  <c r="AC58" i="13"/>
  <c r="AC50" i="13"/>
  <c r="AC63" i="13"/>
  <c r="AL31" i="13"/>
  <c r="AN31" i="13"/>
  <c r="AM31" i="13"/>
  <c r="G32" i="25" s="1"/>
  <c r="AN47" i="1"/>
  <c r="AO47" i="1" s="1"/>
  <c r="AP47" i="1" s="1"/>
  <c r="Q79" i="13"/>
  <c r="Q77" i="13"/>
  <c r="AE56" i="13"/>
  <c r="AB56" i="13"/>
  <c r="AE54" i="13"/>
  <c r="C55" i="25" s="1"/>
  <c r="AB54" i="13"/>
  <c r="AE33" i="13"/>
  <c r="AC33" i="13"/>
  <c r="AE12" i="13"/>
  <c r="X77" i="13"/>
  <c r="AB12" i="13"/>
  <c r="AK17" i="13"/>
  <c r="F18" i="25"/>
  <c r="H75" i="13"/>
  <c r="D76" i="25" s="1"/>
  <c r="G75" i="13"/>
  <c r="AC75" i="13"/>
  <c r="H67" i="13"/>
  <c r="D68" i="25" s="1"/>
  <c r="G67" i="13"/>
  <c r="AB67" i="13"/>
  <c r="H59" i="13"/>
  <c r="D60" i="25" s="1"/>
  <c r="G59" i="13"/>
  <c r="AC59" i="13"/>
  <c r="AB59" i="13"/>
  <c r="H51" i="13"/>
  <c r="D52" i="25" s="1"/>
  <c r="G51" i="13"/>
  <c r="AC51" i="13"/>
  <c r="H43" i="13"/>
  <c r="D44" i="25" s="1"/>
  <c r="G43" i="13"/>
  <c r="AB43" i="13"/>
  <c r="AC43" i="13"/>
  <c r="H27" i="13"/>
  <c r="D28" i="25" s="1"/>
  <c r="G27" i="13"/>
  <c r="AB27" i="13"/>
  <c r="AC27" i="13"/>
  <c r="H11" i="13"/>
  <c r="G11" i="13"/>
  <c r="E77" i="13"/>
  <c r="G77" i="13" s="1"/>
  <c r="AB11" i="13"/>
  <c r="AC11" i="13"/>
  <c r="AE53" i="13"/>
  <c r="AC53" i="13"/>
  <c r="AB29" i="13"/>
  <c r="AE29" i="13"/>
  <c r="AE24" i="13"/>
  <c r="AB24" i="13"/>
  <c r="AK27" i="13"/>
  <c r="AN27" i="13" s="1"/>
  <c r="F28" i="25"/>
  <c r="AO31" i="13"/>
  <c r="AB61" i="13"/>
  <c r="AC65" i="13"/>
  <c r="AE65" i="13"/>
  <c r="AE39" i="13"/>
  <c r="AB39" i="13"/>
  <c r="AE34" i="13"/>
  <c r="AB34" i="13"/>
  <c r="G6" i="2"/>
  <c r="H6" i="2" s="1"/>
  <c r="E75" i="2"/>
  <c r="E44" i="81" s="1"/>
  <c r="H44" i="81" s="1"/>
  <c r="AE76" i="13"/>
  <c r="AC76" i="13"/>
  <c r="AK11" i="13"/>
  <c r="AL11" i="13" s="1"/>
  <c r="F12" i="25"/>
  <c r="AK24" i="13"/>
  <c r="F25" i="25"/>
  <c r="H36" i="13"/>
  <c r="D37" i="25" s="1"/>
  <c r="G36" i="13"/>
  <c r="AB36" i="13"/>
  <c r="AC36" i="13"/>
  <c r="AE71" i="13"/>
  <c r="AB71" i="13"/>
  <c r="AB51" i="13"/>
  <c r="AE51" i="13"/>
  <c r="AE22" i="13"/>
  <c r="AB22" i="13"/>
  <c r="AE17" i="13"/>
  <c r="AB17" i="13"/>
  <c r="AE15" i="13"/>
  <c r="C16" i="25" s="1"/>
  <c r="AB15" i="13"/>
  <c r="AL23" i="13"/>
  <c r="AM23" i="13"/>
  <c r="G24" i="25" s="1"/>
  <c r="AO23" i="13"/>
  <c r="AK33" i="13"/>
  <c r="F34" i="25"/>
  <c r="Z77" i="13"/>
  <c r="H71" i="13"/>
  <c r="D72" i="25" s="1"/>
  <c r="G71" i="13"/>
  <c r="H63" i="13"/>
  <c r="D64" i="25" s="1"/>
  <c r="G63" i="13"/>
  <c r="H55" i="13"/>
  <c r="D56" i="25" s="1"/>
  <c r="G55" i="13"/>
  <c r="H47" i="13"/>
  <c r="D48" i="25" s="1"/>
  <c r="G47" i="13"/>
  <c r="H35" i="13"/>
  <c r="D36" i="25" s="1"/>
  <c r="G35" i="13"/>
  <c r="H19" i="13"/>
  <c r="D20" i="25" s="1"/>
  <c r="G19" i="13"/>
  <c r="AE73" i="13"/>
  <c r="AE63" i="13"/>
  <c r="AB63" i="13"/>
  <c r="AE58" i="13"/>
  <c r="AB58" i="13"/>
  <c r="AE48" i="13"/>
  <c r="AE31" i="13"/>
  <c r="AE26" i="13"/>
  <c r="AE19" i="13"/>
  <c r="AE8" i="13"/>
  <c r="AD8" i="13" s="1"/>
  <c r="H39" i="13"/>
  <c r="D40" i="25" s="1"/>
  <c r="G39" i="13"/>
  <c r="H23" i="13"/>
  <c r="D24" i="25" s="1"/>
  <c r="G23" i="13"/>
  <c r="G18" i="46"/>
  <c r="G19" i="46" s="1"/>
  <c r="H31" i="13"/>
  <c r="D32" i="25" s="1"/>
  <c r="G31" i="13"/>
  <c r="H15" i="13"/>
  <c r="D16" i="25" s="1"/>
  <c r="G15" i="13"/>
  <c r="AE68" i="13"/>
  <c r="C69" i="25" s="1"/>
  <c r="AE60" i="13"/>
  <c r="C61" i="25" s="1"/>
  <c r="AE52" i="13"/>
  <c r="C53" i="25" s="1"/>
  <c r="AE44" i="13"/>
  <c r="C45" i="25" s="1"/>
  <c r="AE36" i="13"/>
  <c r="AQ36" i="13" s="1"/>
  <c r="AE28" i="13"/>
  <c r="AQ28" i="13" s="1"/>
  <c r="AE21" i="13"/>
  <c r="C22" i="25" s="1"/>
  <c r="AE13" i="13"/>
  <c r="C14" i="25" s="1"/>
  <c r="AS10" i="1"/>
  <c r="AS14" i="1"/>
  <c r="AS18" i="1"/>
  <c r="AS22" i="1"/>
  <c r="AS26" i="1"/>
  <c r="AS30" i="1"/>
  <c r="AS34" i="1"/>
  <c r="AS38" i="1"/>
  <c r="AS42" i="1"/>
  <c r="AS46" i="1"/>
  <c r="AS50" i="1"/>
  <c r="AS54" i="1"/>
  <c r="AS58" i="1"/>
  <c r="AS62" i="1"/>
  <c r="M16" i="67"/>
  <c r="N16" i="67" s="1"/>
  <c r="G35" i="81"/>
  <c r="H43" i="81"/>
  <c r="F5" i="80"/>
  <c r="G5" i="80" s="1"/>
  <c r="F5" i="76"/>
  <c r="G5" i="76" s="1"/>
  <c r="O7" i="2" s="1"/>
  <c r="F7" i="80"/>
  <c r="G7" i="80" s="1"/>
  <c r="F7" i="76"/>
  <c r="G7" i="76" s="1"/>
  <c r="O9" i="2" s="1"/>
  <c r="F9" i="80"/>
  <c r="G9" i="80" s="1"/>
  <c r="F9" i="76"/>
  <c r="G9" i="76" s="1"/>
  <c r="O11" i="2" s="1"/>
  <c r="F11" i="80"/>
  <c r="G11" i="80" s="1"/>
  <c r="F11" i="76"/>
  <c r="G11" i="76" s="1"/>
  <c r="O13" i="2" s="1"/>
  <c r="F13" i="80"/>
  <c r="G13" i="80" s="1"/>
  <c r="F13" i="76"/>
  <c r="G13" i="76" s="1"/>
  <c r="O15" i="2" s="1"/>
  <c r="F15" i="80"/>
  <c r="G15" i="80" s="1"/>
  <c r="F15" i="76"/>
  <c r="G15" i="76" s="1"/>
  <c r="O17" i="2" s="1"/>
  <c r="F17" i="80"/>
  <c r="G17" i="80" s="1"/>
  <c r="F17" i="76"/>
  <c r="G17" i="76" s="1"/>
  <c r="O19" i="2" s="1"/>
  <c r="F19" i="80"/>
  <c r="G19" i="80" s="1"/>
  <c r="F19" i="76"/>
  <c r="G19" i="76" s="1"/>
  <c r="O21" i="2" s="1"/>
  <c r="F22" i="80"/>
  <c r="G22" i="80" s="1"/>
  <c r="F22" i="76"/>
  <c r="G22" i="76" s="1"/>
  <c r="O24" i="2" s="1"/>
  <c r="F24" i="80"/>
  <c r="G24" i="80" s="1"/>
  <c r="F24" i="76"/>
  <c r="G24" i="76" s="1"/>
  <c r="O26" i="2" s="1"/>
  <c r="F26" i="80"/>
  <c r="G26" i="80" s="1"/>
  <c r="F26" i="76"/>
  <c r="G26" i="76" s="1"/>
  <c r="O28" i="2" s="1"/>
  <c r="F28" i="80"/>
  <c r="G28" i="80" s="1"/>
  <c r="F28" i="76"/>
  <c r="G28" i="76" s="1"/>
  <c r="O30" i="2" s="1"/>
  <c r="F30" i="80"/>
  <c r="G30" i="80" s="1"/>
  <c r="F30" i="76"/>
  <c r="G30" i="76" s="1"/>
  <c r="O32" i="2" s="1"/>
  <c r="F32" i="80"/>
  <c r="G32" i="80" s="1"/>
  <c r="F32" i="76"/>
  <c r="G32" i="76" s="1"/>
  <c r="O34" i="2" s="1"/>
  <c r="F34" i="80"/>
  <c r="G34" i="80" s="1"/>
  <c r="F34" i="76"/>
  <c r="G34" i="76" s="1"/>
  <c r="O36" i="2" s="1"/>
  <c r="F36" i="80"/>
  <c r="G36" i="80" s="1"/>
  <c r="F36" i="76"/>
  <c r="G36" i="76" s="1"/>
  <c r="O38" i="2" s="1"/>
  <c r="F38" i="80"/>
  <c r="G38" i="80" s="1"/>
  <c r="F38" i="76"/>
  <c r="G38" i="76" s="1"/>
  <c r="O40" i="2" s="1"/>
  <c r="F41" i="80"/>
  <c r="G41" i="80" s="1"/>
  <c r="F41" i="76"/>
  <c r="G41" i="76" s="1"/>
  <c r="O43" i="2" s="1"/>
  <c r="F44" i="80"/>
  <c r="G44" i="80" s="1"/>
  <c r="F44" i="76"/>
  <c r="G44" i="76" s="1"/>
  <c r="O46" i="2" s="1"/>
  <c r="F46" i="80"/>
  <c r="G46" i="80" s="1"/>
  <c r="F46" i="76"/>
  <c r="G46" i="76" s="1"/>
  <c r="O48" i="2" s="1"/>
  <c r="F48" i="80"/>
  <c r="G48" i="80" s="1"/>
  <c r="F48" i="76"/>
  <c r="G48" i="76" s="1"/>
  <c r="O50" i="2" s="1"/>
  <c r="F49" i="76"/>
  <c r="G49" i="76" s="1"/>
  <c r="F49" i="80"/>
  <c r="G49" i="80" s="1"/>
  <c r="F51" i="76"/>
  <c r="G51" i="76" s="1"/>
  <c r="F51" i="80"/>
  <c r="G51" i="80" s="1"/>
  <c r="F53" i="76"/>
  <c r="G53" i="76" s="1"/>
  <c r="F53" i="80"/>
  <c r="G53" i="80" s="1"/>
  <c r="F55" i="76"/>
  <c r="G55" i="76" s="1"/>
  <c r="F55" i="80"/>
  <c r="G55" i="80" s="1"/>
  <c r="F57" i="76"/>
  <c r="G57" i="76" s="1"/>
  <c r="F57" i="80"/>
  <c r="G57" i="80" s="1"/>
  <c r="F59" i="76"/>
  <c r="G59" i="76" s="1"/>
  <c r="F59" i="80"/>
  <c r="G59" i="80" s="1"/>
  <c r="F61" i="76"/>
  <c r="G61" i="76" s="1"/>
  <c r="F61" i="80"/>
  <c r="G61" i="80" s="1"/>
  <c r="F63" i="76"/>
  <c r="G63" i="76" s="1"/>
  <c r="F63" i="80"/>
  <c r="G63" i="80" s="1"/>
  <c r="F65" i="76"/>
  <c r="G65" i="76" s="1"/>
  <c r="F65" i="80"/>
  <c r="G65" i="80" s="1"/>
  <c r="F67" i="76"/>
  <c r="G67" i="76" s="1"/>
  <c r="F67" i="80"/>
  <c r="G67" i="80" s="1"/>
  <c r="F69" i="76"/>
  <c r="G69" i="76" s="1"/>
  <c r="F69" i="80"/>
  <c r="G69" i="80" s="1"/>
  <c r="F4" i="76"/>
  <c r="G4" i="76" s="1"/>
  <c r="F4" i="80"/>
  <c r="G4" i="80" s="1"/>
  <c r="F6" i="76"/>
  <c r="G6" i="76" s="1"/>
  <c r="F6" i="80"/>
  <c r="G6" i="80" s="1"/>
  <c r="F8" i="76"/>
  <c r="G8" i="76" s="1"/>
  <c r="F8" i="80"/>
  <c r="G8" i="80" s="1"/>
  <c r="F10" i="76"/>
  <c r="G10" i="76" s="1"/>
  <c r="F10" i="80"/>
  <c r="G10" i="80" s="1"/>
  <c r="F12" i="76"/>
  <c r="G12" i="76" s="1"/>
  <c r="F12" i="80"/>
  <c r="G12" i="80" s="1"/>
  <c r="F14" i="76"/>
  <c r="G14" i="76" s="1"/>
  <c r="F14" i="80"/>
  <c r="G14" i="80" s="1"/>
  <c r="F16" i="76"/>
  <c r="G16" i="76" s="1"/>
  <c r="F16" i="80"/>
  <c r="G16" i="80" s="1"/>
  <c r="F18" i="76"/>
  <c r="G18" i="76" s="1"/>
  <c r="F18" i="80"/>
  <c r="G18" i="80" s="1"/>
  <c r="F21" i="76"/>
  <c r="G21" i="76" s="1"/>
  <c r="F21" i="80"/>
  <c r="G21" i="80" s="1"/>
  <c r="F23" i="76"/>
  <c r="G23" i="76" s="1"/>
  <c r="F23" i="80"/>
  <c r="G23" i="80" s="1"/>
  <c r="F25" i="76"/>
  <c r="G25" i="76" s="1"/>
  <c r="F25" i="80"/>
  <c r="G25" i="80" s="1"/>
  <c r="F27" i="76"/>
  <c r="G27" i="76" s="1"/>
  <c r="F27" i="80"/>
  <c r="G27" i="80" s="1"/>
  <c r="F29" i="76"/>
  <c r="G29" i="76" s="1"/>
  <c r="F29" i="80"/>
  <c r="G29" i="80" s="1"/>
  <c r="F31" i="76"/>
  <c r="G31" i="76" s="1"/>
  <c r="F31" i="80"/>
  <c r="G31" i="80" s="1"/>
  <c r="F33" i="76"/>
  <c r="G33" i="76" s="1"/>
  <c r="F33" i="80"/>
  <c r="G33" i="80" s="1"/>
  <c r="F35" i="76"/>
  <c r="G35" i="76" s="1"/>
  <c r="F35" i="80"/>
  <c r="G35" i="80" s="1"/>
  <c r="F37" i="76"/>
  <c r="G37" i="76" s="1"/>
  <c r="F37" i="80"/>
  <c r="G37" i="80" s="1"/>
  <c r="F40" i="76"/>
  <c r="G40" i="76" s="1"/>
  <c r="F40" i="80"/>
  <c r="G40" i="80" s="1"/>
  <c r="F43" i="76"/>
  <c r="G43" i="76" s="1"/>
  <c r="F43" i="80"/>
  <c r="G43" i="80" s="1"/>
  <c r="F45" i="76"/>
  <c r="G45" i="76" s="1"/>
  <c r="F45" i="80"/>
  <c r="G45" i="80" s="1"/>
  <c r="F47" i="76"/>
  <c r="G47" i="76" s="1"/>
  <c r="F47" i="80"/>
  <c r="G47" i="80" s="1"/>
  <c r="F50" i="80"/>
  <c r="G50" i="80" s="1"/>
  <c r="F50" i="76"/>
  <c r="G50" i="76" s="1"/>
  <c r="F52" i="80"/>
  <c r="G52" i="80" s="1"/>
  <c r="F52" i="76"/>
  <c r="G52" i="76" s="1"/>
  <c r="F54" i="80"/>
  <c r="G54" i="80" s="1"/>
  <c r="F54" i="76"/>
  <c r="G54" i="76" s="1"/>
  <c r="F56" i="80"/>
  <c r="G56" i="80" s="1"/>
  <c r="F56" i="76"/>
  <c r="G56" i="76" s="1"/>
  <c r="F58" i="80"/>
  <c r="G58" i="80" s="1"/>
  <c r="F58" i="76"/>
  <c r="G58" i="76" s="1"/>
  <c r="F60" i="80"/>
  <c r="G60" i="80" s="1"/>
  <c r="F60" i="76"/>
  <c r="G60" i="76" s="1"/>
  <c r="F62" i="80"/>
  <c r="G62" i="80" s="1"/>
  <c r="F62" i="76"/>
  <c r="G62" i="76" s="1"/>
  <c r="F64" i="80"/>
  <c r="G64" i="80" s="1"/>
  <c r="F64" i="76"/>
  <c r="G64" i="76" s="1"/>
  <c r="F66" i="80"/>
  <c r="G66" i="80" s="1"/>
  <c r="F66" i="76"/>
  <c r="G66" i="76" s="1"/>
  <c r="F68" i="80"/>
  <c r="G68" i="80" s="1"/>
  <c r="F68" i="76"/>
  <c r="G68" i="76" s="1"/>
  <c r="O70" i="2" s="1"/>
  <c r="F70" i="80"/>
  <c r="G70" i="80" s="1"/>
  <c r="F70" i="76"/>
  <c r="G70" i="76" s="1"/>
  <c r="O72" i="2" s="1"/>
  <c r="F72" i="80"/>
  <c r="G72" i="80" s="1"/>
  <c r="F72" i="76"/>
  <c r="G72" i="76" s="1"/>
  <c r="O74" i="2" s="1"/>
  <c r="K14" i="2"/>
  <c r="L14" i="2" s="1"/>
  <c r="I14" i="2"/>
  <c r="K44" i="2"/>
  <c r="L44" i="2" s="1"/>
  <c r="I44" i="2"/>
  <c r="C30" i="46"/>
  <c r="C31" i="46" s="1"/>
  <c r="F71" i="76"/>
  <c r="G71" i="76" s="1"/>
  <c r="O73" i="2" s="1"/>
  <c r="F71" i="80"/>
  <c r="G71" i="80" s="1"/>
  <c r="AM39" i="13"/>
  <c r="G40" i="25" s="1"/>
  <c r="AN39" i="13"/>
  <c r="AD70" i="13"/>
  <c r="AM8" i="13"/>
  <c r="AN8" i="13"/>
  <c r="AL8" i="13"/>
  <c r="AO8" i="13"/>
  <c r="AM10" i="13"/>
  <c r="G11" i="25" s="1"/>
  <c r="AL10" i="13"/>
  <c r="AO10" i="13"/>
  <c r="AN10" i="13"/>
  <c r="AN12" i="13"/>
  <c r="AO12" i="13"/>
  <c r="AN14" i="13"/>
  <c r="AO14" i="13"/>
  <c r="AO20" i="13"/>
  <c r="AN20" i="13"/>
  <c r="AL22" i="13"/>
  <c r="AO22" i="13"/>
  <c r="AM22" i="13"/>
  <c r="G23" i="25" s="1"/>
  <c r="AN22" i="13"/>
  <c r="AM28" i="13"/>
  <c r="G29" i="25" s="1"/>
  <c r="AN28" i="13"/>
  <c r="AL28" i="13"/>
  <c r="AO28" i="13"/>
  <c r="AM30" i="13"/>
  <c r="G31" i="25" s="1"/>
  <c r="AN30" i="13"/>
  <c r="AL30" i="13"/>
  <c r="AO30" i="13"/>
  <c r="AL36" i="13"/>
  <c r="AO36" i="13"/>
  <c r="AM36" i="13"/>
  <c r="G37" i="25" s="1"/>
  <c r="AN36" i="13"/>
  <c r="AL38" i="13"/>
  <c r="AO38" i="13"/>
  <c r="AM38" i="13"/>
  <c r="G39" i="25" s="1"/>
  <c r="AN38" i="13"/>
  <c r="AO41" i="13"/>
  <c r="AM41" i="13"/>
  <c r="G42" i="25" s="1"/>
  <c r="AN41" i="13"/>
  <c r="AM47" i="13"/>
  <c r="G48" i="25" s="1"/>
  <c r="AN47" i="13"/>
  <c r="AL47" i="13"/>
  <c r="AO47" i="13"/>
  <c r="AN49" i="13"/>
  <c r="AM49" i="13"/>
  <c r="G50" i="25" s="1"/>
  <c r="AO49" i="13"/>
  <c r="AO55" i="13"/>
  <c r="AL55" i="13"/>
  <c r="AM55" i="13"/>
  <c r="G56" i="25" s="1"/>
  <c r="AN55" i="13"/>
  <c r="AO57" i="13"/>
  <c r="AM57" i="13"/>
  <c r="G58" i="25" s="1"/>
  <c r="AN57" i="13"/>
  <c r="AM63" i="13"/>
  <c r="G64" i="25" s="1"/>
  <c r="AN63" i="13"/>
  <c r="AL63" i="13"/>
  <c r="AO63" i="13"/>
  <c r="AN65" i="13"/>
  <c r="AM65" i="13"/>
  <c r="G66" i="25" s="1"/>
  <c r="AO65" i="13"/>
  <c r="AO71" i="13"/>
  <c r="AL71" i="13"/>
  <c r="AM71" i="13"/>
  <c r="G72" i="25" s="1"/>
  <c r="AN71" i="13"/>
  <c r="AO73" i="13"/>
  <c r="AM73" i="13"/>
  <c r="G74" i="25" s="1"/>
  <c r="AN73" i="13"/>
  <c r="AN9" i="13"/>
  <c r="AL9" i="13"/>
  <c r="AO9" i="13"/>
  <c r="AL13" i="13"/>
  <c r="AN13" i="13"/>
  <c r="AM13" i="13"/>
  <c r="G14" i="25" s="1"/>
  <c r="AL21" i="13"/>
  <c r="AO21" i="13"/>
  <c r="AM21" i="13"/>
  <c r="G22" i="25" s="1"/>
  <c r="AN29" i="13"/>
  <c r="AM29" i="13"/>
  <c r="G30" i="25" s="1"/>
  <c r="AO29" i="13"/>
  <c r="AO37" i="13"/>
  <c r="AM37" i="13"/>
  <c r="G38" i="25" s="1"/>
  <c r="AN37" i="13"/>
  <c r="AL42" i="13"/>
  <c r="AO42" i="13"/>
  <c r="AM42" i="13"/>
  <c r="G43" i="25" s="1"/>
  <c r="AN42" i="13"/>
  <c r="AM48" i="13"/>
  <c r="G49" i="25" s="1"/>
  <c r="AN48" i="13"/>
  <c r="AL48" i="13"/>
  <c r="AO48" i="13"/>
  <c r="AL58" i="13"/>
  <c r="AO58" i="13"/>
  <c r="AM58" i="13"/>
  <c r="G59" i="25" s="1"/>
  <c r="AN58" i="13"/>
  <c r="AM64" i="13"/>
  <c r="G65" i="25" s="1"/>
  <c r="AN64" i="13"/>
  <c r="AL64" i="13"/>
  <c r="AO64" i="13"/>
  <c r="AM72" i="13"/>
  <c r="G73" i="25" s="1"/>
  <c r="AL74" i="13"/>
  <c r="AO74" i="13"/>
  <c r="AM74" i="13"/>
  <c r="G75" i="25" s="1"/>
  <c r="AN74" i="13"/>
  <c r="AO39" i="13"/>
  <c r="AB60" i="13"/>
  <c r="AB62" i="13"/>
  <c r="AB64" i="13"/>
  <c r="AB66" i="13"/>
  <c r="AB68" i="13"/>
  <c r="AB70" i="13"/>
  <c r="AB72" i="13"/>
  <c r="AB74" i="13"/>
  <c r="C19" i="46"/>
  <c r="O49" i="2" l="1"/>
  <c r="O47" i="2"/>
  <c r="O45" i="2"/>
  <c r="O42" i="2"/>
  <c r="O39" i="2"/>
  <c r="O37" i="2"/>
  <c r="O35" i="2"/>
  <c r="O33" i="2"/>
  <c r="O31" i="2"/>
  <c r="O29" i="2"/>
  <c r="O27" i="2"/>
  <c r="O25" i="2"/>
  <c r="O23" i="2"/>
  <c r="O20" i="2"/>
  <c r="O18" i="2"/>
  <c r="O16" i="2"/>
  <c r="O14" i="2"/>
  <c r="O12" i="2"/>
  <c r="O10" i="2"/>
  <c r="O8" i="2"/>
  <c r="O6" i="2"/>
  <c r="O71" i="2"/>
  <c r="O69" i="2"/>
  <c r="O67" i="2"/>
  <c r="O65" i="2"/>
  <c r="O63" i="2"/>
  <c r="O61" i="2"/>
  <c r="O59" i="2"/>
  <c r="O57" i="2"/>
  <c r="O55" i="2"/>
  <c r="O53" i="2"/>
  <c r="O51" i="2"/>
  <c r="O68" i="2"/>
  <c r="O66" i="2"/>
  <c r="O64" i="2"/>
  <c r="O62" i="2"/>
  <c r="O60" i="2"/>
  <c r="O58" i="2"/>
  <c r="O56" i="2"/>
  <c r="O54" i="2"/>
  <c r="O52" i="2"/>
  <c r="E22" i="81"/>
  <c r="H22" i="81" s="1"/>
  <c r="AO50" i="13"/>
  <c r="AD11" i="13"/>
  <c r="I78" i="1"/>
  <c r="AQ69" i="13"/>
  <c r="BA70" i="1" s="1"/>
  <c r="AQ11" i="13"/>
  <c r="BA12" i="1" s="1"/>
  <c r="AD41" i="13"/>
  <c r="AD45" i="13"/>
  <c r="AL72" i="13"/>
  <c r="AN56" i="13"/>
  <c r="AO62" i="13"/>
  <c r="AD69" i="13"/>
  <c r="AM66" i="13"/>
  <c r="G67" i="25" s="1"/>
  <c r="AM50" i="13"/>
  <c r="G51" i="25" s="1"/>
  <c r="AM35" i="13"/>
  <c r="G36" i="25" s="1"/>
  <c r="AD27" i="13"/>
  <c r="AM60" i="13"/>
  <c r="G61" i="25" s="1"/>
  <c r="AL50" i="13"/>
  <c r="AQ20" i="13"/>
  <c r="AR20" i="13" s="1"/>
  <c r="AL60" i="13"/>
  <c r="AN72" i="13"/>
  <c r="AN62" i="13"/>
  <c r="AO68" i="13"/>
  <c r="C50" i="25"/>
  <c r="AN68" i="13"/>
  <c r="AM62" i="13"/>
  <c r="G63" i="25" s="1"/>
  <c r="AN40" i="13"/>
  <c r="AM68" i="13"/>
  <c r="G69" i="25" s="1"/>
  <c r="AQ62" i="13"/>
  <c r="AR62" i="13" s="1"/>
  <c r="C31" i="25"/>
  <c r="AL52" i="13"/>
  <c r="AR35" i="13"/>
  <c r="AO44" i="13"/>
  <c r="C76" i="25"/>
  <c r="AN44" i="13"/>
  <c r="AL46" i="13"/>
  <c r="AD54" i="13"/>
  <c r="AM46" i="13"/>
  <c r="G47" i="25" s="1"/>
  <c r="AN46" i="13"/>
  <c r="C42" i="25"/>
  <c r="C11" i="25"/>
  <c r="AN52" i="13"/>
  <c r="AO52" i="13"/>
  <c r="AD35" i="13"/>
  <c r="AQ38" i="13"/>
  <c r="AR38" i="13" s="1"/>
  <c r="AO66" i="13"/>
  <c r="AL66" i="13"/>
  <c r="AD38" i="13"/>
  <c r="C36" i="25"/>
  <c r="AD49" i="13"/>
  <c r="AR49" i="13"/>
  <c r="AQ45" i="13"/>
  <c r="AR45" i="13" s="1"/>
  <c r="AD21" i="13"/>
  <c r="AM44" i="13"/>
  <c r="G45" i="25" s="1"/>
  <c r="AQ50" i="13"/>
  <c r="AR50" i="13" s="1"/>
  <c r="AQ27" i="13"/>
  <c r="BA28" i="1" s="1"/>
  <c r="AD57" i="13"/>
  <c r="AM56" i="13"/>
  <c r="G57" i="25" s="1"/>
  <c r="AM40" i="13"/>
  <c r="G41" i="25" s="1"/>
  <c r="C29" i="25"/>
  <c r="C98" i="67"/>
  <c r="C100" i="67" s="1"/>
  <c r="C102" i="67" s="1"/>
  <c r="F4" i="67" s="1"/>
  <c r="AO56" i="13"/>
  <c r="AO40" i="13"/>
  <c r="AD60" i="13"/>
  <c r="AD14" i="13"/>
  <c r="AQ60" i="13"/>
  <c r="AR60" i="13" s="1"/>
  <c r="AD61" i="13"/>
  <c r="C68" i="25"/>
  <c r="AO76" i="13"/>
  <c r="H51" i="81"/>
  <c r="G9" i="81"/>
  <c r="G44" i="81"/>
  <c r="E78" i="1"/>
  <c r="E19" i="81" s="1"/>
  <c r="H14" i="81"/>
  <c r="G14" i="81"/>
  <c r="G20" i="81"/>
  <c r="H75" i="2"/>
  <c r="AL35" i="13"/>
  <c r="AD46" i="13"/>
  <c r="C21" i="25"/>
  <c r="AD75" i="13"/>
  <c r="AD59" i="13"/>
  <c r="AM15" i="13"/>
  <c r="G16" i="25" s="1"/>
  <c r="AD47" i="13"/>
  <c r="AQ18" i="13"/>
  <c r="AR18" i="13" s="1"/>
  <c r="C41" i="25"/>
  <c r="AQ40" i="13"/>
  <c r="AO35" i="13"/>
  <c r="AJ76" i="33"/>
  <c r="AD50" i="13"/>
  <c r="C19" i="25"/>
  <c r="AQ47" i="13"/>
  <c r="C43" i="25"/>
  <c r="AQ42" i="13"/>
  <c r="AD42" i="13"/>
  <c r="AO27" i="13"/>
  <c r="AN15" i="13"/>
  <c r="AM76" i="13"/>
  <c r="G77" i="25" s="1"/>
  <c r="AN76" i="13"/>
  <c r="AL15" i="13"/>
  <c r="AD30" i="13"/>
  <c r="C37" i="25"/>
  <c r="AD68" i="13"/>
  <c r="AD23" i="13"/>
  <c r="AQ59" i="13"/>
  <c r="AR59" i="13" s="1"/>
  <c r="C58" i="25"/>
  <c r="AD36" i="13"/>
  <c r="AQ68" i="13"/>
  <c r="BA69" i="1" s="1"/>
  <c r="AQ23" i="13"/>
  <c r="BA24" i="1" s="1"/>
  <c r="C44" i="25"/>
  <c r="AQ67" i="13"/>
  <c r="AR67" i="13" s="1"/>
  <c r="BA58" i="1"/>
  <c r="AR57" i="13"/>
  <c r="AD44" i="13"/>
  <c r="AQ54" i="13"/>
  <c r="BA55" i="1" s="1"/>
  <c r="AQ70" i="13"/>
  <c r="BA71" i="1" s="1"/>
  <c r="AD10" i="13"/>
  <c r="C26" i="25"/>
  <c r="AD28" i="13"/>
  <c r="AD52" i="13"/>
  <c r="AD62" i="13"/>
  <c r="AQ14" i="13"/>
  <c r="AR14" i="13" s="1"/>
  <c r="AD43" i="13"/>
  <c r="AQ61" i="13"/>
  <c r="AR61" i="13" s="1"/>
  <c r="AD25" i="13"/>
  <c r="G34" i="81"/>
  <c r="H34" i="81"/>
  <c r="AI82" i="13"/>
  <c r="C9" i="25"/>
  <c r="AR41" i="13"/>
  <c r="AR10" i="13"/>
  <c r="AM27" i="13"/>
  <c r="G28" i="25" s="1"/>
  <c r="AL27" i="13"/>
  <c r="F78" i="25"/>
  <c r="C38" i="25"/>
  <c r="AD15" i="13"/>
  <c r="AQ46" i="13"/>
  <c r="AR46" i="13" s="1"/>
  <c r="AD37" i="13"/>
  <c r="AD13" i="13"/>
  <c r="AQ44" i="13"/>
  <c r="AR44" i="13" s="1"/>
  <c r="AQ13" i="13"/>
  <c r="AR13" i="13" s="1"/>
  <c r="C10" i="25"/>
  <c r="AQ9" i="13"/>
  <c r="AD9" i="13"/>
  <c r="AQ16" i="13"/>
  <c r="BA17" i="1" s="1"/>
  <c r="C17" i="25"/>
  <c r="C75" i="25"/>
  <c r="AQ74" i="13"/>
  <c r="C65" i="25"/>
  <c r="AQ64" i="13"/>
  <c r="AD64" i="13"/>
  <c r="AR30" i="13"/>
  <c r="BA31" i="1"/>
  <c r="BA26" i="1"/>
  <c r="AR25" i="13"/>
  <c r="C67" i="25"/>
  <c r="AQ66" i="13"/>
  <c r="AQ32" i="13"/>
  <c r="C33" i="25"/>
  <c r="AQ55" i="13"/>
  <c r="C56" i="25"/>
  <c r="C73" i="25"/>
  <c r="AQ72" i="13"/>
  <c r="AR75" i="13"/>
  <c r="BA76" i="1"/>
  <c r="G73" i="76"/>
  <c r="G75" i="2"/>
  <c r="M15" i="67"/>
  <c r="AN17" i="1"/>
  <c r="BA37" i="1"/>
  <c r="AR36" i="13"/>
  <c r="C20" i="25"/>
  <c r="AQ19" i="13"/>
  <c r="AD19" i="13"/>
  <c r="AD73" i="13"/>
  <c r="C74" i="25"/>
  <c r="AQ73" i="13"/>
  <c r="C18" i="25"/>
  <c r="AQ17" i="13"/>
  <c r="AD17" i="13"/>
  <c r="AQ76" i="13"/>
  <c r="C77" i="25"/>
  <c r="AD76" i="13"/>
  <c r="AR37" i="13"/>
  <c r="BA38" i="1"/>
  <c r="AD65" i="13"/>
  <c r="C66" i="25"/>
  <c r="AQ65" i="13"/>
  <c r="C30" i="25"/>
  <c r="AQ29" i="13"/>
  <c r="AD29" i="13"/>
  <c r="C13" i="25"/>
  <c r="AQ12" i="13"/>
  <c r="AD12" i="13"/>
  <c r="AC77" i="13"/>
  <c r="AQ26" i="13"/>
  <c r="AD26" i="13"/>
  <c r="C27" i="25"/>
  <c r="C59" i="25"/>
  <c r="AQ58" i="13"/>
  <c r="AD58" i="13"/>
  <c r="AL33" i="13"/>
  <c r="AN33" i="13"/>
  <c r="AO33" i="13"/>
  <c r="AM33" i="13"/>
  <c r="G34" i="25" s="1"/>
  <c r="AD22" i="13"/>
  <c r="AQ22" i="13"/>
  <c r="C23" i="25"/>
  <c r="AN24" i="13"/>
  <c r="AM24" i="13"/>
  <c r="G25" i="25" s="1"/>
  <c r="AO24" i="13"/>
  <c r="AL24" i="13"/>
  <c r="D12" i="25"/>
  <c r="H77" i="13"/>
  <c r="E29" i="81" s="1"/>
  <c r="G9" i="31"/>
  <c r="G70" i="31" s="1"/>
  <c r="AD31" i="13"/>
  <c r="AQ31" i="13"/>
  <c r="C32" i="25"/>
  <c r="C52" i="25"/>
  <c r="AQ51" i="13"/>
  <c r="AD51" i="13"/>
  <c r="AN11" i="13"/>
  <c r="AO11" i="13"/>
  <c r="AQ34" i="13"/>
  <c r="C35" i="25"/>
  <c r="AD34" i="13"/>
  <c r="AQ33" i="13"/>
  <c r="C34" i="25"/>
  <c r="AD33" i="13"/>
  <c r="C57" i="25"/>
  <c r="AQ56" i="13"/>
  <c r="AD56" i="13"/>
  <c r="AM11" i="13"/>
  <c r="G12" i="25" s="1"/>
  <c r="AQ21" i="13"/>
  <c r="BA22" i="1" s="1"/>
  <c r="AQ52" i="13"/>
  <c r="AR52" i="13" s="1"/>
  <c r="AK77" i="13"/>
  <c r="AO77" i="13" s="1"/>
  <c r="AQ15" i="13"/>
  <c r="BA16" i="1" s="1"/>
  <c r="AN44" i="1"/>
  <c r="AO44" i="1" s="1"/>
  <c r="AP44" i="1" s="1"/>
  <c r="M42" i="67"/>
  <c r="N42" i="67" s="1"/>
  <c r="K41" i="2"/>
  <c r="I41" i="2"/>
  <c r="I75" i="2" s="1"/>
  <c r="AR43" i="13"/>
  <c r="AR28" i="13"/>
  <c r="BA29" i="1"/>
  <c r="AQ8" i="13"/>
  <c r="AE77" i="13"/>
  <c r="C49" i="25"/>
  <c r="AD48" i="13"/>
  <c r="AQ48" i="13"/>
  <c r="AQ63" i="13"/>
  <c r="C64" i="25"/>
  <c r="AD63" i="13"/>
  <c r="AQ71" i="13"/>
  <c r="C72" i="25"/>
  <c r="AD71" i="13"/>
  <c r="AD39" i="13"/>
  <c r="AQ39" i="13"/>
  <c r="C40" i="25"/>
  <c r="AQ24" i="13"/>
  <c r="AD24" i="13"/>
  <c r="C25" i="25"/>
  <c r="AD53" i="13"/>
  <c r="AQ53" i="13"/>
  <c r="C54" i="25"/>
  <c r="AM17" i="13"/>
  <c r="G18" i="25" s="1"/>
  <c r="AN17" i="13"/>
  <c r="AO17" i="13"/>
  <c r="AL17" i="13"/>
  <c r="AB77" i="13"/>
  <c r="G73" i="80"/>
  <c r="G77" i="80" s="1"/>
  <c r="G80" i="80" s="1"/>
  <c r="C38" i="46"/>
  <c r="G31" i="46"/>
  <c r="G38" i="46"/>
  <c r="G9" i="25"/>
  <c r="G19" i="81" l="1"/>
  <c r="J4" i="2"/>
  <c r="J53" i="2" s="1"/>
  <c r="M53" i="2" s="1"/>
  <c r="BA21" i="1"/>
  <c r="AR69" i="13"/>
  <c r="G22" i="81"/>
  <c r="AR68" i="13"/>
  <c r="AR70" i="13"/>
  <c r="AR11" i="13"/>
  <c r="AR54" i="13"/>
  <c r="G77" i="76"/>
  <c r="G80" i="76" s="1"/>
  <c r="G72" i="31"/>
  <c r="O41" i="2" s="1"/>
  <c r="BA63" i="1"/>
  <c r="BA39" i="1"/>
  <c r="G51" i="81"/>
  <c r="AR27" i="13"/>
  <c r="E45" i="81"/>
  <c r="G45" i="81" s="1"/>
  <c r="BA46" i="1"/>
  <c r="BA68" i="1"/>
  <c r="BA51" i="1"/>
  <c r="AL77" i="13"/>
  <c r="BA61" i="1"/>
  <c r="BA19" i="1"/>
  <c r="BA45" i="1"/>
  <c r="BA60" i="1"/>
  <c r="H19" i="81"/>
  <c r="BA62" i="1"/>
  <c r="AR42" i="13"/>
  <c r="BA43" i="1"/>
  <c r="AR47" i="13"/>
  <c r="BA48" i="1"/>
  <c r="AR40" i="13"/>
  <c r="BA41" i="1"/>
  <c r="AR23" i="13"/>
  <c r="BA14" i="1"/>
  <c r="BA15" i="1"/>
  <c r="BA47" i="1"/>
  <c r="AN77" i="13"/>
  <c r="AR15" i="13"/>
  <c r="AF77" i="13"/>
  <c r="H6" i="25" s="1"/>
  <c r="AR16" i="13"/>
  <c r="AR21" i="13"/>
  <c r="BA73" i="1"/>
  <c r="AR72" i="13"/>
  <c r="BA53" i="1"/>
  <c r="AR32" i="13"/>
  <c r="BA33" i="1"/>
  <c r="AR74" i="13"/>
  <c r="BA75" i="1"/>
  <c r="AQ77" i="13"/>
  <c r="E28" i="81" s="1"/>
  <c r="G28" i="81" s="1"/>
  <c r="C78" i="25"/>
  <c r="AR66" i="13"/>
  <c r="BA67" i="1"/>
  <c r="BA10" i="1"/>
  <c r="AR9" i="13"/>
  <c r="AR55" i="13"/>
  <c r="BA56" i="1"/>
  <c r="BA65" i="1"/>
  <c r="AR64" i="13"/>
  <c r="BA54" i="1"/>
  <c r="AR53" i="13"/>
  <c r="AR39" i="13"/>
  <c r="BA40" i="1"/>
  <c r="L41" i="2"/>
  <c r="L75" i="2" s="1"/>
  <c r="E41" i="81" s="1"/>
  <c r="G41" i="81" s="1"/>
  <c r="K75" i="2"/>
  <c r="BA35" i="1"/>
  <c r="AR34" i="13"/>
  <c r="BA52" i="1"/>
  <c r="AR51" i="13"/>
  <c r="D78" i="25"/>
  <c r="AR22" i="13"/>
  <c r="BA23" i="1"/>
  <c r="BA74" i="1"/>
  <c r="AR73" i="13"/>
  <c r="BA20" i="1"/>
  <c r="AR19" i="13"/>
  <c r="BA49" i="1"/>
  <c r="AR48" i="13"/>
  <c r="AR63" i="13"/>
  <c r="BA64" i="1"/>
  <c r="E33" i="81"/>
  <c r="AD77" i="13"/>
  <c r="E6" i="25" s="1"/>
  <c r="H52" i="81"/>
  <c r="G52" i="81"/>
  <c r="AR56" i="13"/>
  <c r="BA57" i="1"/>
  <c r="AR33" i="13"/>
  <c r="BA34" i="1"/>
  <c r="AR31" i="13"/>
  <c r="BA32" i="1"/>
  <c r="AR29" i="13"/>
  <c r="BA30" i="1"/>
  <c r="N15" i="67"/>
  <c r="N76" i="67" s="1"/>
  <c r="M76" i="67"/>
  <c r="BA25" i="1"/>
  <c r="AR24" i="13"/>
  <c r="BA72" i="1"/>
  <c r="AR71" i="13"/>
  <c r="BA9" i="1"/>
  <c r="AR8" i="13"/>
  <c r="BA13" i="1"/>
  <c r="AR12" i="13"/>
  <c r="BA77" i="1"/>
  <c r="AR76" i="13"/>
  <c r="AR17" i="13"/>
  <c r="BA18" i="1"/>
  <c r="AM77" i="13"/>
  <c r="E30" i="81" s="1"/>
  <c r="H29" i="81"/>
  <c r="G29" i="81"/>
  <c r="BA59" i="1"/>
  <c r="AR58" i="13"/>
  <c r="AR26" i="13"/>
  <c r="BA27" i="1"/>
  <c r="AR65" i="13"/>
  <c r="BA66" i="1"/>
  <c r="AO17" i="1"/>
  <c r="AP17" i="1" s="1"/>
  <c r="AN78" i="1"/>
  <c r="G12" i="81"/>
  <c r="H12" i="81"/>
  <c r="G78" i="25"/>
  <c r="J19" i="2" l="1"/>
  <c r="M19" i="2" s="1"/>
  <c r="BK22" i="1" s="1"/>
  <c r="BL22" i="1" s="1"/>
  <c r="O75" i="2"/>
  <c r="E40" i="81" s="1"/>
  <c r="BP5" i="72"/>
  <c r="H45" i="81"/>
  <c r="E2" i="25"/>
  <c r="H2" i="25"/>
  <c r="J41" i="2"/>
  <c r="J40" i="2"/>
  <c r="J29" i="2"/>
  <c r="J64" i="2"/>
  <c r="J54" i="2"/>
  <c r="J49" i="2"/>
  <c r="J26" i="2"/>
  <c r="J48" i="2"/>
  <c r="J13" i="2"/>
  <c r="J35" i="2"/>
  <c r="J36" i="2"/>
  <c r="J16" i="2"/>
  <c r="J22" i="2"/>
  <c r="J6" i="2"/>
  <c r="M6" i="2" s="1"/>
  <c r="J70" i="2"/>
  <c r="J61" i="2"/>
  <c r="J20" i="2"/>
  <c r="J33" i="2"/>
  <c r="J52" i="2"/>
  <c r="J68" i="2"/>
  <c r="J32" i="2"/>
  <c r="J28" i="2"/>
  <c r="J21" i="2"/>
  <c r="J57" i="2"/>
  <c r="J10" i="2"/>
  <c r="J23" i="2"/>
  <c r="J39" i="2"/>
  <c r="J58" i="2"/>
  <c r="J74" i="2"/>
  <c r="J59" i="2"/>
  <c r="J55" i="2"/>
  <c r="J34" i="2"/>
  <c r="J69" i="2"/>
  <c r="J8" i="2"/>
  <c r="J43" i="2"/>
  <c r="J37" i="2"/>
  <c r="J56" i="2"/>
  <c r="J72" i="2"/>
  <c r="J51" i="2"/>
  <c r="J47" i="2"/>
  <c r="J30" i="2"/>
  <c r="J65" i="2"/>
  <c r="J14" i="2"/>
  <c r="J27" i="2"/>
  <c r="J46" i="2"/>
  <c r="J62" i="2"/>
  <c r="J15" i="2"/>
  <c r="J11" i="2"/>
  <c r="J9" i="2"/>
  <c r="J45" i="2"/>
  <c r="J73" i="2"/>
  <c r="J12" i="2"/>
  <c r="J25" i="2"/>
  <c r="J44" i="2"/>
  <c r="J60" i="2"/>
  <c r="J7" i="2"/>
  <c r="J63" i="2"/>
  <c r="J67" i="2"/>
  <c r="J38" i="2"/>
  <c r="J71" i="2"/>
  <c r="J18" i="2"/>
  <c r="J31" i="2"/>
  <c r="J50" i="2"/>
  <c r="J66" i="2"/>
  <c r="J24" i="2"/>
  <c r="J42" i="2"/>
  <c r="J17" i="2"/>
  <c r="H41" i="81"/>
  <c r="H28" i="81"/>
  <c r="AR77" i="13"/>
  <c r="BA78" i="1"/>
  <c r="G30" i="81"/>
  <c r="H30" i="81"/>
  <c r="AP78" i="1"/>
  <c r="H33" i="81"/>
  <c r="G33" i="81"/>
  <c r="P19" i="2"/>
  <c r="BO22" i="1" s="1"/>
  <c r="BP22" i="1" s="1"/>
  <c r="BK56" i="1"/>
  <c r="BL56" i="1" s="1"/>
  <c r="P53" i="2"/>
  <c r="BO56" i="1" s="1"/>
  <c r="BP56" i="1" s="1"/>
  <c r="M42" i="2" l="1"/>
  <c r="BK45" i="1" s="1"/>
  <c r="BL45" i="1" s="1"/>
  <c r="M66" i="2"/>
  <c r="P66" i="2" s="1"/>
  <c r="BO69" i="1" s="1"/>
  <c r="BP69" i="1" s="1"/>
  <c r="M31" i="2"/>
  <c r="BK34" i="1" s="1"/>
  <c r="BL34" i="1" s="1"/>
  <c r="M71" i="2"/>
  <c r="BK74" i="1" s="1"/>
  <c r="BL74" i="1" s="1"/>
  <c r="M44" i="2"/>
  <c r="P44" i="2" s="1"/>
  <c r="BO47" i="1" s="1"/>
  <c r="BP47" i="1" s="1"/>
  <c r="M45" i="2"/>
  <c r="BK48" i="1" s="1"/>
  <c r="BL48" i="1" s="1"/>
  <c r="M62" i="2"/>
  <c r="P62" i="2" s="1"/>
  <c r="BO65" i="1" s="1"/>
  <c r="BP65" i="1" s="1"/>
  <c r="M65" i="2"/>
  <c r="P65" i="2" s="1"/>
  <c r="BO68" i="1" s="1"/>
  <c r="BP68" i="1" s="1"/>
  <c r="M72" i="2"/>
  <c r="BK75" i="1" s="1"/>
  <c r="BL75" i="1" s="1"/>
  <c r="M34" i="2"/>
  <c r="BK37" i="1" s="1"/>
  <c r="BL37" i="1" s="1"/>
  <c r="M28" i="2"/>
  <c r="BK31" i="1" s="1"/>
  <c r="BL31" i="1" s="1"/>
  <c r="M68" i="2"/>
  <c r="P68" i="2" s="1"/>
  <c r="BO71" i="1" s="1"/>
  <c r="BP71" i="1" s="1"/>
  <c r="M33" i="2"/>
  <c r="BK36" i="1" s="1"/>
  <c r="BL36" i="1" s="1"/>
  <c r="M61" i="2"/>
  <c r="BK64" i="1" s="1"/>
  <c r="BL64" i="1" s="1"/>
  <c r="M16" i="2"/>
  <c r="BK19" i="1" s="1"/>
  <c r="BL19" i="1" s="1"/>
  <c r="M35" i="2"/>
  <c r="P35" i="2" s="1"/>
  <c r="BO38" i="1" s="1"/>
  <c r="BP38" i="1" s="1"/>
  <c r="M48" i="2"/>
  <c r="BK51" i="1" s="1"/>
  <c r="BL51" i="1" s="1"/>
  <c r="M49" i="2"/>
  <c r="BK52" i="1" s="1"/>
  <c r="BL52" i="1" s="1"/>
  <c r="M64" i="2"/>
  <c r="P64" i="2" s="1"/>
  <c r="BO67" i="1" s="1"/>
  <c r="BP67" i="1" s="1"/>
  <c r="M40" i="2"/>
  <c r="BK43" i="1" s="1"/>
  <c r="BL43" i="1" s="1"/>
  <c r="M67" i="2"/>
  <c r="P67" i="2" s="1"/>
  <c r="BO70" i="1" s="1"/>
  <c r="BP70" i="1" s="1"/>
  <c r="M7" i="2"/>
  <c r="P7" i="2" s="1"/>
  <c r="BO10" i="1" s="1"/>
  <c r="BP10" i="1" s="1"/>
  <c r="M12" i="2"/>
  <c r="P12" i="2" s="1"/>
  <c r="BO15" i="1" s="1"/>
  <c r="BP15" i="1" s="1"/>
  <c r="M11" i="2"/>
  <c r="BK14" i="1" s="1"/>
  <c r="BL14" i="1" s="1"/>
  <c r="M27" i="2"/>
  <c r="BK30" i="1" s="1"/>
  <c r="BL30" i="1" s="1"/>
  <c r="M47" i="2"/>
  <c r="BK50" i="1" s="1"/>
  <c r="BL50" i="1" s="1"/>
  <c r="M37" i="2"/>
  <c r="P37" i="2" s="1"/>
  <c r="BO40" i="1" s="1"/>
  <c r="BP40" i="1" s="1"/>
  <c r="M8" i="2"/>
  <c r="P8" i="2" s="1"/>
  <c r="BO11" i="1" s="1"/>
  <c r="BP11" i="1" s="1"/>
  <c r="M59" i="2"/>
  <c r="P59" i="2" s="1"/>
  <c r="BO62" i="1" s="1"/>
  <c r="BP62" i="1" s="1"/>
  <c r="M58" i="2"/>
  <c r="P58" i="2" s="1"/>
  <c r="BO61" i="1" s="1"/>
  <c r="BP61" i="1" s="1"/>
  <c r="M23" i="2"/>
  <c r="BK26" i="1" s="1"/>
  <c r="BL26" i="1" s="1"/>
  <c r="M57" i="2"/>
  <c r="BK60" i="1" s="1"/>
  <c r="BL60" i="1" s="1"/>
  <c r="M17" i="2"/>
  <c r="P17" i="2" s="1"/>
  <c r="BO20" i="1" s="1"/>
  <c r="BP20" i="1" s="1"/>
  <c r="M24" i="2"/>
  <c r="BK27" i="1" s="1"/>
  <c r="BL27" i="1" s="1"/>
  <c r="M50" i="2"/>
  <c r="P50" i="2" s="1"/>
  <c r="BO53" i="1" s="1"/>
  <c r="BP53" i="1" s="1"/>
  <c r="M18" i="2"/>
  <c r="BK21" i="1" s="1"/>
  <c r="BL21" i="1" s="1"/>
  <c r="M38" i="2"/>
  <c r="P38" i="2" s="1"/>
  <c r="BO41" i="1" s="1"/>
  <c r="BP41" i="1" s="1"/>
  <c r="M63" i="2"/>
  <c r="BK66" i="1" s="1"/>
  <c r="BL66" i="1" s="1"/>
  <c r="M60" i="2"/>
  <c r="P60" i="2" s="1"/>
  <c r="BO63" i="1" s="1"/>
  <c r="BP63" i="1" s="1"/>
  <c r="M25" i="2"/>
  <c r="P25" i="2" s="1"/>
  <c r="BO28" i="1" s="1"/>
  <c r="BP28" i="1" s="1"/>
  <c r="M73" i="2"/>
  <c r="P73" i="2" s="1"/>
  <c r="BO76" i="1" s="1"/>
  <c r="BP76" i="1" s="1"/>
  <c r="M9" i="2"/>
  <c r="P9" i="2" s="1"/>
  <c r="BO12" i="1" s="1"/>
  <c r="BP12" i="1" s="1"/>
  <c r="M15" i="2"/>
  <c r="BK18" i="1" s="1"/>
  <c r="BL18" i="1" s="1"/>
  <c r="M46" i="2"/>
  <c r="P46" i="2" s="1"/>
  <c r="BO49" i="1" s="1"/>
  <c r="BP49" i="1" s="1"/>
  <c r="M14" i="2"/>
  <c r="BK17" i="1" s="1"/>
  <c r="BL17" i="1" s="1"/>
  <c r="M30" i="2"/>
  <c r="P30" i="2" s="1"/>
  <c r="BO33" i="1" s="1"/>
  <c r="BP33" i="1" s="1"/>
  <c r="M51" i="2"/>
  <c r="BK54" i="1" s="1"/>
  <c r="BL54" i="1" s="1"/>
  <c r="M56" i="2"/>
  <c r="BK59" i="1" s="1"/>
  <c r="BL59" i="1" s="1"/>
  <c r="M43" i="2"/>
  <c r="P43" i="2" s="1"/>
  <c r="BO46" i="1" s="1"/>
  <c r="BP46" i="1" s="1"/>
  <c r="M69" i="2"/>
  <c r="P69" i="2" s="1"/>
  <c r="BO72" i="1" s="1"/>
  <c r="BP72" i="1" s="1"/>
  <c r="M55" i="2"/>
  <c r="P55" i="2" s="1"/>
  <c r="BO58" i="1" s="1"/>
  <c r="BP58" i="1" s="1"/>
  <c r="M74" i="2"/>
  <c r="P74" i="2" s="1"/>
  <c r="BO77" i="1" s="1"/>
  <c r="BP77" i="1" s="1"/>
  <c r="M39" i="2"/>
  <c r="P39" i="2" s="1"/>
  <c r="BO42" i="1" s="1"/>
  <c r="BP42" i="1" s="1"/>
  <c r="M10" i="2"/>
  <c r="P10" i="2" s="1"/>
  <c r="BO13" i="1" s="1"/>
  <c r="BP13" i="1" s="1"/>
  <c r="M21" i="2"/>
  <c r="BK24" i="1" s="1"/>
  <c r="BL24" i="1" s="1"/>
  <c r="M32" i="2"/>
  <c r="BK35" i="1" s="1"/>
  <c r="BL35" i="1" s="1"/>
  <c r="M52" i="2"/>
  <c r="BK55" i="1" s="1"/>
  <c r="BL55" i="1" s="1"/>
  <c r="M20" i="2"/>
  <c r="P20" i="2" s="1"/>
  <c r="BO23" i="1" s="1"/>
  <c r="BP23" i="1" s="1"/>
  <c r="M70" i="2"/>
  <c r="P70" i="2" s="1"/>
  <c r="BO73" i="1" s="1"/>
  <c r="BP73" i="1" s="1"/>
  <c r="M22" i="2"/>
  <c r="P22" i="2" s="1"/>
  <c r="BO25" i="1" s="1"/>
  <c r="BP25" i="1" s="1"/>
  <c r="M36" i="2"/>
  <c r="BK39" i="1" s="1"/>
  <c r="BL39" i="1" s="1"/>
  <c r="M13" i="2"/>
  <c r="P13" i="2" s="1"/>
  <c r="BO16" i="1" s="1"/>
  <c r="BP16" i="1" s="1"/>
  <c r="M26" i="2"/>
  <c r="BK29" i="1" s="1"/>
  <c r="BL29" i="1" s="1"/>
  <c r="M54" i="2"/>
  <c r="BK57" i="1" s="1"/>
  <c r="BL57" i="1" s="1"/>
  <c r="M29" i="2"/>
  <c r="BK32" i="1" s="1"/>
  <c r="BL32" i="1" s="1"/>
  <c r="M41" i="2"/>
  <c r="P41" i="2" s="1"/>
  <c r="BO44" i="1" s="1"/>
  <c r="BP44" i="1" s="1"/>
  <c r="G40" i="81"/>
  <c r="H53" i="25"/>
  <c r="H15" i="25"/>
  <c r="H17" i="25"/>
  <c r="H21" i="25"/>
  <c r="H62" i="25"/>
  <c r="H35" i="25"/>
  <c r="H20" i="25"/>
  <c r="H10" i="25"/>
  <c r="H13" i="25"/>
  <c r="H66" i="25"/>
  <c r="H23" i="25"/>
  <c r="H38" i="25"/>
  <c r="H45" i="25"/>
  <c r="H73" i="25"/>
  <c r="H14" i="25"/>
  <c r="H31" i="25"/>
  <c r="H76" i="25"/>
  <c r="H30" i="25"/>
  <c r="H65" i="25"/>
  <c r="H22" i="25"/>
  <c r="H68" i="25"/>
  <c r="H19" i="25"/>
  <c r="H71" i="25"/>
  <c r="H50" i="25"/>
  <c r="H11" i="25"/>
  <c r="H59" i="25"/>
  <c r="H36" i="25"/>
  <c r="H47" i="25"/>
  <c r="H72" i="25"/>
  <c r="H40" i="25"/>
  <c r="H64" i="25"/>
  <c r="H24" i="25"/>
  <c r="H55" i="25"/>
  <c r="H29" i="25"/>
  <c r="H61" i="25"/>
  <c r="H70" i="25"/>
  <c r="H74" i="25"/>
  <c r="H51" i="25"/>
  <c r="H46" i="25"/>
  <c r="H33" i="25"/>
  <c r="H60" i="25"/>
  <c r="H37" i="25"/>
  <c r="H52" i="25"/>
  <c r="H44" i="25"/>
  <c r="H67" i="25"/>
  <c r="H48" i="25"/>
  <c r="H32" i="25"/>
  <c r="H69" i="25"/>
  <c r="H63" i="25"/>
  <c r="H43" i="25"/>
  <c r="H56" i="25"/>
  <c r="H54" i="25"/>
  <c r="H39" i="25"/>
  <c r="H26" i="25"/>
  <c r="H75" i="25"/>
  <c r="H42" i="25"/>
  <c r="H49" i="25"/>
  <c r="H58" i="25"/>
  <c r="H27" i="25"/>
  <c r="H28" i="25"/>
  <c r="H34" i="25"/>
  <c r="H16" i="25"/>
  <c r="H25" i="25"/>
  <c r="H9" i="25"/>
  <c r="H77" i="25"/>
  <c r="H18" i="25"/>
  <c r="H12" i="25"/>
  <c r="H41" i="25"/>
  <c r="H57" i="25"/>
  <c r="E75" i="25"/>
  <c r="E33" i="25"/>
  <c r="E57" i="25"/>
  <c r="E59" i="25"/>
  <c r="E14" i="25"/>
  <c r="E10" i="25"/>
  <c r="E65" i="25"/>
  <c r="E13" i="25"/>
  <c r="J13" i="25" s="1"/>
  <c r="AU13" i="1" s="1"/>
  <c r="E39" i="25"/>
  <c r="E50" i="25"/>
  <c r="E71" i="25"/>
  <c r="E41" i="25"/>
  <c r="E46" i="25"/>
  <c r="E74" i="25"/>
  <c r="E55" i="25"/>
  <c r="E35" i="25"/>
  <c r="E58" i="25"/>
  <c r="E29" i="25"/>
  <c r="E45" i="25"/>
  <c r="E66" i="25"/>
  <c r="E34" i="25"/>
  <c r="E47" i="25"/>
  <c r="E63" i="25"/>
  <c r="E26" i="25"/>
  <c r="E49" i="25"/>
  <c r="E17" i="25"/>
  <c r="J17" i="25" s="1"/>
  <c r="AU17" i="1" s="1"/>
  <c r="E18" i="25"/>
  <c r="E9" i="25"/>
  <c r="E70" i="25"/>
  <c r="E30" i="25"/>
  <c r="E53" i="25"/>
  <c r="E54" i="25"/>
  <c r="E25" i="25"/>
  <c r="E22" i="25"/>
  <c r="E73" i="25"/>
  <c r="E16" i="25"/>
  <c r="E64" i="25"/>
  <c r="E28" i="25"/>
  <c r="E67" i="25"/>
  <c r="E52" i="25"/>
  <c r="E76" i="25"/>
  <c r="E60" i="25"/>
  <c r="E62" i="25"/>
  <c r="E32" i="25"/>
  <c r="E72" i="25"/>
  <c r="E42" i="25"/>
  <c r="E43" i="25"/>
  <c r="E56" i="25"/>
  <c r="E24" i="25"/>
  <c r="E44" i="25"/>
  <c r="E19" i="25"/>
  <c r="E27" i="25"/>
  <c r="E21" i="25"/>
  <c r="E51" i="25"/>
  <c r="E40" i="25"/>
  <c r="E68" i="25"/>
  <c r="J68" i="25" s="1"/>
  <c r="AU68" i="1" s="1"/>
  <c r="E38" i="25"/>
  <c r="E48" i="25"/>
  <c r="E37" i="25"/>
  <c r="E15" i="25"/>
  <c r="E77" i="25"/>
  <c r="E23" i="25"/>
  <c r="J23" i="25" s="1"/>
  <c r="AU23" i="1" s="1"/>
  <c r="E20" i="25"/>
  <c r="E31" i="25"/>
  <c r="E11" i="25"/>
  <c r="E61" i="25"/>
  <c r="J61" i="25" s="1"/>
  <c r="AU61" i="1" s="1"/>
  <c r="E69" i="25"/>
  <c r="E36" i="25"/>
  <c r="E12" i="25"/>
  <c r="P40" i="2"/>
  <c r="BO43" i="1" s="1"/>
  <c r="BP43" i="1" s="1"/>
  <c r="P49" i="2"/>
  <c r="BO52" i="1" s="1"/>
  <c r="BP52" i="1" s="1"/>
  <c r="BK20" i="1"/>
  <c r="BL20" i="1" s="1"/>
  <c r="P47" i="2"/>
  <c r="BO50" i="1" s="1"/>
  <c r="BP50" i="1" s="1"/>
  <c r="P45" i="2"/>
  <c r="BO48" i="1" s="1"/>
  <c r="BP48" i="1" s="1"/>
  <c r="P48" i="2"/>
  <c r="BO51" i="1" s="1"/>
  <c r="BP51" i="1" s="1"/>
  <c r="BK40" i="1"/>
  <c r="BL40" i="1" s="1"/>
  <c r="P61" i="2"/>
  <c r="BO64" i="1" s="1"/>
  <c r="BP64" i="1" s="1"/>
  <c r="P36" i="2"/>
  <c r="BO39" i="1" s="1"/>
  <c r="BP39" i="1" s="1"/>
  <c r="BK69" i="1"/>
  <c r="BL69" i="1" s="1"/>
  <c r="BK42" i="1"/>
  <c r="BL42" i="1" s="1"/>
  <c r="BK76" i="1"/>
  <c r="BL76" i="1" s="1"/>
  <c r="P52" i="2"/>
  <c r="BO55" i="1" s="1"/>
  <c r="BP55" i="1" s="1"/>
  <c r="BK11" i="1"/>
  <c r="BL11" i="1" s="1"/>
  <c r="BK70" i="1"/>
  <c r="BL70" i="1" s="1"/>
  <c r="P33" i="2"/>
  <c r="BO36" i="1" s="1"/>
  <c r="BP36" i="1" s="1"/>
  <c r="BK68" i="1"/>
  <c r="BL68" i="1" s="1"/>
  <c r="BK47" i="1"/>
  <c r="BL47" i="1" s="1"/>
  <c r="BK49" i="1"/>
  <c r="BL49" i="1" s="1"/>
  <c r="J75" i="2"/>
  <c r="E46" i="81" s="1"/>
  <c r="P34" i="2"/>
  <c r="BO37" i="1" s="1"/>
  <c r="BP37" i="1" s="1"/>
  <c r="P57" i="2"/>
  <c r="BO60" i="1" s="1"/>
  <c r="BP60" i="1" s="1"/>
  <c r="H40" i="81"/>
  <c r="E24" i="81"/>
  <c r="BK9" i="1"/>
  <c r="P6" i="2"/>
  <c r="BK15" i="1" l="1"/>
  <c r="BL15" i="1" s="1"/>
  <c r="BK67" i="1"/>
  <c r="BL67" i="1" s="1"/>
  <c r="BK65" i="1"/>
  <c r="BL65" i="1" s="1"/>
  <c r="P23" i="2"/>
  <c r="BO26" i="1" s="1"/>
  <c r="BP26" i="1" s="1"/>
  <c r="BK46" i="1"/>
  <c r="BL46" i="1" s="1"/>
  <c r="BK58" i="1"/>
  <c r="BL58" i="1" s="1"/>
  <c r="P27" i="2"/>
  <c r="BO30" i="1" s="1"/>
  <c r="BP30" i="1" s="1"/>
  <c r="P14" i="2"/>
  <c r="BO17" i="1" s="1"/>
  <c r="BP17" i="1" s="1"/>
  <c r="P31" i="2"/>
  <c r="BO34" i="1" s="1"/>
  <c r="BP34" i="1" s="1"/>
  <c r="P72" i="2"/>
  <c r="BO75" i="1" s="1"/>
  <c r="BP75" i="1" s="1"/>
  <c r="P15" i="2"/>
  <c r="BO18" i="1" s="1"/>
  <c r="BP18" i="1" s="1"/>
  <c r="P42" i="2"/>
  <c r="BO45" i="1" s="1"/>
  <c r="BP45" i="1" s="1"/>
  <c r="P28" i="2"/>
  <c r="BO31" i="1" s="1"/>
  <c r="BP31" i="1" s="1"/>
  <c r="BK62" i="1"/>
  <c r="BL62" i="1" s="1"/>
  <c r="BK53" i="1"/>
  <c r="BL53" i="1" s="1"/>
  <c r="BK63" i="1"/>
  <c r="BL63" i="1" s="1"/>
  <c r="P16" i="2"/>
  <c r="BO19" i="1" s="1"/>
  <c r="BP19" i="1" s="1"/>
  <c r="P51" i="2"/>
  <c r="BO54" i="1" s="1"/>
  <c r="BP54" i="1" s="1"/>
  <c r="M75" i="2"/>
  <c r="BK71" i="1"/>
  <c r="BL71" i="1" s="1"/>
  <c r="BK61" i="1"/>
  <c r="BL61" i="1" s="1"/>
  <c r="P11" i="2"/>
  <c r="BO14" i="1" s="1"/>
  <c r="BP14" i="1" s="1"/>
  <c r="BK13" i="1"/>
  <c r="BL13" i="1" s="1"/>
  <c r="BK10" i="1"/>
  <c r="BL10" i="1" s="1"/>
  <c r="P63" i="2"/>
  <c r="BO66" i="1" s="1"/>
  <c r="BP66" i="1" s="1"/>
  <c r="P18" i="2"/>
  <c r="BO21" i="1" s="1"/>
  <c r="BP21" i="1" s="1"/>
  <c r="P71" i="2"/>
  <c r="BO74" i="1" s="1"/>
  <c r="BP74" i="1" s="1"/>
  <c r="BK33" i="1"/>
  <c r="BL33" i="1" s="1"/>
  <c r="BK38" i="1"/>
  <c r="BL38" i="1" s="1"/>
  <c r="BK16" i="1"/>
  <c r="BL16" i="1" s="1"/>
  <c r="BK77" i="1"/>
  <c r="BL77" i="1" s="1"/>
  <c r="BK28" i="1"/>
  <c r="BL28" i="1" s="1"/>
  <c r="P56" i="2"/>
  <c r="BO59" i="1" s="1"/>
  <c r="BP59" i="1" s="1"/>
  <c r="BK25" i="1"/>
  <c r="BL25" i="1" s="1"/>
  <c r="BK72" i="1"/>
  <c r="BL72" i="1" s="1"/>
  <c r="P24" i="2"/>
  <c r="BO27" i="1" s="1"/>
  <c r="BP27" i="1" s="1"/>
  <c r="BK44" i="1"/>
  <c r="BL44" i="1" s="1"/>
  <c r="BK73" i="1"/>
  <c r="BL73" i="1" s="1"/>
  <c r="P21" i="2"/>
  <c r="BO24" i="1" s="1"/>
  <c r="BP24" i="1" s="1"/>
  <c r="P32" i="2"/>
  <c r="BO35" i="1" s="1"/>
  <c r="BP35" i="1" s="1"/>
  <c r="BK23" i="1"/>
  <c r="BL23" i="1" s="1"/>
  <c r="P26" i="2"/>
  <c r="BO29" i="1" s="1"/>
  <c r="BP29" i="1" s="1"/>
  <c r="P54" i="2"/>
  <c r="BO57" i="1" s="1"/>
  <c r="BP57" i="1" s="1"/>
  <c r="BK12" i="1"/>
  <c r="BL12" i="1" s="1"/>
  <c r="BK41" i="1"/>
  <c r="BL41" i="1" s="1"/>
  <c r="P29" i="2"/>
  <c r="BO32" i="1" s="1"/>
  <c r="BP32" i="1" s="1"/>
  <c r="J62" i="25"/>
  <c r="AU62" i="1" s="1"/>
  <c r="J60" i="25"/>
  <c r="AU60" i="1" s="1"/>
  <c r="J67" i="25"/>
  <c r="AU67" i="1" s="1"/>
  <c r="J53" i="25"/>
  <c r="AU53" i="1" s="1"/>
  <c r="J11" i="25"/>
  <c r="AU11" i="1" s="1"/>
  <c r="J72" i="25"/>
  <c r="AU72" i="1" s="1"/>
  <c r="J76" i="25"/>
  <c r="AU76" i="1" s="1"/>
  <c r="J48" i="25"/>
  <c r="AU48" i="1" s="1"/>
  <c r="J51" i="25"/>
  <c r="AU51" i="1" s="1"/>
  <c r="J44" i="25"/>
  <c r="AU44" i="1" s="1"/>
  <c r="J42" i="25"/>
  <c r="AU42" i="1" s="1"/>
  <c r="J10" i="25"/>
  <c r="AU10" i="1" s="1"/>
  <c r="J64" i="25"/>
  <c r="AU64" i="1" s="1"/>
  <c r="J20" i="25"/>
  <c r="AU20" i="1" s="1"/>
  <c r="J37" i="25"/>
  <c r="AU37" i="1" s="1"/>
  <c r="J40" i="25"/>
  <c r="AU40" i="1" s="1"/>
  <c r="J19" i="25"/>
  <c r="AU19" i="1" s="1"/>
  <c r="J43" i="25"/>
  <c r="AU43" i="1" s="1"/>
  <c r="J36" i="25"/>
  <c r="AU36" i="1" s="1"/>
  <c r="J15" i="25"/>
  <c r="AU15" i="1" s="1"/>
  <c r="J27" i="25"/>
  <c r="AU27" i="1" s="1"/>
  <c r="J56" i="25"/>
  <c r="AU56" i="1" s="1"/>
  <c r="J32" i="25"/>
  <c r="AU32" i="1" s="1"/>
  <c r="J52" i="25"/>
  <c r="AU52" i="1" s="1"/>
  <c r="J35" i="25"/>
  <c r="AU35" i="1" s="1"/>
  <c r="J41" i="25"/>
  <c r="AU41" i="1" s="1"/>
  <c r="J28" i="25"/>
  <c r="AU28" i="1" s="1"/>
  <c r="J54" i="25"/>
  <c r="AU54" i="1" s="1"/>
  <c r="J70" i="25"/>
  <c r="AU70" i="1" s="1"/>
  <c r="J38" i="25"/>
  <c r="AU38" i="1" s="1"/>
  <c r="H78" i="25"/>
  <c r="J50" i="25"/>
  <c r="AU50" i="1" s="1"/>
  <c r="E78" i="25"/>
  <c r="J12" i="25"/>
  <c r="AU12" i="1" s="1"/>
  <c r="J21" i="25"/>
  <c r="AU21" i="1" s="1"/>
  <c r="J24" i="25"/>
  <c r="AU24" i="1" s="1"/>
  <c r="J25" i="25"/>
  <c r="AU25" i="1" s="1"/>
  <c r="J75" i="25"/>
  <c r="AU75" i="1" s="1"/>
  <c r="J46" i="25"/>
  <c r="AU46" i="1" s="1"/>
  <c r="J71" i="25"/>
  <c r="AU71" i="1" s="1"/>
  <c r="J65" i="25"/>
  <c r="AU65" i="1" s="1"/>
  <c r="J14" i="25"/>
  <c r="AU14" i="1" s="1"/>
  <c r="J33" i="25"/>
  <c r="AU33" i="1" s="1"/>
  <c r="J47" i="25"/>
  <c r="AU47" i="1" s="1"/>
  <c r="J31" i="25"/>
  <c r="AU31" i="1" s="1"/>
  <c r="J9" i="25"/>
  <c r="J18" i="25"/>
  <c r="AU18" i="1" s="1"/>
  <c r="J16" i="25"/>
  <c r="AU16" i="1" s="1"/>
  <c r="J58" i="25"/>
  <c r="AU58" i="1" s="1"/>
  <c r="J26" i="25"/>
  <c r="AU26" i="1" s="1"/>
  <c r="J29" i="25"/>
  <c r="AU29" i="1" s="1"/>
  <c r="J59" i="25"/>
  <c r="AU59" i="1" s="1"/>
  <c r="J30" i="25"/>
  <c r="AU30" i="1" s="1"/>
  <c r="J73" i="25"/>
  <c r="AU73" i="1" s="1"/>
  <c r="J66" i="25"/>
  <c r="AU66" i="1" s="1"/>
  <c r="J22" i="25"/>
  <c r="AU22" i="1" s="1"/>
  <c r="J69" i="25"/>
  <c r="AU69" i="1" s="1"/>
  <c r="J57" i="25"/>
  <c r="AU57" i="1" s="1"/>
  <c r="J77" i="25"/>
  <c r="AU77" i="1" s="1"/>
  <c r="J34" i="25"/>
  <c r="AU34" i="1" s="1"/>
  <c r="J49" i="25"/>
  <c r="AU49" i="1" s="1"/>
  <c r="J39" i="25"/>
  <c r="AU39" i="1" s="1"/>
  <c r="J63" i="25"/>
  <c r="AU63" i="1" s="1"/>
  <c r="J74" i="25"/>
  <c r="AU74" i="1" s="1"/>
  <c r="J55" i="25"/>
  <c r="AU55" i="1" s="1"/>
  <c r="J45" i="25"/>
  <c r="AU45" i="1" s="1"/>
  <c r="G24" i="81"/>
  <c r="H24" i="81"/>
  <c r="H46" i="81"/>
  <c r="E42" i="81"/>
  <c r="G46" i="81"/>
  <c r="BO9" i="1"/>
  <c r="BL9" i="1"/>
  <c r="BK78" i="1" l="1"/>
  <c r="BL78" i="1" s="1"/>
  <c r="BO78" i="1"/>
  <c r="BP78" i="1" s="1"/>
  <c r="P75" i="2"/>
  <c r="E39" i="81"/>
  <c r="G39" i="81" s="1"/>
  <c r="AU9" i="1"/>
  <c r="J78" i="25"/>
  <c r="AT82" i="1"/>
  <c r="H42" i="81"/>
  <c r="G42" i="81"/>
  <c r="BP9" i="1"/>
  <c r="AU78" i="1" l="1"/>
  <c r="H39" i="81"/>
  <c r="AK75" i="72" l="1"/>
  <c r="O46" i="115" l="1"/>
  <c r="O57" i="115"/>
  <c r="O72" i="115"/>
  <c r="O25" i="115"/>
  <c r="O24" i="115"/>
  <c r="O59" i="115"/>
  <c r="O27" i="115"/>
  <c r="O10" i="115"/>
  <c r="O18" i="115"/>
  <c r="O28" i="115"/>
  <c r="O53" i="115"/>
  <c r="O21" i="115"/>
  <c r="O39" i="115"/>
  <c r="O50" i="115"/>
  <c r="O65" i="115"/>
  <c r="O49" i="115"/>
  <c r="O48" i="115"/>
  <c r="O32" i="115"/>
  <c r="O16" i="115"/>
  <c r="O45" i="115"/>
  <c r="O30" i="115"/>
  <c r="O41" i="115"/>
  <c r="O56" i="115"/>
  <c r="O40" i="115"/>
  <c r="O75" i="115"/>
  <c r="O9" i="115"/>
  <c r="O66" i="115"/>
  <c r="O34" i="115"/>
  <c r="O61" i="115"/>
  <c r="O29" i="115"/>
  <c r="O60" i="115"/>
  <c r="O44" i="115"/>
  <c r="O13" i="115"/>
  <c r="O74" i="115"/>
  <c r="O58" i="115"/>
  <c r="L62" i="31"/>
  <c r="L60" i="31"/>
  <c r="L59" i="31"/>
  <c r="L56" i="31"/>
  <c r="L54" i="31"/>
  <c r="L52" i="31"/>
  <c r="L50" i="31"/>
  <c r="L48" i="31"/>
  <c r="L46" i="31"/>
  <c r="L44" i="31"/>
  <c r="L42" i="31"/>
  <c r="L40" i="31"/>
  <c r="L37" i="31"/>
  <c r="L35" i="31"/>
  <c r="L33" i="31"/>
  <c r="L31" i="31"/>
  <c r="L29" i="31"/>
  <c r="L27" i="31"/>
  <c r="L25" i="31"/>
  <c r="L23" i="31"/>
  <c r="L20" i="31"/>
  <c r="L18" i="31"/>
  <c r="L15" i="31"/>
  <c r="L13" i="31"/>
  <c r="L9" i="31"/>
  <c r="O42" i="115"/>
  <c r="L63" i="31"/>
  <c r="L61" i="31"/>
  <c r="L58" i="31"/>
  <c r="L55" i="31"/>
  <c r="L53" i="31"/>
  <c r="L51" i="31"/>
  <c r="L49" i="31"/>
  <c r="L47" i="31"/>
  <c r="L45" i="31"/>
  <c r="L43" i="31"/>
  <c r="L41" i="31"/>
  <c r="L38" i="31"/>
  <c r="L36" i="31"/>
  <c r="L34" i="31"/>
  <c r="L32" i="31"/>
  <c r="L30" i="31"/>
  <c r="L28" i="31"/>
  <c r="L26" i="31"/>
  <c r="L24" i="31"/>
  <c r="L22" i="31"/>
  <c r="L19" i="31"/>
  <c r="L16" i="31"/>
  <c r="L14" i="31"/>
  <c r="L12" i="31"/>
  <c r="O26" i="115"/>
  <c r="O69" i="115"/>
  <c r="O37" i="115"/>
  <c r="O68" i="115"/>
  <c r="O52" i="115"/>
  <c r="O36" i="115"/>
  <c r="O20" i="115"/>
  <c r="O71" i="115"/>
  <c r="O55" i="115"/>
  <c r="O23" i="115"/>
  <c r="Q15" i="46"/>
  <c r="U15" i="46" s="1"/>
  <c r="O70" i="115"/>
  <c r="O54" i="115"/>
  <c r="O38" i="115"/>
  <c r="O22" i="115"/>
  <c r="O17" i="115"/>
  <c r="O64" i="115"/>
  <c r="O67" i="115"/>
  <c r="O35" i="115"/>
  <c r="O33" i="115" l="1"/>
  <c r="P33" i="115" s="1"/>
  <c r="AR32" i="72" s="1"/>
  <c r="O43" i="115"/>
  <c r="P43" i="115" s="1"/>
  <c r="AR42" i="72" s="1"/>
  <c r="O19" i="115"/>
  <c r="O31" i="115"/>
  <c r="L34" i="100"/>
  <c r="P35" i="115"/>
  <c r="AR34" i="72" s="1"/>
  <c r="L66" i="100"/>
  <c r="P67" i="115"/>
  <c r="AR66" i="72" s="1"/>
  <c r="L63" i="100"/>
  <c r="P64" i="115"/>
  <c r="AR63" i="72" s="1"/>
  <c r="L16" i="100"/>
  <c r="P17" i="115"/>
  <c r="AR16" i="72" s="1"/>
  <c r="L21" i="100"/>
  <c r="P22" i="115"/>
  <c r="AR21" i="72" s="1"/>
  <c r="L37" i="100"/>
  <c r="P38" i="115"/>
  <c r="AR37" i="72" s="1"/>
  <c r="L53" i="100"/>
  <c r="P54" i="115"/>
  <c r="AR53" i="72" s="1"/>
  <c r="L69" i="100"/>
  <c r="P70" i="115"/>
  <c r="AR69" i="72" s="1"/>
  <c r="L22" i="100"/>
  <c r="P23" i="115"/>
  <c r="AR22" i="72" s="1"/>
  <c r="L54" i="100"/>
  <c r="P55" i="115"/>
  <c r="AR54" i="72" s="1"/>
  <c r="L70" i="100"/>
  <c r="P71" i="115"/>
  <c r="AR70" i="72" s="1"/>
  <c r="L19" i="100"/>
  <c r="P20" i="115"/>
  <c r="AR19" i="72" s="1"/>
  <c r="L35" i="100"/>
  <c r="P36" i="115"/>
  <c r="AR35" i="72" s="1"/>
  <c r="M14" i="31"/>
  <c r="N14" i="31"/>
  <c r="M19" i="31"/>
  <c r="N19" i="31"/>
  <c r="N24" i="31"/>
  <c r="M24" i="31"/>
  <c r="N28" i="31"/>
  <c r="M28" i="31"/>
  <c r="M32" i="31"/>
  <c r="N32" i="31"/>
  <c r="M36" i="31"/>
  <c r="N36" i="31"/>
  <c r="M41" i="31"/>
  <c r="N41" i="31"/>
  <c r="N45" i="31"/>
  <c r="M45" i="31"/>
  <c r="N49" i="31"/>
  <c r="M49" i="31"/>
  <c r="N53" i="31"/>
  <c r="M53" i="31"/>
  <c r="M58" i="31"/>
  <c r="N58" i="31"/>
  <c r="M61" i="31"/>
  <c r="N61" i="31"/>
  <c r="L41" i="100"/>
  <c r="P42" i="115"/>
  <c r="AR41" i="72" s="1"/>
  <c r="N13" i="31"/>
  <c r="M13" i="31"/>
  <c r="M18" i="31"/>
  <c r="N18" i="31"/>
  <c r="N23" i="31"/>
  <c r="M23" i="31"/>
  <c r="M27" i="31"/>
  <c r="N27" i="31"/>
  <c r="M31" i="31"/>
  <c r="N31" i="31"/>
  <c r="N35" i="31"/>
  <c r="M35" i="31"/>
  <c r="M40" i="31"/>
  <c r="N40" i="31"/>
  <c r="M44" i="31"/>
  <c r="N44" i="31"/>
  <c r="M48" i="31"/>
  <c r="N48" i="31"/>
  <c r="M52" i="31"/>
  <c r="N52" i="31"/>
  <c r="N56" i="31"/>
  <c r="M56" i="31"/>
  <c r="N60" i="31"/>
  <c r="M60" i="31"/>
  <c r="O63" i="115"/>
  <c r="O51" i="115"/>
  <c r="O62" i="115"/>
  <c r="L44" i="100"/>
  <c r="P45" i="115"/>
  <c r="AR44" i="72" s="1"/>
  <c r="L15" i="100"/>
  <c r="P16" i="115"/>
  <c r="AR15" i="72" s="1"/>
  <c r="L31" i="100"/>
  <c r="P32" i="115"/>
  <c r="AR31" i="72" s="1"/>
  <c r="L47" i="100"/>
  <c r="P48" i="115"/>
  <c r="AR47" i="72" s="1"/>
  <c r="L48" i="100"/>
  <c r="P49" i="115"/>
  <c r="AR48" i="72" s="1"/>
  <c r="L64" i="100"/>
  <c r="P65" i="115"/>
  <c r="AR64" i="72" s="1"/>
  <c r="L49" i="100"/>
  <c r="P50" i="115"/>
  <c r="AR49" i="72" s="1"/>
  <c r="L38" i="100"/>
  <c r="P39" i="115"/>
  <c r="AR38" i="72" s="1"/>
  <c r="L20" i="100"/>
  <c r="P21" i="115"/>
  <c r="AR20" i="72" s="1"/>
  <c r="L52" i="100"/>
  <c r="P53" i="115"/>
  <c r="AR52" i="72" s="1"/>
  <c r="L27" i="100"/>
  <c r="P28" i="115"/>
  <c r="AR27" i="72" s="1"/>
  <c r="L17" i="100"/>
  <c r="P18" i="115"/>
  <c r="AR17" i="72" s="1"/>
  <c r="L9" i="100"/>
  <c r="P10" i="115"/>
  <c r="AR9" i="72" s="1"/>
  <c r="L26" i="100"/>
  <c r="P27" i="115"/>
  <c r="AR26" i="72" s="1"/>
  <c r="L58" i="100"/>
  <c r="P59" i="115"/>
  <c r="AR58" i="72" s="1"/>
  <c r="L23" i="100"/>
  <c r="P24" i="115"/>
  <c r="AR23" i="72" s="1"/>
  <c r="L24" i="100"/>
  <c r="P25" i="115"/>
  <c r="AR24" i="72" s="1"/>
  <c r="L71" i="100"/>
  <c r="P72" i="115"/>
  <c r="AR71" i="72" s="1"/>
  <c r="L56" i="100"/>
  <c r="P57" i="115"/>
  <c r="AR56" i="72" s="1"/>
  <c r="L45" i="100"/>
  <c r="P46" i="115"/>
  <c r="AR45" i="72" s="1"/>
  <c r="O11" i="115"/>
  <c r="O8" i="115"/>
  <c r="O14" i="115"/>
  <c r="L51" i="100"/>
  <c r="P52" i="115"/>
  <c r="AR51" i="72" s="1"/>
  <c r="L67" i="100"/>
  <c r="P68" i="115"/>
  <c r="AR67" i="72" s="1"/>
  <c r="L36" i="100"/>
  <c r="P37" i="115"/>
  <c r="AR36" i="72" s="1"/>
  <c r="L68" i="100"/>
  <c r="P69" i="115"/>
  <c r="AR68" i="72" s="1"/>
  <c r="L25" i="100"/>
  <c r="P26" i="115"/>
  <c r="AR25" i="72" s="1"/>
  <c r="N12" i="31"/>
  <c r="M12" i="31"/>
  <c r="N16" i="31"/>
  <c r="M16" i="31"/>
  <c r="N22" i="31"/>
  <c r="M22" i="31"/>
  <c r="M26" i="31"/>
  <c r="N26" i="31"/>
  <c r="N30" i="31"/>
  <c r="M30" i="31"/>
  <c r="M34" i="31"/>
  <c r="N34" i="31"/>
  <c r="N38" i="31"/>
  <c r="M38" i="31"/>
  <c r="N43" i="31"/>
  <c r="M43" i="31"/>
  <c r="N47" i="31"/>
  <c r="M47" i="31"/>
  <c r="M51" i="31"/>
  <c r="N51" i="31"/>
  <c r="M55" i="31"/>
  <c r="N55" i="31"/>
  <c r="N63" i="31"/>
  <c r="M63" i="31"/>
  <c r="N15" i="31"/>
  <c r="M15" i="31"/>
  <c r="N20" i="31"/>
  <c r="M20" i="31"/>
  <c r="N25" i="31"/>
  <c r="M25" i="31"/>
  <c r="M29" i="31"/>
  <c r="N29" i="31"/>
  <c r="N33" i="31"/>
  <c r="M33" i="31"/>
  <c r="M37" i="31"/>
  <c r="N37" i="31"/>
  <c r="M42" i="31"/>
  <c r="N42" i="31"/>
  <c r="N46" i="31"/>
  <c r="M46" i="31"/>
  <c r="N50" i="31"/>
  <c r="M50" i="31"/>
  <c r="M54" i="31"/>
  <c r="N54" i="31"/>
  <c r="M59" i="31"/>
  <c r="N59" i="31"/>
  <c r="M62" i="31"/>
  <c r="N62" i="31"/>
  <c r="L57" i="100"/>
  <c r="P58" i="115"/>
  <c r="AR57" i="72" s="1"/>
  <c r="L73" i="100"/>
  <c r="P74" i="115"/>
  <c r="AR73" i="72" s="1"/>
  <c r="L12" i="100"/>
  <c r="P13" i="115"/>
  <c r="AR12" i="72" s="1"/>
  <c r="L43" i="100"/>
  <c r="P44" i="115"/>
  <c r="AR43" i="72" s="1"/>
  <c r="L59" i="100"/>
  <c r="P60" i="115"/>
  <c r="AR59" i="72" s="1"/>
  <c r="L28" i="100"/>
  <c r="P29" i="115"/>
  <c r="AR28" i="72" s="1"/>
  <c r="L60" i="100"/>
  <c r="P61" i="115"/>
  <c r="AR60" i="72" s="1"/>
  <c r="L33" i="100"/>
  <c r="P34" i="115"/>
  <c r="AR33" i="72" s="1"/>
  <c r="L65" i="100"/>
  <c r="P66" i="115"/>
  <c r="AR65" i="72" s="1"/>
  <c r="L8" i="100"/>
  <c r="P9" i="115"/>
  <c r="AR8" i="72" s="1"/>
  <c r="L74" i="100"/>
  <c r="P75" i="115"/>
  <c r="AR74" i="72" s="1"/>
  <c r="L39" i="100"/>
  <c r="P40" i="115"/>
  <c r="AR39" i="72" s="1"/>
  <c r="L55" i="100"/>
  <c r="P56" i="115"/>
  <c r="AR55" i="72" s="1"/>
  <c r="L40" i="100"/>
  <c r="P41" i="115"/>
  <c r="AR40" i="72" s="1"/>
  <c r="L29" i="100"/>
  <c r="P30" i="115"/>
  <c r="AR29" i="72" s="1"/>
  <c r="O47" i="115"/>
  <c r="O12" i="115"/>
  <c r="O15" i="115"/>
  <c r="O73" i="115"/>
  <c r="L32" i="100" l="1"/>
  <c r="L42" i="100"/>
  <c r="O53" i="31"/>
  <c r="P53" i="31" s="1"/>
  <c r="O50" i="31"/>
  <c r="P50" i="31" s="1"/>
  <c r="O46" i="31"/>
  <c r="P46" i="31" s="1"/>
  <c r="O37" i="31"/>
  <c r="P37" i="31" s="1"/>
  <c r="O33" i="31"/>
  <c r="P33" i="31" s="1"/>
  <c r="O25" i="31"/>
  <c r="P25" i="31" s="1"/>
  <c r="O20" i="31"/>
  <c r="P20" i="31" s="1"/>
  <c r="O15" i="31"/>
  <c r="P15" i="31" s="1"/>
  <c r="O63" i="31"/>
  <c r="P63" i="31" s="1"/>
  <c r="O47" i="31"/>
  <c r="P47" i="31" s="1"/>
  <c r="O43" i="31"/>
  <c r="P43" i="31" s="1"/>
  <c r="O38" i="31"/>
  <c r="P38" i="31" s="1"/>
  <c r="O34" i="31"/>
  <c r="P34" i="31" s="1"/>
  <c r="Q67" i="115"/>
  <c r="S67" i="115" s="1"/>
  <c r="T67" i="115" s="1"/>
  <c r="Q72" i="115"/>
  <c r="S72" i="115" s="1"/>
  <c r="T72" i="115" s="1"/>
  <c r="Q34" i="115"/>
  <c r="S34" i="115" s="1"/>
  <c r="T34" i="115" s="1"/>
  <c r="Q28" i="115"/>
  <c r="S28" i="115" s="1"/>
  <c r="O30" i="31"/>
  <c r="P30" i="31" s="1"/>
  <c r="O22" i="31"/>
  <c r="P22" i="31" s="1"/>
  <c r="O12" i="31"/>
  <c r="P12" i="31" s="1"/>
  <c r="Q69" i="115"/>
  <c r="S69" i="115" s="1"/>
  <c r="Q23" i="115"/>
  <c r="S23" i="115" s="1"/>
  <c r="T23" i="115" s="1"/>
  <c r="Q40" i="115"/>
  <c r="S40" i="115" s="1"/>
  <c r="T40" i="115" s="1"/>
  <c r="Q44" i="115"/>
  <c r="S44" i="115" s="1"/>
  <c r="T44" i="115" s="1"/>
  <c r="Q43" i="115"/>
  <c r="S43" i="115" s="1"/>
  <c r="Q39" i="115"/>
  <c r="S39" i="115" s="1"/>
  <c r="T39" i="115" s="1"/>
  <c r="O52" i="31"/>
  <c r="P52" i="31" s="1"/>
  <c r="O48" i="31"/>
  <c r="P48" i="31" s="1"/>
  <c r="Q71" i="115"/>
  <c r="S71" i="115" s="1"/>
  <c r="Q22" i="115"/>
  <c r="S22" i="115" s="1"/>
  <c r="Q41" i="115"/>
  <c r="S41" i="115" s="1"/>
  <c r="Q9" i="115"/>
  <c r="S9" i="115" s="1"/>
  <c r="T9" i="115" s="1"/>
  <c r="Q29" i="115"/>
  <c r="S29" i="115" s="1"/>
  <c r="T29" i="115" s="1"/>
  <c r="Q74" i="115"/>
  <c r="S74" i="115" s="1"/>
  <c r="Q68" i="115"/>
  <c r="S68" i="115" s="1"/>
  <c r="T68" i="115" s="1"/>
  <c r="Q16" i="115"/>
  <c r="S16" i="115" s="1"/>
  <c r="T16" i="115" s="1"/>
  <c r="O44" i="31"/>
  <c r="P44" i="31" s="1"/>
  <c r="R44" i="31" s="1"/>
  <c r="S44" i="31" s="1"/>
  <c r="O40" i="31"/>
  <c r="P40" i="31" s="1"/>
  <c r="R40" i="31" s="1"/>
  <c r="S40" i="31" s="1"/>
  <c r="O31" i="31"/>
  <c r="P31" i="31" s="1"/>
  <c r="R31" i="31" s="1"/>
  <c r="S31" i="31" s="1"/>
  <c r="O27" i="31"/>
  <c r="P27" i="31" s="1"/>
  <c r="Q24" i="115"/>
  <c r="S24" i="115" s="1"/>
  <c r="Q10" i="115"/>
  <c r="S10" i="115" s="1"/>
  <c r="T10" i="115" s="1"/>
  <c r="Q53" i="115"/>
  <c r="S53" i="115" s="1"/>
  <c r="T53" i="115" s="1"/>
  <c r="Q50" i="115"/>
  <c r="S50" i="115" s="1"/>
  <c r="T50" i="115" s="1"/>
  <c r="O49" i="31"/>
  <c r="P49" i="31" s="1"/>
  <c r="O45" i="31"/>
  <c r="P45" i="31" s="1"/>
  <c r="O28" i="31"/>
  <c r="P28" i="31" s="1"/>
  <c r="O24" i="31"/>
  <c r="P24" i="31" s="1"/>
  <c r="Q36" i="115"/>
  <c r="S36" i="115" s="1"/>
  <c r="Q55" i="115"/>
  <c r="S55" i="115" s="1"/>
  <c r="T55" i="115" s="1"/>
  <c r="Q54" i="115"/>
  <c r="S54" i="115" s="1"/>
  <c r="T54" i="115" s="1"/>
  <c r="Q17" i="115"/>
  <c r="S17" i="115" s="1"/>
  <c r="T17" i="115" s="1"/>
  <c r="L72" i="100"/>
  <c r="P73" i="115"/>
  <c r="AR72" i="72" s="1"/>
  <c r="L14" i="100"/>
  <c r="P15" i="115"/>
  <c r="AR14" i="72" s="1"/>
  <c r="L11" i="100"/>
  <c r="P12" i="115"/>
  <c r="AR11" i="72" s="1"/>
  <c r="L46" i="100"/>
  <c r="P47" i="115"/>
  <c r="AR46" i="72" s="1"/>
  <c r="O40" i="120"/>
  <c r="O40" i="118"/>
  <c r="O40" i="116"/>
  <c r="O40" i="114"/>
  <c r="O40" i="119"/>
  <c r="Q40" i="117"/>
  <c r="Q40" i="113"/>
  <c r="O9" i="119"/>
  <c r="Q9" i="117"/>
  <c r="Q9" i="113"/>
  <c r="O9" i="120"/>
  <c r="O9" i="118"/>
  <c r="O9" i="116"/>
  <c r="O9" i="114"/>
  <c r="O34" i="120"/>
  <c r="O34" i="118"/>
  <c r="O34" i="116"/>
  <c r="O34" i="114"/>
  <c r="O34" i="119"/>
  <c r="Q34" i="117"/>
  <c r="Q34" i="113"/>
  <c r="O29" i="119"/>
  <c r="Q29" i="117"/>
  <c r="Q29" i="113"/>
  <c r="O29" i="120"/>
  <c r="O29" i="118"/>
  <c r="O29" i="116"/>
  <c r="O29" i="114"/>
  <c r="O44" i="120"/>
  <c r="O44" i="118"/>
  <c r="O44" i="116"/>
  <c r="O44" i="114"/>
  <c r="O44" i="119"/>
  <c r="Q44" i="117"/>
  <c r="Q44" i="113"/>
  <c r="O69" i="119"/>
  <c r="Q69" i="117"/>
  <c r="Q69" i="113"/>
  <c r="O69" i="120"/>
  <c r="O69" i="118"/>
  <c r="O69" i="116"/>
  <c r="O69" i="114"/>
  <c r="O68" i="120"/>
  <c r="O68" i="118"/>
  <c r="O68" i="116"/>
  <c r="O68" i="114"/>
  <c r="O68" i="119"/>
  <c r="Q68" i="117"/>
  <c r="Q68" i="113"/>
  <c r="O20" i="120"/>
  <c r="O20" i="118"/>
  <c r="O20" i="116"/>
  <c r="O20" i="114"/>
  <c r="O20" i="119"/>
  <c r="Q20" i="117"/>
  <c r="Q20" i="113"/>
  <c r="O55" i="119"/>
  <c r="Q55" i="117"/>
  <c r="Q55" i="113"/>
  <c r="O55" i="120"/>
  <c r="O55" i="118"/>
  <c r="O55" i="116"/>
  <c r="O55" i="114"/>
  <c r="O23" i="119"/>
  <c r="Q23" i="117"/>
  <c r="Q23" i="113"/>
  <c r="O23" i="120"/>
  <c r="O23" i="118"/>
  <c r="O23" i="116"/>
  <c r="O23" i="114"/>
  <c r="O70" i="120"/>
  <c r="O70" i="118"/>
  <c r="O70" i="116"/>
  <c r="O70" i="114"/>
  <c r="O70" i="119"/>
  <c r="Q70" i="117"/>
  <c r="Q70" i="113"/>
  <c r="O22" i="120"/>
  <c r="O22" i="118"/>
  <c r="O22" i="116"/>
  <c r="O22" i="114"/>
  <c r="O22" i="119"/>
  <c r="Q22" i="117"/>
  <c r="Q22" i="113"/>
  <c r="O64" i="120"/>
  <c r="O64" i="118"/>
  <c r="O64" i="116"/>
  <c r="O64" i="114"/>
  <c r="O64" i="119"/>
  <c r="Q64" i="117"/>
  <c r="Q64" i="113"/>
  <c r="O35" i="119"/>
  <c r="Q35" i="117"/>
  <c r="Q35" i="113"/>
  <c r="O35" i="120"/>
  <c r="O35" i="118"/>
  <c r="O35" i="116"/>
  <c r="O35" i="114"/>
  <c r="O57" i="119"/>
  <c r="Q57" i="117"/>
  <c r="Q57" i="113"/>
  <c r="O57" i="120"/>
  <c r="O57" i="118"/>
  <c r="O57" i="116"/>
  <c r="O57" i="114"/>
  <c r="O25" i="119"/>
  <c r="Q25" i="117"/>
  <c r="Q25" i="113"/>
  <c r="O25" i="120"/>
  <c r="O25" i="118"/>
  <c r="O25" i="116"/>
  <c r="O25" i="114"/>
  <c r="T24" i="115"/>
  <c r="O59" i="119"/>
  <c r="Q59" i="117"/>
  <c r="Q59" i="113"/>
  <c r="O59" i="120"/>
  <c r="O59" i="118"/>
  <c r="O59" i="116"/>
  <c r="O59" i="114"/>
  <c r="O27" i="119"/>
  <c r="Q27" i="117"/>
  <c r="Q27" i="113"/>
  <c r="O27" i="120"/>
  <c r="O27" i="118"/>
  <c r="O27" i="116"/>
  <c r="O27" i="114"/>
  <c r="O18" i="120"/>
  <c r="O18" i="118"/>
  <c r="O18" i="116"/>
  <c r="O18" i="114"/>
  <c r="O18" i="119"/>
  <c r="Q18" i="117"/>
  <c r="Q18" i="113"/>
  <c r="O39" i="119"/>
  <c r="Q39" i="117"/>
  <c r="Q39" i="113"/>
  <c r="O39" i="120"/>
  <c r="O39" i="118"/>
  <c r="O39" i="116"/>
  <c r="O39" i="114"/>
  <c r="O65" i="119"/>
  <c r="Q65" i="117"/>
  <c r="Q65" i="113"/>
  <c r="O65" i="120"/>
  <c r="O65" i="118"/>
  <c r="O65" i="116"/>
  <c r="O65" i="114"/>
  <c r="O48" i="120"/>
  <c r="O48" i="118"/>
  <c r="O48" i="116"/>
  <c r="O48" i="114"/>
  <c r="O48" i="119"/>
  <c r="Q48" i="117"/>
  <c r="Q48" i="113"/>
  <c r="O16" i="120"/>
  <c r="O16" i="118"/>
  <c r="O16" i="116"/>
  <c r="O16" i="114"/>
  <c r="O16" i="119"/>
  <c r="Q16" i="117"/>
  <c r="Q16" i="113"/>
  <c r="O30" i="120"/>
  <c r="O30" i="118"/>
  <c r="O30" i="116"/>
  <c r="O30" i="114"/>
  <c r="O30" i="119"/>
  <c r="Q30" i="117"/>
  <c r="Q30" i="113"/>
  <c r="O41" i="119"/>
  <c r="Q41" i="117"/>
  <c r="Q41" i="113"/>
  <c r="O41" i="120"/>
  <c r="O41" i="118"/>
  <c r="O41" i="116"/>
  <c r="O41" i="114"/>
  <c r="O56" i="120"/>
  <c r="O56" i="118"/>
  <c r="O56" i="116"/>
  <c r="O56" i="114"/>
  <c r="O56" i="119"/>
  <c r="Q56" i="117"/>
  <c r="Q56" i="113"/>
  <c r="O75" i="119"/>
  <c r="Q75" i="117"/>
  <c r="Q75" i="113"/>
  <c r="O75" i="120"/>
  <c r="O75" i="118"/>
  <c r="O75" i="116"/>
  <c r="O75" i="114"/>
  <c r="O66" i="120"/>
  <c r="O66" i="118"/>
  <c r="O66" i="116"/>
  <c r="O66" i="114"/>
  <c r="O66" i="119"/>
  <c r="Q66" i="117"/>
  <c r="Q66" i="113"/>
  <c r="O61" i="119"/>
  <c r="Q61" i="117"/>
  <c r="Q61" i="113"/>
  <c r="O61" i="120"/>
  <c r="O61" i="118"/>
  <c r="O61" i="116"/>
  <c r="O61" i="114"/>
  <c r="O60" i="120"/>
  <c r="O60" i="118"/>
  <c r="O60" i="116"/>
  <c r="O60" i="114"/>
  <c r="O60" i="119"/>
  <c r="Q60" i="117"/>
  <c r="Q60" i="113"/>
  <c r="O74" i="120"/>
  <c r="O74" i="118"/>
  <c r="O74" i="116"/>
  <c r="O74" i="114"/>
  <c r="O74" i="119"/>
  <c r="Q74" i="117"/>
  <c r="Q74" i="113"/>
  <c r="O42" i="120"/>
  <c r="O42" i="118"/>
  <c r="O42" i="116"/>
  <c r="O42" i="114"/>
  <c r="L39" i="31"/>
  <c r="L17" i="31"/>
  <c r="O42" i="119"/>
  <c r="Q42" i="117"/>
  <c r="Q42" i="113"/>
  <c r="L57" i="31"/>
  <c r="L21" i="31"/>
  <c r="O26" i="120"/>
  <c r="O26" i="118"/>
  <c r="O26" i="116"/>
  <c r="O26" i="114"/>
  <c r="O26" i="119"/>
  <c r="Q26" i="117"/>
  <c r="Q26" i="113"/>
  <c r="O37" i="119"/>
  <c r="Q37" i="117"/>
  <c r="Q37" i="113"/>
  <c r="O37" i="120"/>
  <c r="O37" i="118"/>
  <c r="O37" i="116"/>
  <c r="O37" i="114"/>
  <c r="O36" i="120"/>
  <c r="O36" i="118"/>
  <c r="O36" i="116"/>
  <c r="O36" i="114"/>
  <c r="O36" i="119"/>
  <c r="Q36" i="117"/>
  <c r="Q36" i="113"/>
  <c r="O71" i="119"/>
  <c r="Q71" i="117"/>
  <c r="Q71" i="113"/>
  <c r="O71" i="120"/>
  <c r="O71" i="118"/>
  <c r="O71" i="116"/>
  <c r="O71" i="114"/>
  <c r="O54" i="120"/>
  <c r="O54" i="118"/>
  <c r="O54" i="116"/>
  <c r="O54" i="114"/>
  <c r="O54" i="119"/>
  <c r="Q54" i="117"/>
  <c r="Q54" i="113"/>
  <c r="O17" i="119"/>
  <c r="Q17" i="117"/>
  <c r="Q17" i="113"/>
  <c r="O17" i="120"/>
  <c r="O17" i="118"/>
  <c r="O17" i="116"/>
  <c r="O17" i="114"/>
  <c r="O67" i="119"/>
  <c r="Q67" i="117"/>
  <c r="Q67" i="113"/>
  <c r="O67" i="120"/>
  <c r="O67" i="118"/>
  <c r="O67" i="116"/>
  <c r="O67" i="114"/>
  <c r="Q30" i="115"/>
  <c r="S30" i="115" s="1"/>
  <c r="Q56" i="115"/>
  <c r="S56" i="115" s="1"/>
  <c r="Q75" i="115"/>
  <c r="S75" i="115" s="1"/>
  <c r="Q66" i="115"/>
  <c r="S66" i="115" s="1"/>
  <c r="Q61" i="115"/>
  <c r="S61" i="115" s="1"/>
  <c r="Q60" i="115"/>
  <c r="S60" i="115" s="1"/>
  <c r="Q13" i="115"/>
  <c r="S13" i="115" s="1"/>
  <c r="Q58" i="115"/>
  <c r="S58" i="115" s="1"/>
  <c r="O62" i="31"/>
  <c r="P62" i="31" s="1"/>
  <c r="O59" i="31"/>
  <c r="P59" i="31" s="1"/>
  <c r="O54" i="31"/>
  <c r="P54" i="31" s="1"/>
  <c r="O42" i="31"/>
  <c r="P42" i="31" s="1"/>
  <c r="O29" i="31"/>
  <c r="P29" i="31" s="1"/>
  <c r="R29" i="31" s="1"/>
  <c r="S29" i="31" s="1"/>
  <c r="O55" i="31"/>
  <c r="P55" i="31" s="1"/>
  <c r="O51" i="31"/>
  <c r="P51" i="31" s="1"/>
  <c r="O26" i="31"/>
  <c r="P26" i="31" s="1"/>
  <c r="O16" i="31"/>
  <c r="P16" i="31" s="1"/>
  <c r="Q26" i="115"/>
  <c r="S26" i="115" s="1"/>
  <c r="Q37" i="115"/>
  <c r="S37" i="115" s="1"/>
  <c r="Q52" i="115"/>
  <c r="S52" i="115" s="1"/>
  <c r="Q46" i="115"/>
  <c r="S46" i="115" s="1"/>
  <c r="Q21" i="115"/>
  <c r="S21" i="115" s="1"/>
  <c r="Q49" i="115"/>
  <c r="S49" i="115" s="1"/>
  <c r="Q32" i="115"/>
  <c r="S32" i="115" s="1"/>
  <c r="Q45" i="115"/>
  <c r="S45" i="115" s="1"/>
  <c r="O41" i="31"/>
  <c r="P41" i="31" s="1"/>
  <c r="O36" i="31"/>
  <c r="P36" i="31" s="1"/>
  <c r="O32" i="31"/>
  <c r="P32" i="31" s="1"/>
  <c r="O19" i="31"/>
  <c r="P19" i="31" s="1"/>
  <c r="O14" i="31"/>
  <c r="P14" i="31" s="1"/>
  <c r="Q20" i="115"/>
  <c r="S20" i="115" s="1"/>
  <c r="Q70" i="115"/>
  <c r="S70" i="115" s="1"/>
  <c r="Q38" i="115"/>
  <c r="S38" i="115" s="1"/>
  <c r="Q33" i="115"/>
  <c r="S33" i="115" s="1"/>
  <c r="Q64" i="115"/>
  <c r="S64" i="115" s="1"/>
  <c r="Q35" i="115"/>
  <c r="S35" i="115" s="1"/>
  <c r="O53" i="119"/>
  <c r="Q53" i="117"/>
  <c r="Q53" i="113"/>
  <c r="O53" i="120"/>
  <c r="O53" i="118"/>
  <c r="O53" i="116"/>
  <c r="O53" i="114"/>
  <c r="O50" i="120"/>
  <c r="O50" i="118"/>
  <c r="O50" i="116"/>
  <c r="O50" i="114"/>
  <c r="O50" i="119"/>
  <c r="Q50" i="117"/>
  <c r="Q50" i="113"/>
  <c r="O13" i="119"/>
  <c r="Q13" i="117"/>
  <c r="Q13" i="113"/>
  <c r="O13" i="120"/>
  <c r="O13" i="118"/>
  <c r="O13" i="116"/>
  <c r="O13" i="114"/>
  <c r="O58" i="120"/>
  <c r="O58" i="118"/>
  <c r="O58" i="116"/>
  <c r="O58" i="114"/>
  <c r="O58" i="119"/>
  <c r="Q58" i="117"/>
  <c r="Q58" i="113"/>
  <c r="O52" i="120"/>
  <c r="O52" i="118"/>
  <c r="O52" i="116"/>
  <c r="O52" i="114"/>
  <c r="O52" i="119"/>
  <c r="Q52" i="117"/>
  <c r="Q52" i="113"/>
  <c r="L13" i="100"/>
  <c r="P14" i="115"/>
  <c r="AR13" i="72" s="1"/>
  <c r="L7" i="100"/>
  <c r="P8" i="115"/>
  <c r="AR7" i="72" s="1"/>
  <c r="L10" i="100"/>
  <c r="P11" i="115"/>
  <c r="AR10" i="72" s="1"/>
  <c r="O46" i="120"/>
  <c r="O46" i="118"/>
  <c r="O46" i="116"/>
  <c r="O46" i="114"/>
  <c r="O46" i="119"/>
  <c r="Q46" i="117"/>
  <c r="Q46" i="113"/>
  <c r="O72" i="120"/>
  <c r="O72" i="118"/>
  <c r="O72" i="116"/>
  <c r="O72" i="114"/>
  <c r="O72" i="119"/>
  <c r="Q72" i="117"/>
  <c r="Q72" i="113"/>
  <c r="O24" i="120"/>
  <c r="O24" i="118"/>
  <c r="O24" i="116"/>
  <c r="O24" i="114"/>
  <c r="O24" i="119"/>
  <c r="Q24" i="117"/>
  <c r="Q24" i="113"/>
  <c r="O43" i="119"/>
  <c r="Q43" i="117"/>
  <c r="Q43" i="113"/>
  <c r="O43" i="120"/>
  <c r="O43" i="118"/>
  <c r="O43" i="116"/>
  <c r="O43" i="114"/>
  <c r="O10" i="120"/>
  <c r="O10" i="118"/>
  <c r="O10" i="116"/>
  <c r="O10" i="114"/>
  <c r="O10" i="119"/>
  <c r="Q10" i="117"/>
  <c r="Q10" i="113"/>
  <c r="O28" i="120"/>
  <c r="O28" i="118"/>
  <c r="O28" i="116"/>
  <c r="O28" i="114"/>
  <c r="O28" i="119"/>
  <c r="Q28" i="117"/>
  <c r="Q28" i="113"/>
  <c r="O21" i="119"/>
  <c r="Q21" i="117"/>
  <c r="Q21" i="113"/>
  <c r="O21" i="120"/>
  <c r="O21" i="118"/>
  <c r="O21" i="116"/>
  <c r="O21" i="114"/>
  <c r="O49" i="119"/>
  <c r="Q49" i="117"/>
  <c r="Q49" i="113"/>
  <c r="O49" i="120"/>
  <c r="O49" i="118"/>
  <c r="O49" i="116"/>
  <c r="O49" i="114"/>
  <c r="O32" i="120"/>
  <c r="O32" i="118"/>
  <c r="O32" i="116"/>
  <c r="O32" i="114"/>
  <c r="O32" i="119"/>
  <c r="Q32" i="117"/>
  <c r="Q32" i="113"/>
  <c r="O45" i="119"/>
  <c r="Q45" i="117"/>
  <c r="Q45" i="113"/>
  <c r="O45" i="120"/>
  <c r="O45" i="118"/>
  <c r="O45" i="116"/>
  <c r="O45" i="114"/>
  <c r="L61" i="100"/>
  <c r="P62" i="115"/>
  <c r="AR61" i="72" s="1"/>
  <c r="L50" i="100"/>
  <c r="P51" i="115"/>
  <c r="AR50" i="72" s="1"/>
  <c r="L62" i="100"/>
  <c r="P63" i="115"/>
  <c r="AR62" i="72" s="1"/>
  <c r="O38" i="120"/>
  <c r="O38" i="118"/>
  <c r="O38" i="116"/>
  <c r="O38" i="114"/>
  <c r="O38" i="119"/>
  <c r="Q38" i="117"/>
  <c r="Q38" i="113"/>
  <c r="O33" i="119"/>
  <c r="Q33" i="117"/>
  <c r="Q33" i="113"/>
  <c r="O33" i="120"/>
  <c r="O33" i="118"/>
  <c r="O33" i="116"/>
  <c r="O33" i="114"/>
  <c r="L30" i="100"/>
  <c r="P31" i="115"/>
  <c r="AR30" i="72" s="1"/>
  <c r="L18" i="100"/>
  <c r="P19" i="115"/>
  <c r="AR18" i="72" s="1"/>
  <c r="Q57" i="115"/>
  <c r="S57" i="115" s="1"/>
  <c r="Q25" i="115"/>
  <c r="S25" i="115" s="1"/>
  <c r="Q59" i="115"/>
  <c r="S59" i="115" s="1"/>
  <c r="Q27" i="115"/>
  <c r="S27" i="115" s="1"/>
  <c r="Q18" i="115"/>
  <c r="S18" i="115" s="1"/>
  <c r="Q65" i="115"/>
  <c r="S65" i="115" s="1"/>
  <c r="Q48" i="115"/>
  <c r="S48" i="115" s="1"/>
  <c r="O60" i="31"/>
  <c r="P60" i="31" s="1"/>
  <c r="O56" i="31"/>
  <c r="P56" i="31" s="1"/>
  <c r="O35" i="31"/>
  <c r="P35" i="31" s="1"/>
  <c r="O23" i="31"/>
  <c r="P23" i="31" s="1"/>
  <c r="O18" i="31"/>
  <c r="P18" i="31" s="1"/>
  <c r="O13" i="31"/>
  <c r="P13" i="31" s="1"/>
  <c r="Q42" i="115"/>
  <c r="S42" i="115" s="1"/>
  <c r="O61" i="31"/>
  <c r="P61" i="31" s="1"/>
  <c r="O58" i="31"/>
  <c r="P58" i="31" s="1"/>
  <c r="L69" i="31" l="1"/>
  <c r="T74" i="115"/>
  <c r="T22" i="115"/>
  <c r="H21" i="72" s="1"/>
  <c r="T71" i="115"/>
  <c r="H70" i="72" s="1"/>
  <c r="T69" i="115"/>
  <c r="H68" i="72" s="1"/>
  <c r="T28" i="115"/>
  <c r="H27" i="72" s="1"/>
  <c r="T36" i="115"/>
  <c r="T41" i="115"/>
  <c r="H40" i="72" s="1"/>
  <c r="T43" i="115"/>
  <c r="H42" i="72" s="1"/>
  <c r="Q11" i="115"/>
  <c r="S11" i="115" s="1"/>
  <c r="T11" i="115" s="1"/>
  <c r="Q62" i="115"/>
  <c r="S62" i="115" s="1"/>
  <c r="Q8" i="115"/>
  <c r="S8" i="115" s="1"/>
  <c r="Q14" i="115"/>
  <c r="S14" i="115" s="1"/>
  <c r="Q12" i="115"/>
  <c r="S12" i="115" s="1"/>
  <c r="T12" i="115" s="1"/>
  <c r="Q73" i="115"/>
  <c r="S73" i="115" s="1"/>
  <c r="T73" i="115" s="1"/>
  <c r="Q63" i="115"/>
  <c r="S63" i="115" s="1"/>
  <c r="T63" i="115" s="1"/>
  <c r="T65" i="115"/>
  <c r="T27" i="115"/>
  <c r="T25" i="115"/>
  <c r="K32" i="100"/>
  <c r="P33" i="114"/>
  <c r="AQ32" i="72" s="1"/>
  <c r="O32" i="100"/>
  <c r="P33" i="118"/>
  <c r="AU32" i="72" s="1"/>
  <c r="N32" i="100"/>
  <c r="R33" i="117"/>
  <c r="AT32" i="72" s="1"/>
  <c r="J37" i="100"/>
  <c r="R38" i="113"/>
  <c r="AP37" i="72" s="1"/>
  <c r="P37" i="100"/>
  <c r="P38" i="119"/>
  <c r="AV37" i="72" s="1"/>
  <c r="M37" i="100"/>
  <c r="P38" i="116"/>
  <c r="AS37" i="72" s="1"/>
  <c r="Q37" i="100"/>
  <c r="P38" i="120"/>
  <c r="AW37" i="72" s="1"/>
  <c r="M44" i="100"/>
  <c r="P45" i="116"/>
  <c r="AS44" i="72" s="1"/>
  <c r="Q44" i="100"/>
  <c r="P45" i="120"/>
  <c r="AW44" i="72" s="1"/>
  <c r="J44" i="100"/>
  <c r="R45" i="113"/>
  <c r="AP44" i="72" s="1"/>
  <c r="P44" i="100"/>
  <c r="P45" i="119"/>
  <c r="AV44" i="72" s="1"/>
  <c r="H15" i="72"/>
  <c r="N31" i="100"/>
  <c r="R32" i="117"/>
  <c r="AT31" i="72" s="1"/>
  <c r="K31" i="100"/>
  <c r="P32" i="114"/>
  <c r="AQ31" i="72" s="1"/>
  <c r="O31" i="100"/>
  <c r="P32" i="118"/>
  <c r="AU31" i="72" s="1"/>
  <c r="M48" i="100"/>
  <c r="P49" i="116"/>
  <c r="AS48" i="72" s="1"/>
  <c r="Q48" i="100"/>
  <c r="P49" i="120"/>
  <c r="AW48" i="72" s="1"/>
  <c r="J48" i="100"/>
  <c r="R49" i="113"/>
  <c r="P48" i="100"/>
  <c r="P49" i="119"/>
  <c r="AV48" i="72" s="1"/>
  <c r="H38" i="72"/>
  <c r="M20" i="100"/>
  <c r="P21" i="116"/>
  <c r="AS20" i="72" s="1"/>
  <c r="Q20" i="100"/>
  <c r="P21" i="120"/>
  <c r="AW20" i="72" s="1"/>
  <c r="J20" i="100"/>
  <c r="R21" i="113"/>
  <c r="AP20" i="72" s="1"/>
  <c r="P20" i="100"/>
  <c r="P21" i="119"/>
  <c r="AV20" i="72" s="1"/>
  <c r="H52" i="72"/>
  <c r="N27" i="100"/>
  <c r="R28" i="117"/>
  <c r="AT27" i="72" s="1"/>
  <c r="K27" i="100"/>
  <c r="P28" i="114"/>
  <c r="AQ27" i="72" s="1"/>
  <c r="O27" i="100"/>
  <c r="P28" i="118"/>
  <c r="AU27" i="72" s="1"/>
  <c r="N9" i="100"/>
  <c r="R10" i="117"/>
  <c r="AT9" i="72" s="1"/>
  <c r="K9" i="100"/>
  <c r="P10" i="114"/>
  <c r="AQ9" i="72" s="1"/>
  <c r="O9" i="100"/>
  <c r="P10" i="118"/>
  <c r="AU9" i="72" s="1"/>
  <c r="M42" i="100"/>
  <c r="P43" i="116"/>
  <c r="AS42" i="72" s="1"/>
  <c r="P43" i="120"/>
  <c r="AW42" i="72" s="1"/>
  <c r="Q42" i="100"/>
  <c r="J42" i="100"/>
  <c r="R43" i="113"/>
  <c r="AP42" i="72" s="1"/>
  <c r="P42" i="100"/>
  <c r="P43" i="119"/>
  <c r="AV42" i="72" s="1"/>
  <c r="N23" i="100"/>
  <c r="R24" i="117"/>
  <c r="AT23" i="72" s="1"/>
  <c r="K23" i="100"/>
  <c r="P24" i="114"/>
  <c r="AQ23" i="72" s="1"/>
  <c r="O23" i="100"/>
  <c r="P24" i="118"/>
  <c r="AU23" i="72" s="1"/>
  <c r="N71" i="100"/>
  <c r="R72" i="117"/>
  <c r="AT71" i="72" s="1"/>
  <c r="M71" i="100"/>
  <c r="P72" i="116"/>
  <c r="AS71" i="72" s="1"/>
  <c r="Q71" i="100"/>
  <c r="P72" i="120"/>
  <c r="AW71" i="72" s="1"/>
  <c r="N45" i="100"/>
  <c r="R46" i="117"/>
  <c r="AT45" i="72" s="1"/>
  <c r="K45" i="100"/>
  <c r="P46" i="114"/>
  <c r="AQ45" i="72" s="1"/>
  <c r="O45" i="100"/>
  <c r="P46" i="118"/>
  <c r="AU45" i="72" s="1"/>
  <c r="O11" i="119"/>
  <c r="Q11" i="117"/>
  <c r="Q11" i="113"/>
  <c r="O11" i="120"/>
  <c r="O11" i="118"/>
  <c r="O11" i="116"/>
  <c r="O11" i="114"/>
  <c r="J51" i="100"/>
  <c r="R52" i="113"/>
  <c r="AP51" i="72" s="1"/>
  <c r="P51" i="100"/>
  <c r="P52" i="119"/>
  <c r="AV51" i="72" s="1"/>
  <c r="K51" i="100"/>
  <c r="P52" i="114"/>
  <c r="AQ51" i="72" s="1"/>
  <c r="O51" i="100"/>
  <c r="P52" i="118"/>
  <c r="AU51" i="72" s="1"/>
  <c r="J57" i="100"/>
  <c r="R58" i="113"/>
  <c r="AP57" i="72" s="1"/>
  <c r="P57" i="100"/>
  <c r="P58" i="119"/>
  <c r="AV57" i="72" s="1"/>
  <c r="K57" i="100"/>
  <c r="P58" i="114"/>
  <c r="AQ57" i="72" s="1"/>
  <c r="O57" i="100"/>
  <c r="P58" i="118"/>
  <c r="AU57" i="72" s="1"/>
  <c r="K12" i="100"/>
  <c r="P13" i="114"/>
  <c r="AQ12" i="72" s="1"/>
  <c r="O12" i="100"/>
  <c r="P13" i="118"/>
  <c r="AU12" i="72" s="1"/>
  <c r="N12" i="100"/>
  <c r="R13" i="117"/>
  <c r="AT12" i="72" s="1"/>
  <c r="J49" i="100"/>
  <c r="R50" i="113"/>
  <c r="P49" i="100"/>
  <c r="P50" i="119"/>
  <c r="AV49" i="72" s="1"/>
  <c r="K49" i="100"/>
  <c r="P50" i="114"/>
  <c r="AQ49" i="72" s="1"/>
  <c r="O49" i="100"/>
  <c r="P50" i="118"/>
  <c r="AU49" i="72" s="1"/>
  <c r="K52" i="100"/>
  <c r="P53" i="114"/>
  <c r="AQ52" i="72" s="1"/>
  <c r="O52" i="100"/>
  <c r="P53" i="118"/>
  <c r="AU52" i="72" s="1"/>
  <c r="N52" i="100"/>
  <c r="R53" i="117"/>
  <c r="AT52" i="72" s="1"/>
  <c r="T35" i="115"/>
  <c r="T33" i="115"/>
  <c r="T70" i="115"/>
  <c r="T45" i="115"/>
  <c r="T49" i="115"/>
  <c r="T46" i="115"/>
  <c r="T37" i="115"/>
  <c r="T13" i="115"/>
  <c r="T61" i="115"/>
  <c r="T75" i="115"/>
  <c r="T30" i="115"/>
  <c r="O31" i="119"/>
  <c r="Q31" i="117"/>
  <c r="Q31" i="113"/>
  <c r="O31" i="120"/>
  <c r="O31" i="118"/>
  <c r="O31" i="116"/>
  <c r="O31" i="114"/>
  <c r="M66" i="100"/>
  <c r="P67" i="116"/>
  <c r="AS66" i="72" s="1"/>
  <c r="Q66" i="100"/>
  <c r="P67" i="120"/>
  <c r="AW66" i="72" s="1"/>
  <c r="J66" i="100"/>
  <c r="R67" i="113"/>
  <c r="AP66" i="72" s="1"/>
  <c r="P66" i="100"/>
  <c r="P67" i="119"/>
  <c r="AV66" i="72" s="1"/>
  <c r="M16" i="100"/>
  <c r="P17" i="116"/>
  <c r="AS16" i="72" s="1"/>
  <c r="Q16" i="100"/>
  <c r="P17" i="120"/>
  <c r="AW16" i="72" s="1"/>
  <c r="J16" i="100"/>
  <c r="R17" i="113"/>
  <c r="AP16" i="72" s="1"/>
  <c r="P16" i="100"/>
  <c r="P17" i="119"/>
  <c r="AV16" i="72" s="1"/>
  <c r="N53" i="100"/>
  <c r="R54" i="117"/>
  <c r="AT53" i="72" s="1"/>
  <c r="M53" i="100"/>
  <c r="P54" i="116"/>
  <c r="AS53" i="72" s="1"/>
  <c r="Q53" i="100"/>
  <c r="P54" i="120"/>
  <c r="AW53" i="72" s="1"/>
  <c r="H54" i="72"/>
  <c r="M70" i="100"/>
  <c r="P71" i="116"/>
  <c r="AS70" i="72" s="1"/>
  <c r="Q70" i="100"/>
  <c r="P71" i="120"/>
  <c r="AW70" i="72" s="1"/>
  <c r="J70" i="100"/>
  <c r="R71" i="113"/>
  <c r="AP70" i="72" s="1"/>
  <c r="P70" i="100"/>
  <c r="P71" i="119"/>
  <c r="AV70" i="72" s="1"/>
  <c r="N35" i="100"/>
  <c r="R36" i="117"/>
  <c r="AT35" i="72" s="1"/>
  <c r="K35" i="100"/>
  <c r="P36" i="114"/>
  <c r="AQ35" i="72" s="1"/>
  <c r="O35" i="100"/>
  <c r="P36" i="118"/>
  <c r="AU35" i="72" s="1"/>
  <c r="M36" i="100"/>
  <c r="P37" i="116"/>
  <c r="AS36" i="72" s="1"/>
  <c r="Q36" i="100"/>
  <c r="P37" i="120"/>
  <c r="AW36" i="72" s="1"/>
  <c r="J36" i="100"/>
  <c r="R37" i="113"/>
  <c r="AP36" i="72" s="1"/>
  <c r="P36" i="100"/>
  <c r="P37" i="119"/>
  <c r="AV36" i="72" s="1"/>
  <c r="N25" i="100"/>
  <c r="R26" i="117"/>
  <c r="AT25" i="72" s="1"/>
  <c r="K25" i="100"/>
  <c r="P26" i="114"/>
  <c r="AQ25" i="72" s="1"/>
  <c r="O25" i="100"/>
  <c r="P26" i="118"/>
  <c r="AU25" i="72" s="1"/>
  <c r="N41" i="100"/>
  <c r="R42" i="117"/>
  <c r="AT41" i="72" s="1"/>
  <c r="M17" i="31"/>
  <c r="N17" i="31"/>
  <c r="K41" i="100"/>
  <c r="P42" i="114"/>
  <c r="AQ41" i="72" s="1"/>
  <c r="O41" i="100"/>
  <c r="P42" i="118"/>
  <c r="AU41" i="72" s="1"/>
  <c r="N73" i="100"/>
  <c r="R74" i="117"/>
  <c r="AT73" i="72" s="1"/>
  <c r="M73" i="100"/>
  <c r="P74" i="116"/>
  <c r="AS73" i="72" s="1"/>
  <c r="Q73" i="100"/>
  <c r="P74" i="120"/>
  <c r="AW73" i="72" s="1"/>
  <c r="N59" i="100"/>
  <c r="R60" i="117"/>
  <c r="AT59" i="72" s="1"/>
  <c r="M59" i="100"/>
  <c r="P60" i="116"/>
  <c r="AS59" i="72" s="1"/>
  <c r="Q59" i="100"/>
  <c r="P60" i="120"/>
  <c r="AW59" i="72" s="1"/>
  <c r="M60" i="100"/>
  <c r="P61" i="116"/>
  <c r="AS60" i="72" s="1"/>
  <c r="Q60" i="100"/>
  <c r="P61" i="120"/>
  <c r="AW60" i="72" s="1"/>
  <c r="J60" i="100"/>
  <c r="R61" i="113"/>
  <c r="AP60" i="72" s="1"/>
  <c r="P60" i="100"/>
  <c r="P61" i="119"/>
  <c r="AV60" i="72" s="1"/>
  <c r="N65" i="100"/>
  <c r="R66" i="117"/>
  <c r="AT65" i="72" s="1"/>
  <c r="M65" i="100"/>
  <c r="P66" i="116"/>
  <c r="AS65" i="72" s="1"/>
  <c r="Q65" i="100"/>
  <c r="P66" i="120"/>
  <c r="AW65" i="72" s="1"/>
  <c r="M74" i="100"/>
  <c r="P75" i="116"/>
  <c r="AS74" i="72" s="1"/>
  <c r="Q74" i="100"/>
  <c r="P75" i="120"/>
  <c r="AW74" i="72" s="1"/>
  <c r="J74" i="100"/>
  <c r="R75" i="113"/>
  <c r="AP74" i="72" s="1"/>
  <c r="P74" i="100"/>
  <c r="P75" i="119"/>
  <c r="AV74" i="72" s="1"/>
  <c r="N55" i="100"/>
  <c r="R56" i="117"/>
  <c r="AT55" i="72" s="1"/>
  <c r="M55" i="100"/>
  <c r="P56" i="116"/>
  <c r="AS55" i="72" s="1"/>
  <c r="Q55" i="100"/>
  <c r="P56" i="120"/>
  <c r="AW55" i="72" s="1"/>
  <c r="M40" i="100"/>
  <c r="P41" i="116"/>
  <c r="AS40" i="72" s="1"/>
  <c r="Q40" i="100"/>
  <c r="P41" i="120"/>
  <c r="AW40" i="72" s="1"/>
  <c r="J40" i="100"/>
  <c r="R41" i="113"/>
  <c r="AP40" i="72" s="1"/>
  <c r="P40" i="100"/>
  <c r="P41" i="119"/>
  <c r="AV40" i="72" s="1"/>
  <c r="N29" i="100"/>
  <c r="R30" i="117"/>
  <c r="AT29" i="72" s="1"/>
  <c r="K29" i="100"/>
  <c r="P30" i="114"/>
  <c r="AQ29" i="72" s="1"/>
  <c r="O29" i="100"/>
  <c r="P30" i="118"/>
  <c r="AU29" i="72" s="1"/>
  <c r="O63" i="119"/>
  <c r="Q63" i="117"/>
  <c r="Q63" i="113"/>
  <c r="O63" i="120"/>
  <c r="O63" i="118"/>
  <c r="O63" i="116"/>
  <c r="O63" i="114"/>
  <c r="O51" i="119"/>
  <c r="Q51" i="117"/>
  <c r="Q51" i="113"/>
  <c r="O51" i="120"/>
  <c r="O51" i="118"/>
  <c r="O51" i="116"/>
  <c r="O51" i="114"/>
  <c r="N15" i="100"/>
  <c r="R16" i="117"/>
  <c r="AT15" i="72" s="1"/>
  <c r="K15" i="100"/>
  <c r="P16" i="114"/>
  <c r="AQ15" i="72" s="1"/>
  <c r="O15" i="100"/>
  <c r="P16" i="118"/>
  <c r="AU15" i="72" s="1"/>
  <c r="N47" i="100"/>
  <c r="R48" i="117"/>
  <c r="AT47" i="72" s="1"/>
  <c r="M47" i="100"/>
  <c r="P48" i="116"/>
  <c r="AS47" i="72" s="1"/>
  <c r="Q47" i="100"/>
  <c r="P48" i="120"/>
  <c r="AW47" i="72" s="1"/>
  <c r="M64" i="100"/>
  <c r="P65" i="116"/>
  <c r="AS64" i="72" s="1"/>
  <c r="Q64" i="100"/>
  <c r="P65" i="120"/>
  <c r="AW64" i="72" s="1"/>
  <c r="J64" i="100"/>
  <c r="R65" i="113"/>
  <c r="AP64" i="72" s="1"/>
  <c r="P64" i="100"/>
  <c r="P65" i="119"/>
  <c r="AV64" i="72" s="1"/>
  <c r="H49" i="72"/>
  <c r="M38" i="100"/>
  <c r="P39" i="116"/>
  <c r="AS38" i="72" s="1"/>
  <c r="Q38" i="100"/>
  <c r="P39" i="120"/>
  <c r="AW38" i="72" s="1"/>
  <c r="J38" i="100"/>
  <c r="R39" i="113"/>
  <c r="AP38" i="72" s="1"/>
  <c r="P38" i="100"/>
  <c r="P39" i="119"/>
  <c r="AV38" i="72" s="1"/>
  <c r="N17" i="100"/>
  <c r="R18" i="117"/>
  <c r="AT17" i="72" s="1"/>
  <c r="K17" i="100"/>
  <c r="P18" i="114"/>
  <c r="AQ17" i="72" s="1"/>
  <c r="O17" i="100"/>
  <c r="P18" i="118"/>
  <c r="AU17" i="72" s="1"/>
  <c r="H9" i="72"/>
  <c r="M26" i="100"/>
  <c r="P27" i="116"/>
  <c r="AS26" i="72" s="1"/>
  <c r="Q26" i="100"/>
  <c r="P27" i="120"/>
  <c r="AW26" i="72" s="1"/>
  <c r="J26" i="100"/>
  <c r="R27" i="113"/>
  <c r="AP26" i="72" s="1"/>
  <c r="P26" i="100"/>
  <c r="P27" i="119"/>
  <c r="AV26" i="72" s="1"/>
  <c r="M58" i="100"/>
  <c r="P59" i="116"/>
  <c r="AS58" i="72" s="1"/>
  <c r="Q58" i="100"/>
  <c r="P59" i="120"/>
  <c r="AW58" i="72" s="1"/>
  <c r="J58" i="100"/>
  <c r="R59" i="113"/>
  <c r="AP58" i="72" s="1"/>
  <c r="P58" i="100"/>
  <c r="P59" i="119"/>
  <c r="AV58" i="72" s="1"/>
  <c r="H23" i="72"/>
  <c r="M24" i="100"/>
  <c r="P25" i="116"/>
  <c r="AS24" i="72" s="1"/>
  <c r="Q24" i="100"/>
  <c r="P25" i="120"/>
  <c r="AW24" i="72" s="1"/>
  <c r="J24" i="100"/>
  <c r="R25" i="113"/>
  <c r="AP24" i="72" s="1"/>
  <c r="P24" i="100"/>
  <c r="P25" i="119"/>
  <c r="AV24" i="72" s="1"/>
  <c r="H71" i="72"/>
  <c r="M56" i="100"/>
  <c r="P57" i="116"/>
  <c r="AS56" i="72" s="1"/>
  <c r="Q56" i="100"/>
  <c r="P57" i="120"/>
  <c r="AW56" i="72" s="1"/>
  <c r="J56" i="100"/>
  <c r="R57" i="113"/>
  <c r="AP56" i="72" s="1"/>
  <c r="P56" i="100"/>
  <c r="P57" i="119"/>
  <c r="AV56" i="72" s="1"/>
  <c r="O8" i="120"/>
  <c r="O8" i="118"/>
  <c r="O8" i="116"/>
  <c r="O8" i="114"/>
  <c r="O8" i="119"/>
  <c r="Q8" i="117"/>
  <c r="Q8" i="113"/>
  <c r="O14" i="120"/>
  <c r="O14" i="118"/>
  <c r="O14" i="116"/>
  <c r="O14" i="114"/>
  <c r="O14" i="119"/>
  <c r="Q14" i="117"/>
  <c r="Q14" i="113"/>
  <c r="M34" i="100"/>
  <c r="P35" i="116"/>
  <c r="AS34" i="72" s="1"/>
  <c r="Q34" i="100"/>
  <c r="P35" i="120"/>
  <c r="AW34" i="72" s="1"/>
  <c r="J34" i="100"/>
  <c r="R35" i="113"/>
  <c r="AP34" i="72" s="1"/>
  <c r="P34" i="100"/>
  <c r="P35" i="119"/>
  <c r="AV34" i="72" s="1"/>
  <c r="N63" i="100"/>
  <c r="R64" i="117"/>
  <c r="AT63" i="72" s="1"/>
  <c r="M63" i="100"/>
  <c r="P64" i="116"/>
  <c r="AS63" i="72" s="1"/>
  <c r="Q63" i="100"/>
  <c r="P64" i="120"/>
  <c r="AW63" i="72" s="1"/>
  <c r="N21" i="100"/>
  <c r="R22" i="117"/>
  <c r="AT21" i="72" s="1"/>
  <c r="K21" i="100"/>
  <c r="P22" i="114"/>
  <c r="AQ21" i="72" s="1"/>
  <c r="O21" i="100"/>
  <c r="P22" i="118"/>
  <c r="AU21" i="72" s="1"/>
  <c r="N69" i="100"/>
  <c r="R70" i="117"/>
  <c r="AT69" i="72" s="1"/>
  <c r="M69" i="100"/>
  <c r="P70" i="116"/>
  <c r="AS69" i="72" s="1"/>
  <c r="Q69" i="100"/>
  <c r="P70" i="120"/>
  <c r="AW69" i="72" s="1"/>
  <c r="M22" i="100"/>
  <c r="P23" i="116"/>
  <c r="AS22" i="72" s="1"/>
  <c r="Q22" i="100"/>
  <c r="P23" i="120"/>
  <c r="AW22" i="72" s="1"/>
  <c r="J22" i="100"/>
  <c r="R23" i="113"/>
  <c r="AP22" i="72" s="1"/>
  <c r="P22" i="100"/>
  <c r="P23" i="119"/>
  <c r="AV22" i="72" s="1"/>
  <c r="M54" i="100"/>
  <c r="P55" i="116"/>
  <c r="AS54" i="72" s="1"/>
  <c r="Q54" i="100"/>
  <c r="P55" i="120"/>
  <c r="AW54" i="72" s="1"/>
  <c r="J54" i="100"/>
  <c r="R55" i="113"/>
  <c r="AP54" i="72" s="1"/>
  <c r="P54" i="100"/>
  <c r="P55" i="119"/>
  <c r="AV54" i="72" s="1"/>
  <c r="N19" i="100"/>
  <c r="R20" i="117"/>
  <c r="AT19" i="72" s="1"/>
  <c r="K19" i="100"/>
  <c r="P20" i="114"/>
  <c r="AQ19" i="72" s="1"/>
  <c r="O19" i="100"/>
  <c r="P20" i="118"/>
  <c r="AU19" i="72" s="1"/>
  <c r="N67" i="100"/>
  <c r="R68" i="117"/>
  <c r="AT67" i="72" s="1"/>
  <c r="M67" i="100"/>
  <c r="P68" i="116"/>
  <c r="AS67" i="72" s="1"/>
  <c r="Q67" i="100"/>
  <c r="P68" i="120"/>
  <c r="AW67" i="72" s="1"/>
  <c r="M68" i="100"/>
  <c r="P69" i="116"/>
  <c r="AS68" i="72" s="1"/>
  <c r="Q68" i="100"/>
  <c r="P69" i="120"/>
  <c r="AW68" i="72" s="1"/>
  <c r="J68" i="100"/>
  <c r="R69" i="113"/>
  <c r="AP68" i="72" s="1"/>
  <c r="P68" i="100"/>
  <c r="P69" i="119"/>
  <c r="AV68" i="72" s="1"/>
  <c r="N43" i="100"/>
  <c r="R44" i="117"/>
  <c r="AT43" i="72" s="1"/>
  <c r="K43" i="100"/>
  <c r="P44" i="114"/>
  <c r="AQ43" i="72" s="1"/>
  <c r="O43" i="100"/>
  <c r="P44" i="118"/>
  <c r="AU43" i="72" s="1"/>
  <c r="M28" i="100"/>
  <c r="P29" i="116"/>
  <c r="AS28" i="72" s="1"/>
  <c r="Q28" i="100"/>
  <c r="P29" i="120"/>
  <c r="AW28" i="72" s="1"/>
  <c r="J28" i="100"/>
  <c r="R29" i="113"/>
  <c r="AP28" i="72" s="1"/>
  <c r="P28" i="100"/>
  <c r="P29" i="119"/>
  <c r="AV28" i="72" s="1"/>
  <c r="N33" i="100"/>
  <c r="R34" i="117"/>
  <c r="AT33" i="72" s="1"/>
  <c r="K33" i="100"/>
  <c r="P34" i="114"/>
  <c r="AQ33" i="72" s="1"/>
  <c r="O33" i="100"/>
  <c r="P34" i="118"/>
  <c r="AU33" i="72" s="1"/>
  <c r="M8" i="100"/>
  <c r="P9" i="116"/>
  <c r="AS8" i="72" s="1"/>
  <c r="Q8" i="100"/>
  <c r="P9" i="120"/>
  <c r="AW8" i="72" s="1"/>
  <c r="J8" i="100"/>
  <c r="R9" i="113"/>
  <c r="AP8" i="72" s="1"/>
  <c r="P8" i="100"/>
  <c r="P9" i="119"/>
  <c r="AV8" i="72" s="1"/>
  <c r="N39" i="100"/>
  <c r="R40" i="117"/>
  <c r="AT39" i="72" s="1"/>
  <c r="K39" i="100"/>
  <c r="P40" i="114"/>
  <c r="AQ39" i="72" s="1"/>
  <c r="P40" i="118"/>
  <c r="AU39" i="72" s="1"/>
  <c r="O39" i="100"/>
  <c r="Q19" i="115"/>
  <c r="S19" i="115" s="1"/>
  <c r="T42" i="115"/>
  <c r="T48" i="115"/>
  <c r="T18" i="115"/>
  <c r="T59" i="115"/>
  <c r="T57" i="115"/>
  <c r="O19" i="119"/>
  <c r="Q19" i="117"/>
  <c r="Q19" i="113"/>
  <c r="O19" i="120"/>
  <c r="O19" i="118"/>
  <c r="O19" i="116"/>
  <c r="O19" i="114"/>
  <c r="H66" i="72"/>
  <c r="H16" i="72"/>
  <c r="M32" i="100"/>
  <c r="P33" i="116"/>
  <c r="AS32" i="72" s="1"/>
  <c r="Q32" i="100"/>
  <c r="P33" i="120"/>
  <c r="AW32" i="72" s="1"/>
  <c r="J32" i="100"/>
  <c r="R33" i="113"/>
  <c r="AP32" i="72" s="1"/>
  <c r="P32" i="100"/>
  <c r="P33" i="119"/>
  <c r="AV32" i="72" s="1"/>
  <c r="N37" i="100"/>
  <c r="R38" i="117"/>
  <c r="AT37" i="72" s="1"/>
  <c r="K37" i="100"/>
  <c r="P38" i="114"/>
  <c r="AQ37" i="72" s="1"/>
  <c r="O37" i="100"/>
  <c r="P38" i="118"/>
  <c r="AU37" i="72" s="1"/>
  <c r="H53" i="72"/>
  <c r="H22" i="72"/>
  <c r="O62" i="120"/>
  <c r="O62" i="118"/>
  <c r="O62" i="116"/>
  <c r="O62" i="114"/>
  <c r="O62" i="119"/>
  <c r="Q62" i="117"/>
  <c r="Q62" i="113"/>
  <c r="K44" i="100"/>
  <c r="P45" i="114"/>
  <c r="AQ44" i="72" s="1"/>
  <c r="O44" i="100"/>
  <c r="P45" i="118"/>
  <c r="AU44" i="72" s="1"/>
  <c r="N44" i="100"/>
  <c r="R45" i="117"/>
  <c r="AT44" i="72" s="1"/>
  <c r="J31" i="100"/>
  <c r="R32" i="113"/>
  <c r="AP31" i="72" s="1"/>
  <c r="P31" i="100"/>
  <c r="P32" i="119"/>
  <c r="AV31" i="72" s="1"/>
  <c r="P32" i="116"/>
  <c r="AS31" i="72" s="1"/>
  <c r="Q31" i="100"/>
  <c r="P32" i="120"/>
  <c r="AW31" i="72" s="1"/>
  <c r="K48" i="100"/>
  <c r="P49" i="114"/>
  <c r="AQ48" i="72" s="1"/>
  <c r="O48" i="100"/>
  <c r="P49" i="118"/>
  <c r="AU48" i="72" s="1"/>
  <c r="N48" i="100"/>
  <c r="R49" i="117"/>
  <c r="AT48" i="72" s="1"/>
  <c r="K20" i="100"/>
  <c r="P21" i="114"/>
  <c r="AQ20" i="72" s="1"/>
  <c r="O20" i="100"/>
  <c r="P21" i="118"/>
  <c r="AU20" i="72" s="1"/>
  <c r="N20" i="100"/>
  <c r="R21" i="117"/>
  <c r="AT20" i="72" s="1"/>
  <c r="J27" i="100"/>
  <c r="R28" i="113"/>
  <c r="AP27" i="72" s="1"/>
  <c r="P27" i="100"/>
  <c r="P28" i="119"/>
  <c r="AV27" i="72" s="1"/>
  <c r="M27" i="100"/>
  <c r="P28" i="116"/>
  <c r="AS27" i="72" s="1"/>
  <c r="Q27" i="100"/>
  <c r="P28" i="120"/>
  <c r="AW27" i="72" s="1"/>
  <c r="J9" i="100"/>
  <c r="R10" i="113"/>
  <c r="AP9" i="72" s="1"/>
  <c r="P9" i="100"/>
  <c r="P10" i="119"/>
  <c r="AV9" i="72" s="1"/>
  <c r="M9" i="100"/>
  <c r="P10" i="116"/>
  <c r="AS9" i="72" s="1"/>
  <c r="Q9" i="100"/>
  <c r="P10" i="120"/>
  <c r="AW9" i="72" s="1"/>
  <c r="K42" i="100"/>
  <c r="P43" i="114"/>
  <c r="AQ42" i="72" s="1"/>
  <c r="O42" i="100"/>
  <c r="P43" i="118"/>
  <c r="AU42" i="72" s="1"/>
  <c r="N42" i="100"/>
  <c r="R43" i="117"/>
  <c r="AT42" i="72" s="1"/>
  <c r="J23" i="100"/>
  <c r="R24" i="113"/>
  <c r="AP23" i="72" s="1"/>
  <c r="P23" i="100"/>
  <c r="P24" i="119"/>
  <c r="AV23" i="72" s="1"/>
  <c r="M23" i="100"/>
  <c r="P24" i="116"/>
  <c r="AS23" i="72" s="1"/>
  <c r="Q23" i="100"/>
  <c r="P24" i="120"/>
  <c r="AW23" i="72" s="1"/>
  <c r="J71" i="100"/>
  <c r="R72" i="113"/>
  <c r="AP71" i="72" s="1"/>
  <c r="P71" i="100"/>
  <c r="P72" i="119"/>
  <c r="AV71" i="72" s="1"/>
  <c r="K71" i="100"/>
  <c r="P72" i="114"/>
  <c r="AQ71" i="72" s="1"/>
  <c r="O71" i="100"/>
  <c r="P72" i="118"/>
  <c r="AU71" i="72" s="1"/>
  <c r="J45" i="100"/>
  <c r="R46" i="113"/>
  <c r="AP45" i="72" s="1"/>
  <c r="P45" i="100"/>
  <c r="P46" i="119"/>
  <c r="AV45" i="72" s="1"/>
  <c r="M45" i="100"/>
  <c r="P46" i="116"/>
  <c r="AS45" i="72" s="1"/>
  <c r="Q45" i="100"/>
  <c r="P46" i="120"/>
  <c r="AW45" i="72" s="1"/>
  <c r="N51" i="100"/>
  <c r="R52" i="117"/>
  <c r="AT51" i="72" s="1"/>
  <c r="M51" i="100"/>
  <c r="P52" i="116"/>
  <c r="AS51" i="72" s="1"/>
  <c r="Q51" i="100"/>
  <c r="P52" i="120"/>
  <c r="AW51" i="72" s="1"/>
  <c r="H67" i="72"/>
  <c r="N57" i="100"/>
  <c r="R58" i="117"/>
  <c r="AT57" i="72" s="1"/>
  <c r="M57" i="100"/>
  <c r="P58" i="116"/>
  <c r="AS57" i="72" s="1"/>
  <c r="Q57" i="100"/>
  <c r="P58" i="120"/>
  <c r="AW57" i="72" s="1"/>
  <c r="M12" i="100"/>
  <c r="P13" i="116"/>
  <c r="AS12" i="72" s="1"/>
  <c r="Q12" i="100"/>
  <c r="P13" i="120"/>
  <c r="AW12" i="72" s="1"/>
  <c r="J12" i="100"/>
  <c r="R13" i="113"/>
  <c r="AP12" i="72" s="1"/>
  <c r="P12" i="100"/>
  <c r="P13" i="119"/>
  <c r="AV12" i="72" s="1"/>
  <c r="H43" i="72"/>
  <c r="H28" i="72"/>
  <c r="H33" i="72"/>
  <c r="H8" i="72"/>
  <c r="H39" i="72"/>
  <c r="O47" i="119"/>
  <c r="Q47" i="117"/>
  <c r="Q47" i="113"/>
  <c r="O47" i="120"/>
  <c r="O47" i="118"/>
  <c r="O47" i="116"/>
  <c r="O47" i="114"/>
  <c r="O12" i="120"/>
  <c r="O12" i="118"/>
  <c r="O12" i="116"/>
  <c r="O12" i="114"/>
  <c r="O12" i="119"/>
  <c r="Q12" i="117"/>
  <c r="Q12" i="113"/>
  <c r="O15" i="119"/>
  <c r="Q15" i="117"/>
  <c r="Q15" i="113"/>
  <c r="O15" i="120"/>
  <c r="O15" i="118"/>
  <c r="O15" i="116"/>
  <c r="O15" i="114"/>
  <c r="O73" i="119"/>
  <c r="Q73" i="117"/>
  <c r="Q73" i="113"/>
  <c r="O73" i="120"/>
  <c r="O73" i="118"/>
  <c r="O73" i="116"/>
  <c r="O73" i="114"/>
  <c r="N49" i="100"/>
  <c r="R50" i="117"/>
  <c r="AT49" i="72" s="1"/>
  <c r="M49" i="100"/>
  <c r="P50" i="116"/>
  <c r="AS49" i="72" s="1"/>
  <c r="Q49" i="100"/>
  <c r="P50" i="120"/>
  <c r="AW49" i="72" s="1"/>
  <c r="M52" i="100"/>
  <c r="P53" i="116"/>
  <c r="AS52" i="72" s="1"/>
  <c r="Q52" i="100"/>
  <c r="P53" i="120"/>
  <c r="AW52" i="72" s="1"/>
  <c r="J52" i="100"/>
  <c r="R53" i="113"/>
  <c r="AP52" i="72" s="1"/>
  <c r="P52" i="100"/>
  <c r="P53" i="119"/>
  <c r="AV52" i="72" s="1"/>
  <c r="T64" i="115"/>
  <c r="T38" i="115"/>
  <c r="T20" i="115"/>
  <c r="T32" i="115"/>
  <c r="T21" i="115"/>
  <c r="T52" i="115"/>
  <c r="T26" i="115"/>
  <c r="T58" i="115"/>
  <c r="T60" i="115"/>
  <c r="T66" i="115"/>
  <c r="T56" i="115"/>
  <c r="K66" i="100"/>
  <c r="P67" i="114"/>
  <c r="AQ66" i="72" s="1"/>
  <c r="O66" i="100"/>
  <c r="P67" i="118"/>
  <c r="AU66" i="72" s="1"/>
  <c r="N66" i="100"/>
  <c r="R67" i="117"/>
  <c r="AT66" i="72" s="1"/>
  <c r="K16" i="100"/>
  <c r="P17" i="114"/>
  <c r="AQ16" i="72" s="1"/>
  <c r="O16" i="100"/>
  <c r="P17" i="118"/>
  <c r="AU16" i="72" s="1"/>
  <c r="N16" i="100"/>
  <c r="R17" i="117"/>
  <c r="AT16" i="72" s="1"/>
  <c r="J53" i="100"/>
  <c r="R54" i="113"/>
  <c r="AP53" i="72" s="1"/>
  <c r="P53" i="100"/>
  <c r="P54" i="119"/>
  <c r="AV53" i="72" s="1"/>
  <c r="K53" i="100"/>
  <c r="P54" i="114"/>
  <c r="AQ53" i="72" s="1"/>
  <c r="O53" i="100"/>
  <c r="P54" i="118"/>
  <c r="AU53" i="72" s="1"/>
  <c r="K70" i="100"/>
  <c r="P71" i="114"/>
  <c r="AQ70" i="72" s="1"/>
  <c r="O70" i="100"/>
  <c r="P71" i="118"/>
  <c r="AU70" i="72" s="1"/>
  <c r="N70" i="100"/>
  <c r="R71" i="117"/>
  <c r="AT70" i="72" s="1"/>
  <c r="J35" i="100"/>
  <c r="R36" i="113"/>
  <c r="AP35" i="72" s="1"/>
  <c r="P35" i="100"/>
  <c r="P36" i="119"/>
  <c r="AV35" i="72" s="1"/>
  <c r="M35" i="100"/>
  <c r="P36" i="116"/>
  <c r="AS35" i="72" s="1"/>
  <c r="Q35" i="100"/>
  <c r="P36" i="120"/>
  <c r="AW35" i="72" s="1"/>
  <c r="K36" i="100"/>
  <c r="P37" i="114"/>
  <c r="AQ36" i="72" s="1"/>
  <c r="O36" i="100"/>
  <c r="P37" i="118"/>
  <c r="AU36" i="72" s="1"/>
  <c r="N36" i="100"/>
  <c r="R37" i="117"/>
  <c r="AT36" i="72" s="1"/>
  <c r="J25" i="100"/>
  <c r="R26" i="113"/>
  <c r="AP25" i="72" s="1"/>
  <c r="P25" i="100"/>
  <c r="P26" i="119"/>
  <c r="AV25" i="72" s="1"/>
  <c r="M25" i="100"/>
  <c r="P26" i="116"/>
  <c r="AS25" i="72" s="1"/>
  <c r="Q25" i="100"/>
  <c r="P26" i="120"/>
  <c r="AW25" i="72" s="1"/>
  <c r="N21" i="31"/>
  <c r="M21" i="31"/>
  <c r="J41" i="100"/>
  <c r="R42" i="113"/>
  <c r="AP41" i="72" s="1"/>
  <c r="P41" i="100"/>
  <c r="P42" i="119"/>
  <c r="AV41" i="72" s="1"/>
  <c r="M41" i="100"/>
  <c r="P42" i="116"/>
  <c r="AS41" i="72" s="1"/>
  <c r="Q41" i="100"/>
  <c r="P42" i="120"/>
  <c r="AW41" i="72" s="1"/>
  <c r="J73" i="100"/>
  <c r="R74" i="113"/>
  <c r="AP73" i="72" s="1"/>
  <c r="P73" i="100"/>
  <c r="P74" i="119"/>
  <c r="AV73" i="72" s="1"/>
  <c r="K73" i="100"/>
  <c r="P74" i="114"/>
  <c r="AQ73" i="72" s="1"/>
  <c r="O73" i="100"/>
  <c r="P74" i="118"/>
  <c r="AU73" i="72" s="1"/>
  <c r="J59" i="100"/>
  <c r="R60" i="113"/>
  <c r="AP59" i="72" s="1"/>
  <c r="P59" i="100"/>
  <c r="P60" i="119"/>
  <c r="AV59" i="72" s="1"/>
  <c r="K59" i="100"/>
  <c r="P60" i="114"/>
  <c r="AQ59" i="72" s="1"/>
  <c r="O59" i="100"/>
  <c r="P60" i="118"/>
  <c r="AU59" i="72" s="1"/>
  <c r="K60" i="100"/>
  <c r="P61" i="114"/>
  <c r="AQ60" i="72" s="1"/>
  <c r="O60" i="100"/>
  <c r="P61" i="118"/>
  <c r="AU60" i="72" s="1"/>
  <c r="N60" i="100"/>
  <c r="R61" i="117"/>
  <c r="AT60" i="72" s="1"/>
  <c r="J65" i="100"/>
  <c r="R66" i="113"/>
  <c r="AP65" i="72" s="1"/>
  <c r="P65" i="100"/>
  <c r="P66" i="119"/>
  <c r="AV65" i="72" s="1"/>
  <c r="K65" i="100"/>
  <c r="P66" i="114"/>
  <c r="AQ65" i="72" s="1"/>
  <c r="O65" i="100"/>
  <c r="P66" i="118"/>
  <c r="AU65" i="72" s="1"/>
  <c r="K74" i="100"/>
  <c r="P75" i="114"/>
  <c r="AQ74" i="72" s="1"/>
  <c r="O74" i="100"/>
  <c r="P75" i="118"/>
  <c r="AU74" i="72" s="1"/>
  <c r="N74" i="100"/>
  <c r="R75" i="117"/>
  <c r="AT74" i="72" s="1"/>
  <c r="J55" i="100"/>
  <c r="R56" i="113"/>
  <c r="AP55" i="72" s="1"/>
  <c r="P55" i="100"/>
  <c r="P56" i="119"/>
  <c r="AV55" i="72" s="1"/>
  <c r="K55" i="100"/>
  <c r="P56" i="114"/>
  <c r="AQ55" i="72" s="1"/>
  <c r="O55" i="100"/>
  <c r="P56" i="118"/>
  <c r="AU55" i="72" s="1"/>
  <c r="K40" i="100"/>
  <c r="P41" i="114"/>
  <c r="AQ40" i="72" s="1"/>
  <c r="O40" i="100"/>
  <c r="P41" i="118"/>
  <c r="AU40" i="72" s="1"/>
  <c r="N40" i="100"/>
  <c r="R41" i="117"/>
  <c r="AT40" i="72" s="1"/>
  <c r="J29" i="100"/>
  <c r="R30" i="113"/>
  <c r="AP29" i="72" s="1"/>
  <c r="P29" i="100"/>
  <c r="P30" i="119"/>
  <c r="AV29" i="72" s="1"/>
  <c r="M29" i="100"/>
  <c r="P30" i="116"/>
  <c r="AS29" i="72" s="1"/>
  <c r="Q29" i="100"/>
  <c r="P30" i="120"/>
  <c r="AW29" i="72" s="1"/>
  <c r="J15" i="100"/>
  <c r="R16" i="113"/>
  <c r="AP15" i="72" s="1"/>
  <c r="P15" i="100"/>
  <c r="P16" i="119"/>
  <c r="AV15" i="72" s="1"/>
  <c r="M15" i="100"/>
  <c r="P16" i="116"/>
  <c r="AS15" i="72" s="1"/>
  <c r="Q15" i="100"/>
  <c r="P16" i="120"/>
  <c r="AW15" i="72" s="1"/>
  <c r="J47" i="100"/>
  <c r="R48" i="113"/>
  <c r="AP47" i="72" s="1"/>
  <c r="P47" i="100"/>
  <c r="P48" i="119"/>
  <c r="AV47" i="72" s="1"/>
  <c r="K47" i="100"/>
  <c r="P48" i="114"/>
  <c r="AQ47" i="72" s="1"/>
  <c r="O47" i="100"/>
  <c r="P48" i="118"/>
  <c r="AU47" i="72" s="1"/>
  <c r="K64" i="100"/>
  <c r="P65" i="114"/>
  <c r="AQ64" i="72" s="1"/>
  <c r="O64" i="100"/>
  <c r="P65" i="118"/>
  <c r="AU64" i="72" s="1"/>
  <c r="N64" i="100"/>
  <c r="R65" i="117"/>
  <c r="AT64" i="72" s="1"/>
  <c r="K38" i="100"/>
  <c r="P39" i="114"/>
  <c r="AQ38" i="72" s="1"/>
  <c r="O38" i="100"/>
  <c r="P39" i="118"/>
  <c r="AU38" i="72" s="1"/>
  <c r="N38" i="100"/>
  <c r="R39" i="117"/>
  <c r="AT38" i="72" s="1"/>
  <c r="J17" i="100"/>
  <c r="R18" i="113"/>
  <c r="AP17" i="72" s="1"/>
  <c r="P17" i="100"/>
  <c r="P18" i="119"/>
  <c r="AV17" i="72" s="1"/>
  <c r="M17" i="100"/>
  <c r="P18" i="116"/>
  <c r="AS17" i="72" s="1"/>
  <c r="Q17" i="100"/>
  <c r="P18" i="120"/>
  <c r="AW17" i="72" s="1"/>
  <c r="K26" i="100"/>
  <c r="P27" i="114"/>
  <c r="AQ26" i="72" s="1"/>
  <c r="O26" i="100"/>
  <c r="P27" i="118"/>
  <c r="AU26" i="72" s="1"/>
  <c r="N26" i="100"/>
  <c r="R27" i="117"/>
  <c r="AT26" i="72" s="1"/>
  <c r="K58" i="100"/>
  <c r="P59" i="114"/>
  <c r="AQ58" i="72" s="1"/>
  <c r="O58" i="100"/>
  <c r="P59" i="118"/>
  <c r="AU58" i="72" s="1"/>
  <c r="N58" i="100"/>
  <c r="R59" i="117"/>
  <c r="AT58" i="72" s="1"/>
  <c r="K24" i="100"/>
  <c r="P25" i="114"/>
  <c r="AQ24" i="72" s="1"/>
  <c r="O24" i="100"/>
  <c r="P25" i="118"/>
  <c r="AU24" i="72" s="1"/>
  <c r="N24" i="100"/>
  <c r="R25" i="117"/>
  <c r="AT24" i="72" s="1"/>
  <c r="K56" i="100"/>
  <c r="P57" i="114"/>
  <c r="AQ56" i="72" s="1"/>
  <c r="O56" i="100"/>
  <c r="P57" i="118"/>
  <c r="AU56" i="72" s="1"/>
  <c r="N56" i="100"/>
  <c r="R57" i="117"/>
  <c r="AT56" i="72" s="1"/>
  <c r="K34" i="100"/>
  <c r="P35" i="114"/>
  <c r="AQ34" i="72" s="1"/>
  <c r="O34" i="100"/>
  <c r="P35" i="118"/>
  <c r="AU34" i="72" s="1"/>
  <c r="N34" i="100"/>
  <c r="R35" i="117"/>
  <c r="AT34" i="72" s="1"/>
  <c r="J63" i="100"/>
  <c r="R64" i="113"/>
  <c r="AP63" i="72" s="1"/>
  <c r="P63" i="100"/>
  <c r="P64" i="119"/>
  <c r="AV63" i="72" s="1"/>
  <c r="K63" i="100"/>
  <c r="P64" i="114"/>
  <c r="AQ63" i="72" s="1"/>
  <c r="O63" i="100"/>
  <c r="P64" i="118"/>
  <c r="AU63" i="72" s="1"/>
  <c r="J21" i="100"/>
  <c r="R22" i="113"/>
  <c r="AP21" i="72" s="1"/>
  <c r="P21" i="100"/>
  <c r="P22" i="119"/>
  <c r="AV21" i="72" s="1"/>
  <c r="M21" i="100"/>
  <c r="P22" i="116"/>
  <c r="AS21" i="72" s="1"/>
  <c r="Q21" i="100"/>
  <c r="P22" i="120"/>
  <c r="AW21" i="72" s="1"/>
  <c r="J69" i="100"/>
  <c r="R70" i="113"/>
  <c r="AP69" i="72" s="1"/>
  <c r="P69" i="100"/>
  <c r="P70" i="119"/>
  <c r="AV69" i="72" s="1"/>
  <c r="K69" i="100"/>
  <c r="P70" i="114"/>
  <c r="O69" i="100"/>
  <c r="P70" i="118"/>
  <c r="AU69" i="72" s="1"/>
  <c r="K22" i="100"/>
  <c r="P23" i="114"/>
  <c r="AQ22" i="72" s="1"/>
  <c r="O22" i="100"/>
  <c r="P23" i="118"/>
  <c r="AU22" i="72" s="1"/>
  <c r="N22" i="100"/>
  <c r="R23" i="117"/>
  <c r="AT22" i="72" s="1"/>
  <c r="K54" i="100"/>
  <c r="P55" i="114"/>
  <c r="AQ54" i="72" s="1"/>
  <c r="O54" i="100"/>
  <c r="P55" i="118"/>
  <c r="AU54" i="72" s="1"/>
  <c r="N54" i="100"/>
  <c r="R55" i="117"/>
  <c r="AT54" i="72" s="1"/>
  <c r="J19" i="100"/>
  <c r="R20" i="113"/>
  <c r="AP19" i="72" s="1"/>
  <c r="P19" i="100"/>
  <c r="P20" i="119"/>
  <c r="AV19" i="72" s="1"/>
  <c r="M19" i="100"/>
  <c r="P20" i="116"/>
  <c r="AS19" i="72" s="1"/>
  <c r="Q19" i="100"/>
  <c r="P20" i="120"/>
  <c r="AW19" i="72" s="1"/>
  <c r="J67" i="100"/>
  <c r="R68" i="113"/>
  <c r="AP67" i="72" s="1"/>
  <c r="P67" i="100"/>
  <c r="P68" i="119"/>
  <c r="AV67" i="72" s="1"/>
  <c r="K67" i="100"/>
  <c r="P68" i="114"/>
  <c r="AQ67" i="72" s="1"/>
  <c r="O67" i="100"/>
  <c r="P68" i="118"/>
  <c r="AU67" i="72" s="1"/>
  <c r="K68" i="100"/>
  <c r="P69" i="114"/>
  <c r="AQ68" i="72" s="1"/>
  <c r="O68" i="100"/>
  <c r="P69" i="118"/>
  <c r="AU68" i="72" s="1"/>
  <c r="N68" i="100"/>
  <c r="R69" i="117"/>
  <c r="AT68" i="72" s="1"/>
  <c r="J43" i="100"/>
  <c r="R44" i="113"/>
  <c r="AP43" i="72" s="1"/>
  <c r="P43" i="100"/>
  <c r="P44" i="119"/>
  <c r="AV43" i="72" s="1"/>
  <c r="M43" i="100"/>
  <c r="P44" i="116"/>
  <c r="AS43" i="72" s="1"/>
  <c r="P44" i="120"/>
  <c r="AW43" i="72" s="1"/>
  <c r="Q43" i="100"/>
  <c r="K28" i="100"/>
  <c r="P29" i="114"/>
  <c r="AQ28" i="72" s="1"/>
  <c r="O28" i="100"/>
  <c r="P29" i="118"/>
  <c r="AU28" i="72" s="1"/>
  <c r="N28" i="100"/>
  <c r="R29" i="117"/>
  <c r="AT28" i="72" s="1"/>
  <c r="J33" i="100"/>
  <c r="R34" i="113"/>
  <c r="AP33" i="72" s="1"/>
  <c r="P33" i="100"/>
  <c r="P34" i="119"/>
  <c r="AV33" i="72" s="1"/>
  <c r="M33" i="100"/>
  <c r="P34" i="116"/>
  <c r="AS33" i="72" s="1"/>
  <c r="Q33" i="100"/>
  <c r="P34" i="120"/>
  <c r="AW33" i="72" s="1"/>
  <c r="K8" i="100"/>
  <c r="P9" i="114"/>
  <c r="AQ8" i="72" s="1"/>
  <c r="O8" i="100"/>
  <c r="P9" i="118"/>
  <c r="AU8" i="72" s="1"/>
  <c r="N8" i="100"/>
  <c r="R9" i="117"/>
  <c r="AT8" i="72" s="1"/>
  <c r="J39" i="100"/>
  <c r="R40" i="113"/>
  <c r="AP39" i="72" s="1"/>
  <c r="P39" i="100"/>
  <c r="P40" i="119"/>
  <c r="AV39" i="72" s="1"/>
  <c r="P40" i="116"/>
  <c r="AS39" i="72" s="1"/>
  <c r="M39" i="100"/>
  <c r="P40" i="120"/>
  <c r="AW39" i="72" s="1"/>
  <c r="Q39" i="100"/>
  <c r="Q31" i="115"/>
  <c r="S31" i="115" s="1"/>
  <c r="Q51" i="115"/>
  <c r="S51" i="115" s="1"/>
  <c r="Q47" i="115"/>
  <c r="S47" i="115" s="1"/>
  <c r="Q15" i="115"/>
  <c r="S15" i="115" s="1"/>
  <c r="H35" i="72" l="1"/>
  <c r="H73" i="72"/>
  <c r="T62" i="115"/>
  <c r="H61" i="72" s="1"/>
  <c r="Q40" i="118"/>
  <c r="S40" i="118" s="1"/>
  <c r="T40" i="118" s="1"/>
  <c r="T8" i="115"/>
  <c r="H7" i="72" s="1"/>
  <c r="Q40" i="120"/>
  <c r="S40" i="120" s="1"/>
  <c r="T14" i="115"/>
  <c r="H13" i="72" s="1"/>
  <c r="Q43" i="120"/>
  <c r="S43" i="120" s="1"/>
  <c r="T43" i="120" s="1"/>
  <c r="S52" i="113"/>
  <c r="U52" i="113" s="1"/>
  <c r="V52" i="113" s="1"/>
  <c r="Q34" i="116"/>
  <c r="S34" i="116" s="1"/>
  <c r="T34" i="116" s="1"/>
  <c r="Q20" i="118"/>
  <c r="S20" i="118" s="1"/>
  <c r="S50" i="117"/>
  <c r="U50" i="117" s="1"/>
  <c r="Q56" i="119"/>
  <c r="S56" i="119" s="1"/>
  <c r="T56" i="119" s="1"/>
  <c r="S40" i="117"/>
  <c r="U40" i="117" s="1"/>
  <c r="V40" i="117" s="1"/>
  <c r="S68" i="113"/>
  <c r="U68" i="113" s="1"/>
  <c r="V68" i="113" s="1"/>
  <c r="Q75" i="116"/>
  <c r="S75" i="116" s="1"/>
  <c r="S67" i="113"/>
  <c r="U67" i="113" s="1"/>
  <c r="V67" i="113" s="1"/>
  <c r="S45" i="113"/>
  <c r="U45" i="113" s="1"/>
  <c r="Q45" i="120"/>
  <c r="S45" i="120" s="1"/>
  <c r="T45" i="120" s="1"/>
  <c r="Q45" i="116"/>
  <c r="S45" i="116" s="1"/>
  <c r="Q48" i="114"/>
  <c r="S48" i="114" s="1"/>
  <c r="T48" i="114" s="1"/>
  <c r="Q42" i="119"/>
  <c r="S42" i="119" s="1"/>
  <c r="T42" i="119" s="1"/>
  <c r="S52" i="117"/>
  <c r="U52" i="117" s="1"/>
  <c r="V52" i="117" s="1"/>
  <c r="Q34" i="114"/>
  <c r="S34" i="114" s="1"/>
  <c r="T34" i="114" s="1"/>
  <c r="Q22" i="118"/>
  <c r="S22" i="118" s="1"/>
  <c r="T22" i="118" s="1"/>
  <c r="Q21" i="120"/>
  <c r="S21" i="120" s="1"/>
  <c r="T21" i="120" s="1"/>
  <c r="Q40" i="116"/>
  <c r="S40" i="116" s="1"/>
  <c r="T40" i="116" s="1"/>
  <c r="Q40" i="119"/>
  <c r="S40" i="119" s="1"/>
  <c r="T40" i="119" s="1"/>
  <c r="Q44" i="119"/>
  <c r="S44" i="119" s="1"/>
  <c r="T44" i="119" s="1"/>
  <c r="Q20" i="116"/>
  <c r="S20" i="116" s="1"/>
  <c r="T20" i="116" s="1"/>
  <c r="Q43" i="114"/>
  <c r="S43" i="114" s="1"/>
  <c r="T43" i="114" s="1"/>
  <c r="Q33" i="116"/>
  <c r="S33" i="116" s="1"/>
  <c r="T33" i="116" s="1"/>
  <c r="Q16" i="118"/>
  <c r="S16" i="118" s="1"/>
  <c r="Q39" i="118"/>
  <c r="S39" i="118" s="1"/>
  <c r="Q30" i="116"/>
  <c r="S30" i="116" s="1"/>
  <c r="T30" i="116" s="1"/>
  <c r="S75" i="117"/>
  <c r="U75" i="117" s="1"/>
  <c r="V75" i="117" s="1"/>
  <c r="Q26" i="120"/>
  <c r="S26" i="120" s="1"/>
  <c r="T26" i="120" s="1"/>
  <c r="Q49" i="114"/>
  <c r="S49" i="114" s="1"/>
  <c r="T49" i="114" s="1"/>
  <c r="Q44" i="118"/>
  <c r="S44" i="118" s="1"/>
  <c r="T44" i="118" s="1"/>
  <c r="Q55" i="116"/>
  <c r="S55" i="116" s="1"/>
  <c r="S22" i="117"/>
  <c r="U22" i="117" s="1"/>
  <c r="V22" i="117" s="1"/>
  <c r="Q41" i="120"/>
  <c r="S41" i="120" s="1"/>
  <c r="Q60" i="120"/>
  <c r="S60" i="120" s="1"/>
  <c r="T60" i="120" s="1"/>
  <c r="S54" i="117"/>
  <c r="U54" i="117" s="1"/>
  <c r="V54" i="117" s="1"/>
  <c r="Q67" i="116"/>
  <c r="S67" i="116" s="1"/>
  <c r="T67" i="116" s="1"/>
  <c r="Q49" i="120"/>
  <c r="S49" i="120" s="1"/>
  <c r="Q38" i="120"/>
  <c r="S38" i="120" s="1"/>
  <c r="T38" i="120" s="1"/>
  <c r="Q9" i="114"/>
  <c r="S9" i="114" s="1"/>
  <c r="S34" i="113"/>
  <c r="U34" i="113" s="1"/>
  <c r="Q69" i="114"/>
  <c r="S69" i="114" s="1"/>
  <c r="S23" i="117"/>
  <c r="U23" i="117" s="1"/>
  <c r="V23" i="117" s="1"/>
  <c r="Q22" i="120"/>
  <c r="S22" i="120" s="1"/>
  <c r="T22" i="120" s="1"/>
  <c r="S35" i="117"/>
  <c r="U35" i="117" s="1"/>
  <c r="V35" i="117" s="1"/>
  <c r="S25" i="117"/>
  <c r="U25" i="117" s="1"/>
  <c r="V25" i="117" s="1"/>
  <c r="Q27" i="114"/>
  <c r="S27" i="114" s="1"/>
  <c r="T27" i="114" s="1"/>
  <c r="Q66" i="114"/>
  <c r="S66" i="114" s="1"/>
  <c r="T66" i="114" s="1"/>
  <c r="Q74" i="118"/>
  <c r="S74" i="118" s="1"/>
  <c r="T74" i="118" s="1"/>
  <c r="S36" i="113"/>
  <c r="U36" i="113" s="1"/>
  <c r="V36" i="113" s="1"/>
  <c r="Q67" i="118"/>
  <c r="S67" i="118" s="1"/>
  <c r="T67" i="118" s="1"/>
  <c r="Q43" i="118"/>
  <c r="S43" i="118" s="1"/>
  <c r="T43" i="118" s="1"/>
  <c r="Q10" i="116"/>
  <c r="S10" i="116" s="1"/>
  <c r="T10" i="116" s="1"/>
  <c r="Q21" i="118"/>
  <c r="S21" i="118" s="1"/>
  <c r="T21" i="118" s="1"/>
  <c r="S32" i="113"/>
  <c r="U32" i="113" s="1"/>
  <c r="V32" i="113" s="1"/>
  <c r="S9" i="113"/>
  <c r="U9" i="113" s="1"/>
  <c r="V9" i="113" s="1"/>
  <c r="Q35" i="119"/>
  <c r="S35" i="119" s="1"/>
  <c r="T35" i="119" s="1"/>
  <c r="Q25" i="119"/>
  <c r="S25" i="119" s="1"/>
  <c r="Q27" i="119"/>
  <c r="S27" i="119" s="1"/>
  <c r="T27" i="119" s="1"/>
  <c r="S39" i="113"/>
  <c r="U39" i="113" s="1"/>
  <c r="V39" i="113" s="1"/>
  <c r="O17" i="31"/>
  <c r="P17" i="31" s="1"/>
  <c r="Q37" i="116"/>
  <c r="S37" i="116" s="1"/>
  <c r="S13" i="117"/>
  <c r="U13" i="117" s="1"/>
  <c r="V13" i="117" s="1"/>
  <c r="Q24" i="114"/>
  <c r="S24" i="114" s="1"/>
  <c r="T24" i="114" s="1"/>
  <c r="S10" i="117"/>
  <c r="U10" i="117" s="1"/>
  <c r="V10" i="117" s="1"/>
  <c r="Q38" i="119"/>
  <c r="S38" i="119" s="1"/>
  <c r="T38" i="119" s="1"/>
  <c r="S20" i="113"/>
  <c r="U20" i="113" s="1"/>
  <c r="Q70" i="119"/>
  <c r="S70" i="119" s="1"/>
  <c r="T70" i="119" s="1"/>
  <c r="Q64" i="118"/>
  <c r="S64" i="118" s="1"/>
  <c r="Q35" i="114"/>
  <c r="S35" i="114" s="1"/>
  <c r="T35" i="114" s="1"/>
  <c r="Q59" i="118"/>
  <c r="S59" i="118" s="1"/>
  <c r="S18" i="113"/>
  <c r="U18" i="113" s="1"/>
  <c r="V18" i="113" s="1"/>
  <c r="S65" i="117"/>
  <c r="U65" i="117" s="1"/>
  <c r="V65" i="117" s="1"/>
  <c r="Q16" i="116"/>
  <c r="S16" i="116" s="1"/>
  <c r="Q41" i="118"/>
  <c r="S41" i="118" s="1"/>
  <c r="Q61" i="118"/>
  <c r="S61" i="118" s="1"/>
  <c r="T61" i="118" s="1"/>
  <c r="S37" i="117"/>
  <c r="U37" i="117" s="1"/>
  <c r="V37" i="117" s="1"/>
  <c r="Q54" i="119"/>
  <c r="S54" i="119" s="1"/>
  <c r="Q53" i="120"/>
  <c r="S53" i="120" s="1"/>
  <c r="T53" i="120" s="1"/>
  <c r="Q13" i="116"/>
  <c r="S13" i="116" s="1"/>
  <c r="S46" i="113"/>
  <c r="U46" i="113" s="1"/>
  <c r="V46" i="113" s="1"/>
  <c r="Q28" i="116"/>
  <c r="S28" i="116" s="1"/>
  <c r="T28" i="116" s="1"/>
  <c r="S38" i="117"/>
  <c r="U38" i="117" s="1"/>
  <c r="V38" i="117" s="1"/>
  <c r="Q9" i="116"/>
  <c r="S9" i="116" s="1"/>
  <c r="T9" i="116" s="1"/>
  <c r="Q29" i="119"/>
  <c r="S29" i="119" s="1"/>
  <c r="T29" i="119" s="1"/>
  <c r="S69" i="113"/>
  <c r="U69" i="113" s="1"/>
  <c r="V69" i="113" s="1"/>
  <c r="S20" i="117"/>
  <c r="U20" i="117" s="1"/>
  <c r="V20" i="117" s="1"/>
  <c r="S23" i="113"/>
  <c r="U23" i="113" s="1"/>
  <c r="Q57" i="119"/>
  <c r="S57" i="119" s="1"/>
  <c r="T57" i="119" s="1"/>
  <c r="Q59" i="119"/>
  <c r="S59" i="119" s="1"/>
  <c r="Q18" i="118"/>
  <c r="S18" i="118" s="1"/>
  <c r="Q65" i="116"/>
  <c r="S65" i="116" s="1"/>
  <c r="Q30" i="114"/>
  <c r="S30" i="114" s="1"/>
  <c r="T30" i="114" s="1"/>
  <c r="S56" i="117"/>
  <c r="U56" i="117" s="1"/>
  <c r="Q61" i="119"/>
  <c r="S61" i="119" s="1"/>
  <c r="T61" i="119" s="1"/>
  <c r="Q74" i="116"/>
  <c r="S74" i="116" s="1"/>
  <c r="T74" i="116" s="1"/>
  <c r="S26" i="117"/>
  <c r="U26" i="117" s="1"/>
  <c r="V26" i="117" s="1"/>
  <c r="Q71" i="120"/>
  <c r="S71" i="120" s="1"/>
  <c r="T71" i="120" s="1"/>
  <c r="S17" i="113"/>
  <c r="U17" i="113" s="1"/>
  <c r="V17" i="113" s="1"/>
  <c r="S58" i="113"/>
  <c r="U58" i="113" s="1"/>
  <c r="V58" i="113" s="1"/>
  <c r="Q72" i="120"/>
  <c r="S72" i="120" s="1"/>
  <c r="T72" i="120" s="1"/>
  <c r="S28" i="117"/>
  <c r="U28" i="117" s="1"/>
  <c r="Q49" i="119"/>
  <c r="S49" i="119" s="1"/>
  <c r="T49" i="119" s="1"/>
  <c r="Q32" i="118"/>
  <c r="S32" i="118" s="1"/>
  <c r="T32" i="118" s="1"/>
  <c r="S33" i="117"/>
  <c r="U33" i="117" s="1"/>
  <c r="V33" i="117" s="1"/>
  <c r="S9" i="117"/>
  <c r="U9" i="117" s="1"/>
  <c r="V9" i="117" s="1"/>
  <c r="Q29" i="118"/>
  <c r="S29" i="118" s="1"/>
  <c r="S69" i="117"/>
  <c r="U69" i="117" s="1"/>
  <c r="Q68" i="114"/>
  <c r="S68" i="114" s="1"/>
  <c r="Q55" i="118"/>
  <c r="S55" i="118" s="1"/>
  <c r="Q23" i="114"/>
  <c r="S23" i="114" s="1"/>
  <c r="Q57" i="118"/>
  <c r="S57" i="118" s="1"/>
  <c r="T57" i="118" s="1"/>
  <c r="Q25" i="114"/>
  <c r="S25" i="114" s="1"/>
  <c r="S27" i="117"/>
  <c r="U27" i="117" s="1"/>
  <c r="V27" i="117" s="1"/>
  <c r="Q18" i="116"/>
  <c r="S18" i="116" s="1"/>
  <c r="Q65" i="114"/>
  <c r="S65" i="114" s="1"/>
  <c r="T65" i="114" s="1"/>
  <c r="S48" i="113"/>
  <c r="U48" i="113" s="1"/>
  <c r="S16" i="113"/>
  <c r="U16" i="113" s="1"/>
  <c r="S30" i="113"/>
  <c r="U30" i="113" s="1"/>
  <c r="Q56" i="118"/>
  <c r="S56" i="118" s="1"/>
  <c r="T56" i="118" s="1"/>
  <c r="Q60" i="119"/>
  <c r="S60" i="119" s="1"/>
  <c r="Q74" i="119"/>
  <c r="S74" i="119" s="1"/>
  <c r="T74" i="119" s="1"/>
  <c r="Q26" i="119"/>
  <c r="S26" i="119" s="1"/>
  <c r="Q37" i="114"/>
  <c r="S37" i="114" s="1"/>
  <c r="Q17" i="114"/>
  <c r="S17" i="114" s="1"/>
  <c r="Q53" i="119"/>
  <c r="S53" i="119" s="1"/>
  <c r="Q50" i="120"/>
  <c r="S50" i="120" s="1"/>
  <c r="S13" i="113"/>
  <c r="U13" i="113" s="1"/>
  <c r="Q58" i="116"/>
  <c r="S58" i="116" s="1"/>
  <c r="T58" i="116" s="1"/>
  <c r="Q24" i="116"/>
  <c r="S24" i="116" s="1"/>
  <c r="Q38" i="118"/>
  <c r="S38" i="118" s="1"/>
  <c r="S33" i="113"/>
  <c r="U33" i="113" s="1"/>
  <c r="Q68" i="116"/>
  <c r="S68" i="116" s="1"/>
  <c r="T68" i="116" s="1"/>
  <c r="Q23" i="116"/>
  <c r="S23" i="116" s="1"/>
  <c r="T23" i="116" s="1"/>
  <c r="Q64" i="116"/>
  <c r="S64" i="116" s="1"/>
  <c r="T64" i="116" s="1"/>
  <c r="Q35" i="120"/>
  <c r="S35" i="120" s="1"/>
  <c r="Q57" i="120"/>
  <c r="S57" i="120" s="1"/>
  <c r="T57" i="120" s="1"/>
  <c r="Q25" i="120"/>
  <c r="S25" i="120" s="1"/>
  <c r="T25" i="120" s="1"/>
  <c r="Q59" i="120"/>
  <c r="S59" i="120" s="1"/>
  <c r="T59" i="120" s="1"/>
  <c r="Q27" i="120"/>
  <c r="S27" i="120" s="1"/>
  <c r="S18" i="117"/>
  <c r="U18" i="117" s="1"/>
  <c r="V18" i="117" s="1"/>
  <c r="Q39" i="116"/>
  <c r="S39" i="116" s="1"/>
  <c r="Q48" i="116"/>
  <c r="S48" i="116" s="1"/>
  <c r="T48" i="116" s="1"/>
  <c r="S16" i="117"/>
  <c r="U16" i="117" s="1"/>
  <c r="Q41" i="119"/>
  <c r="S41" i="119" s="1"/>
  <c r="Q56" i="120"/>
  <c r="S56" i="120" s="1"/>
  <c r="S75" i="113"/>
  <c r="U75" i="113" s="1"/>
  <c r="Q66" i="116"/>
  <c r="S66" i="116" s="1"/>
  <c r="Q61" i="120"/>
  <c r="S61" i="120" s="1"/>
  <c r="T61" i="120" s="1"/>
  <c r="S60" i="117"/>
  <c r="U60" i="117" s="1"/>
  <c r="Q42" i="118"/>
  <c r="S42" i="118" s="1"/>
  <c r="T42" i="118" s="1"/>
  <c r="Q26" i="118"/>
  <c r="S26" i="118" s="1"/>
  <c r="S37" i="113"/>
  <c r="U37" i="113" s="1"/>
  <c r="V37" i="113" s="1"/>
  <c r="Q36" i="114"/>
  <c r="S36" i="114" s="1"/>
  <c r="S36" i="117"/>
  <c r="U36" i="117" s="1"/>
  <c r="Q71" i="119"/>
  <c r="S71" i="119" s="1"/>
  <c r="Q54" i="120"/>
  <c r="S54" i="120" s="1"/>
  <c r="Q17" i="119"/>
  <c r="S17" i="119" s="1"/>
  <c r="T17" i="119" s="1"/>
  <c r="Q17" i="116"/>
  <c r="S17" i="116" s="1"/>
  <c r="T17" i="116" s="1"/>
  <c r="Q67" i="120"/>
  <c r="S67" i="120" s="1"/>
  <c r="S53" i="117"/>
  <c r="U53" i="117" s="1"/>
  <c r="V53" i="117" s="1"/>
  <c r="Q50" i="114"/>
  <c r="S50" i="114" s="1"/>
  <c r="T50" i="114" s="1"/>
  <c r="Q13" i="114"/>
  <c r="S13" i="114" s="1"/>
  <c r="Q52" i="114"/>
  <c r="S52" i="114" s="1"/>
  <c r="T52" i="114" s="1"/>
  <c r="Q46" i="114"/>
  <c r="S46" i="114" s="1"/>
  <c r="T46" i="114" s="1"/>
  <c r="S72" i="117"/>
  <c r="U72" i="117" s="1"/>
  <c r="V72" i="117" s="1"/>
  <c r="Q43" i="119"/>
  <c r="S43" i="119" s="1"/>
  <c r="Q10" i="118"/>
  <c r="S10" i="118" s="1"/>
  <c r="Q28" i="114"/>
  <c r="S28" i="114" s="1"/>
  <c r="T28" i="114" s="1"/>
  <c r="Q21" i="119"/>
  <c r="S21" i="119" s="1"/>
  <c r="T21" i="119" s="1"/>
  <c r="Q21" i="116"/>
  <c r="S21" i="116" s="1"/>
  <c r="T21" i="116" s="1"/>
  <c r="Q38" i="116"/>
  <c r="S38" i="116" s="1"/>
  <c r="S38" i="113"/>
  <c r="U38" i="113" s="1"/>
  <c r="V38" i="113" s="1"/>
  <c r="Q33" i="114"/>
  <c r="S33" i="114" s="1"/>
  <c r="T33" i="114" s="1"/>
  <c r="Q22" i="119"/>
  <c r="S22" i="119" s="1"/>
  <c r="Q64" i="119"/>
  <c r="S64" i="119" s="1"/>
  <c r="T64" i="119" s="1"/>
  <c r="Q75" i="114"/>
  <c r="S75" i="114" s="1"/>
  <c r="S66" i="113"/>
  <c r="U66" i="113" s="1"/>
  <c r="V66" i="113" s="1"/>
  <c r="Q60" i="118"/>
  <c r="S60" i="118" s="1"/>
  <c r="Q42" i="120"/>
  <c r="S42" i="120" s="1"/>
  <c r="Q36" i="116"/>
  <c r="S36" i="116" s="1"/>
  <c r="Q71" i="118"/>
  <c r="S71" i="118" s="1"/>
  <c r="T71" i="118" s="1"/>
  <c r="Q71" i="114"/>
  <c r="S71" i="114" s="1"/>
  <c r="Q54" i="118"/>
  <c r="S54" i="118" s="1"/>
  <c r="S17" i="117"/>
  <c r="U17" i="117" s="1"/>
  <c r="Q52" i="120"/>
  <c r="S52" i="120" s="1"/>
  <c r="T52" i="120" s="1"/>
  <c r="Q46" i="116"/>
  <c r="S46" i="116" s="1"/>
  <c r="Q72" i="114"/>
  <c r="S72" i="114" s="1"/>
  <c r="S24" i="113"/>
  <c r="U24" i="113" s="1"/>
  <c r="S10" i="113"/>
  <c r="U10" i="113" s="1"/>
  <c r="V10" i="113" s="1"/>
  <c r="S28" i="113"/>
  <c r="U28" i="113" s="1"/>
  <c r="V28" i="113" s="1"/>
  <c r="S49" i="117"/>
  <c r="U49" i="117" s="1"/>
  <c r="Q32" i="116"/>
  <c r="Q45" i="118"/>
  <c r="S45" i="118" s="1"/>
  <c r="T45" i="118" s="1"/>
  <c r="Q29" i="120"/>
  <c r="S29" i="120" s="1"/>
  <c r="T29" i="120" s="1"/>
  <c r="S44" i="117"/>
  <c r="U44" i="117" s="1"/>
  <c r="Q69" i="116"/>
  <c r="S69" i="116" s="1"/>
  <c r="T69" i="116" s="1"/>
  <c r="S55" i="113"/>
  <c r="U55" i="113" s="1"/>
  <c r="V55" i="113" s="1"/>
  <c r="Q70" i="116"/>
  <c r="S70" i="116" s="1"/>
  <c r="T70" i="116" s="1"/>
  <c r="Q53" i="114"/>
  <c r="S53" i="114" s="1"/>
  <c r="Q49" i="116"/>
  <c r="S49" i="116" s="1"/>
  <c r="T49" i="116" s="1"/>
  <c r="S32" i="117"/>
  <c r="U32" i="117" s="1"/>
  <c r="T15" i="115"/>
  <c r="T51" i="115"/>
  <c r="V34" i="113"/>
  <c r="Q70" i="114"/>
  <c r="S70" i="114" s="1"/>
  <c r="AQ69" i="72"/>
  <c r="M72" i="100"/>
  <c r="P73" i="116"/>
  <c r="AS72" i="72" s="1"/>
  <c r="Q72" i="100"/>
  <c r="P73" i="120"/>
  <c r="AW72" i="72" s="1"/>
  <c r="J72" i="100"/>
  <c r="R73" i="113"/>
  <c r="AP72" i="72" s="1"/>
  <c r="P72" i="100"/>
  <c r="P73" i="119"/>
  <c r="AV72" i="72" s="1"/>
  <c r="M14" i="100"/>
  <c r="P15" i="116"/>
  <c r="AS14" i="72" s="1"/>
  <c r="Q14" i="100"/>
  <c r="P15" i="120"/>
  <c r="AW14" i="72" s="1"/>
  <c r="J14" i="100"/>
  <c r="R15" i="113"/>
  <c r="AP14" i="72" s="1"/>
  <c r="P14" i="100"/>
  <c r="P15" i="119"/>
  <c r="AV14" i="72" s="1"/>
  <c r="N11" i="100"/>
  <c r="R12" i="117"/>
  <c r="AT11" i="72" s="1"/>
  <c r="K11" i="100"/>
  <c r="P12" i="114"/>
  <c r="AQ11" i="72" s="1"/>
  <c r="O11" i="100"/>
  <c r="P12" i="118"/>
  <c r="AU11" i="72" s="1"/>
  <c r="M46" i="100"/>
  <c r="P47" i="116"/>
  <c r="AS46" i="72" s="1"/>
  <c r="Q46" i="100"/>
  <c r="P47" i="120"/>
  <c r="AW46" i="72" s="1"/>
  <c r="J46" i="100"/>
  <c r="R47" i="113"/>
  <c r="AP46" i="72" s="1"/>
  <c r="P46" i="100"/>
  <c r="P47" i="119"/>
  <c r="AV46" i="72" s="1"/>
  <c r="H10" i="72"/>
  <c r="N61" i="100"/>
  <c r="R62" i="117"/>
  <c r="AT61" i="72" s="1"/>
  <c r="M61" i="100"/>
  <c r="P62" i="116"/>
  <c r="AS61" i="72" s="1"/>
  <c r="Q61" i="100"/>
  <c r="P62" i="120"/>
  <c r="AW61" i="72" s="1"/>
  <c r="K18" i="100"/>
  <c r="P19" i="114"/>
  <c r="AQ18" i="72" s="1"/>
  <c r="O18" i="100"/>
  <c r="P19" i="118"/>
  <c r="AU18" i="72" s="1"/>
  <c r="N18" i="100"/>
  <c r="R19" i="117"/>
  <c r="AT18" i="72" s="1"/>
  <c r="T19" i="115"/>
  <c r="H72" i="72"/>
  <c r="H11" i="72"/>
  <c r="N13" i="100"/>
  <c r="R14" i="117"/>
  <c r="AT13" i="72" s="1"/>
  <c r="K13" i="100"/>
  <c r="P14" i="114"/>
  <c r="AQ13" i="72" s="1"/>
  <c r="O13" i="100"/>
  <c r="P14" i="118"/>
  <c r="AU13" i="72" s="1"/>
  <c r="N7" i="100"/>
  <c r="R8" i="117"/>
  <c r="AT7" i="72" s="1"/>
  <c r="K7" i="100"/>
  <c r="P8" i="114"/>
  <c r="AQ7" i="72" s="1"/>
  <c r="O7" i="100"/>
  <c r="P8" i="118"/>
  <c r="AU7" i="72" s="1"/>
  <c r="K50" i="100"/>
  <c r="P51" i="114"/>
  <c r="AQ50" i="72" s="1"/>
  <c r="O50" i="100"/>
  <c r="P51" i="118"/>
  <c r="AU50" i="72" s="1"/>
  <c r="N50" i="100"/>
  <c r="R51" i="117"/>
  <c r="AT50" i="72" s="1"/>
  <c r="K62" i="100"/>
  <c r="P63" i="114"/>
  <c r="AQ62" i="72" s="1"/>
  <c r="O62" i="100"/>
  <c r="P63" i="118"/>
  <c r="AU62" i="72" s="1"/>
  <c r="N62" i="100"/>
  <c r="R63" i="117"/>
  <c r="AT62" i="72" s="1"/>
  <c r="K30" i="100"/>
  <c r="P31" i="114"/>
  <c r="AQ30" i="72" s="1"/>
  <c r="O30" i="100"/>
  <c r="P31" i="118"/>
  <c r="AU30" i="72" s="1"/>
  <c r="N30" i="100"/>
  <c r="R31" i="117"/>
  <c r="AT30" i="72" s="1"/>
  <c r="S50" i="113"/>
  <c r="U50" i="113" s="1"/>
  <c r="AP49" i="72"/>
  <c r="M10" i="100"/>
  <c r="P11" i="116"/>
  <c r="Q10" i="100"/>
  <c r="P11" i="120"/>
  <c r="AW10" i="72" s="1"/>
  <c r="J10" i="100"/>
  <c r="R11" i="113"/>
  <c r="AP10" i="72" s="1"/>
  <c r="P10" i="100"/>
  <c r="P11" i="119"/>
  <c r="AV10" i="72" s="1"/>
  <c r="H24" i="72"/>
  <c r="H26" i="72"/>
  <c r="H64" i="72"/>
  <c r="Q10" i="120"/>
  <c r="S10" i="120" s="1"/>
  <c r="Q10" i="119"/>
  <c r="S10" i="119" s="1"/>
  <c r="Q28" i="120"/>
  <c r="S28" i="120" s="1"/>
  <c r="Q28" i="119"/>
  <c r="S28" i="119" s="1"/>
  <c r="S21" i="117"/>
  <c r="U21" i="117" s="1"/>
  <c r="Q21" i="114"/>
  <c r="S21" i="114" s="1"/>
  <c r="Q49" i="118"/>
  <c r="S49" i="118" s="1"/>
  <c r="Q32" i="120"/>
  <c r="S32" i="120" s="1"/>
  <c r="Q32" i="119"/>
  <c r="S32" i="119" s="1"/>
  <c r="S45" i="117"/>
  <c r="U45" i="117" s="1"/>
  <c r="Q45" i="114"/>
  <c r="S45" i="114" s="1"/>
  <c r="Q38" i="114"/>
  <c r="S38" i="114" s="1"/>
  <c r="Q33" i="119"/>
  <c r="S33" i="119" s="1"/>
  <c r="Q33" i="120"/>
  <c r="S33" i="120" s="1"/>
  <c r="Q40" i="114"/>
  <c r="S40" i="114" s="1"/>
  <c r="Q9" i="119"/>
  <c r="S9" i="119" s="1"/>
  <c r="Q9" i="120"/>
  <c r="S9" i="120" s="1"/>
  <c r="Q34" i="118"/>
  <c r="S34" i="118" s="1"/>
  <c r="S34" i="117"/>
  <c r="U34" i="117" s="1"/>
  <c r="S29" i="113"/>
  <c r="U29" i="113" s="1"/>
  <c r="Q29" i="116"/>
  <c r="S29" i="116" s="1"/>
  <c r="Q44" i="114"/>
  <c r="S44" i="114" s="1"/>
  <c r="Q69" i="119"/>
  <c r="S69" i="119" s="1"/>
  <c r="Q69" i="120"/>
  <c r="S69" i="120" s="1"/>
  <c r="Q68" i="120"/>
  <c r="S68" i="120" s="1"/>
  <c r="S68" i="117"/>
  <c r="U68" i="117" s="1"/>
  <c r="Q20" i="114"/>
  <c r="S20" i="114" s="1"/>
  <c r="Q55" i="119"/>
  <c r="S55" i="119" s="1"/>
  <c r="Q55" i="120"/>
  <c r="S55" i="120" s="1"/>
  <c r="Q23" i="119"/>
  <c r="S23" i="119" s="1"/>
  <c r="Q23" i="120"/>
  <c r="S23" i="120" s="1"/>
  <c r="Q70" i="120"/>
  <c r="S70" i="120" s="1"/>
  <c r="S70" i="117"/>
  <c r="U70" i="117" s="1"/>
  <c r="Q22" i="114"/>
  <c r="S22" i="114" s="1"/>
  <c r="Q64" i="120"/>
  <c r="S64" i="120" s="1"/>
  <c r="S64" i="117"/>
  <c r="U64" i="117" s="1"/>
  <c r="S35" i="113"/>
  <c r="U35" i="113" s="1"/>
  <c r="Q35" i="116"/>
  <c r="S35" i="116" s="1"/>
  <c r="S57" i="113"/>
  <c r="U57" i="113" s="1"/>
  <c r="Q57" i="116"/>
  <c r="S57" i="116" s="1"/>
  <c r="S25" i="113"/>
  <c r="U25" i="113" s="1"/>
  <c r="Q25" i="116"/>
  <c r="S25" i="116" s="1"/>
  <c r="S59" i="113"/>
  <c r="U59" i="113" s="1"/>
  <c r="Q59" i="116"/>
  <c r="S59" i="116" s="1"/>
  <c r="S27" i="113"/>
  <c r="U27" i="113" s="1"/>
  <c r="Q27" i="116"/>
  <c r="S27" i="116" s="1"/>
  <c r="Q18" i="114"/>
  <c r="S18" i="114" s="1"/>
  <c r="Q39" i="119"/>
  <c r="S39" i="119" s="1"/>
  <c r="Q39" i="120"/>
  <c r="S39" i="120" s="1"/>
  <c r="Q65" i="119"/>
  <c r="S65" i="119" s="1"/>
  <c r="S65" i="113"/>
  <c r="U65" i="113" s="1"/>
  <c r="Q65" i="120"/>
  <c r="S65" i="120" s="1"/>
  <c r="Q48" i="120"/>
  <c r="S48" i="120" s="1"/>
  <c r="S48" i="117"/>
  <c r="U48" i="117" s="1"/>
  <c r="Q16" i="114"/>
  <c r="S16" i="114" s="1"/>
  <c r="Q30" i="118"/>
  <c r="S30" i="118" s="1"/>
  <c r="S30" i="117"/>
  <c r="U30" i="117" s="1"/>
  <c r="S41" i="113"/>
  <c r="U41" i="113" s="1"/>
  <c r="Q41" i="116"/>
  <c r="S41" i="116" s="1"/>
  <c r="Q56" i="116"/>
  <c r="S56" i="116" s="1"/>
  <c r="Q75" i="119"/>
  <c r="S75" i="119" s="1"/>
  <c r="Q75" i="120"/>
  <c r="S75" i="120" s="1"/>
  <c r="Q66" i="120"/>
  <c r="S66" i="120" s="1"/>
  <c r="S66" i="117"/>
  <c r="U66" i="117" s="1"/>
  <c r="S61" i="113"/>
  <c r="U61" i="113" s="1"/>
  <c r="Q61" i="116"/>
  <c r="S61" i="116" s="1"/>
  <c r="Q60" i="116"/>
  <c r="S60" i="116" s="1"/>
  <c r="Q74" i="120"/>
  <c r="S74" i="120" s="1"/>
  <c r="S74" i="117"/>
  <c r="U74" i="117" s="1"/>
  <c r="Q42" i="114"/>
  <c r="S42" i="114" s="1"/>
  <c r="S42" i="117"/>
  <c r="U42" i="117" s="1"/>
  <c r="Q26" i="114"/>
  <c r="S26" i="114" s="1"/>
  <c r="Q37" i="119"/>
  <c r="S37" i="119" s="1"/>
  <c r="Q37" i="120"/>
  <c r="S37" i="120" s="1"/>
  <c r="Q36" i="118"/>
  <c r="S36" i="118" s="1"/>
  <c r="S71" i="113"/>
  <c r="U71" i="113" s="1"/>
  <c r="Q71" i="116"/>
  <c r="S71" i="116" s="1"/>
  <c r="Q54" i="116"/>
  <c r="S54" i="116" s="1"/>
  <c r="Q17" i="120"/>
  <c r="S17" i="120" s="1"/>
  <c r="Q67" i="119"/>
  <c r="S67" i="119" s="1"/>
  <c r="Q32" i="114"/>
  <c r="S32" i="114" s="1"/>
  <c r="Q45" i="119"/>
  <c r="S45" i="119" s="1"/>
  <c r="T47" i="115"/>
  <c r="T31" i="115"/>
  <c r="H55" i="72"/>
  <c r="H65" i="72"/>
  <c r="H59" i="72"/>
  <c r="H57" i="72"/>
  <c r="H25" i="72"/>
  <c r="H51" i="72"/>
  <c r="H20" i="72"/>
  <c r="H31" i="72"/>
  <c r="H19" i="72"/>
  <c r="H37" i="72"/>
  <c r="H63" i="72"/>
  <c r="K72" i="100"/>
  <c r="P73" i="114"/>
  <c r="AQ72" i="72" s="1"/>
  <c r="O72" i="100"/>
  <c r="P73" i="118"/>
  <c r="AU72" i="72" s="1"/>
  <c r="N72" i="100"/>
  <c r="R73" i="117"/>
  <c r="AT72" i="72" s="1"/>
  <c r="K14" i="100"/>
  <c r="P15" i="114"/>
  <c r="AQ14" i="72" s="1"/>
  <c r="O14" i="100"/>
  <c r="P15" i="118"/>
  <c r="AU14" i="72" s="1"/>
  <c r="N14" i="100"/>
  <c r="R15" i="117"/>
  <c r="AT14" i="72" s="1"/>
  <c r="J11" i="100"/>
  <c r="R12" i="113"/>
  <c r="AP11" i="72" s="1"/>
  <c r="P11" i="100"/>
  <c r="P12" i="119"/>
  <c r="AV11" i="72" s="1"/>
  <c r="M11" i="100"/>
  <c r="P12" i="116"/>
  <c r="AS11" i="72" s="1"/>
  <c r="Q11" i="100"/>
  <c r="P12" i="120"/>
  <c r="AW11" i="72" s="1"/>
  <c r="K46" i="100"/>
  <c r="P47" i="114"/>
  <c r="AQ46" i="72" s="1"/>
  <c r="O46" i="100"/>
  <c r="P47" i="118"/>
  <c r="AU46" i="72" s="1"/>
  <c r="N46" i="100"/>
  <c r="R47" i="117"/>
  <c r="AT46" i="72" s="1"/>
  <c r="O7" i="115"/>
  <c r="J61" i="100"/>
  <c r="R62" i="113"/>
  <c r="AP61" i="72" s="1"/>
  <c r="P61" i="100"/>
  <c r="P62" i="119"/>
  <c r="AV61" i="72" s="1"/>
  <c r="K61" i="100"/>
  <c r="P62" i="114"/>
  <c r="AQ61" i="72" s="1"/>
  <c r="O61" i="100"/>
  <c r="P62" i="118"/>
  <c r="AU61" i="72" s="1"/>
  <c r="M18" i="100"/>
  <c r="P19" i="116"/>
  <c r="AS18" i="72" s="1"/>
  <c r="Q18" i="100"/>
  <c r="P19" i="120"/>
  <c r="AW18" i="72" s="1"/>
  <c r="J18" i="100"/>
  <c r="R19" i="113"/>
  <c r="AP18" i="72" s="1"/>
  <c r="P18" i="100"/>
  <c r="P19" i="119"/>
  <c r="AV18" i="72" s="1"/>
  <c r="H56" i="72"/>
  <c r="H58" i="72"/>
  <c r="H17" i="72"/>
  <c r="H47" i="72"/>
  <c r="H41" i="72"/>
  <c r="J13" i="100"/>
  <c r="R14" i="113"/>
  <c r="AP13" i="72" s="1"/>
  <c r="P13" i="100"/>
  <c r="P14" i="119"/>
  <c r="AV13" i="72" s="1"/>
  <c r="M13" i="100"/>
  <c r="P14" i="116"/>
  <c r="AS13" i="72" s="1"/>
  <c r="Q13" i="100"/>
  <c r="P14" i="120"/>
  <c r="AW13" i="72" s="1"/>
  <c r="R8" i="113"/>
  <c r="AP7" i="72" s="1"/>
  <c r="J7" i="100"/>
  <c r="P7" i="100"/>
  <c r="P8" i="119"/>
  <c r="AV7" i="72" s="1"/>
  <c r="M7" i="100"/>
  <c r="P8" i="116"/>
  <c r="AS7" i="72" s="1"/>
  <c r="Q7" i="100"/>
  <c r="P8" i="120"/>
  <c r="AW7" i="72" s="1"/>
  <c r="M50" i="100"/>
  <c r="P51" i="116"/>
  <c r="AS50" i="72" s="1"/>
  <c r="Q50" i="100"/>
  <c r="P51" i="120"/>
  <c r="AW50" i="72" s="1"/>
  <c r="J50" i="100"/>
  <c r="R51" i="113"/>
  <c r="AP50" i="72" s="1"/>
  <c r="P50" i="100"/>
  <c r="P51" i="119"/>
  <c r="AV50" i="72" s="1"/>
  <c r="M62" i="100"/>
  <c r="P63" i="116"/>
  <c r="AS62" i="72" s="1"/>
  <c r="Q62" i="100"/>
  <c r="P63" i="120"/>
  <c r="AW62" i="72" s="1"/>
  <c r="J62" i="100"/>
  <c r="R63" i="113"/>
  <c r="AP62" i="72" s="1"/>
  <c r="P62" i="100"/>
  <c r="P63" i="119"/>
  <c r="AV62" i="72" s="1"/>
  <c r="M30" i="100"/>
  <c r="P31" i="116"/>
  <c r="AS30" i="72" s="1"/>
  <c r="Q30" i="100"/>
  <c r="P31" i="120"/>
  <c r="AW30" i="72" s="1"/>
  <c r="J30" i="100"/>
  <c r="R31" i="113"/>
  <c r="AP30" i="72" s="1"/>
  <c r="P30" i="100"/>
  <c r="P31" i="119"/>
  <c r="AV30" i="72" s="1"/>
  <c r="H29" i="72"/>
  <c r="H74" i="72"/>
  <c r="H60" i="72"/>
  <c r="H12" i="72"/>
  <c r="H36" i="72"/>
  <c r="H45" i="72"/>
  <c r="H48" i="72"/>
  <c r="H44" i="72"/>
  <c r="H69" i="72"/>
  <c r="H32" i="72"/>
  <c r="H34" i="72"/>
  <c r="K10" i="100"/>
  <c r="P11" i="114"/>
  <c r="AQ10" i="72" s="1"/>
  <c r="O10" i="100"/>
  <c r="P11" i="118"/>
  <c r="AU10" i="72" s="1"/>
  <c r="N10" i="100"/>
  <c r="R11" i="117"/>
  <c r="AT10" i="72" s="1"/>
  <c r="S49" i="113"/>
  <c r="U49" i="113" s="1"/>
  <c r="AP48" i="72"/>
  <c r="H62" i="72"/>
  <c r="S40" i="113"/>
  <c r="U40" i="113" s="1"/>
  <c r="Q9" i="118"/>
  <c r="S9" i="118" s="1"/>
  <c r="Q34" i="120"/>
  <c r="S34" i="120" s="1"/>
  <c r="Q34" i="119"/>
  <c r="S34" i="119" s="1"/>
  <c r="S29" i="117"/>
  <c r="U29" i="117" s="1"/>
  <c r="Q29" i="114"/>
  <c r="S29" i="114" s="1"/>
  <c r="Q44" i="120"/>
  <c r="S44" i="120" s="1"/>
  <c r="Q44" i="116"/>
  <c r="S44" i="116" s="1"/>
  <c r="S44" i="113"/>
  <c r="U44" i="113" s="1"/>
  <c r="Q69" i="118"/>
  <c r="S69" i="118" s="1"/>
  <c r="Q68" i="118"/>
  <c r="S68" i="118" s="1"/>
  <c r="Q68" i="119"/>
  <c r="S68" i="119" s="1"/>
  <c r="Q20" i="120"/>
  <c r="S20" i="120" s="1"/>
  <c r="Q20" i="119"/>
  <c r="S20" i="119" s="1"/>
  <c r="S55" i="117"/>
  <c r="U55" i="117" s="1"/>
  <c r="Q55" i="114"/>
  <c r="S55" i="114" s="1"/>
  <c r="Q23" i="118"/>
  <c r="S23" i="118" s="1"/>
  <c r="Q70" i="118"/>
  <c r="S70" i="118" s="1"/>
  <c r="S70" i="113"/>
  <c r="U70" i="113" s="1"/>
  <c r="Q22" i="116"/>
  <c r="S22" i="116" s="1"/>
  <c r="S22" i="113"/>
  <c r="U22" i="113" s="1"/>
  <c r="Q64" i="114"/>
  <c r="S64" i="114" s="1"/>
  <c r="S64" i="113"/>
  <c r="U64" i="113" s="1"/>
  <c r="Q35" i="118"/>
  <c r="S35" i="118" s="1"/>
  <c r="S57" i="117"/>
  <c r="U57" i="117" s="1"/>
  <c r="Q57" i="114"/>
  <c r="S57" i="114" s="1"/>
  <c r="Q25" i="118"/>
  <c r="S25" i="118" s="1"/>
  <c r="S59" i="117"/>
  <c r="U59" i="117" s="1"/>
  <c r="Q59" i="114"/>
  <c r="S59" i="114" s="1"/>
  <c r="Q27" i="118"/>
  <c r="S27" i="118" s="1"/>
  <c r="Q18" i="120"/>
  <c r="S18" i="120" s="1"/>
  <c r="Q18" i="119"/>
  <c r="S18" i="119" s="1"/>
  <c r="S39" i="117"/>
  <c r="U39" i="117" s="1"/>
  <c r="Q39" i="114"/>
  <c r="S39" i="114" s="1"/>
  <c r="Q65" i="118"/>
  <c r="S65" i="118" s="1"/>
  <c r="Q48" i="118"/>
  <c r="S48" i="118" s="1"/>
  <c r="Q48" i="119"/>
  <c r="S48" i="119" s="1"/>
  <c r="Q16" i="120"/>
  <c r="S16" i="120" s="1"/>
  <c r="Q16" i="119"/>
  <c r="S16" i="119" s="1"/>
  <c r="Q30" i="120"/>
  <c r="S30" i="120" s="1"/>
  <c r="Q30" i="119"/>
  <c r="S30" i="119" s="1"/>
  <c r="S41" i="117"/>
  <c r="U41" i="117" s="1"/>
  <c r="Q41" i="114"/>
  <c r="S41" i="114" s="1"/>
  <c r="Q56" i="114"/>
  <c r="S56" i="114" s="1"/>
  <c r="S56" i="113"/>
  <c r="U56" i="113" s="1"/>
  <c r="Q75" i="118"/>
  <c r="S75" i="118" s="1"/>
  <c r="Q66" i="118"/>
  <c r="S66" i="118" s="1"/>
  <c r="Q66" i="119"/>
  <c r="S66" i="119" s="1"/>
  <c r="S61" i="117"/>
  <c r="U61" i="117" s="1"/>
  <c r="Q61" i="114"/>
  <c r="S61" i="114" s="1"/>
  <c r="Q60" i="114"/>
  <c r="S60" i="114" s="1"/>
  <c r="S60" i="113"/>
  <c r="U60" i="113" s="1"/>
  <c r="Q74" i="114"/>
  <c r="S74" i="114" s="1"/>
  <c r="S74" i="113"/>
  <c r="U74" i="113" s="1"/>
  <c r="Q42" i="116"/>
  <c r="S42" i="116" s="1"/>
  <c r="S42" i="113"/>
  <c r="U42" i="113" s="1"/>
  <c r="Q26" i="116"/>
  <c r="S26" i="116" s="1"/>
  <c r="S26" i="113"/>
  <c r="U26" i="113" s="1"/>
  <c r="Q37" i="118"/>
  <c r="S37" i="118" s="1"/>
  <c r="Q36" i="120"/>
  <c r="S36" i="120" s="1"/>
  <c r="Q36" i="119"/>
  <c r="S36" i="119" s="1"/>
  <c r="S71" i="117"/>
  <c r="U71" i="117" s="1"/>
  <c r="Q54" i="114"/>
  <c r="S54" i="114" s="1"/>
  <c r="S54" i="113"/>
  <c r="U54" i="113" s="1"/>
  <c r="Q17" i="118"/>
  <c r="S17" i="118" s="1"/>
  <c r="S67" i="117"/>
  <c r="U67" i="117" s="1"/>
  <c r="Q67" i="114"/>
  <c r="S67" i="114" s="1"/>
  <c r="S53" i="113"/>
  <c r="U53" i="113" s="1"/>
  <c r="Q53" i="116"/>
  <c r="S53" i="116" s="1"/>
  <c r="Q50" i="116"/>
  <c r="S50" i="116" s="1"/>
  <c r="Q13" i="119"/>
  <c r="S13" i="119" s="1"/>
  <c r="Q13" i="120"/>
  <c r="S13" i="120" s="1"/>
  <c r="Q58" i="120"/>
  <c r="S58" i="120" s="1"/>
  <c r="S58" i="117"/>
  <c r="U58" i="117" s="1"/>
  <c r="Q52" i="116"/>
  <c r="S52" i="116" s="1"/>
  <c r="Q46" i="120"/>
  <c r="S46" i="120" s="1"/>
  <c r="Q46" i="119"/>
  <c r="S46" i="119" s="1"/>
  <c r="Q72" i="118"/>
  <c r="S72" i="118" s="1"/>
  <c r="Q72" i="119"/>
  <c r="S72" i="119" s="1"/>
  <c r="S72" i="113"/>
  <c r="U72" i="113" s="1"/>
  <c r="Q24" i="120"/>
  <c r="S24" i="120" s="1"/>
  <c r="Q24" i="119"/>
  <c r="S24" i="119" s="1"/>
  <c r="S43" i="117"/>
  <c r="U43" i="117" s="1"/>
  <c r="Q53" i="118"/>
  <c r="S53" i="118" s="1"/>
  <c r="Q50" i="118"/>
  <c r="S50" i="118" s="1"/>
  <c r="Q50" i="119"/>
  <c r="S50" i="119" s="1"/>
  <c r="Q13" i="118"/>
  <c r="S13" i="118" s="1"/>
  <c r="Q58" i="118"/>
  <c r="S58" i="118" s="1"/>
  <c r="Q58" i="114"/>
  <c r="S58" i="114" s="1"/>
  <c r="Q58" i="119"/>
  <c r="S58" i="119" s="1"/>
  <c r="Q52" i="118"/>
  <c r="S52" i="118" s="1"/>
  <c r="Q52" i="119"/>
  <c r="S52" i="119" s="1"/>
  <c r="Q46" i="118"/>
  <c r="S46" i="118" s="1"/>
  <c r="S46" i="117"/>
  <c r="U46" i="117" s="1"/>
  <c r="Q72" i="116"/>
  <c r="S72" i="116" s="1"/>
  <c r="Q24" i="118"/>
  <c r="S24" i="118" s="1"/>
  <c r="S24" i="117"/>
  <c r="U24" i="117" s="1"/>
  <c r="S43" i="113"/>
  <c r="U43" i="113" s="1"/>
  <c r="Q43" i="116"/>
  <c r="S43" i="116" s="1"/>
  <c r="Q10" i="114"/>
  <c r="S10" i="114" s="1"/>
  <c r="Q28" i="118"/>
  <c r="S28" i="118" s="1"/>
  <c r="S21" i="113"/>
  <c r="U21" i="113" s="1"/>
  <c r="Q33" i="118"/>
  <c r="S33" i="118" s="1"/>
  <c r="V75" i="113" l="1"/>
  <c r="F74" i="72" s="1"/>
  <c r="T38" i="118"/>
  <c r="L37" i="72" s="1"/>
  <c r="T18" i="118"/>
  <c r="L17" i="72" s="1"/>
  <c r="T43" i="119"/>
  <c r="M42" i="72" s="1"/>
  <c r="T13" i="114"/>
  <c r="G12" i="72" s="1"/>
  <c r="T29" i="118"/>
  <c r="T20" i="118"/>
  <c r="L19" i="72" s="1"/>
  <c r="T18" i="116"/>
  <c r="I17" i="72" s="1"/>
  <c r="T22" i="119"/>
  <c r="M21" i="72" s="1"/>
  <c r="T37" i="116"/>
  <c r="I36" i="72" s="1"/>
  <c r="V60" i="117"/>
  <c r="K59" i="72" s="1"/>
  <c r="T49" i="120"/>
  <c r="N48" i="72" s="1"/>
  <c r="T60" i="119"/>
  <c r="M59" i="72" s="1"/>
  <c r="T68" i="114"/>
  <c r="G67" i="72" s="1"/>
  <c r="T54" i="120"/>
  <c r="N53" i="72" s="1"/>
  <c r="T41" i="119"/>
  <c r="M40" i="72" s="1"/>
  <c r="T16" i="118"/>
  <c r="L15" i="72" s="1"/>
  <c r="V24" i="113"/>
  <c r="F23" i="72" s="1"/>
  <c r="T36" i="116"/>
  <c r="I35" i="72" s="1"/>
  <c r="T25" i="114"/>
  <c r="T64" i="118"/>
  <c r="L63" i="72" s="1"/>
  <c r="T69" i="114"/>
  <c r="G68" i="72" s="1"/>
  <c r="T40" i="120"/>
  <c r="N39" i="72" s="1"/>
  <c r="T56" i="120"/>
  <c r="N55" i="72" s="1"/>
  <c r="T54" i="118"/>
  <c r="T26" i="118"/>
  <c r="V17" i="117"/>
  <c r="K16" i="72" s="1"/>
  <c r="T46" i="116"/>
  <c r="I45" i="72" s="1"/>
  <c r="V36" i="117"/>
  <c r="T45" i="116"/>
  <c r="I44" i="72" s="1"/>
  <c r="T75" i="116"/>
  <c r="I74" i="72" s="1"/>
  <c r="T55" i="116"/>
  <c r="I54" i="72" s="1"/>
  <c r="T72" i="114"/>
  <c r="G71" i="72" s="1"/>
  <c r="V13" i="113"/>
  <c r="F12" i="72" s="1"/>
  <c r="T42" i="120"/>
  <c r="N41" i="72" s="1"/>
  <c r="V69" i="117"/>
  <c r="K68" i="72" s="1"/>
  <c r="T71" i="119"/>
  <c r="M70" i="72" s="1"/>
  <c r="T65" i="116"/>
  <c r="T35" i="120"/>
  <c r="V33" i="113"/>
  <c r="F32" i="72" s="1"/>
  <c r="T53" i="114"/>
  <c r="G52" i="72" s="1"/>
  <c r="T38" i="116"/>
  <c r="I37" i="72" s="1"/>
  <c r="T66" i="116"/>
  <c r="I65" i="72" s="1"/>
  <c r="V16" i="117"/>
  <c r="K15" i="72" s="1"/>
  <c r="T27" i="120"/>
  <c r="N26" i="72" s="1"/>
  <c r="V23" i="113"/>
  <c r="V44" i="117"/>
  <c r="V49" i="117"/>
  <c r="K48" i="72" s="1"/>
  <c r="T10" i="118"/>
  <c r="L9" i="72" s="1"/>
  <c r="T67" i="120"/>
  <c r="N66" i="72" s="1"/>
  <c r="T13" i="116"/>
  <c r="I12" i="72" s="1"/>
  <c r="V50" i="117"/>
  <c r="K49" i="72" s="1"/>
  <c r="T37" i="114"/>
  <c r="G36" i="72" s="1"/>
  <c r="T9" i="114"/>
  <c r="G8" i="72" s="1"/>
  <c r="T39" i="118"/>
  <c r="L38" i="72" s="1"/>
  <c r="T55" i="118"/>
  <c r="L54" i="72" s="1"/>
  <c r="V32" i="117"/>
  <c r="T39" i="116"/>
  <c r="I38" i="72" s="1"/>
  <c r="T53" i="119"/>
  <c r="T16" i="116"/>
  <c r="I15" i="72" s="1"/>
  <c r="T50" i="120"/>
  <c r="N49" i="72" s="1"/>
  <c r="T26" i="119"/>
  <c r="M25" i="72" s="1"/>
  <c r="T60" i="118"/>
  <c r="L59" i="72" s="1"/>
  <c r="T41" i="118"/>
  <c r="T24" i="116"/>
  <c r="I23" i="72" s="1"/>
  <c r="T17" i="114"/>
  <c r="G16" i="72" s="1"/>
  <c r="T71" i="114"/>
  <c r="T75" i="114"/>
  <c r="G74" i="72" s="1"/>
  <c r="V30" i="113"/>
  <c r="F29" i="72" s="1"/>
  <c r="V48" i="113"/>
  <c r="T59" i="118"/>
  <c r="T23" i="114"/>
  <c r="G22" i="72" s="1"/>
  <c r="V20" i="113"/>
  <c r="F19" i="72" s="1"/>
  <c r="V45" i="113"/>
  <c r="F44" i="72" s="1"/>
  <c r="V28" i="117"/>
  <c r="T36" i="114"/>
  <c r="G35" i="72" s="1"/>
  <c r="V56" i="117"/>
  <c r="K55" i="72" s="1"/>
  <c r="T41" i="120"/>
  <c r="T59" i="119"/>
  <c r="M58" i="72" s="1"/>
  <c r="T25" i="119"/>
  <c r="M24" i="72" s="1"/>
  <c r="T54" i="119"/>
  <c r="M53" i="72" s="1"/>
  <c r="V16" i="113"/>
  <c r="S8" i="113"/>
  <c r="U8" i="113" s="1"/>
  <c r="V8" i="113" s="1"/>
  <c r="Q62" i="116"/>
  <c r="S62" i="116" s="1"/>
  <c r="T62" i="116" s="1"/>
  <c r="Q11" i="114"/>
  <c r="S11" i="114" s="1"/>
  <c r="T11" i="114" s="1"/>
  <c r="Q73" i="114"/>
  <c r="S73" i="114" s="1"/>
  <c r="T73" i="114" s="1"/>
  <c r="Q47" i="120"/>
  <c r="S47" i="120" s="1"/>
  <c r="T47" i="120" s="1"/>
  <c r="Q73" i="116"/>
  <c r="S73" i="116" s="1"/>
  <c r="Q31" i="116"/>
  <c r="S31" i="116" s="1"/>
  <c r="T31" i="116" s="1"/>
  <c r="S14" i="113"/>
  <c r="U14" i="113" s="1"/>
  <c r="V14" i="113" s="1"/>
  <c r="Q11" i="120"/>
  <c r="S11" i="120" s="1"/>
  <c r="T11" i="120" s="1"/>
  <c r="Q47" i="119"/>
  <c r="S47" i="119" s="1"/>
  <c r="T47" i="119" s="1"/>
  <c r="S12" i="117"/>
  <c r="U12" i="117" s="1"/>
  <c r="V12" i="117" s="1"/>
  <c r="Q63" i="116"/>
  <c r="S63" i="116" s="1"/>
  <c r="T63" i="116" s="1"/>
  <c r="Q47" i="114"/>
  <c r="S47" i="114" s="1"/>
  <c r="Q31" i="118"/>
  <c r="S31" i="118" s="1"/>
  <c r="T31" i="118" s="1"/>
  <c r="Q8" i="118"/>
  <c r="S8" i="118" s="1"/>
  <c r="T8" i="118" s="1"/>
  <c r="S19" i="117"/>
  <c r="U19" i="117" s="1"/>
  <c r="Q12" i="118"/>
  <c r="S12" i="118" s="1"/>
  <c r="Q15" i="116"/>
  <c r="S15" i="116" s="1"/>
  <c r="T15" i="116" s="1"/>
  <c r="Q51" i="116"/>
  <c r="S51" i="116" s="1"/>
  <c r="T51" i="116" s="1"/>
  <c r="Q14" i="116"/>
  <c r="S14" i="116" s="1"/>
  <c r="T14" i="116" s="1"/>
  <c r="Q62" i="114"/>
  <c r="S62" i="114" s="1"/>
  <c r="Q15" i="118"/>
  <c r="S15" i="118" s="1"/>
  <c r="T15" i="118" s="1"/>
  <c r="Q63" i="114"/>
  <c r="S63" i="114" s="1"/>
  <c r="T63" i="114" s="1"/>
  <c r="Q14" i="114"/>
  <c r="S14" i="114" s="1"/>
  <c r="T14" i="114" s="1"/>
  <c r="Q19" i="116"/>
  <c r="S19" i="116" s="1"/>
  <c r="S62" i="113"/>
  <c r="U62" i="113" s="1"/>
  <c r="V62" i="113" s="1"/>
  <c r="S12" i="113"/>
  <c r="U12" i="113" s="1"/>
  <c r="V12" i="113" s="1"/>
  <c r="S73" i="117"/>
  <c r="U73" i="117" s="1"/>
  <c r="V73" i="117" s="1"/>
  <c r="Q11" i="119"/>
  <c r="S11" i="119" s="1"/>
  <c r="Q19" i="114"/>
  <c r="S19" i="114" s="1"/>
  <c r="T19" i="114" s="1"/>
  <c r="S15" i="113"/>
  <c r="U15" i="113" s="1"/>
  <c r="V15" i="113" s="1"/>
  <c r="S73" i="113"/>
  <c r="U73" i="113" s="1"/>
  <c r="V73" i="113" s="1"/>
  <c r="S11" i="117"/>
  <c r="U11" i="117" s="1"/>
  <c r="V11" i="117" s="1"/>
  <c r="S31" i="113"/>
  <c r="U31" i="113" s="1"/>
  <c r="V31" i="113" s="1"/>
  <c r="S63" i="113"/>
  <c r="U63" i="113" s="1"/>
  <c r="V63" i="113" s="1"/>
  <c r="S51" i="113"/>
  <c r="U51" i="113" s="1"/>
  <c r="V51" i="113" s="1"/>
  <c r="Q8" i="116"/>
  <c r="S8" i="116" s="1"/>
  <c r="T8" i="116" s="1"/>
  <c r="S19" i="113"/>
  <c r="U19" i="113" s="1"/>
  <c r="S47" i="117"/>
  <c r="U47" i="117" s="1"/>
  <c r="V47" i="117" s="1"/>
  <c r="Q12" i="116"/>
  <c r="S12" i="116" s="1"/>
  <c r="T12" i="116" s="1"/>
  <c r="S63" i="117"/>
  <c r="U63" i="117" s="1"/>
  <c r="Q51" i="118"/>
  <c r="S51" i="118" s="1"/>
  <c r="T51" i="118" s="1"/>
  <c r="S8" i="117"/>
  <c r="U8" i="117" s="1"/>
  <c r="V8" i="117" s="1"/>
  <c r="V21" i="113"/>
  <c r="T10" i="114"/>
  <c r="T24" i="118"/>
  <c r="T52" i="119"/>
  <c r="T58" i="118"/>
  <c r="T53" i="118"/>
  <c r="T24" i="119"/>
  <c r="V72" i="113"/>
  <c r="T72" i="118"/>
  <c r="T46" i="120"/>
  <c r="V58" i="117"/>
  <c r="T13" i="120"/>
  <c r="T50" i="116"/>
  <c r="V53" i="113"/>
  <c r="V67" i="117"/>
  <c r="V54" i="113"/>
  <c r="V71" i="117"/>
  <c r="T36" i="120"/>
  <c r="V26" i="113"/>
  <c r="V42" i="113"/>
  <c r="V74" i="113"/>
  <c r="V60" i="113"/>
  <c r="T61" i="114"/>
  <c r="T66" i="119"/>
  <c r="T75" i="118"/>
  <c r="T56" i="114"/>
  <c r="V41" i="117"/>
  <c r="T30" i="120"/>
  <c r="T16" i="120"/>
  <c r="T48" i="118"/>
  <c r="T39" i="114"/>
  <c r="T18" i="119"/>
  <c r="T27" i="118"/>
  <c r="V59" i="117"/>
  <c r="T57" i="114"/>
  <c r="T35" i="118"/>
  <c r="T64" i="114"/>
  <c r="T22" i="116"/>
  <c r="V43" i="113"/>
  <c r="V46" i="117"/>
  <c r="T58" i="119"/>
  <c r="T50" i="119"/>
  <c r="T33" i="118"/>
  <c r="T28" i="118"/>
  <c r="T43" i="116"/>
  <c r="V24" i="117"/>
  <c r="T72" i="116"/>
  <c r="T46" i="118"/>
  <c r="T52" i="118"/>
  <c r="T58" i="114"/>
  <c r="T13" i="118"/>
  <c r="T50" i="118"/>
  <c r="V43" i="117"/>
  <c r="T24" i="120"/>
  <c r="T72" i="119"/>
  <c r="T46" i="119"/>
  <c r="T52" i="116"/>
  <c r="T58" i="120"/>
  <c r="T13" i="119"/>
  <c r="T53" i="116"/>
  <c r="T67" i="114"/>
  <c r="T17" i="118"/>
  <c r="T54" i="114"/>
  <c r="T36" i="119"/>
  <c r="T37" i="118"/>
  <c r="T26" i="116"/>
  <c r="T42" i="116"/>
  <c r="T74" i="114"/>
  <c r="T60" i="114"/>
  <c r="V61" i="117"/>
  <c r="T66" i="118"/>
  <c r="V56" i="113"/>
  <c r="T41" i="114"/>
  <c r="T30" i="119"/>
  <c r="T16" i="119"/>
  <c r="T70" i="118"/>
  <c r="T55" i="114"/>
  <c r="T20" i="119"/>
  <c r="T68" i="119"/>
  <c r="T69" i="118"/>
  <c r="T44" i="116"/>
  <c r="T29" i="114"/>
  <c r="T34" i="119"/>
  <c r="T9" i="118"/>
  <c r="I66" i="72"/>
  <c r="F66" i="72"/>
  <c r="I16" i="72"/>
  <c r="F16" i="72"/>
  <c r="K53" i="72"/>
  <c r="N70" i="72"/>
  <c r="F36" i="72"/>
  <c r="K25" i="72"/>
  <c r="L41" i="72"/>
  <c r="I73" i="72"/>
  <c r="N59" i="72"/>
  <c r="N60" i="72"/>
  <c r="M60" i="72"/>
  <c r="G29" i="72"/>
  <c r="I47" i="72"/>
  <c r="F38" i="72"/>
  <c r="K17" i="72"/>
  <c r="M26" i="72"/>
  <c r="N58" i="72"/>
  <c r="N24" i="72"/>
  <c r="N56" i="72"/>
  <c r="M56" i="72"/>
  <c r="M34" i="72"/>
  <c r="I63" i="72"/>
  <c r="K21" i="72"/>
  <c r="L21" i="72"/>
  <c r="I69" i="72"/>
  <c r="I22" i="72"/>
  <c r="F54" i="72"/>
  <c r="K19" i="72"/>
  <c r="I67" i="72"/>
  <c r="I68" i="72"/>
  <c r="F68" i="72"/>
  <c r="L43" i="72"/>
  <c r="N28" i="72"/>
  <c r="M28" i="72"/>
  <c r="G33" i="72"/>
  <c r="I8" i="72"/>
  <c r="F8" i="72"/>
  <c r="K39" i="72"/>
  <c r="L39" i="72"/>
  <c r="I32" i="72"/>
  <c r="K37" i="72"/>
  <c r="L44" i="72"/>
  <c r="F31" i="72"/>
  <c r="G48" i="72"/>
  <c r="L20" i="72"/>
  <c r="F27" i="72"/>
  <c r="I27" i="72"/>
  <c r="F9" i="72"/>
  <c r="I9" i="72"/>
  <c r="G42" i="72"/>
  <c r="T45" i="119"/>
  <c r="T67" i="119"/>
  <c r="T54" i="116"/>
  <c r="V71" i="113"/>
  <c r="T37" i="120"/>
  <c r="T26" i="114"/>
  <c r="T42" i="114"/>
  <c r="T74" i="120"/>
  <c r="T61" i="116"/>
  <c r="V66" i="117"/>
  <c r="T75" i="120"/>
  <c r="T56" i="116"/>
  <c r="V41" i="113"/>
  <c r="T30" i="118"/>
  <c r="V48" i="117"/>
  <c r="T65" i="120"/>
  <c r="T65" i="119"/>
  <c r="T39" i="119"/>
  <c r="T27" i="116"/>
  <c r="T59" i="116"/>
  <c r="T25" i="116"/>
  <c r="T57" i="116"/>
  <c r="T35" i="116"/>
  <c r="V64" i="117"/>
  <c r="T22" i="114"/>
  <c r="T70" i="120"/>
  <c r="T23" i="119"/>
  <c r="T55" i="119"/>
  <c r="V68" i="117"/>
  <c r="T69" i="120"/>
  <c r="T44" i="114"/>
  <c r="V29" i="113"/>
  <c r="T34" i="118"/>
  <c r="T9" i="119"/>
  <c r="T33" i="120"/>
  <c r="T38" i="114"/>
  <c r="V45" i="117"/>
  <c r="T32" i="120"/>
  <c r="T21" i="114"/>
  <c r="T28" i="119"/>
  <c r="T10" i="119"/>
  <c r="F51" i="72"/>
  <c r="G51" i="72"/>
  <c r="F57" i="72"/>
  <c r="K12" i="72"/>
  <c r="V50" i="113"/>
  <c r="G49" i="72"/>
  <c r="K52" i="72"/>
  <c r="N52" i="72"/>
  <c r="L66" i="72"/>
  <c r="L70" i="72"/>
  <c r="F35" i="72"/>
  <c r="K36" i="72"/>
  <c r="N25" i="72"/>
  <c r="M41" i="72"/>
  <c r="M73" i="72"/>
  <c r="L73" i="72"/>
  <c r="L60" i="72"/>
  <c r="F65" i="72"/>
  <c r="G65" i="72"/>
  <c r="K74" i="72"/>
  <c r="M55" i="72"/>
  <c r="L55" i="72"/>
  <c r="I29" i="72"/>
  <c r="G47" i="72"/>
  <c r="G64" i="72"/>
  <c r="K64" i="72"/>
  <c r="F17" i="72"/>
  <c r="G26" i="72"/>
  <c r="K26" i="72"/>
  <c r="K24" i="72"/>
  <c r="L56" i="72"/>
  <c r="G34" i="72"/>
  <c r="K34" i="72"/>
  <c r="M63" i="72"/>
  <c r="N21" i="72"/>
  <c r="M69" i="72"/>
  <c r="T70" i="114"/>
  <c r="K22" i="72"/>
  <c r="I19" i="72"/>
  <c r="F67" i="72"/>
  <c r="M43" i="72"/>
  <c r="F33" i="72"/>
  <c r="I33" i="72"/>
  <c r="K8" i="72"/>
  <c r="M39" i="72"/>
  <c r="I39" i="72"/>
  <c r="H50" i="72"/>
  <c r="H14" i="72"/>
  <c r="Q47" i="118"/>
  <c r="S47" i="118" s="1"/>
  <c r="Q12" i="120"/>
  <c r="S12" i="120" s="1"/>
  <c r="Q12" i="119"/>
  <c r="S12" i="119" s="1"/>
  <c r="S15" i="117"/>
  <c r="U15" i="117" s="1"/>
  <c r="Q15" i="114"/>
  <c r="S15" i="114" s="1"/>
  <c r="Q73" i="118"/>
  <c r="S73" i="118" s="1"/>
  <c r="T48" i="119"/>
  <c r="T65" i="118"/>
  <c r="V39" i="117"/>
  <c r="T18" i="120"/>
  <c r="T59" i="114"/>
  <c r="T25" i="118"/>
  <c r="V57" i="117"/>
  <c r="V64" i="113"/>
  <c r="V22" i="113"/>
  <c r="V70" i="113"/>
  <c r="T23" i="118"/>
  <c r="V55" i="117"/>
  <c r="T20" i="120"/>
  <c r="T68" i="118"/>
  <c r="V44" i="113"/>
  <c r="T44" i="120"/>
  <c r="V29" i="117"/>
  <c r="T34" i="120"/>
  <c r="V40" i="113"/>
  <c r="F37" i="72"/>
  <c r="N44" i="72"/>
  <c r="L31" i="72"/>
  <c r="V49" i="113"/>
  <c r="I20" i="72"/>
  <c r="L6" i="100"/>
  <c r="P7" i="115"/>
  <c r="Q7" i="115" s="1"/>
  <c r="O76" i="115"/>
  <c r="H30" i="72"/>
  <c r="H46" i="72"/>
  <c r="T32" i="114"/>
  <c r="T17" i="120"/>
  <c r="T71" i="116"/>
  <c r="T36" i="118"/>
  <c r="T37" i="119"/>
  <c r="V42" i="117"/>
  <c r="V74" i="117"/>
  <c r="T60" i="116"/>
  <c r="V61" i="113"/>
  <c r="T66" i="120"/>
  <c r="T75" i="119"/>
  <c r="T41" i="116"/>
  <c r="V30" i="117"/>
  <c r="T16" i="114"/>
  <c r="T48" i="120"/>
  <c r="V65" i="113"/>
  <c r="T39" i="120"/>
  <c r="T18" i="114"/>
  <c r="V27" i="113"/>
  <c r="V59" i="113"/>
  <c r="V25" i="113"/>
  <c r="V57" i="113"/>
  <c r="V35" i="113"/>
  <c r="T64" i="120"/>
  <c r="V70" i="117"/>
  <c r="T23" i="120"/>
  <c r="T55" i="120"/>
  <c r="T20" i="114"/>
  <c r="T68" i="120"/>
  <c r="T69" i="119"/>
  <c r="T29" i="116"/>
  <c r="V34" i="117"/>
  <c r="T9" i="120"/>
  <c r="T40" i="114"/>
  <c r="T33" i="119"/>
  <c r="T45" i="114"/>
  <c r="T32" i="119"/>
  <c r="T49" i="118"/>
  <c r="V21" i="117"/>
  <c r="T28" i="120"/>
  <c r="T10" i="120"/>
  <c r="G32" i="72"/>
  <c r="K32" i="72"/>
  <c r="M37" i="72"/>
  <c r="N37" i="72"/>
  <c r="I48" i="72"/>
  <c r="M48" i="72"/>
  <c r="N20" i="72"/>
  <c r="M20" i="72"/>
  <c r="G27" i="72"/>
  <c r="K9" i="72"/>
  <c r="N42" i="72"/>
  <c r="G23" i="72"/>
  <c r="K71" i="72"/>
  <c r="N71" i="72"/>
  <c r="G45" i="72"/>
  <c r="Q11" i="116"/>
  <c r="S11" i="116" s="1"/>
  <c r="AS10" i="72"/>
  <c r="M16" i="72"/>
  <c r="H18" i="72"/>
  <c r="L42" i="72"/>
  <c r="F45" i="72"/>
  <c r="K51" i="72"/>
  <c r="N51" i="72"/>
  <c r="I57" i="72"/>
  <c r="Q11" i="118"/>
  <c r="S11" i="118" s="1"/>
  <c r="Q31" i="119"/>
  <c r="S31" i="119" s="1"/>
  <c r="Q31" i="120"/>
  <c r="S31" i="120" s="1"/>
  <c r="Q63" i="119"/>
  <c r="S63" i="119" s="1"/>
  <c r="Q63" i="120"/>
  <c r="S63" i="120" s="1"/>
  <c r="Q51" i="119"/>
  <c r="S51" i="119" s="1"/>
  <c r="Q51" i="120"/>
  <c r="S51" i="120" s="1"/>
  <c r="Q8" i="120"/>
  <c r="S8" i="120" s="1"/>
  <c r="Q8" i="119"/>
  <c r="S8" i="119" s="1"/>
  <c r="Q14" i="120"/>
  <c r="S14" i="120" s="1"/>
  <c r="Q14" i="119"/>
  <c r="S14" i="119" s="1"/>
  <c r="Q19" i="119"/>
  <c r="S19" i="119" s="1"/>
  <c r="Q19" i="120"/>
  <c r="S19" i="120" s="1"/>
  <c r="Q62" i="118"/>
  <c r="S62" i="118" s="1"/>
  <c r="Q62" i="119"/>
  <c r="S62" i="119" s="1"/>
  <c r="S11" i="113"/>
  <c r="U11" i="113" s="1"/>
  <c r="S31" i="117"/>
  <c r="U31" i="117" s="1"/>
  <c r="Q31" i="114"/>
  <c r="S31" i="114" s="1"/>
  <c r="Q63" i="118"/>
  <c r="S63" i="118" s="1"/>
  <c r="S51" i="117"/>
  <c r="U51" i="117" s="1"/>
  <c r="Q51" i="114"/>
  <c r="S51" i="114" s="1"/>
  <c r="Q8" i="114"/>
  <c r="S8" i="114" s="1"/>
  <c r="Q14" i="118"/>
  <c r="S14" i="118" s="1"/>
  <c r="S14" i="117"/>
  <c r="U14" i="117" s="1"/>
  <c r="Q19" i="118"/>
  <c r="S19" i="118" s="1"/>
  <c r="Q62" i="120"/>
  <c r="S62" i="120" s="1"/>
  <c r="S62" i="117"/>
  <c r="U62" i="117" s="1"/>
  <c r="S47" i="113"/>
  <c r="U47" i="113" s="1"/>
  <c r="Q47" i="116"/>
  <c r="S47" i="116" s="1"/>
  <c r="Q12" i="114"/>
  <c r="S12" i="114" s="1"/>
  <c r="Q15" i="119"/>
  <c r="S15" i="119" s="1"/>
  <c r="Q15" i="120"/>
  <c r="S15" i="120" s="1"/>
  <c r="Q73" i="119"/>
  <c r="S73" i="119" s="1"/>
  <c r="Q73" i="120"/>
  <c r="S73" i="120" s="1"/>
  <c r="L28" i="72" l="1"/>
  <c r="K31" i="72"/>
  <c r="G24" i="72"/>
  <c r="F47" i="72"/>
  <c r="F15" i="72"/>
  <c r="V19" i="117"/>
  <c r="K18" i="72" s="1"/>
  <c r="N40" i="72"/>
  <c r="L25" i="72"/>
  <c r="V63" i="117"/>
  <c r="K62" i="72" s="1"/>
  <c r="L53" i="72"/>
  <c r="M52" i="72"/>
  <c r="T73" i="116"/>
  <c r="I72" i="72" s="1"/>
  <c r="K43" i="72"/>
  <c r="N34" i="72"/>
  <c r="I64" i="72"/>
  <c r="K35" i="72"/>
  <c r="F22" i="72"/>
  <c r="V19" i="113"/>
  <c r="F18" i="72" s="1"/>
  <c r="K27" i="72"/>
  <c r="T62" i="114"/>
  <c r="T47" i="114"/>
  <c r="G46" i="72" s="1"/>
  <c r="L58" i="72"/>
  <c r="L40" i="72"/>
  <c r="G70" i="72"/>
  <c r="T12" i="118"/>
  <c r="T11" i="119"/>
  <c r="M10" i="72" s="1"/>
  <c r="T19" i="116"/>
  <c r="I18" i="72" s="1"/>
  <c r="T73" i="119"/>
  <c r="T47" i="116"/>
  <c r="V62" i="117"/>
  <c r="T14" i="118"/>
  <c r="T63" i="118"/>
  <c r="T62" i="119"/>
  <c r="T14" i="119"/>
  <c r="T51" i="120"/>
  <c r="T31" i="120"/>
  <c r="T11" i="116"/>
  <c r="N9" i="72"/>
  <c r="N27" i="72"/>
  <c r="K20" i="72"/>
  <c r="L48" i="72"/>
  <c r="M31" i="72"/>
  <c r="G44" i="72"/>
  <c r="M32" i="72"/>
  <c r="G39" i="72"/>
  <c r="N8" i="72"/>
  <c r="K33" i="72"/>
  <c r="I28" i="72"/>
  <c r="M68" i="72"/>
  <c r="N67" i="72"/>
  <c r="G19" i="72"/>
  <c r="N54" i="72"/>
  <c r="N22" i="72"/>
  <c r="K69" i="72"/>
  <c r="N63" i="72"/>
  <c r="F34" i="72"/>
  <c r="F56" i="72"/>
  <c r="F24" i="72"/>
  <c r="F58" i="72"/>
  <c r="F26" i="72"/>
  <c r="G17" i="72"/>
  <c r="N38" i="72"/>
  <c r="F64" i="72"/>
  <c r="N47" i="72"/>
  <c r="G15" i="72"/>
  <c r="K29" i="72"/>
  <c r="I40" i="72"/>
  <c r="M74" i="72"/>
  <c r="N65" i="72"/>
  <c r="F60" i="72"/>
  <c r="I59" i="72"/>
  <c r="K73" i="72"/>
  <c r="K41" i="72"/>
  <c r="M36" i="72"/>
  <c r="L35" i="72"/>
  <c r="I70" i="72"/>
  <c r="N16" i="72"/>
  <c r="G31" i="72"/>
  <c r="G72" i="72"/>
  <c r="K72" i="72"/>
  <c r="L14" i="72"/>
  <c r="F11" i="72"/>
  <c r="I11" i="72"/>
  <c r="K46" i="72"/>
  <c r="F48" i="72"/>
  <c r="F39" i="72"/>
  <c r="N33" i="72"/>
  <c r="K28" i="72"/>
  <c r="N43" i="72"/>
  <c r="F43" i="72"/>
  <c r="L67" i="72"/>
  <c r="N19" i="72"/>
  <c r="K54" i="72"/>
  <c r="L22" i="72"/>
  <c r="F69" i="72"/>
  <c r="F21" i="72"/>
  <c r="F63" i="72"/>
  <c r="K56" i="72"/>
  <c r="L24" i="72"/>
  <c r="G58" i="72"/>
  <c r="N17" i="72"/>
  <c r="K38" i="72"/>
  <c r="L64" i="72"/>
  <c r="M47" i="72"/>
  <c r="T15" i="114"/>
  <c r="T12" i="119"/>
  <c r="T47" i="118"/>
  <c r="G69" i="72"/>
  <c r="F72" i="72"/>
  <c r="I14" i="72"/>
  <c r="F14" i="72"/>
  <c r="K11" i="72"/>
  <c r="N46" i="72"/>
  <c r="M46" i="72"/>
  <c r="I61" i="72"/>
  <c r="G18" i="72"/>
  <c r="G13" i="72"/>
  <c r="K7" i="72"/>
  <c r="L7" i="72"/>
  <c r="L50" i="72"/>
  <c r="G62" i="72"/>
  <c r="L30" i="72"/>
  <c r="F49" i="72"/>
  <c r="N10" i="72"/>
  <c r="M9" i="72"/>
  <c r="M27" i="72"/>
  <c r="G20" i="72"/>
  <c r="N31" i="72"/>
  <c r="K44" i="72"/>
  <c r="G37" i="72"/>
  <c r="N32" i="72"/>
  <c r="M8" i="72"/>
  <c r="L33" i="72"/>
  <c r="F28" i="72"/>
  <c r="G43" i="72"/>
  <c r="N68" i="72"/>
  <c r="K67" i="72"/>
  <c r="M54" i="72"/>
  <c r="M22" i="72"/>
  <c r="N69" i="72"/>
  <c r="G21" i="72"/>
  <c r="K63" i="72"/>
  <c r="I34" i="72"/>
  <c r="I56" i="72"/>
  <c r="I24" i="72"/>
  <c r="I58" i="72"/>
  <c r="I26" i="72"/>
  <c r="M38" i="72"/>
  <c r="M64" i="72"/>
  <c r="N64" i="72"/>
  <c r="K47" i="72"/>
  <c r="L29" i="72"/>
  <c r="F40" i="72"/>
  <c r="I55" i="72"/>
  <c r="N74" i="72"/>
  <c r="K65" i="72"/>
  <c r="I60" i="72"/>
  <c r="N73" i="72"/>
  <c r="G41" i="72"/>
  <c r="G25" i="72"/>
  <c r="N36" i="72"/>
  <c r="F70" i="72"/>
  <c r="I53" i="72"/>
  <c r="M66" i="72"/>
  <c r="M44" i="72"/>
  <c r="O7" i="119"/>
  <c r="Q7" i="117"/>
  <c r="Q7" i="113"/>
  <c r="O7" i="120"/>
  <c r="O7" i="118"/>
  <c r="O7" i="116"/>
  <c r="O7" i="114"/>
  <c r="F61" i="72"/>
  <c r="F13" i="72"/>
  <c r="I13" i="72"/>
  <c r="F7" i="72"/>
  <c r="I7" i="72"/>
  <c r="I50" i="72"/>
  <c r="F50" i="72"/>
  <c r="I62" i="72"/>
  <c r="F62" i="72"/>
  <c r="I30" i="72"/>
  <c r="F30" i="72"/>
  <c r="G10" i="72"/>
  <c r="K10" i="72"/>
  <c r="L8" i="72"/>
  <c r="M33" i="72"/>
  <c r="G28" i="72"/>
  <c r="I43" i="72"/>
  <c r="L68" i="72"/>
  <c r="M67" i="72"/>
  <c r="M19" i="72"/>
  <c r="G54" i="72"/>
  <c r="L69" i="72"/>
  <c r="M15" i="72"/>
  <c r="M29" i="72"/>
  <c r="G40" i="72"/>
  <c r="F55" i="72"/>
  <c r="L65" i="72"/>
  <c r="K60" i="72"/>
  <c r="G59" i="72"/>
  <c r="G73" i="72"/>
  <c r="I41" i="72"/>
  <c r="I25" i="72"/>
  <c r="L36" i="72"/>
  <c r="M35" i="72"/>
  <c r="G53" i="72"/>
  <c r="L16" i="72"/>
  <c r="G66" i="72"/>
  <c r="I52" i="72"/>
  <c r="M12" i="72"/>
  <c r="N57" i="72"/>
  <c r="I51" i="72"/>
  <c r="M45" i="72"/>
  <c r="M71" i="72"/>
  <c r="N23" i="72"/>
  <c r="K42" i="72"/>
  <c r="L49" i="72"/>
  <c r="L12" i="72"/>
  <c r="G57" i="72"/>
  <c r="L51" i="72"/>
  <c r="L45" i="72"/>
  <c r="I71" i="72"/>
  <c r="K23" i="72"/>
  <c r="I42" i="72"/>
  <c r="L27" i="72"/>
  <c r="L32" i="72"/>
  <c r="M49" i="72"/>
  <c r="M57" i="72"/>
  <c r="K45" i="72"/>
  <c r="F42" i="72"/>
  <c r="I21" i="72"/>
  <c r="G63" i="72"/>
  <c r="L34" i="72"/>
  <c r="G56" i="72"/>
  <c r="K58" i="72"/>
  <c r="L26" i="72"/>
  <c r="M17" i="72"/>
  <c r="G38" i="72"/>
  <c r="L47" i="72"/>
  <c r="N15" i="72"/>
  <c r="N29" i="72"/>
  <c r="K40" i="72"/>
  <c r="G55" i="72"/>
  <c r="L74" i="72"/>
  <c r="M65" i="72"/>
  <c r="G60" i="72"/>
  <c r="F59" i="72"/>
  <c r="F73" i="72"/>
  <c r="F41" i="72"/>
  <c r="F25" i="72"/>
  <c r="N35" i="72"/>
  <c r="K70" i="72"/>
  <c r="F53" i="72"/>
  <c r="K66" i="72"/>
  <c r="F52" i="72"/>
  <c r="I49" i="72"/>
  <c r="N12" i="72"/>
  <c r="K57" i="72"/>
  <c r="N45" i="72"/>
  <c r="L71" i="72"/>
  <c r="F71" i="72"/>
  <c r="M23" i="72"/>
  <c r="L52" i="72"/>
  <c r="L57" i="72"/>
  <c r="M51" i="72"/>
  <c r="L23" i="72"/>
  <c r="G9" i="72"/>
  <c r="F20" i="72"/>
  <c r="T15" i="119"/>
  <c r="T19" i="118"/>
  <c r="T51" i="114"/>
  <c r="V31" i="117"/>
  <c r="T19" i="120"/>
  <c r="T8" i="119"/>
  <c r="T63" i="120"/>
  <c r="T11" i="118"/>
  <c r="T73" i="120"/>
  <c r="T15" i="120"/>
  <c r="T12" i="114"/>
  <c r="V47" i="113"/>
  <c r="T62" i="120"/>
  <c r="V14" i="117"/>
  <c r="T8" i="114"/>
  <c r="V51" i="117"/>
  <c r="T31" i="114"/>
  <c r="V11" i="113"/>
  <c r="T62" i="118"/>
  <c r="T19" i="119"/>
  <c r="T14" i="120"/>
  <c r="T8" i="120"/>
  <c r="T51" i="119"/>
  <c r="T63" i="119"/>
  <c r="T31" i="119"/>
  <c r="S7" i="115"/>
  <c r="Q76" i="115"/>
  <c r="AR6" i="72"/>
  <c r="P76" i="115"/>
  <c r="T73" i="118"/>
  <c r="V15" i="117"/>
  <c r="T12" i="120"/>
  <c r="G61" i="72" l="1"/>
  <c r="L11" i="72"/>
  <c r="K14" i="72"/>
  <c r="M30" i="72"/>
  <c r="M50" i="72"/>
  <c r="N7" i="72"/>
  <c r="M18" i="72"/>
  <c r="L61" i="72"/>
  <c r="F10" i="72"/>
  <c r="G30" i="72"/>
  <c r="K50" i="72"/>
  <c r="G7" i="72"/>
  <c r="K13" i="72"/>
  <c r="N61" i="72"/>
  <c r="F46" i="72"/>
  <c r="G11" i="72"/>
  <c r="N14" i="72"/>
  <c r="N72" i="72"/>
  <c r="L10" i="72"/>
  <c r="N62" i="72"/>
  <c r="M7" i="72"/>
  <c r="N18" i="72"/>
  <c r="K30" i="72"/>
  <c r="G50" i="72"/>
  <c r="L18" i="72"/>
  <c r="M14" i="72"/>
  <c r="M6" i="100"/>
  <c r="O76" i="116"/>
  <c r="P7" i="116"/>
  <c r="Q7" i="116" s="1"/>
  <c r="Q6" i="100"/>
  <c r="O76" i="120"/>
  <c r="P7" i="120"/>
  <c r="Q7" i="120" s="1"/>
  <c r="J6" i="100"/>
  <c r="R7" i="113"/>
  <c r="S7" i="113" s="1"/>
  <c r="Q76" i="113"/>
  <c r="P6" i="100"/>
  <c r="O76" i="119"/>
  <c r="P7" i="119"/>
  <c r="Q7" i="119" s="1"/>
  <c r="L46" i="72"/>
  <c r="M11" i="72"/>
  <c r="G14" i="72"/>
  <c r="I10" i="72"/>
  <c r="N30" i="72"/>
  <c r="N50" i="72"/>
  <c r="M13" i="72"/>
  <c r="M61" i="72"/>
  <c r="L62" i="72"/>
  <c r="L13" i="72"/>
  <c r="K61" i="72"/>
  <c r="I46" i="72"/>
  <c r="M72" i="72"/>
  <c r="N11" i="72"/>
  <c r="L72" i="72"/>
  <c r="T7" i="115"/>
  <c r="S76" i="115"/>
  <c r="M62" i="72"/>
  <c r="N13" i="72"/>
  <c r="K6" i="100"/>
  <c r="O77" i="114"/>
  <c r="P7" i="114"/>
  <c r="Q7" i="114" s="1"/>
  <c r="O6" i="100"/>
  <c r="P7" i="118"/>
  <c r="Q7" i="118" s="1"/>
  <c r="O76" i="118"/>
  <c r="N6" i="100"/>
  <c r="Q76" i="117"/>
  <c r="R7" i="117"/>
  <c r="S7" i="117" s="1"/>
  <c r="F8" i="5"/>
  <c r="S7" i="118" l="1"/>
  <c r="Q76" i="118"/>
  <c r="AU6" i="72"/>
  <c r="P76" i="118"/>
  <c r="S7" i="114"/>
  <c r="Q77" i="114"/>
  <c r="H6" i="72"/>
  <c r="T76" i="115"/>
  <c r="P76" i="119"/>
  <c r="AV6" i="72"/>
  <c r="P76" i="120"/>
  <c r="AW6" i="72"/>
  <c r="AS6" i="72"/>
  <c r="P76" i="116"/>
  <c r="U7" i="117"/>
  <c r="S76" i="117"/>
  <c r="AT6" i="72"/>
  <c r="R76" i="117"/>
  <c r="AQ6" i="72"/>
  <c r="P77" i="114"/>
  <c r="S7" i="119"/>
  <c r="Q76" i="119"/>
  <c r="U7" i="113"/>
  <c r="S76" i="113"/>
  <c r="AP6" i="72"/>
  <c r="R76" i="113"/>
  <c r="S7" i="120"/>
  <c r="Q76" i="120"/>
  <c r="S7" i="116"/>
  <c r="Q76" i="116"/>
  <c r="B10" i="5"/>
  <c r="F9" i="5"/>
  <c r="F10" i="5" s="1"/>
  <c r="S77" i="114" l="1"/>
  <c r="T7" i="114"/>
  <c r="T7" i="118"/>
  <c r="S76" i="118"/>
  <c r="T7" i="116"/>
  <c r="T7" i="120"/>
  <c r="S76" i="120"/>
  <c r="V7" i="113"/>
  <c r="U76" i="113"/>
  <c r="T7" i="119"/>
  <c r="S76" i="119"/>
  <c r="V7" i="117"/>
  <c r="U76" i="117"/>
  <c r="E13" i="81"/>
  <c r="E18" i="81" s="1"/>
  <c r="K6" i="72" l="1"/>
  <c r="V76" i="117"/>
  <c r="V76" i="113"/>
  <c r="F6" i="72"/>
  <c r="I6" i="72"/>
  <c r="M6" i="72"/>
  <c r="T76" i="119"/>
  <c r="N6" i="72"/>
  <c r="T76" i="120"/>
  <c r="L6" i="72"/>
  <c r="T76" i="118"/>
  <c r="G6" i="72"/>
  <c r="T77" i="114"/>
  <c r="H13" i="81"/>
  <c r="G13" i="81"/>
  <c r="H18" i="81" l="1"/>
  <c r="G18" i="81"/>
  <c r="P63" i="87" l="1"/>
  <c r="P12" i="87"/>
  <c r="P47" i="87"/>
  <c r="P65" i="87"/>
  <c r="P21" i="87"/>
  <c r="P25" i="87"/>
  <c r="P62" i="87"/>
  <c r="P17" i="87"/>
  <c r="P19" i="87"/>
  <c r="P49" i="87"/>
  <c r="P10" i="87"/>
  <c r="P53" i="87"/>
  <c r="P73" i="87"/>
  <c r="P18" i="87"/>
  <c r="P14" i="87"/>
  <c r="P11" i="87"/>
  <c r="P31" i="87"/>
  <c r="P16" i="87"/>
  <c r="P48" i="87"/>
  <c r="P39" i="87"/>
  <c r="P28" i="87"/>
  <c r="P27" i="87"/>
  <c r="P43" i="87"/>
  <c r="P59" i="87"/>
  <c r="P24" i="87"/>
  <c r="P8" i="87"/>
  <c r="P35" i="87"/>
  <c r="P67" i="87"/>
  <c r="P64" i="87"/>
  <c r="P33" i="87"/>
  <c r="P22" i="87"/>
  <c r="P38" i="87"/>
  <c r="P70" i="87"/>
  <c r="P55" i="87"/>
  <c r="P71" i="87"/>
  <c r="P20" i="87"/>
  <c r="P36" i="87"/>
  <c r="P68" i="87"/>
  <c r="P37" i="87"/>
  <c r="P69" i="87"/>
  <c r="P26" i="87"/>
  <c r="P74" i="87"/>
  <c r="P13" i="87"/>
  <c r="P44" i="87"/>
  <c r="P60" i="87"/>
  <c r="P29" i="87"/>
  <c r="P61" i="87"/>
  <c r="P34" i="87"/>
  <c r="P66" i="87"/>
  <c r="P9" i="87"/>
  <c r="P75" i="87"/>
  <c r="P40" i="87"/>
  <c r="P56" i="87"/>
  <c r="P72" i="87"/>
  <c r="P41" i="87"/>
  <c r="P57" i="87"/>
  <c r="P30" i="87"/>
  <c r="P46" i="87"/>
  <c r="Q41" i="87" l="1"/>
  <c r="AC40" i="100"/>
  <c r="Q61" i="87"/>
  <c r="AC60" i="100"/>
  <c r="Q37" i="87"/>
  <c r="AC36" i="100"/>
  <c r="Q35" i="87"/>
  <c r="AC34" i="100"/>
  <c r="Q14" i="87"/>
  <c r="AC13" i="100"/>
  <c r="Q47" i="87"/>
  <c r="AC46" i="100"/>
  <c r="Q72" i="87"/>
  <c r="AC71" i="100"/>
  <c r="Q9" i="87"/>
  <c r="AC8" i="100"/>
  <c r="Q29" i="87"/>
  <c r="AC28" i="100"/>
  <c r="Q74" i="87"/>
  <c r="AC73" i="100"/>
  <c r="Q68" i="87"/>
  <c r="AC67" i="100"/>
  <c r="Q55" i="87"/>
  <c r="AC54" i="100"/>
  <c r="Q33" i="87"/>
  <c r="AC32" i="100"/>
  <c r="Q8" i="87"/>
  <c r="AC7" i="100"/>
  <c r="Q27" i="87"/>
  <c r="AC26" i="100"/>
  <c r="Q16" i="87"/>
  <c r="AC15" i="100"/>
  <c r="Q18" i="87"/>
  <c r="AC17" i="100"/>
  <c r="Q49" i="87"/>
  <c r="AC48" i="100"/>
  <c r="Q25" i="87"/>
  <c r="AC24" i="100"/>
  <c r="Q12" i="87"/>
  <c r="AC11" i="100"/>
  <c r="Q75" i="87"/>
  <c r="AC74" i="100"/>
  <c r="Q71" i="87"/>
  <c r="AC70" i="100"/>
  <c r="Q43" i="87"/>
  <c r="AC42" i="100"/>
  <c r="Q48" i="87"/>
  <c r="AC47" i="100"/>
  <c r="Q62" i="87"/>
  <c r="AC61" i="100"/>
  <c r="Q46" i="87"/>
  <c r="AC45" i="100"/>
  <c r="Q30" i="87"/>
  <c r="AC29" i="100"/>
  <c r="Q56" i="87"/>
  <c r="AC55" i="100"/>
  <c r="Q66" i="87"/>
  <c r="AC65" i="100"/>
  <c r="Q60" i="87"/>
  <c r="AC59" i="100"/>
  <c r="Q26" i="87"/>
  <c r="AC25" i="100"/>
  <c r="Q36" i="87"/>
  <c r="AC35" i="100"/>
  <c r="Q70" i="87"/>
  <c r="AC69" i="100"/>
  <c r="Q64" i="87"/>
  <c r="AC63" i="100"/>
  <c r="Q24" i="87"/>
  <c r="AC23" i="100"/>
  <c r="Q28" i="87"/>
  <c r="AC27" i="100"/>
  <c r="Q31" i="87"/>
  <c r="AC30" i="100"/>
  <c r="Q73" i="87"/>
  <c r="AC72" i="100"/>
  <c r="Q19" i="87"/>
  <c r="AC18" i="100"/>
  <c r="Q21" i="87"/>
  <c r="AC20" i="100"/>
  <c r="Q63" i="87"/>
  <c r="AC62" i="100"/>
  <c r="Q13" i="87"/>
  <c r="AC12" i="100"/>
  <c r="Q22" i="87"/>
  <c r="AC21" i="100"/>
  <c r="Q10" i="87"/>
  <c r="AC9" i="100"/>
  <c r="Q57" i="87"/>
  <c r="AC56" i="100"/>
  <c r="Q40" i="87"/>
  <c r="AC39" i="100"/>
  <c r="Q34" i="87"/>
  <c r="AC33" i="100"/>
  <c r="Q44" i="87"/>
  <c r="AC43" i="100"/>
  <c r="Q69" i="87"/>
  <c r="AC68" i="100"/>
  <c r="Q20" i="87"/>
  <c r="AC19" i="100"/>
  <c r="Q38" i="87"/>
  <c r="AC37" i="100"/>
  <c r="Q67" i="87"/>
  <c r="AC66" i="100"/>
  <c r="Q59" i="87"/>
  <c r="AC58" i="100"/>
  <c r="Q39" i="87"/>
  <c r="AC38" i="100"/>
  <c r="Q11" i="87"/>
  <c r="AC10" i="100"/>
  <c r="Q53" i="87"/>
  <c r="AC52" i="100"/>
  <c r="Q17" i="87"/>
  <c r="AC16" i="100"/>
  <c r="Q65" i="87"/>
  <c r="AC64" i="100"/>
  <c r="P58" i="87"/>
  <c r="Q13" i="46"/>
  <c r="Q14" i="46"/>
  <c r="Q16" i="46"/>
  <c r="Q17" i="46"/>
  <c r="P23" i="87"/>
  <c r="Q10" i="46"/>
  <c r="Q11" i="46"/>
  <c r="Q12" i="46"/>
  <c r="Q29" i="46"/>
  <c r="P15" i="87"/>
  <c r="Q28" i="46"/>
  <c r="P32" i="87"/>
  <c r="P45" i="87"/>
  <c r="Q23" i="46"/>
  <c r="P50" i="87"/>
  <c r="P42" i="87"/>
  <c r="P54" i="87"/>
  <c r="P51" i="87"/>
  <c r="P52" i="87"/>
  <c r="Q35" i="46"/>
  <c r="P7" i="87"/>
  <c r="AC6" i="100" s="1"/>
  <c r="R65" i="87" l="1"/>
  <c r="T65" i="87" s="1"/>
  <c r="U65" i="87" s="1"/>
  <c r="BI64" i="72"/>
  <c r="R39" i="87"/>
  <c r="T39" i="87" s="1"/>
  <c r="U39" i="87" s="1"/>
  <c r="BI38" i="72"/>
  <c r="R67" i="87"/>
  <c r="T67" i="87" s="1"/>
  <c r="U67" i="87" s="1"/>
  <c r="BI66" i="72"/>
  <c r="R44" i="87"/>
  <c r="T44" i="87" s="1"/>
  <c r="U44" i="87" s="1"/>
  <c r="BI43" i="72"/>
  <c r="R40" i="87"/>
  <c r="T40" i="87" s="1"/>
  <c r="U40" i="87" s="1"/>
  <c r="BI39" i="72"/>
  <c r="R13" i="87"/>
  <c r="T13" i="87" s="1"/>
  <c r="U13" i="87" s="1"/>
  <c r="BI12" i="72"/>
  <c r="R21" i="87"/>
  <c r="T21" i="87" s="1"/>
  <c r="U21" i="87" s="1"/>
  <c r="BI20" i="72"/>
  <c r="R28" i="87"/>
  <c r="T28" i="87" s="1"/>
  <c r="U28" i="87" s="1"/>
  <c r="BI27" i="72"/>
  <c r="R36" i="87"/>
  <c r="T36" i="87" s="1"/>
  <c r="U36" i="87" s="1"/>
  <c r="BI35" i="72"/>
  <c r="R60" i="87"/>
  <c r="T60" i="87" s="1"/>
  <c r="U60" i="87" s="1"/>
  <c r="BI59" i="72"/>
  <c r="R46" i="87"/>
  <c r="T46" i="87" s="1"/>
  <c r="U46" i="87" s="1"/>
  <c r="BI45" i="72"/>
  <c r="R71" i="87"/>
  <c r="T71" i="87" s="1"/>
  <c r="U71" i="87" s="1"/>
  <c r="BI70" i="72"/>
  <c r="R12" i="87"/>
  <c r="T12" i="87" s="1"/>
  <c r="U12" i="87" s="1"/>
  <c r="BI11" i="72"/>
  <c r="R16" i="87"/>
  <c r="T16" i="87" s="1"/>
  <c r="BI15" i="72"/>
  <c r="R55" i="87"/>
  <c r="T55" i="87" s="1"/>
  <c r="U55" i="87" s="1"/>
  <c r="BI54" i="72"/>
  <c r="R74" i="87"/>
  <c r="T74" i="87" s="1"/>
  <c r="BI73" i="72"/>
  <c r="R47" i="87"/>
  <c r="T47" i="87" s="1"/>
  <c r="U47" i="87" s="1"/>
  <c r="BI46" i="72"/>
  <c r="R35" i="87"/>
  <c r="T35" i="87" s="1"/>
  <c r="BI34" i="72"/>
  <c r="R53" i="87"/>
  <c r="T53" i="87" s="1"/>
  <c r="U53" i="87" s="1"/>
  <c r="BI52" i="72"/>
  <c r="R20" i="87"/>
  <c r="T20" i="87" s="1"/>
  <c r="U20" i="87" s="1"/>
  <c r="BI19" i="72"/>
  <c r="R10" i="87"/>
  <c r="T10" i="87" s="1"/>
  <c r="U10" i="87" s="1"/>
  <c r="BI9" i="72"/>
  <c r="R73" i="87"/>
  <c r="T73" i="87" s="1"/>
  <c r="U73" i="87" s="1"/>
  <c r="BI72" i="72"/>
  <c r="R64" i="87"/>
  <c r="T64" i="87" s="1"/>
  <c r="U64" i="87" s="1"/>
  <c r="BI63" i="72"/>
  <c r="R56" i="87"/>
  <c r="T56" i="87" s="1"/>
  <c r="BI55" i="72"/>
  <c r="R48" i="87"/>
  <c r="T48" i="87" s="1"/>
  <c r="U48" i="87" s="1"/>
  <c r="BI47" i="72"/>
  <c r="R49" i="87"/>
  <c r="T49" i="87" s="1"/>
  <c r="BI48" i="72"/>
  <c r="R8" i="87"/>
  <c r="T8" i="87" s="1"/>
  <c r="U8" i="87" s="1"/>
  <c r="BI7" i="72"/>
  <c r="R9" i="87"/>
  <c r="T9" i="87" s="1"/>
  <c r="BI8" i="72"/>
  <c r="R61" i="87"/>
  <c r="T61" i="87" s="1"/>
  <c r="U61" i="87" s="1"/>
  <c r="BI60" i="72"/>
  <c r="R17" i="87"/>
  <c r="T17" i="87" s="1"/>
  <c r="BI16" i="72"/>
  <c r="R11" i="87"/>
  <c r="T11" i="87" s="1"/>
  <c r="U11" i="87" s="1"/>
  <c r="BI10" i="72"/>
  <c r="R59" i="87"/>
  <c r="T59" i="87" s="1"/>
  <c r="U59" i="87" s="1"/>
  <c r="BI58" i="72"/>
  <c r="R38" i="87"/>
  <c r="T38" i="87" s="1"/>
  <c r="U38" i="87" s="1"/>
  <c r="BI37" i="72"/>
  <c r="R69" i="87"/>
  <c r="T69" i="87" s="1"/>
  <c r="U69" i="87" s="1"/>
  <c r="BI68" i="72"/>
  <c r="R34" i="87"/>
  <c r="T34" i="87" s="1"/>
  <c r="U34" i="87" s="1"/>
  <c r="BI33" i="72"/>
  <c r="R57" i="87"/>
  <c r="T57" i="87" s="1"/>
  <c r="BI56" i="72"/>
  <c r="R22" i="87"/>
  <c r="T22" i="87" s="1"/>
  <c r="BI21" i="72"/>
  <c r="R63" i="87"/>
  <c r="T63" i="87" s="1"/>
  <c r="BI62" i="72"/>
  <c r="R19" i="87"/>
  <c r="T19" i="87" s="1"/>
  <c r="U19" i="87" s="1"/>
  <c r="BI18" i="72"/>
  <c r="R31" i="87"/>
  <c r="T31" i="87" s="1"/>
  <c r="BI30" i="72"/>
  <c r="R24" i="87"/>
  <c r="T24" i="87" s="1"/>
  <c r="U24" i="87" s="1"/>
  <c r="BI23" i="72"/>
  <c r="R70" i="87"/>
  <c r="T70" i="87" s="1"/>
  <c r="BI69" i="72"/>
  <c r="R26" i="87"/>
  <c r="T26" i="87" s="1"/>
  <c r="U26" i="87" s="1"/>
  <c r="BI25" i="72"/>
  <c r="R66" i="87"/>
  <c r="T66" i="87" s="1"/>
  <c r="BI65" i="72"/>
  <c r="R30" i="87"/>
  <c r="T30" i="87" s="1"/>
  <c r="BI29" i="72"/>
  <c r="R62" i="87"/>
  <c r="T62" i="87" s="1"/>
  <c r="U62" i="87" s="1"/>
  <c r="BI61" i="72"/>
  <c r="R43" i="87"/>
  <c r="T43" i="87" s="1"/>
  <c r="BI42" i="72"/>
  <c r="R75" i="87"/>
  <c r="T75" i="87" s="1"/>
  <c r="BI74" i="72"/>
  <c r="R25" i="87"/>
  <c r="T25" i="87" s="1"/>
  <c r="U25" i="87" s="1"/>
  <c r="BI24" i="72"/>
  <c r="R18" i="87"/>
  <c r="T18" i="87" s="1"/>
  <c r="BI17" i="72"/>
  <c r="R27" i="87"/>
  <c r="T27" i="87" s="1"/>
  <c r="U27" i="87" s="1"/>
  <c r="BI26" i="72"/>
  <c r="R33" i="87"/>
  <c r="T33" i="87" s="1"/>
  <c r="U33" i="87" s="1"/>
  <c r="BI32" i="72"/>
  <c r="R68" i="87"/>
  <c r="T68" i="87" s="1"/>
  <c r="U68" i="87" s="1"/>
  <c r="BI67" i="72"/>
  <c r="R29" i="87"/>
  <c r="T29" i="87" s="1"/>
  <c r="U29" i="87" s="1"/>
  <c r="BI28" i="72"/>
  <c r="R72" i="87"/>
  <c r="T72" i="87" s="1"/>
  <c r="U72" i="87" s="1"/>
  <c r="BI71" i="72"/>
  <c r="R14" i="87"/>
  <c r="T14" i="87" s="1"/>
  <c r="BI13" i="72"/>
  <c r="R37" i="87"/>
  <c r="T37" i="87" s="1"/>
  <c r="U37" i="87" s="1"/>
  <c r="BI36" i="72"/>
  <c r="R41" i="87"/>
  <c r="T41" i="87" s="1"/>
  <c r="U41" i="87" s="1"/>
  <c r="BI40" i="72"/>
  <c r="U16" i="46"/>
  <c r="Q52" i="87"/>
  <c r="AC51" i="100"/>
  <c r="Q50" i="87"/>
  <c r="AC49" i="100"/>
  <c r="Q15" i="87"/>
  <c r="AC14" i="100"/>
  <c r="Q58" i="87"/>
  <c r="AC57" i="100"/>
  <c r="Q54" i="87"/>
  <c r="AC53" i="100"/>
  <c r="Q51" i="87"/>
  <c r="AC50" i="100"/>
  <c r="Q32" i="87"/>
  <c r="AC31" i="100"/>
  <c r="Q45" i="87"/>
  <c r="AC44" i="100"/>
  <c r="Q23" i="87"/>
  <c r="AC22" i="100"/>
  <c r="Q42" i="87"/>
  <c r="AC41" i="100"/>
  <c r="Q7" i="87"/>
  <c r="BI6" i="72" s="1"/>
  <c r="P76" i="87"/>
  <c r="N18" i="89"/>
  <c r="N18" i="85"/>
  <c r="AA17" i="100" s="1"/>
  <c r="N18" i="91"/>
  <c r="N18" i="86"/>
  <c r="N18" i="92"/>
  <c r="N18" i="88"/>
  <c r="P15" i="76"/>
  <c r="Y17" i="100" s="1"/>
  <c r="P15" i="80"/>
  <c r="Z17" i="100" s="1"/>
  <c r="N17" i="92"/>
  <c r="P14" i="76"/>
  <c r="Y16" i="100" s="1"/>
  <c r="N17" i="86"/>
  <c r="N17" i="85"/>
  <c r="AA16" i="100" s="1"/>
  <c r="N17" i="88"/>
  <c r="N17" i="89"/>
  <c r="N17" i="91"/>
  <c r="P14" i="80"/>
  <c r="Z16" i="100" s="1"/>
  <c r="N19" i="91"/>
  <c r="P16" i="80"/>
  <c r="Z18" i="100" s="1"/>
  <c r="N19" i="92"/>
  <c r="P16" i="76"/>
  <c r="Y18" i="100" s="1"/>
  <c r="N19" i="86"/>
  <c r="N19" i="85"/>
  <c r="AA18" i="100" s="1"/>
  <c r="N19" i="88"/>
  <c r="N19" i="89"/>
  <c r="N31" i="92"/>
  <c r="P28" i="76"/>
  <c r="Y30" i="100" s="1"/>
  <c r="N31" i="86"/>
  <c r="N31" i="85"/>
  <c r="AA30" i="100" s="1"/>
  <c r="N31" i="88"/>
  <c r="N31" i="89"/>
  <c r="N31" i="91"/>
  <c r="P28" i="80"/>
  <c r="Z30" i="100" s="1"/>
  <c r="N14" i="91"/>
  <c r="N14" i="86"/>
  <c r="N14" i="92"/>
  <c r="N14" i="88"/>
  <c r="P11" i="76"/>
  <c r="Y13" i="100" s="1"/>
  <c r="P11" i="80"/>
  <c r="Z13" i="100" s="1"/>
  <c r="N14" i="89"/>
  <c r="N14" i="85"/>
  <c r="AA13" i="100" s="1"/>
  <c r="N50" i="89"/>
  <c r="N50" i="86"/>
  <c r="N50" i="91"/>
  <c r="N50" i="88"/>
  <c r="N50" i="92"/>
  <c r="P47" i="76"/>
  <c r="Y49" i="100" s="1"/>
  <c r="N50" i="85"/>
  <c r="AA49" i="100" s="1"/>
  <c r="P47" i="80"/>
  <c r="Z49" i="100" s="1"/>
  <c r="AN44" i="72"/>
  <c r="U28" i="46"/>
  <c r="Q30" i="46"/>
  <c r="R29" i="46"/>
  <c r="S29" i="46"/>
  <c r="S30" i="46" s="1"/>
  <c r="AN14" i="72" s="1"/>
  <c r="N47" i="92"/>
  <c r="P44" i="76"/>
  <c r="Y46" i="100" s="1"/>
  <c r="N47" i="86"/>
  <c r="N47" i="85"/>
  <c r="AA46" i="100" s="1"/>
  <c r="N47" i="88"/>
  <c r="N47" i="89"/>
  <c r="N47" i="91"/>
  <c r="P44" i="80"/>
  <c r="Z46" i="100" s="1"/>
  <c r="N63" i="91"/>
  <c r="P60" i="80"/>
  <c r="Z62" i="100" s="1"/>
  <c r="N63" i="92"/>
  <c r="P60" i="76"/>
  <c r="Y62" i="100" s="1"/>
  <c r="N63" i="86"/>
  <c r="N63" i="85"/>
  <c r="AA62" i="100" s="1"/>
  <c r="N63" i="88"/>
  <c r="N63" i="89"/>
  <c r="N65" i="88"/>
  <c r="N65" i="89"/>
  <c r="N65" i="91"/>
  <c r="P62" i="80"/>
  <c r="Z64" i="100" s="1"/>
  <c r="N65" i="92"/>
  <c r="P62" i="76"/>
  <c r="Y64" i="100" s="1"/>
  <c r="N65" i="86"/>
  <c r="N65" i="85"/>
  <c r="AA64" i="100" s="1"/>
  <c r="N12" i="89"/>
  <c r="N12" i="85"/>
  <c r="AA11" i="100" s="1"/>
  <c r="N12" i="91"/>
  <c r="N12" i="86"/>
  <c r="N12" i="92"/>
  <c r="N12" i="88"/>
  <c r="P9" i="76"/>
  <c r="Y11" i="100" s="1"/>
  <c r="P9" i="80"/>
  <c r="Z11" i="100" s="1"/>
  <c r="N54" i="85"/>
  <c r="AA53" i="100" s="1"/>
  <c r="P51" i="80"/>
  <c r="Z53" i="100" s="1"/>
  <c r="N54" i="89"/>
  <c r="N54" i="86"/>
  <c r="N54" i="91"/>
  <c r="N54" i="88"/>
  <c r="N54" i="92"/>
  <c r="P51" i="76"/>
  <c r="Y53" i="100" s="1"/>
  <c r="N49" i="91"/>
  <c r="P46" i="80"/>
  <c r="Z48" i="100" s="1"/>
  <c r="N49" i="92"/>
  <c r="P46" i="76"/>
  <c r="Y48" i="100" s="1"/>
  <c r="N49" i="86"/>
  <c r="N49" i="85"/>
  <c r="AA48" i="100" s="1"/>
  <c r="N49" i="88"/>
  <c r="N49" i="89"/>
  <c r="N21" i="88"/>
  <c r="N21" i="89"/>
  <c r="N21" i="91"/>
  <c r="P18" i="80"/>
  <c r="Z20" i="100" s="1"/>
  <c r="N21" i="92"/>
  <c r="P18" i="76"/>
  <c r="Y20" i="100" s="1"/>
  <c r="N21" i="86"/>
  <c r="N21" i="85"/>
  <c r="AA20" i="100" s="1"/>
  <c r="N10" i="89"/>
  <c r="N10" i="85"/>
  <c r="AA9" i="100" s="1"/>
  <c r="N10" i="91"/>
  <c r="N10" i="86"/>
  <c r="N10" i="92"/>
  <c r="N10" i="88"/>
  <c r="P7" i="76"/>
  <c r="Y9" i="100" s="1"/>
  <c r="P7" i="80"/>
  <c r="Z9" i="100" s="1"/>
  <c r="P39" i="80"/>
  <c r="Z41" i="100" s="1"/>
  <c r="N42" i="92"/>
  <c r="N42" i="88"/>
  <c r="P39" i="76"/>
  <c r="Y41" i="100" s="1"/>
  <c r="N42" i="91"/>
  <c r="N42" i="86"/>
  <c r="N42" i="89"/>
  <c r="N42" i="85"/>
  <c r="AA41" i="100" s="1"/>
  <c r="N53" i="88"/>
  <c r="N53" i="89"/>
  <c r="N53" i="91"/>
  <c r="P50" i="80"/>
  <c r="Z52" i="100" s="1"/>
  <c r="N53" i="92"/>
  <c r="P50" i="76"/>
  <c r="Y52" i="100" s="1"/>
  <c r="N53" i="86"/>
  <c r="N53" i="85"/>
  <c r="AA52" i="100" s="1"/>
  <c r="N25" i="86"/>
  <c r="N25" i="85"/>
  <c r="AA24" i="100" s="1"/>
  <c r="N25" i="88"/>
  <c r="N25" i="89"/>
  <c r="N25" i="91"/>
  <c r="P22" i="80"/>
  <c r="Z24" i="100" s="1"/>
  <c r="N25" i="92"/>
  <c r="P22" i="76"/>
  <c r="Y24" i="100" s="1"/>
  <c r="N73" i="92"/>
  <c r="P70" i="76"/>
  <c r="Y72" i="100" s="1"/>
  <c r="N73" i="91"/>
  <c r="N73" i="88"/>
  <c r="N73" i="89"/>
  <c r="P70" i="80"/>
  <c r="Z72" i="100" s="1"/>
  <c r="N73" i="86"/>
  <c r="N73" i="85"/>
  <c r="AA72" i="100" s="1"/>
  <c r="N62" i="91"/>
  <c r="N62" i="88"/>
  <c r="N62" i="89"/>
  <c r="N62" i="86"/>
  <c r="N62" i="85"/>
  <c r="P59" i="80"/>
  <c r="Z61" i="100" s="1"/>
  <c r="N62" i="92"/>
  <c r="P59" i="76"/>
  <c r="Y61" i="100" s="1"/>
  <c r="N11" i="88"/>
  <c r="N11" i="89"/>
  <c r="N11" i="91"/>
  <c r="P8" i="80"/>
  <c r="Z10" i="100" s="1"/>
  <c r="N11" i="92"/>
  <c r="P8" i="76"/>
  <c r="Y10" i="100" s="1"/>
  <c r="N11" i="86"/>
  <c r="N11" i="85"/>
  <c r="AA10" i="100" s="1"/>
  <c r="U35" i="46"/>
  <c r="Q18" i="46"/>
  <c r="S17" i="46"/>
  <c r="R17" i="46"/>
  <c r="U43" i="87" l="1"/>
  <c r="Z42" i="72" s="1"/>
  <c r="U22" i="87"/>
  <c r="U30" i="87"/>
  <c r="Z28" i="72"/>
  <c r="Z58" i="72"/>
  <c r="Z19" i="72"/>
  <c r="Z70" i="72"/>
  <c r="Z59" i="72"/>
  <c r="Z27" i="72"/>
  <c r="Z12" i="72"/>
  <c r="Z38" i="72"/>
  <c r="Z71" i="72"/>
  <c r="Z26" i="72"/>
  <c r="Z40" i="72"/>
  <c r="Z32" i="72"/>
  <c r="Z61" i="72"/>
  <c r="Z68" i="72"/>
  <c r="Z72" i="72"/>
  <c r="Z43" i="72"/>
  <c r="Z36" i="72"/>
  <c r="Z67" i="72"/>
  <c r="Z24" i="72"/>
  <c r="Z37" i="72"/>
  <c r="Z10" i="72"/>
  <c r="Z7" i="72"/>
  <c r="Z39" i="72"/>
  <c r="Z11" i="72"/>
  <c r="R23" i="87"/>
  <c r="T23" i="87" s="1"/>
  <c r="U23" i="87" s="1"/>
  <c r="BI22" i="72"/>
  <c r="Z60" i="72"/>
  <c r="R32" i="87"/>
  <c r="T32" i="87" s="1"/>
  <c r="U32" i="87" s="1"/>
  <c r="BI31" i="72"/>
  <c r="Z33" i="72"/>
  <c r="R51" i="87"/>
  <c r="T51" i="87" s="1"/>
  <c r="U51" i="87" s="1"/>
  <c r="BI50" i="72"/>
  <c r="Z47" i="72"/>
  <c r="Z23" i="72"/>
  <c r="R15" i="87"/>
  <c r="T15" i="87" s="1"/>
  <c r="U15" i="87" s="1"/>
  <c r="BI14" i="72"/>
  <c r="Z52" i="72"/>
  <c r="R52" i="87"/>
  <c r="T52" i="87" s="1"/>
  <c r="U52" i="87" s="1"/>
  <c r="BI51" i="72"/>
  <c r="Z64" i="72"/>
  <c r="U57" i="87"/>
  <c r="U18" i="87"/>
  <c r="Z46" i="72"/>
  <c r="U56" i="87"/>
  <c r="Z25" i="72"/>
  <c r="Z63" i="72"/>
  <c r="U14" i="87"/>
  <c r="R45" i="87"/>
  <c r="T45" i="87" s="1"/>
  <c r="U45" i="87" s="1"/>
  <c r="BI44" i="72"/>
  <c r="U9" i="87"/>
  <c r="Z66" i="72"/>
  <c r="U31" i="87"/>
  <c r="Z9" i="72"/>
  <c r="U63" i="87"/>
  <c r="U75" i="87"/>
  <c r="U35" i="87"/>
  <c r="U17" i="87"/>
  <c r="R54" i="87"/>
  <c r="T54" i="87" s="1"/>
  <c r="U54" i="87" s="1"/>
  <c r="BI53" i="72"/>
  <c r="U74" i="87"/>
  <c r="R58" i="87"/>
  <c r="T58" i="87" s="1"/>
  <c r="U58" i="87" s="1"/>
  <c r="BI57" i="72"/>
  <c r="R50" i="87"/>
  <c r="T50" i="87" s="1"/>
  <c r="U50" i="87" s="1"/>
  <c r="BI49" i="72"/>
  <c r="U49" i="87"/>
  <c r="Z45" i="72"/>
  <c r="U66" i="87"/>
  <c r="U70" i="87"/>
  <c r="U16" i="87"/>
  <c r="R42" i="87"/>
  <c r="T42" i="87" s="1"/>
  <c r="U42" i="87" s="1"/>
  <c r="BI41" i="72"/>
  <c r="Z20" i="72"/>
  <c r="Z35" i="72"/>
  <c r="Z18" i="72"/>
  <c r="Z54" i="72"/>
  <c r="Z29" i="72"/>
  <c r="AC75" i="100"/>
  <c r="Q76" i="87"/>
  <c r="O11" i="88"/>
  <c r="AD10" i="100"/>
  <c r="O25" i="91"/>
  <c r="AF24" i="100"/>
  <c r="O42" i="89"/>
  <c r="AE41" i="100"/>
  <c r="O49" i="88"/>
  <c r="AD48" i="100"/>
  <c r="O63" i="88"/>
  <c r="AD62" i="100"/>
  <c r="O47" i="92"/>
  <c r="AG46" i="100"/>
  <c r="O50" i="91"/>
  <c r="AF49" i="100"/>
  <c r="O19" i="86"/>
  <c r="AB18" i="100"/>
  <c r="O17" i="86"/>
  <c r="AB16" i="100"/>
  <c r="O11" i="86"/>
  <c r="AB10" i="100"/>
  <c r="O62" i="85"/>
  <c r="AA61" i="100"/>
  <c r="O73" i="91"/>
  <c r="AF72" i="100"/>
  <c r="O25" i="86"/>
  <c r="AB24" i="100"/>
  <c r="O53" i="92"/>
  <c r="AG52" i="100"/>
  <c r="O53" i="89"/>
  <c r="AE52" i="100"/>
  <c r="O10" i="92"/>
  <c r="AG9" i="100"/>
  <c r="O10" i="89"/>
  <c r="AE9" i="100"/>
  <c r="O21" i="92"/>
  <c r="AG20" i="100"/>
  <c r="O21" i="89"/>
  <c r="AE20" i="100"/>
  <c r="O54" i="86"/>
  <c r="AB53" i="100"/>
  <c r="O12" i="92"/>
  <c r="AG11" i="100"/>
  <c r="O12" i="89"/>
  <c r="AE11" i="100"/>
  <c r="O65" i="92"/>
  <c r="AG64" i="100"/>
  <c r="O65" i="89"/>
  <c r="AE64" i="100"/>
  <c r="O47" i="91"/>
  <c r="AF46" i="100"/>
  <c r="O50" i="86"/>
  <c r="AB49" i="100"/>
  <c r="O14" i="92"/>
  <c r="AG13" i="100"/>
  <c r="O31" i="91"/>
  <c r="AF30" i="100"/>
  <c r="O19" i="89"/>
  <c r="AE18" i="100"/>
  <c r="O17" i="89"/>
  <c r="AE16" i="100"/>
  <c r="O18" i="91"/>
  <c r="AF17" i="100"/>
  <c r="O73" i="92"/>
  <c r="AG72" i="100"/>
  <c r="O42" i="92"/>
  <c r="AG41" i="100"/>
  <c r="O49" i="92"/>
  <c r="AG48" i="100"/>
  <c r="O12" i="88"/>
  <c r="AD11" i="100"/>
  <c r="O14" i="89"/>
  <c r="AE13" i="100"/>
  <c r="O31" i="92"/>
  <c r="AG30" i="100"/>
  <c r="O11" i="91"/>
  <c r="AF10" i="100"/>
  <c r="O62" i="86"/>
  <c r="AB61" i="100"/>
  <c r="O62" i="91"/>
  <c r="AF61" i="100"/>
  <c r="O73" i="89"/>
  <c r="AE72" i="100"/>
  <c r="O25" i="92"/>
  <c r="AG24" i="100"/>
  <c r="O25" i="89"/>
  <c r="AE24" i="100"/>
  <c r="O53" i="88"/>
  <c r="AD52" i="100"/>
  <c r="O10" i="86"/>
  <c r="AB9" i="100"/>
  <c r="O21" i="88"/>
  <c r="AD20" i="100"/>
  <c r="O49" i="86"/>
  <c r="AB48" i="100"/>
  <c r="O49" i="91"/>
  <c r="AF48" i="100"/>
  <c r="O54" i="92"/>
  <c r="AG53" i="100"/>
  <c r="O54" i="89"/>
  <c r="AE53" i="100"/>
  <c r="O12" i="86"/>
  <c r="AB11" i="100"/>
  <c r="O65" i="88"/>
  <c r="AD64" i="100"/>
  <c r="O63" i="86"/>
  <c r="AB62" i="100"/>
  <c r="O63" i="91"/>
  <c r="AF62" i="100"/>
  <c r="O47" i="86"/>
  <c r="AB46" i="100"/>
  <c r="O50" i="92"/>
  <c r="AG49" i="100"/>
  <c r="O50" i="89"/>
  <c r="AE49" i="100"/>
  <c r="O14" i="86"/>
  <c r="AB13" i="100"/>
  <c r="O31" i="86"/>
  <c r="AB30" i="100"/>
  <c r="O19" i="88"/>
  <c r="AD18" i="100"/>
  <c r="O19" i="92"/>
  <c r="AG18" i="100"/>
  <c r="O17" i="88"/>
  <c r="AD16" i="100"/>
  <c r="O17" i="92"/>
  <c r="AG16" i="100"/>
  <c r="O18" i="88"/>
  <c r="AD17" i="100"/>
  <c r="O73" i="86"/>
  <c r="AB72" i="100"/>
  <c r="O42" i="91"/>
  <c r="AF41" i="100"/>
  <c r="O10" i="88"/>
  <c r="AD9" i="100"/>
  <c r="O54" i="91"/>
  <c r="AF53" i="100"/>
  <c r="O63" i="92"/>
  <c r="AG62" i="100"/>
  <c r="O47" i="88"/>
  <c r="AD46" i="100"/>
  <c r="O14" i="88"/>
  <c r="AD13" i="100"/>
  <c r="O31" i="88"/>
  <c r="AD30" i="100"/>
  <c r="O19" i="91"/>
  <c r="AF18" i="100"/>
  <c r="O18" i="86"/>
  <c r="AB17" i="100"/>
  <c r="O62" i="88"/>
  <c r="AD61" i="100"/>
  <c r="O11" i="92"/>
  <c r="AG10" i="100"/>
  <c r="O11" i="89"/>
  <c r="AE10" i="100"/>
  <c r="O62" i="92"/>
  <c r="AG61" i="100"/>
  <c r="O62" i="89"/>
  <c r="AE61" i="100"/>
  <c r="O73" i="88"/>
  <c r="AD72" i="100"/>
  <c r="O25" i="88"/>
  <c r="AD24" i="100"/>
  <c r="O53" i="86"/>
  <c r="AB52" i="100"/>
  <c r="O53" i="91"/>
  <c r="AF52" i="100"/>
  <c r="O42" i="86"/>
  <c r="AB41" i="100"/>
  <c r="O42" i="88"/>
  <c r="AD41" i="100"/>
  <c r="O10" i="91"/>
  <c r="AF9" i="100"/>
  <c r="O21" i="86"/>
  <c r="AB20" i="100"/>
  <c r="O21" i="91"/>
  <c r="AF20" i="100"/>
  <c r="O49" i="89"/>
  <c r="AE48" i="100"/>
  <c r="O54" i="88"/>
  <c r="AD53" i="100"/>
  <c r="O12" i="91"/>
  <c r="AF11" i="100"/>
  <c r="O65" i="86"/>
  <c r="AB64" i="100"/>
  <c r="O65" i="91"/>
  <c r="AF64" i="100"/>
  <c r="O63" i="89"/>
  <c r="AE62" i="100"/>
  <c r="O47" i="89"/>
  <c r="AE46" i="100"/>
  <c r="O50" i="88"/>
  <c r="AD49" i="100"/>
  <c r="O14" i="91"/>
  <c r="AF13" i="100"/>
  <c r="O31" i="89"/>
  <c r="AE30" i="100"/>
  <c r="O17" i="91"/>
  <c r="AF16" i="100"/>
  <c r="O18" i="92"/>
  <c r="AG17" i="100"/>
  <c r="O18" i="89"/>
  <c r="AE17" i="100"/>
  <c r="U14" i="46"/>
  <c r="N23" i="86"/>
  <c r="N23" i="85"/>
  <c r="AA22" i="100" s="1"/>
  <c r="N23" i="88"/>
  <c r="N23" i="89"/>
  <c r="N23" i="91"/>
  <c r="P20" i="80"/>
  <c r="Z22" i="100" s="1"/>
  <c r="N23" i="92"/>
  <c r="P20" i="76"/>
  <c r="Y22" i="100" s="1"/>
  <c r="N41" i="88"/>
  <c r="N41" i="89"/>
  <c r="N41" i="91"/>
  <c r="P38" i="80"/>
  <c r="Z40" i="100" s="1"/>
  <c r="N41" i="92"/>
  <c r="P38" i="76"/>
  <c r="Y40" i="100" s="1"/>
  <c r="N41" i="86"/>
  <c r="N41" i="85"/>
  <c r="AA40" i="100" s="1"/>
  <c r="N75" i="88"/>
  <c r="N75" i="89"/>
  <c r="P72" i="80"/>
  <c r="Z74" i="100" s="1"/>
  <c r="N75" i="86"/>
  <c r="N75" i="85"/>
  <c r="AA74" i="100" s="1"/>
  <c r="N75" i="92"/>
  <c r="P72" i="76"/>
  <c r="Y74" i="100" s="1"/>
  <c r="N75" i="91"/>
  <c r="N66" i="91"/>
  <c r="N66" i="88"/>
  <c r="N66" i="92"/>
  <c r="P63" i="76"/>
  <c r="Y65" i="100" s="1"/>
  <c r="N66" i="85"/>
  <c r="AA65" i="100" s="1"/>
  <c r="P63" i="80"/>
  <c r="Z65" i="100" s="1"/>
  <c r="N66" i="89"/>
  <c r="N66" i="86"/>
  <c r="N61" i="86"/>
  <c r="N61" i="85"/>
  <c r="AA60" i="100" s="1"/>
  <c r="N61" i="88"/>
  <c r="N61" i="89"/>
  <c r="N61" i="91"/>
  <c r="P58" i="80"/>
  <c r="Z60" i="100" s="1"/>
  <c r="N61" i="92"/>
  <c r="P58" i="76"/>
  <c r="Y60" i="100" s="1"/>
  <c r="N60" i="91"/>
  <c r="N60" i="88"/>
  <c r="N60" i="92"/>
  <c r="P57" i="76"/>
  <c r="Y59" i="100" s="1"/>
  <c r="N60" i="85"/>
  <c r="AA59" i="100" s="1"/>
  <c r="P57" i="80"/>
  <c r="Z59" i="100" s="1"/>
  <c r="N60" i="89"/>
  <c r="N60" i="86"/>
  <c r="N51" i="91"/>
  <c r="P48" i="80"/>
  <c r="Z50" i="100" s="1"/>
  <c r="N51" i="92"/>
  <c r="P48" i="76"/>
  <c r="Y50" i="100" s="1"/>
  <c r="N51" i="86"/>
  <c r="N51" i="85"/>
  <c r="AA50" i="100" s="1"/>
  <c r="N51" i="88"/>
  <c r="N51" i="89"/>
  <c r="N74" i="85"/>
  <c r="AA73" i="100" s="1"/>
  <c r="P71" i="80"/>
  <c r="Z73" i="100" s="1"/>
  <c r="N74" i="92"/>
  <c r="P71" i="76"/>
  <c r="Y73" i="100" s="1"/>
  <c r="N74" i="91"/>
  <c r="N74" i="88"/>
  <c r="N74" i="89"/>
  <c r="N74" i="86"/>
  <c r="P23" i="80"/>
  <c r="Z25" i="100" s="1"/>
  <c r="N26" i="89"/>
  <c r="N26" i="85"/>
  <c r="AA25" i="100" s="1"/>
  <c r="N26" i="91"/>
  <c r="N26" i="86"/>
  <c r="N26" i="92"/>
  <c r="N26" i="88"/>
  <c r="P23" i="76"/>
  <c r="Y25" i="100" s="1"/>
  <c r="N37" i="91"/>
  <c r="P34" i="80"/>
  <c r="Z36" i="100" s="1"/>
  <c r="N37" i="92"/>
  <c r="P34" i="76"/>
  <c r="Y36" i="100" s="1"/>
  <c r="N37" i="86"/>
  <c r="N37" i="85"/>
  <c r="AA36" i="100" s="1"/>
  <c r="N37" i="88"/>
  <c r="N37" i="89"/>
  <c r="N20" i="92"/>
  <c r="N20" i="88"/>
  <c r="P17" i="76"/>
  <c r="Y19" i="100" s="1"/>
  <c r="P17" i="80"/>
  <c r="Z19" i="100" s="1"/>
  <c r="N20" i="89"/>
  <c r="N20" i="85"/>
  <c r="AA19" i="100" s="1"/>
  <c r="N20" i="91"/>
  <c r="N20" i="86"/>
  <c r="N55" i="92"/>
  <c r="P52" i="76"/>
  <c r="Y54" i="100" s="1"/>
  <c r="N55" i="91"/>
  <c r="N55" i="88"/>
  <c r="N55" i="89"/>
  <c r="P52" i="80"/>
  <c r="Z54" i="100" s="1"/>
  <c r="N55" i="86"/>
  <c r="N55" i="85"/>
  <c r="AA54" i="100" s="1"/>
  <c r="N70" i="85"/>
  <c r="AA69" i="100" s="1"/>
  <c r="P67" i="80"/>
  <c r="Z69" i="100" s="1"/>
  <c r="N70" i="89"/>
  <c r="N70" i="86"/>
  <c r="N70" i="91"/>
  <c r="N70" i="88"/>
  <c r="N70" i="92"/>
  <c r="P67" i="76"/>
  <c r="Y69" i="100" s="1"/>
  <c r="N22" i="92"/>
  <c r="N22" i="88"/>
  <c r="P19" i="76"/>
  <c r="Y21" i="100" s="1"/>
  <c r="P19" i="80"/>
  <c r="Z21" i="100" s="1"/>
  <c r="N22" i="89"/>
  <c r="N22" i="85"/>
  <c r="AA21" i="100" s="1"/>
  <c r="N22" i="91"/>
  <c r="N22" i="86"/>
  <c r="N64" i="85"/>
  <c r="AA63" i="100" s="1"/>
  <c r="P61" i="80"/>
  <c r="Z63" i="100" s="1"/>
  <c r="N64" i="89"/>
  <c r="N64" i="86"/>
  <c r="N64" i="91"/>
  <c r="N64" i="88"/>
  <c r="N64" i="92"/>
  <c r="P61" i="76"/>
  <c r="Y63" i="100" s="1"/>
  <c r="N35" i="91"/>
  <c r="P32" i="80"/>
  <c r="Z34" i="100" s="1"/>
  <c r="N35" i="92"/>
  <c r="P32" i="76"/>
  <c r="Y34" i="100" s="1"/>
  <c r="N35" i="86"/>
  <c r="N35" i="85"/>
  <c r="AA34" i="100" s="1"/>
  <c r="N35" i="88"/>
  <c r="N35" i="89"/>
  <c r="P5" i="80"/>
  <c r="Z7" i="100" s="1"/>
  <c r="N8" i="89"/>
  <c r="N8" i="85"/>
  <c r="AA7" i="100" s="1"/>
  <c r="N8" i="91"/>
  <c r="N8" i="86"/>
  <c r="N8" i="92"/>
  <c r="N8" i="88"/>
  <c r="P5" i="76"/>
  <c r="Y7" i="100" s="1"/>
  <c r="N59" i="91"/>
  <c r="P56" i="80"/>
  <c r="Z58" i="100" s="1"/>
  <c r="N59" i="92"/>
  <c r="P56" i="76"/>
  <c r="Y58" i="100" s="1"/>
  <c r="N59" i="86"/>
  <c r="N59" i="85"/>
  <c r="AA58" i="100" s="1"/>
  <c r="N59" i="88"/>
  <c r="N59" i="89"/>
  <c r="N27" i="92"/>
  <c r="P24" i="76"/>
  <c r="Y26" i="100" s="1"/>
  <c r="N27" i="86"/>
  <c r="N27" i="85"/>
  <c r="AA26" i="100" s="1"/>
  <c r="N27" i="88"/>
  <c r="N27" i="89"/>
  <c r="N27" i="91"/>
  <c r="P24" i="80"/>
  <c r="Z26" i="100" s="1"/>
  <c r="N28" i="92"/>
  <c r="N28" i="88"/>
  <c r="P25" i="76"/>
  <c r="Y27" i="100" s="1"/>
  <c r="P25" i="80"/>
  <c r="Z27" i="100" s="1"/>
  <c r="N28" i="89"/>
  <c r="N28" i="85"/>
  <c r="AA27" i="100" s="1"/>
  <c r="N28" i="91"/>
  <c r="N28" i="86"/>
  <c r="N48" i="85"/>
  <c r="AA47" i="100" s="1"/>
  <c r="P45" i="80"/>
  <c r="Z47" i="100" s="1"/>
  <c r="N48" i="89"/>
  <c r="N48" i="86"/>
  <c r="N48" i="91"/>
  <c r="N48" i="88"/>
  <c r="N48" i="92"/>
  <c r="P45" i="76"/>
  <c r="Y47" i="100" s="1"/>
  <c r="N16" i="92"/>
  <c r="N16" i="88"/>
  <c r="P13" i="76"/>
  <c r="Y15" i="100" s="1"/>
  <c r="N16" i="91"/>
  <c r="N16" i="86"/>
  <c r="N16" i="89"/>
  <c r="N16" i="85"/>
  <c r="AA15" i="100" s="1"/>
  <c r="P13" i="80"/>
  <c r="Z15" i="100" s="1"/>
  <c r="P43" i="80"/>
  <c r="Z45" i="100" s="1"/>
  <c r="N46" i="89"/>
  <c r="N46" i="85"/>
  <c r="AA45" i="100" s="1"/>
  <c r="N46" i="91"/>
  <c r="N46" i="86"/>
  <c r="N46" i="92"/>
  <c r="N46" i="88"/>
  <c r="P43" i="76"/>
  <c r="Y45" i="100" s="1"/>
  <c r="N57" i="91"/>
  <c r="P54" i="80"/>
  <c r="Z56" i="100" s="1"/>
  <c r="N57" i="92"/>
  <c r="P54" i="76"/>
  <c r="Y56" i="100" s="1"/>
  <c r="N57" i="86"/>
  <c r="N57" i="85"/>
  <c r="AA56" i="100" s="1"/>
  <c r="N57" i="88"/>
  <c r="N57" i="89"/>
  <c r="N72" i="85"/>
  <c r="AA71" i="100" s="1"/>
  <c r="P69" i="80"/>
  <c r="Z71" i="100" s="1"/>
  <c r="N72" i="89"/>
  <c r="N72" i="86"/>
  <c r="N72" i="91"/>
  <c r="N72" i="88"/>
  <c r="N72" i="92"/>
  <c r="P69" i="76"/>
  <c r="Y71" i="100" s="1"/>
  <c r="N40" i="92"/>
  <c r="N40" i="88"/>
  <c r="P37" i="76"/>
  <c r="Y39" i="100" s="1"/>
  <c r="P37" i="80"/>
  <c r="Z39" i="100" s="1"/>
  <c r="N40" i="89"/>
  <c r="N40" i="85"/>
  <c r="AA39" i="100" s="1"/>
  <c r="N40" i="91"/>
  <c r="N40" i="86"/>
  <c r="N9" i="92"/>
  <c r="P6" i="76"/>
  <c r="Y8" i="100" s="1"/>
  <c r="N9" i="86"/>
  <c r="N9" i="85"/>
  <c r="AA8" i="100" s="1"/>
  <c r="N9" i="88"/>
  <c r="N9" i="89"/>
  <c r="N9" i="91"/>
  <c r="P6" i="80"/>
  <c r="Z8" i="100" s="1"/>
  <c r="N34" i="92"/>
  <c r="N34" i="88"/>
  <c r="P31" i="76"/>
  <c r="Y33" i="100" s="1"/>
  <c r="P31" i="80"/>
  <c r="Z33" i="100" s="1"/>
  <c r="N34" i="89"/>
  <c r="N34" i="85"/>
  <c r="AA33" i="100" s="1"/>
  <c r="N34" i="91"/>
  <c r="N34" i="86"/>
  <c r="N29" i="92"/>
  <c r="P26" i="76"/>
  <c r="Y28" i="100" s="1"/>
  <c r="N29" i="86"/>
  <c r="N29" i="85"/>
  <c r="AA28" i="100" s="1"/>
  <c r="N29" i="88"/>
  <c r="N29" i="89"/>
  <c r="N29" i="91"/>
  <c r="P26" i="80"/>
  <c r="Z28" i="100" s="1"/>
  <c r="N44" i="89"/>
  <c r="N44" i="85"/>
  <c r="AA43" i="100" s="1"/>
  <c r="N44" i="91"/>
  <c r="N44" i="86"/>
  <c r="N44" i="92"/>
  <c r="N44" i="88"/>
  <c r="P41" i="76"/>
  <c r="Y43" i="100" s="1"/>
  <c r="P41" i="80"/>
  <c r="Z43" i="100" s="1"/>
  <c r="N13" i="88"/>
  <c r="N13" i="89"/>
  <c r="N13" i="91"/>
  <c r="P10" i="80"/>
  <c r="Z12" i="100" s="1"/>
  <c r="N13" i="92"/>
  <c r="P10" i="76"/>
  <c r="Y12" i="100" s="1"/>
  <c r="N13" i="86"/>
  <c r="N13" i="85"/>
  <c r="AA12" i="100" s="1"/>
  <c r="N58" i="92"/>
  <c r="P55" i="76"/>
  <c r="Y57" i="100" s="1"/>
  <c r="N58" i="85"/>
  <c r="AA57" i="100" s="1"/>
  <c r="P55" i="80"/>
  <c r="Z57" i="100" s="1"/>
  <c r="N58" i="89"/>
  <c r="N58" i="86"/>
  <c r="N58" i="91"/>
  <c r="N58" i="88"/>
  <c r="N69" i="92"/>
  <c r="P66" i="76"/>
  <c r="Y68" i="100" s="1"/>
  <c r="N69" i="86"/>
  <c r="N69" i="85"/>
  <c r="AA68" i="100" s="1"/>
  <c r="N69" i="88"/>
  <c r="N69" i="89"/>
  <c r="N69" i="91"/>
  <c r="P66" i="80"/>
  <c r="Z68" i="100" s="1"/>
  <c r="N68" i="92"/>
  <c r="P65" i="76"/>
  <c r="Y67" i="100" s="1"/>
  <c r="N68" i="85"/>
  <c r="AA67" i="100" s="1"/>
  <c r="P65" i="80"/>
  <c r="Z67" i="100" s="1"/>
  <c r="N68" i="89"/>
  <c r="N68" i="86"/>
  <c r="N68" i="91"/>
  <c r="N68" i="88"/>
  <c r="P33" i="80"/>
  <c r="Z35" i="100" s="1"/>
  <c r="N36" i="89"/>
  <c r="N36" i="85"/>
  <c r="AA35" i="100" s="1"/>
  <c r="N36" i="91"/>
  <c r="N36" i="86"/>
  <c r="N36" i="92"/>
  <c r="N36" i="88"/>
  <c r="P33" i="76"/>
  <c r="Y35" i="100" s="1"/>
  <c r="N71" i="91"/>
  <c r="P68" i="80"/>
  <c r="Z70" i="100" s="1"/>
  <c r="N71" i="92"/>
  <c r="P68" i="76"/>
  <c r="Y70" i="100" s="1"/>
  <c r="N71" i="86"/>
  <c r="N71" i="85"/>
  <c r="AA70" i="100" s="1"/>
  <c r="N71" i="88"/>
  <c r="N71" i="89"/>
  <c r="N38" i="85"/>
  <c r="AA37" i="100" s="1"/>
  <c r="N38" i="92"/>
  <c r="P35" i="80"/>
  <c r="Z37" i="100" s="1"/>
  <c r="N38" i="91"/>
  <c r="N38" i="88"/>
  <c r="P35" i="76"/>
  <c r="Y37" i="100" s="1"/>
  <c r="N38" i="89"/>
  <c r="N38" i="86"/>
  <c r="N33" i="92"/>
  <c r="P30" i="76"/>
  <c r="Y32" i="100" s="1"/>
  <c r="N33" i="86"/>
  <c r="N33" i="85"/>
  <c r="AA32" i="100" s="1"/>
  <c r="N33" i="88"/>
  <c r="N33" i="89"/>
  <c r="N33" i="91"/>
  <c r="P30" i="80"/>
  <c r="Z32" i="100" s="1"/>
  <c r="N67" i="91"/>
  <c r="P64" i="80"/>
  <c r="Z66" i="100" s="1"/>
  <c r="N67" i="92"/>
  <c r="P64" i="76"/>
  <c r="Y66" i="100" s="1"/>
  <c r="N67" i="86"/>
  <c r="N67" i="85"/>
  <c r="AA66" i="100" s="1"/>
  <c r="N67" i="88"/>
  <c r="N67" i="89"/>
  <c r="P21" i="80"/>
  <c r="Z23" i="100" s="1"/>
  <c r="N24" i="89"/>
  <c r="N24" i="85"/>
  <c r="AA23" i="100" s="1"/>
  <c r="N24" i="91"/>
  <c r="N24" i="86"/>
  <c r="N24" i="92"/>
  <c r="N24" i="88"/>
  <c r="P21" i="76"/>
  <c r="Y23" i="100" s="1"/>
  <c r="N43" i="91"/>
  <c r="N43" i="92"/>
  <c r="P40" i="76"/>
  <c r="Y42" i="100" s="1"/>
  <c r="N43" i="86"/>
  <c r="N43" i="85"/>
  <c r="AA42" i="100" s="1"/>
  <c r="N43" i="88"/>
  <c r="N43" i="89"/>
  <c r="P40" i="80"/>
  <c r="Z42" i="100" s="1"/>
  <c r="N15" i="91"/>
  <c r="P12" i="80"/>
  <c r="Z14" i="100" s="1"/>
  <c r="N15" i="92"/>
  <c r="P12" i="76"/>
  <c r="Y14" i="100" s="1"/>
  <c r="N15" i="86"/>
  <c r="N15" i="85"/>
  <c r="AA14" i="100" s="1"/>
  <c r="N15" i="88"/>
  <c r="N15" i="89"/>
  <c r="N39" i="92"/>
  <c r="P36" i="76"/>
  <c r="Y38" i="100" s="1"/>
  <c r="N39" i="86"/>
  <c r="N39" i="85"/>
  <c r="AA38" i="100" s="1"/>
  <c r="N39" i="88"/>
  <c r="N39" i="89"/>
  <c r="N39" i="91"/>
  <c r="P36" i="80"/>
  <c r="Z38" i="100" s="1"/>
  <c r="N32" i="89"/>
  <c r="N32" i="85"/>
  <c r="AA31" i="100" s="1"/>
  <c r="N32" i="91"/>
  <c r="N32" i="86"/>
  <c r="P29" i="76"/>
  <c r="Y31" i="100" s="1"/>
  <c r="N32" i="92"/>
  <c r="N32" i="88"/>
  <c r="P29" i="80"/>
  <c r="Z31" i="100" s="1"/>
  <c r="N45" i="86"/>
  <c r="N45" i="85"/>
  <c r="AA44" i="100" s="1"/>
  <c r="N45" i="88"/>
  <c r="N45" i="89"/>
  <c r="N45" i="91"/>
  <c r="P42" i="80"/>
  <c r="Z44" i="100" s="1"/>
  <c r="N45" i="92"/>
  <c r="P42" i="76"/>
  <c r="Y44" i="100" s="1"/>
  <c r="N52" i="91"/>
  <c r="N52" i="88"/>
  <c r="N52" i="92"/>
  <c r="P49" i="76"/>
  <c r="Y51" i="100" s="1"/>
  <c r="N52" i="85"/>
  <c r="AA51" i="100" s="1"/>
  <c r="P49" i="80"/>
  <c r="Z51" i="100" s="1"/>
  <c r="N52" i="89"/>
  <c r="N52" i="86"/>
  <c r="Q38" i="46"/>
  <c r="Q59" i="76"/>
  <c r="BE61" i="72" s="1"/>
  <c r="O73" i="85"/>
  <c r="Q70" i="80"/>
  <c r="BF72" i="72" s="1"/>
  <c r="Q70" i="76"/>
  <c r="BE72" i="72" s="1"/>
  <c r="Q22" i="76"/>
  <c r="BE24" i="72" s="1"/>
  <c r="Q22" i="80"/>
  <c r="BF24" i="72" s="1"/>
  <c r="Q25" i="90"/>
  <c r="P25" i="90"/>
  <c r="O42" i="85"/>
  <c r="M39" i="31"/>
  <c r="N39" i="31"/>
  <c r="M57" i="31"/>
  <c r="N57" i="31"/>
  <c r="N69" i="31" s="1"/>
  <c r="P42" i="90"/>
  <c r="Q42" i="90"/>
  <c r="Q7" i="80"/>
  <c r="BF9" i="72" s="1"/>
  <c r="Q7" i="76"/>
  <c r="BE9" i="72" s="1"/>
  <c r="O49" i="85"/>
  <c r="Q46" i="76"/>
  <c r="BE48" i="72" s="1"/>
  <c r="Q46" i="80"/>
  <c r="BF48" i="72" s="1"/>
  <c r="P49" i="90"/>
  <c r="Q49" i="90"/>
  <c r="Q54" i="90"/>
  <c r="P54" i="90"/>
  <c r="Q51" i="80"/>
  <c r="BF53" i="72" s="1"/>
  <c r="Q9" i="80"/>
  <c r="BF11" i="72" s="1"/>
  <c r="Q9" i="76"/>
  <c r="BE11" i="72" s="1"/>
  <c r="O63" i="85"/>
  <c r="Q60" i="76"/>
  <c r="BE62" i="72" s="1"/>
  <c r="Q60" i="80"/>
  <c r="BF62" i="72" s="1"/>
  <c r="P63" i="90"/>
  <c r="Q63" i="90"/>
  <c r="O47" i="85"/>
  <c r="Q44" i="76"/>
  <c r="BE46" i="72" s="1"/>
  <c r="L75" i="100"/>
  <c r="AR75" i="72"/>
  <c r="Q47" i="80"/>
  <c r="BF49" i="72" s="1"/>
  <c r="Q47" i="76"/>
  <c r="BE49" i="72" s="1"/>
  <c r="P14" i="90"/>
  <c r="Q14" i="90"/>
  <c r="Q28" i="80"/>
  <c r="BF30" i="72" s="1"/>
  <c r="P31" i="90"/>
  <c r="Q31" i="90"/>
  <c r="Q14" i="80"/>
  <c r="BF16" i="72" s="1"/>
  <c r="P17" i="90"/>
  <c r="Q17" i="90"/>
  <c r="Q18" i="90"/>
  <c r="P18" i="90"/>
  <c r="O18" i="85"/>
  <c r="S18" i="46"/>
  <c r="S38" i="46" s="1"/>
  <c r="N30" i="89"/>
  <c r="N30" i="85"/>
  <c r="AA29" i="100" s="1"/>
  <c r="N30" i="91"/>
  <c r="N30" i="86"/>
  <c r="N30" i="92"/>
  <c r="N30" i="88"/>
  <c r="P27" i="76"/>
  <c r="Y29" i="100" s="1"/>
  <c r="P27" i="80"/>
  <c r="Z29" i="100" s="1"/>
  <c r="N56" i="89"/>
  <c r="N56" i="86"/>
  <c r="N56" i="91"/>
  <c r="N56" i="88"/>
  <c r="N56" i="92"/>
  <c r="P53" i="76"/>
  <c r="Y55" i="100" s="1"/>
  <c r="N56" i="85"/>
  <c r="AA55" i="100" s="1"/>
  <c r="P53" i="80"/>
  <c r="Z55" i="100" s="1"/>
  <c r="R18" i="46"/>
  <c r="O11" i="85"/>
  <c r="Q8" i="76"/>
  <c r="BE10" i="72" s="1"/>
  <c r="Q8" i="80"/>
  <c r="BF10" i="72" s="1"/>
  <c r="Q11" i="90"/>
  <c r="P11" i="90"/>
  <c r="Q62" i="90"/>
  <c r="P62" i="90"/>
  <c r="Q59" i="80"/>
  <c r="BF61" i="72" s="1"/>
  <c r="P73" i="90"/>
  <c r="Q73" i="90"/>
  <c r="O25" i="85"/>
  <c r="O53" i="85"/>
  <c r="Q50" i="76"/>
  <c r="Q50" i="80"/>
  <c r="Q53" i="90"/>
  <c r="P53" i="90"/>
  <c r="Q39" i="76"/>
  <c r="BE41" i="72" s="1"/>
  <c r="Q39" i="80"/>
  <c r="BF41" i="72" s="1"/>
  <c r="Q10" i="90"/>
  <c r="P10" i="90"/>
  <c r="O10" i="85"/>
  <c r="O21" i="85"/>
  <c r="Q18" i="76"/>
  <c r="BE20" i="72" s="1"/>
  <c r="Q18" i="80"/>
  <c r="BF20" i="72" s="1"/>
  <c r="Q21" i="90"/>
  <c r="P21" i="90"/>
  <c r="Q51" i="76"/>
  <c r="BE53" i="72" s="1"/>
  <c r="O54" i="85"/>
  <c r="P12" i="90"/>
  <c r="Q12" i="90"/>
  <c r="O12" i="85"/>
  <c r="O65" i="85"/>
  <c r="Q62" i="76"/>
  <c r="BE64" i="72" s="1"/>
  <c r="Q62" i="80"/>
  <c r="BF64" i="72" s="1"/>
  <c r="Q65" i="90"/>
  <c r="P65" i="90"/>
  <c r="Q44" i="80"/>
  <c r="BF46" i="72" s="1"/>
  <c r="P47" i="90"/>
  <c r="Q47" i="90"/>
  <c r="R30" i="46"/>
  <c r="AM14" i="72" s="1"/>
  <c r="T29" i="46"/>
  <c r="AM44" i="72"/>
  <c r="U23" i="46"/>
  <c r="O50" i="85"/>
  <c r="P50" i="90"/>
  <c r="Q50" i="90"/>
  <c r="O14" i="85"/>
  <c r="Q11" i="80"/>
  <c r="BF13" i="72" s="1"/>
  <c r="Q11" i="76"/>
  <c r="BE13" i="72" s="1"/>
  <c r="O31" i="85"/>
  <c r="Q28" i="76"/>
  <c r="BE30" i="72" s="1"/>
  <c r="O19" i="85"/>
  <c r="Q16" i="76"/>
  <c r="BE18" i="72" s="1"/>
  <c r="Q16" i="80"/>
  <c r="BF18" i="72" s="1"/>
  <c r="Q19" i="90"/>
  <c r="P19" i="90"/>
  <c r="O17" i="85"/>
  <c r="Q14" i="76"/>
  <c r="BE16" i="72" s="1"/>
  <c r="Q15" i="80"/>
  <c r="BF17" i="72" s="1"/>
  <c r="Q15" i="76"/>
  <c r="BE17" i="72" s="1"/>
  <c r="T17" i="46"/>
  <c r="U17" i="46" s="1"/>
  <c r="W17" i="46" s="1"/>
  <c r="U12" i="46"/>
  <c r="U13" i="46"/>
  <c r="U11" i="46"/>
  <c r="R7" i="87"/>
  <c r="M69" i="31" l="1"/>
  <c r="BI75" i="72"/>
  <c r="Z21" i="72"/>
  <c r="Z57" i="72"/>
  <c r="P12" i="85"/>
  <c r="R12" i="85" s="1"/>
  <c r="BG11" i="72"/>
  <c r="P54" i="85"/>
  <c r="R54" i="85" s="1"/>
  <c r="BG53" i="72"/>
  <c r="P10" i="85"/>
  <c r="R10" i="85" s="1"/>
  <c r="BG9" i="72"/>
  <c r="P18" i="85"/>
  <c r="R18" i="85" s="1"/>
  <c r="BG17" i="72"/>
  <c r="P31" i="89"/>
  <c r="R31" i="89" s="1"/>
  <c r="BK30" i="72"/>
  <c r="P50" i="88"/>
  <c r="R50" i="88" s="1"/>
  <c r="S50" i="88" s="1"/>
  <c r="BJ49" i="72"/>
  <c r="P65" i="91"/>
  <c r="R65" i="91" s="1"/>
  <c r="S65" i="91" s="1"/>
  <c r="BL64" i="72"/>
  <c r="P49" i="89"/>
  <c r="R49" i="89" s="1"/>
  <c r="S49" i="89" s="1"/>
  <c r="BK48" i="72"/>
  <c r="P21" i="86"/>
  <c r="R21" i="86" s="1"/>
  <c r="S21" i="86" s="1"/>
  <c r="BH20" i="72"/>
  <c r="P53" i="91"/>
  <c r="R53" i="91" s="1"/>
  <c r="S53" i="91" s="1"/>
  <c r="BL52" i="72"/>
  <c r="P62" i="89"/>
  <c r="R62" i="89" s="1"/>
  <c r="S62" i="89" s="1"/>
  <c r="BK61" i="72"/>
  <c r="Z31" i="72"/>
  <c r="P31" i="88"/>
  <c r="R31" i="88" s="1"/>
  <c r="S31" i="88" s="1"/>
  <c r="BJ30" i="72"/>
  <c r="P47" i="88"/>
  <c r="R47" i="88" s="1"/>
  <c r="S47" i="88" s="1"/>
  <c r="BJ46" i="72"/>
  <c r="P42" i="91"/>
  <c r="R42" i="91" s="1"/>
  <c r="S42" i="91" s="1"/>
  <c r="BL41" i="72"/>
  <c r="P18" i="88"/>
  <c r="R18" i="88" s="1"/>
  <c r="S18" i="88" s="1"/>
  <c r="BJ17" i="72"/>
  <c r="P19" i="88"/>
  <c r="R19" i="88" s="1"/>
  <c r="S19" i="88" s="1"/>
  <c r="BJ18" i="72"/>
  <c r="P14" i="86"/>
  <c r="R14" i="86" s="1"/>
  <c r="S14" i="86" s="1"/>
  <c r="BH13" i="72"/>
  <c r="P47" i="86"/>
  <c r="R47" i="86" s="1"/>
  <c r="S47" i="86" s="1"/>
  <c r="BH46" i="72"/>
  <c r="P63" i="86"/>
  <c r="R63" i="86" s="1"/>
  <c r="BH62" i="72"/>
  <c r="P54" i="92"/>
  <c r="R54" i="92" s="1"/>
  <c r="S54" i="92" s="1"/>
  <c r="BM53" i="72"/>
  <c r="P49" i="86"/>
  <c r="R49" i="86" s="1"/>
  <c r="S49" i="86" s="1"/>
  <c r="BH48" i="72"/>
  <c r="P10" i="86"/>
  <c r="R10" i="86" s="1"/>
  <c r="BH9" i="72"/>
  <c r="P73" i="89"/>
  <c r="R73" i="89" s="1"/>
  <c r="S73" i="89" s="1"/>
  <c r="BK72" i="72"/>
  <c r="P62" i="86"/>
  <c r="R62" i="86" s="1"/>
  <c r="S62" i="86" s="1"/>
  <c r="BH61" i="72"/>
  <c r="Z14" i="72"/>
  <c r="P14" i="89"/>
  <c r="R14" i="89" s="1"/>
  <c r="S14" i="89" s="1"/>
  <c r="BK13" i="72"/>
  <c r="P12" i="88"/>
  <c r="R12" i="88" s="1"/>
  <c r="S12" i="88" s="1"/>
  <c r="BJ11" i="72"/>
  <c r="P42" i="92"/>
  <c r="R42" i="92" s="1"/>
  <c r="S42" i="92" s="1"/>
  <c r="BM41" i="72"/>
  <c r="P18" i="91"/>
  <c r="R18" i="91" s="1"/>
  <c r="S18" i="91" s="1"/>
  <c r="BL17" i="72"/>
  <c r="P19" i="89"/>
  <c r="R19" i="89" s="1"/>
  <c r="BK18" i="72"/>
  <c r="P14" i="92"/>
  <c r="R14" i="92" s="1"/>
  <c r="S14" i="92" s="1"/>
  <c r="BM13" i="72"/>
  <c r="P65" i="89"/>
  <c r="R65" i="89" s="1"/>
  <c r="S65" i="89" s="1"/>
  <c r="BK64" i="72"/>
  <c r="P54" i="86"/>
  <c r="R54" i="86" s="1"/>
  <c r="S54" i="86" s="1"/>
  <c r="BH53" i="72"/>
  <c r="P10" i="92"/>
  <c r="R10" i="92" s="1"/>
  <c r="BM9" i="72"/>
  <c r="P73" i="91"/>
  <c r="R73" i="91" s="1"/>
  <c r="S73" i="91" s="1"/>
  <c r="BL72" i="72"/>
  <c r="P19" i="86"/>
  <c r="R19" i="86" s="1"/>
  <c r="S19" i="86" s="1"/>
  <c r="BH18" i="72"/>
  <c r="Z69" i="72"/>
  <c r="Z13" i="72"/>
  <c r="P17" i="85"/>
  <c r="R17" i="85" s="1"/>
  <c r="BG16" i="72"/>
  <c r="P11" i="85"/>
  <c r="R11" i="85" s="1"/>
  <c r="BG10" i="72"/>
  <c r="P47" i="85"/>
  <c r="R47" i="85" s="1"/>
  <c r="BG46" i="72"/>
  <c r="Z73" i="72"/>
  <c r="Z34" i="72"/>
  <c r="Z8" i="72"/>
  <c r="Z55" i="72"/>
  <c r="P50" i="85"/>
  <c r="R50" i="85" s="1"/>
  <c r="BG49" i="72"/>
  <c r="P73" i="85"/>
  <c r="R73" i="85" s="1"/>
  <c r="BG72" i="72"/>
  <c r="P14" i="85"/>
  <c r="R14" i="85" s="1"/>
  <c r="BG13" i="72"/>
  <c r="P65" i="85"/>
  <c r="R65" i="85" s="1"/>
  <c r="BG64" i="72"/>
  <c r="P21" i="85"/>
  <c r="R21" i="85" s="1"/>
  <c r="BG20" i="72"/>
  <c r="P63" i="85"/>
  <c r="R63" i="85" s="1"/>
  <c r="BG62" i="72"/>
  <c r="P42" i="85"/>
  <c r="R42" i="85" s="1"/>
  <c r="BG41" i="72"/>
  <c r="Z15" i="72"/>
  <c r="Z62" i="72"/>
  <c r="Z56" i="72"/>
  <c r="P31" i="85"/>
  <c r="R31" i="85" s="1"/>
  <c r="BG30" i="72"/>
  <c r="P18" i="92"/>
  <c r="R18" i="92" s="1"/>
  <c r="S18" i="92" s="1"/>
  <c r="BM17" i="72"/>
  <c r="P47" i="89"/>
  <c r="R47" i="89" s="1"/>
  <c r="S47" i="89" s="1"/>
  <c r="BK46" i="72"/>
  <c r="P12" i="91"/>
  <c r="R12" i="91" s="1"/>
  <c r="S12" i="91" s="1"/>
  <c r="BL11" i="72"/>
  <c r="P42" i="88"/>
  <c r="R42" i="88" s="1"/>
  <c r="S42" i="88" s="1"/>
  <c r="BJ41" i="72"/>
  <c r="P25" i="88"/>
  <c r="R25" i="88" s="1"/>
  <c r="S25" i="88" s="1"/>
  <c r="BJ24" i="72"/>
  <c r="P11" i="89"/>
  <c r="R11" i="89" s="1"/>
  <c r="S11" i="89" s="1"/>
  <c r="BK10" i="72"/>
  <c r="P18" i="86"/>
  <c r="R18" i="86" s="1"/>
  <c r="BH17" i="72"/>
  <c r="P54" i="91"/>
  <c r="R54" i="91" s="1"/>
  <c r="S54" i="91" s="1"/>
  <c r="BL53" i="72"/>
  <c r="P17" i="88"/>
  <c r="R17" i="88" s="1"/>
  <c r="S17" i="88" s="1"/>
  <c r="BJ16" i="72"/>
  <c r="P50" i="92"/>
  <c r="R50" i="92" s="1"/>
  <c r="BM49" i="72"/>
  <c r="P12" i="86"/>
  <c r="R12" i="86" s="1"/>
  <c r="S12" i="86" s="1"/>
  <c r="BH11" i="72"/>
  <c r="P25" i="89"/>
  <c r="R25" i="89" s="1"/>
  <c r="S25" i="89" s="1"/>
  <c r="BK24" i="72"/>
  <c r="Z49" i="72"/>
  <c r="Z44" i="72"/>
  <c r="Z51" i="72"/>
  <c r="P12" i="89"/>
  <c r="R12" i="89" s="1"/>
  <c r="S12" i="89" s="1"/>
  <c r="BK11" i="72"/>
  <c r="P21" i="92"/>
  <c r="R21" i="92" s="1"/>
  <c r="S21" i="92" s="1"/>
  <c r="BM20" i="72"/>
  <c r="P53" i="92"/>
  <c r="R53" i="92" s="1"/>
  <c r="S53" i="92" s="1"/>
  <c r="BM52" i="72"/>
  <c r="P11" i="86"/>
  <c r="R11" i="86" s="1"/>
  <c r="S11" i="86" s="1"/>
  <c r="BH10" i="72"/>
  <c r="P47" i="92"/>
  <c r="R47" i="92" s="1"/>
  <c r="S47" i="92" s="1"/>
  <c r="BM46" i="72"/>
  <c r="P49" i="88"/>
  <c r="R49" i="88" s="1"/>
  <c r="S49" i="88" s="1"/>
  <c r="BJ48" i="72"/>
  <c r="P25" i="91"/>
  <c r="R25" i="91" s="1"/>
  <c r="S25" i="91" s="1"/>
  <c r="BL24" i="72"/>
  <c r="Z48" i="72"/>
  <c r="Z16" i="72"/>
  <c r="Z17" i="72"/>
  <c r="P53" i="85"/>
  <c r="R53" i="85" s="1"/>
  <c r="BG52" i="72"/>
  <c r="Z65" i="72"/>
  <c r="P19" i="85"/>
  <c r="R19" i="85" s="1"/>
  <c r="BG18" i="72"/>
  <c r="P25" i="85"/>
  <c r="R25" i="85" s="1"/>
  <c r="BG24" i="72"/>
  <c r="P49" i="85"/>
  <c r="R49" i="85" s="1"/>
  <c r="BG48" i="72"/>
  <c r="P18" i="89"/>
  <c r="R18" i="89" s="1"/>
  <c r="S18" i="89" s="1"/>
  <c r="BK17" i="72"/>
  <c r="P17" i="91"/>
  <c r="R17" i="91" s="1"/>
  <c r="S17" i="91" s="1"/>
  <c r="BL16" i="72"/>
  <c r="P14" i="91"/>
  <c r="R14" i="91" s="1"/>
  <c r="S14" i="91" s="1"/>
  <c r="BL13" i="72"/>
  <c r="Z53" i="72"/>
  <c r="P63" i="89"/>
  <c r="R63" i="89" s="1"/>
  <c r="S63" i="89" s="1"/>
  <c r="BK62" i="72"/>
  <c r="P65" i="86"/>
  <c r="R65" i="86" s="1"/>
  <c r="S65" i="86" s="1"/>
  <c r="BH64" i="72"/>
  <c r="P54" i="88"/>
  <c r="R54" i="88" s="1"/>
  <c r="S54" i="88" s="1"/>
  <c r="BJ53" i="72"/>
  <c r="P21" i="91"/>
  <c r="R21" i="91" s="1"/>
  <c r="BL20" i="72"/>
  <c r="P10" i="91"/>
  <c r="R10" i="91" s="1"/>
  <c r="S10" i="91" s="1"/>
  <c r="BL9" i="72"/>
  <c r="P42" i="86"/>
  <c r="R42" i="86" s="1"/>
  <c r="S42" i="86" s="1"/>
  <c r="BH41" i="72"/>
  <c r="P53" i="86"/>
  <c r="R53" i="86" s="1"/>
  <c r="BH52" i="72"/>
  <c r="P73" i="88"/>
  <c r="R73" i="88" s="1"/>
  <c r="S73" i="88" s="1"/>
  <c r="BJ72" i="72"/>
  <c r="P62" i="92"/>
  <c r="R62" i="92" s="1"/>
  <c r="BM61" i="72"/>
  <c r="P11" i="92"/>
  <c r="R11" i="92" s="1"/>
  <c r="BM10" i="72"/>
  <c r="P62" i="88"/>
  <c r="R62" i="88" s="1"/>
  <c r="BJ61" i="72"/>
  <c r="P19" i="91"/>
  <c r="R19" i="91" s="1"/>
  <c r="S19" i="91" s="1"/>
  <c r="BL18" i="72"/>
  <c r="P14" i="88"/>
  <c r="R14" i="88" s="1"/>
  <c r="BJ13" i="72"/>
  <c r="P63" i="92"/>
  <c r="R63" i="92" s="1"/>
  <c r="S63" i="92" s="1"/>
  <c r="BM62" i="72"/>
  <c r="P10" i="88"/>
  <c r="R10" i="88" s="1"/>
  <c r="S10" i="88" s="1"/>
  <c r="BJ9" i="72"/>
  <c r="P73" i="86"/>
  <c r="R73" i="86" s="1"/>
  <c r="S73" i="86" s="1"/>
  <c r="BH72" i="72"/>
  <c r="P17" i="92"/>
  <c r="R17" i="92" s="1"/>
  <c r="S17" i="92" s="1"/>
  <c r="BM16" i="72"/>
  <c r="P19" i="92"/>
  <c r="R19" i="92" s="1"/>
  <c r="S19" i="92" s="1"/>
  <c r="BM18" i="72"/>
  <c r="P31" i="86"/>
  <c r="R31" i="86" s="1"/>
  <c r="S31" i="86" s="1"/>
  <c r="BH30" i="72"/>
  <c r="P50" i="89"/>
  <c r="R50" i="89" s="1"/>
  <c r="S50" i="89" s="1"/>
  <c r="BK49" i="72"/>
  <c r="Z22" i="72"/>
  <c r="P63" i="91"/>
  <c r="R63" i="91" s="1"/>
  <c r="S63" i="91" s="1"/>
  <c r="BL62" i="72"/>
  <c r="P65" i="88"/>
  <c r="R65" i="88" s="1"/>
  <c r="BJ64" i="72"/>
  <c r="P54" i="89"/>
  <c r="R54" i="89" s="1"/>
  <c r="S54" i="89" s="1"/>
  <c r="BK53" i="72"/>
  <c r="P49" i="91"/>
  <c r="R49" i="91" s="1"/>
  <c r="S49" i="91" s="1"/>
  <c r="BL48" i="72"/>
  <c r="P21" i="88"/>
  <c r="R21" i="88" s="1"/>
  <c r="S21" i="88" s="1"/>
  <c r="BJ20" i="72"/>
  <c r="P53" i="88"/>
  <c r="R53" i="88" s="1"/>
  <c r="S53" i="88" s="1"/>
  <c r="BJ52" i="72"/>
  <c r="P25" i="92"/>
  <c r="R25" i="92" s="1"/>
  <c r="S25" i="92" s="1"/>
  <c r="BM24" i="72"/>
  <c r="P62" i="91"/>
  <c r="R62" i="91" s="1"/>
  <c r="S62" i="91" s="1"/>
  <c r="BL61" i="72"/>
  <c r="Z41" i="72"/>
  <c r="P11" i="91"/>
  <c r="R11" i="91" s="1"/>
  <c r="S11" i="91" s="1"/>
  <c r="BL10" i="72"/>
  <c r="P31" i="92"/>
  <c r="R31" i="92" s="1"/>
  <c r="S31" i="92" s="1"/>
  <c r="BM30" i="72"/>
  <c r="Z50" i="72"/>
  <c r="P49" i="92"/>
  <c r="R49" i="92" s="1"/>
  <c r="S49" i="92" s="1"/>
  <c r="BM48" i="72"/>
  <c r="P73" i="92"/>
  <c r="R73" i="92" s="1"/>
  <c r="S73" i="92" s="1"/>
  <c r="BM72" i="72"/>
  <c r="P17" i="89"/>
  <c r="R17" i="89" s="1"/>
  <c r="S17" i="89" s="1"/>
  <c r="BK16" i="72"/>
  <c r="P31" i="91"/>
  <c r="R31" i="91" s="1"/>
  <c r="BL30" i="72"/>
  <c r="P50" i="86"/>
  <c r="R50" i="86" s="1"/>
  <c r="S50" i="86" s="1"/>
  <c r="BH49" i="72"/>
  <c r="P47" i="91"/>
  <c r="R47" i="91" s="1"/>
  <c r="BL46" i="72"/>
  <c r="P65" i="92"/>
  <c r="R65" i="92" s="1"/>
  <c r="S65" i="92" s="1"/>
  <c r="BM64" i="72"/>
  <c r="P12" i="92"/>
  <c r="R12" i="92" s="1"/>
  <c r="BM11" i="72"/>
  <c r="P21" i="89"/>
  <c r="R21" i="89" s="1"/>
  <c r="S21" i="89" s="1"/>
  <c r="BK20" i="72"/>
  <c r="P10" i="89"/>
  <c r="R10" i="89" s="1"/>
  <c r="BK9" i="72"/>
  <c r="P53" i="89"/>
  <c r="R53" i="89" s="1"/>
  <c r="S53" i="89" s="1"/>
  <c r="BK52" i="72"/>
  <c r="P25" i="86"/>
  <c r="R25" i="86" s="1"/>
  <c r="BH24" i="72"/>
  <c r="P62" i="85"/>
  <c r="R62" i="85" s="1"/>
  <c r="S62" i="85" s="1"/>
  <c r="BG61" i="72"/>
  <c r="P17" i="86"/>
  <c r="R17" i="86" s="1"/>
  <c r="S17" i="86" s="1"/>
  <c r="BH16" i="72"/>
  <c r="P50" i="91"/>
  <c r="R50" i="91" s="1"/>
  <c r="S50" i="91" s="1"/>
  <c r="BL49" i="72"/>
  <c r="P63" i="88"/>
  <c r="R63" i="88" s="1"/>
  <c r="S63" i="88" s="1"/>
  <c r="BJ62" i="72"/>
  <c r="P42" i="89"/>
  <c r="R42" i="89" s="1"/>
  <c r="S42" i="89" s="1"/>
  <c r="BK41" i="72"/>
  <c r="P11" i="88"/>
  <c r="R11" i="88" s="1"/>
  <c r="S11" i="88" s="1"/>
  <c r="BJ10" i="72"/>
  <c r="Z74" i="72"/>
  <c r="Z30" i="72"/>
  <c r="AH49" i="100"/>
  <c r="S50" i="90"/>
  <c r="BN49" i="72" s="1"/>
  <c r="AH9" i="100"/>
  <c r="S10" i="90"/>
  <c r="BN9" i="72" s="1"/>
  <c r="AH10" i="100"/>
  <c r="S11" i="90"/>
  <c r="BN10" i="72" s="1"/>
  <c r="AH18" i="100"/>
  <c r="S19" i="90"/>
  <c r="BN18" i="72" s="1"/>
  <c r="AH41" i="100"/>
  <c r="S42" i="90"/>
  <c r="BN41" i="72" s="1"/>
  <c r="AH46" i="100"/>
  <c r="S47" i="90"/>
  <c r="BN46" i="72" s="1"/>
  <c r="AH52" i="100"/>
  <c r="S53" i="90"/>
  <c r="BN52" i="72" s="1"/>
  <c r="AH72" i="100"/>
  <c r="S73" i="90"/>
  <c r="BN72" i="72" s="1"/>
  <c r="AH17" i="100"/>
  <c r="S18" i="90"/>
  <c r="BN17" i="72" s="1"/>
  <c r="AH64" i="100"/>
  <c r="S65" i="90"/>
  <c r="BN64" i="72" s="1"/>
  <c r="AH11" i="100"/>
  <c r="S12" i="90"/>
  <c r="BN11" i="72" s="1"/>
  <c r="AH20" i="100"/>
  <c r="S21" i="90"/>
  <c r="BN20" i="72" s="1"/>
  <c r="AH61" i="100"/>
  <c r="S62" i="90"/>
  <c r="BN61" i="72" s="1"/>
  <c r="AH30" i="100"/>
  <c r="S31" i="90"/>
  <c r="BN30" i="72" s="1"/>
  <c r="AH13" i="100"/>
  <c r="S14" i="90"/>
  <c r="BN13" i="72" s="1"/>
  <c r="AH48" i="100"/>
  <c r="S49" i="90"/>
  <c r="BN48" i="72" s="1"/>
  <c r="AH16" i="100"/>
  <c r="S17" i="90"/>
  <c r="BN16" i="72" s="1"/>
  <c r="AH62" i="100"/>
  <c r="S63" i="90"/>
  <c r="BN62" i="72" s="1"/>
  <c r="AH53" i="100"/>
  <c r="S54" i="90"/>
  <c r="BN53" i="72" s="1"/>
  <c r="AH24" i="100"/>
  <c r="S25" i="90"/>
  <c r="BN24" i="72" s="1"/>
  <c r="R38" i="46"/>
  <c r="N70" i="31"/>
  <c r="L70" i="31"/>
  <c r="R7" i="80"/>
  <c r="T7" i="80" s="1"/>
  <c r="U7" i="80" s="1"/>
  <c r="R22" i="80"/>
  <c r="T22" i="80" s="1"/>
  <c r="S18" i="86"/>
  <c r="S11" i="92"/>
  <c r="O39" i="86"/>
  <c r="AB38" i="100"/>
  <c r="O15" i="92"/>
  <c r="AG14" i="100"/>
  <c r="O43" i="86"/>
  <c r="AB42" i="100"/>
  <c r="O24" i="89"/>
  <c r="AE23" i="100"/>
  <c r="O67" i="88"/>
  <c r="AD66" i="100"/>
  <c r="O33" i="88"/>
  <c r="AD32" i="100"/>
  <c r="O38" i="92"/>
  <c r="AG37" i="100"/>
  <c r="O71" i="92"/>
  <c r="AG70" i="100"/>
  <c r="O68" i="89"/>
  <c r="AE67" i="100"/>
  <c r="O13" i="92"/>
  <c r="AG12" i="100"/>
  <c r="O34" i="89"/>
  <c r="AE33" i="100"/>
  <c r="O40" i="91"/>
  <c r="AF39" i="100"/>
  <c r="O72" i="91"/>
  <c r="AF71" i="100"/>
  <c r="O57" i="91"/>
  <c r="AF56" i="100"/>
  <c r="O59" i="86"/>
  <c r="AB58" i="100"/>
  <c r="O8" i="89"/>
  <c r="AE7" i="100"/>
  <c r="O35" i="92"/>
  <c r="AG34" i="100"/>
  <c r="O22" i="88"/>
  <c r="AD21" i="100"/>
  <c r="O70" i="89"/>
  <c r="AE69" i="100"/>
  <c r="O55" i="92"/>
  <c r="AG54" i="100"/>
  <c r="O20" i="88"/>
  <c r="AD19" i="100"/>
  <c r="O37" i="92"/>
  <c r="AG36" i="100"/>
  <c r="O74" i="88"/>
  <c r="AD73" i="100"/>
  <c r="O51" i="88"/>
  <c r="AD50" i="100"/>
  <c r="O61" i="88"/>
  <c r="AD60" i="100"/>
  <c r="O75" i="92"/>
  <c r="AG74" i="100"/>
  <c r="S63" i="86"/>
  <c r="R8" i="76"/>
  <c r="T8" i="76" s="1"/>
  <c r="U8" i="76" s="1"/>
  <c r="O56" i="86"/>
  <c r="AB55" i="100"/>
  <c r="O30" i="91"/>
  <c r="AF29" i="100"/>
  <c r="O52" i="92"/>
  <c r="AG51" i="100"/>
  <c r="O45" i="92"/>
  <c r="AG44" i="100"/>
  <c r="O45" i="89"/>
  <c r="AE44" i="100"/>
  <c r="O32" i="92"/>
  <c r="AG31" i="100"/>
  <c r="O39" i="91"/>
  <c r="AF38" i="100"/>
  <c r="O15" i="89"/>
  <c r="AE14" i="100"/>
  <c r="O24" i="88"/>
  <c r="AD23" i="100"/>
  <c r="O67" i="89"/>
  <c r="AE66" i="100"/>
  <c r="O33" i="89"/>
  <c r="AE32" i="100"/>
  <c r="O71" i="89"/>
  <c r="AE70" i="100"/>
  <c r="O36" i="86"/>
  <c r="AB35" i="100"/>
  <c r="O68" i="86"/>
  <c r="AB67" i="100"/>
  <c r="O69" i="91"/>
  <c r="AF68" i="100"/>
  <c r="O58" i="88"/>
  <c r="AD57" i="100"/>
  <c r="O44" i="86"/>
  <c r="AB43" i="100"/>
  <c r="O29" i="89"/>
  <c r="AE28" i="100"/>
  <c r="O9" i="91"/>
  <c r="AF8" i="100"/>
  <c r="O40" i="86"/>
  <c r="AB39" i="100"/>
  <c r="O40" i="92"/>
  <c r="AG39" i="100"/>
  <c r="O72" i="88"/>
  <c r="AD71" i="100"/>
  <c r="O46" i="88"/>
  <c r="AD45" i="100"/>
  <c r="O16" i="89"/>
  <c r="AE15" i="100"/>
  <c r="O48" i="86"/>
  <c r="AB47" i="100"/>
  <c r="O28" i="86"/>
  <c r="AB27" i="100"/>
  <c r="O28" i="92"/>
  <c r="AG27" i="100"/>
  <c r="O27" i="89"/>
  <c r="AE26" i="100"/>
  <c r="O8" i="88"/>
  <c r="AD7" i="100"/>
  <c r="O35" i="89"/>
  <c r="AE34" i="100"/>
  <c r="O64" i="88"/>
  <c r="AD63" i="100"/>
  <c r="O70" i="86"/>
  <c r="AB69" i="100"/>
  <c r="O55" i="88"/>
  <c r="AD54" i="100"/>
  <c r="O37" i="89"/>
  <c r="AE36" i="100"/>
  <c r="O26" i="86"/>
  <c r="AB25" i="100"/>
  <c r="O51" i="89"/>
  <c r="AE50" i="100"/>
  <c r="O51" i="91"/>
  <c r="AF50" i="100"/>
  <c r="O60" i="92"/>
  <c r="AG59" i="100"/>
  <c r="O61" i="92"/>
  <c r="AG60" i="100"/>
  <c r="O61" i="89"/>
  <c r="AE60" i="100"/>
  <c r="O66" i="86"/>
  <c r="AB65" i="100"/>
  <c r="O66" i="91"/>
  <c r="AF65" i="100"/>
  <c r="O41" i="86"/>
  <c r="AB40" i="100"/>
  <c r="O41" i="91"/>
  <c r="AF40" i="100"/>
  <c r="O56" i="89"/>
  <c r="AE55" i="100"/>
  <c r="O52" i="88"/>
  <c r="AD51" i="100"/>
  <c r="O45" i="88"/>
  <c r="AD44" i="100"/>
  <c r="O32" i="89"/>
  <c r="AE31" i="100"/>
  <c r="O15" i="88"/>
  <c r="AD14" i="100"/>
  <c r="O43" i="91"/>
  <c r="AF42" i="100"/>
  <c r="O67" i="92"/>
  <c r="AG66" i="100"/>
  <c r="O33" i="92"/>
  <c r="AG32" i="100"/>
  <c r="O58" i="91"/>
  <c r="AF57" i="100"/>
  <c r="O29" i="88"/>
  <c r="AD28" i="100"/>
  <c r="O34" i="88"/>
  <c r="AD33" i="100"/>
  <c r="O9" i="86"/>
  <c r="AB8" i="100"/>
  <c r="O46" i="92"/>
  <c r="AG45" i="100"/>
  <c r="O16" i="88"/>
  <c r="AD15" i="100"/>
  <c r="O48" i="89"/>
  <c r="O27" i="92"/>
  <c r="AG26" i="100"/>
  <c r="O8" i="92"/>
  <c r="AG7" i="100"/>
  <c r="O22" i="89"/>
  <c r="AE21" i="100"/>
  <c r="O70" i="92"/>
  <c r="AG69" i="100"/>
  <c r="O55" i="86"/>
  <c r="AB54" i="100"/>
  <c r="O20" i="89"/>
  <c r="AE19" i="100"/>
  <c r="O37" i="88"/>
  <c r="AD36" i="100"/>
  <c r="O26" i="91"/>
  <c r="AF25" i="100"/>
  <c r="O60" i="88"/>
  <c r="AD59" i="100"/>
  <c r="O66" i="89"/>
  <c r="AE65" i="100"/>
  <c r="O23" i="86"/>
  <c r="AB22" i="100"/>
  <c r="O56" i="88"/>
  <c r="AD55" i="100"/>
  <c r="O30" i="92"/>
  <c r="AG29" i="100"/>
  <c r="O30" i="89"/>
  <c r="AE29" i="100"/>
  <c r="O52" i="86"/>
  <c r="AB51" i="100"/>
  <c r="O52" i="91"/>
  <c r="AF51" i="100"/>
  <c r="O45" i="91"/>
  <c r="AF44" i="100"/>
  <c r="O32" i="86"/>
  <c r="AB31" i="100"/>
  <c r="O39" i="89"/>
  <c r="AE38" i="100"/>
  <c r="O43" i="89"/>
  <c r="AE42" i="100"/>
  <c r="O24" i="86"/>
  <c r="AB23" i="100"/>
  <c r="O33" i="91"/>
  <c r="AF32" i="100"/>
  <c r="O38" i="86"/>
  <c r="AB37" i="100"/>
  <c r="O38" i="91"/>
  <c r="AF37" i="100"/>
  <c r="O36" i="88"/>
  <c r="AD35" i="100"/>
  <c r="O68" i="88"/>
  <c r="AD67" i="100"/>
  <c r="O68" i="92"/>
  <c r="AG67" i="100"/>
  <c r="O69" i="89"/>
  <c r="AE68" i="100"/>
  <c r="O58" i="86"/>
  <c r="AB57" i="100"/>
  <c r="O13" i="88"/>
  <c r="AD12" i="100"/>
  <c r="O44" i="88"/>
  <c r="AD43" i="100"/>
  <c r="O29" i="91"/>
  <c r="AF28" i="100"/>
  <c r="O34" i="86"/>
  <c r="AB33" i="100"/>
  <c r="O34" i="92"/>
  <c r="AG33" i="100"/>
  <c r="O9" i="89"/>
  <c r="AE8" i="100"/>
  <c r="O72" i="86"/>
  <c r="AB71" i="100"/>
  <c r="O57" i="89"/>
  <c r="AE56" i="100"/>
  <c r="O46" i="86"/>
  <c r="AB45" i="100"/>
  <c r="O16" i="86"/>
  <c r="AB15" i="100"/>
  <c r="O16" i="92"/>
  <c r="AG15" i="100"/>
  <c r="O48" i="88"/>
  <c r="AD47" i="100"/>
  <c r="O27" i="91"/>
  <c r="AF26" i="100"/>
  <c r="O59" i="89"/>
  <c r="AE58" i="100"/>
  <c r="O8" i="86"/>
  <c r="AB7" i="100"/>
  <c r="O64" i="86"/>
  <c r="AB63" i="100"/>
  <c r="O22" i="86"/>
  <c r="AB21" i="100"/>
  <c r="O22" i="92"/>
  <c r="AG21" i="100"/>
  <c r="O70" i="88"/>
  <c r="AD69" i="100"/>
  <c r="O55" i="91"/>
  <c r="AF54" i="100"/>
  <c r="O20" i="86"/>
  <c r="AB19" i="100"/>
  <c r="O20" i="92"/>
  <c r="AG19" i="100"/>
  <c r="O26" i="88"/>
  <c r="AD25" i="100"/>
  <c r="O74" i="86"/>
  <c r="AB73" i="100"/>
  <c r="O74" i="91"/>
  <c r="AF73" i="100"/>
  <c r="O51" i="92"/>
  <c r="AG50" i="100"/>
  <c r="O60" i="86"/>
  <c r="AB59" i="100"/>
  <c r="O60" i="91"/>
  <c r="AF59" i="100"/>
  <c r="O61" i="91"/>
  <c r="AF60" i="100"/>
  <c r="O66" i="92"/>
  <c r="AG65" i="100"/>
  <c r="O75" i="91"/>
  <c r="AF74" i="100"/>
  <c r="O75" i="88"/>
  <c r="AD74" i="100"/>
  <c r="O41" i="92"/>
  <c r="AG40" i="100"/>
  <c r="O41" i="89"/>
  <c r="AE40" i="100"/>
  <c r="O23" i="89"/>
  <c r="AE22" i="100"/>
  <c r="O56" i="92"/>
  <c r="AG55" i="100"/>
  <c r="O30" i="88"/>
  <c r="AD29" i="100"/>
  <c r="O24" i="92"/>
  <c r="AG23" i="100"/>
  <c r="O38" i="88"/>
  <c r="AD37" i="100"/>
  <c r="O71" i="88"/>
  <c r="AD70" i="100"/>
  <c r="O36" i="91"/>
  <c r="AF35" i="100"/>
  <c r="O69" i="86"/>
  <c r="AB68" i="100"/>
  <c r="O58" i="92"/>
  <c r="AG57" i="100"/>
  <c r="O13" i="89"/>
  <c r="AE12" i="100"/>
  <c r="O44" i="91"/>
  <c r="AF43" i="100"/>
  <c r="O29" i="92"/>
  <c r="AG28" i="100"/>
  <c r="O57" i="86"/>
  <c r="AB56" i="100"/>
  <c r="O46" i="89"/>
  <c r="AE45" i="100"/>
  <c r="O48" i="92"/>
  <c r="AG47" i="100"/>
  <c r="O28" i="91"/>
  <c r="AF27" i="100"/>
  <c r="O27" i="88"/>
  <c r="AD26" i="100"/>
  <c r="O59" i="91"/>
  <c r="AF58" i="100"/>
  <c r="O35" i="88"/>
  <c r="AD34" i="100"/>
  <c r="O64" i="91"/>
  <c r="AF63" i="100"/>
  <c r="O74" i="92"/>
  <c r="AG73" i="100"/>
  <c r="O75" i="89"/>
  <c r="AE74" i="100"/>
  <c r="O23" i="92"/>
  <c r="AG22" i="100"/>
  <c r="O56" i="91"/>
  <c r="AF55" i="100"/>
  <c r="O30" i="86"/>
  <c r="AB29" i="100"/>
  <c r="S21" i="91"/>
  <c r="O52" i="89"/>
  <c r="AE51" i="100"/>
  <c r="O45" i="86"/>
  <c r="AB44" i="100"/>
  <c r="O32" i="88"/>
  <c r="AD31" i="100"/>
  <c r="O32" i="91"/>
  <c r="AF31" i="100"/>
  <c r="O39" i="88"/>
  <c r="AD38" i="100"/>
  <c r="O39" i="92"/>
  <c r="AG38" i="100"/>
  <c r="O15" i="86"/>
  <c r="AB14" i="100"/>
  <c r="O15" i="91"/>
  <c r="AF14" i="100"/>
  <c r="O43" i="88"/>
  <c r="AD42" i="100"/>
  <c r="O43" i="92"/>
  <c r="AG42" i="100"/>
  <c r="O24" i="91"/>
  <c r="AF23" i="100"/>
  <c r="O67" i="86"/>
  <c r="AB66" i="100"/>
  <c r="O67" i="91"/>
  <c r="AF66" i="100"/>
  <c r="O33" i="86"/>
  <c r="AB32" i="100"/>
  <c r="O38" i="89"/>
  <c r="AE37" i="100"/>
  <c r="O71" i="86"/>
  <c r="AB70" i="100"/>
  <c r="O71" i="91"/>
  <c r="AF70" i="100"/>
  <c r="O36" i="92"/>
  <c r="AG35" i="100"/>
  <c r="O36" i="89"/>
  <c r="AE35" i="100"/>
  <c r="O68" i="91"/>
  <c r="AF67" i="100"/>
  <c r="O69" i="88"/>
  <c r="AD68" i="100"/>
  <c r="O69" i="92"/>
  <c r="AG68" i="100"/>
  <c r="O58" i="89"/>
  <c r="AE57" i="100"/>
  <c r="O13" i="86"/>
  <c r="AB12" i="100"/>
  <c r="O13" i="91"/>
  <c r="AF12" i="100"/>
  <c r="O44" i="92"/>
  <c r="AG43" i="100"/>
  <c r="O44" i="89"/>
  <c r="AE43" i="100"/>
  <c r="O29" i="86"/>
  <c r="AB28" i="100"/>
  <c r="O34" i="91"/>
  <c r="AF33" i="100"/>
  <c r="O9" i="88"/>
  <c r="AD8" i="100"/>
  <c r="O9" i="92"/>
  <c r="AG8" i="100"/>
  <c r="O40" i="89"/>
  <c r="AE39" i="100"/>
  <c r="O40" i="88"/>
  <c r="AD39" i="100"/>
  <c r="O72" i="92"/>
  <c r="AG71" i="100"/>
  <c r="O72" i="89"/>
  <c r="AE71" i="100"/>
  <c r="O57" i="88"/>
  <c r="AD56" i="100"/>
  <c r="O57" i="92"/>
  <c r="AG56" i="100"/>
  <c r="O46" i="91"/>
  <c r="AF45" i="100"/>
  <c r="O16" i="91"/>
  <c r="AF15" i="100"/>
  <c r="O48" i="91"/>
  <c r="AF47" i="100"/>
  <c r="O28" i="89"/>
  <c r="AE27" i="100"/>
  <c r="O28" i="88"/>
  <c r="AD27" i="100"/>
  <c r="O27" i="86"/>
  <c r="AB26" i="100"/>
  <c r="O59" i="88"/>
  <c r="AD58" i="100"/>
  <c r="O59" i="92"/>
  <c r="AG58" i="100"/>
  <c r="O8" i="91"/>
  <c r="AF7" i="100"/>
  <c r="O35" i="86"/>
  <c r="AB34" i="100"/>
  <c r="O35" i="91"/>
  <c r="AF34" i="100"/>
  <c r="O64" i="92"/>
  <c r="AG63" i="100"/>
  <c r="O64" i="89"/>
  <c r="AE63" i="100"/>
  <c r="O22" i="91"/>
  <c r="AF21" i="100"/>
  <c r="O70" i="91"/>
  <c r="AF69" i="100"/>
  <c r="O55" i="89"/>
  <c r="AE54" i="100"/>
  <c r="O20" i="91"/>
  <c r="AF19" i="100"/>
  <c r="O37" i="86"/>
  <c r="AB36" i="100"/>
  <c r="O37" i="91"/>
  <c r="AF36" i="100"/>
  <c r="O26" i="92"/>
  <c r="AG25" i="100"/>
  <c r="O26" i="89"/>
  <c r="AE25" i="100"/>
  <c r="O74" i="89"/>
  <c r="AE73" i="100"/>
  <c r="O51" i="86"/>
  <c r="AB50" i="100"/>
  <c r="O60" i="89"/>
  <c r="AE59" i="100"/>
  <c r="O61" i="86"/>
  <c r="AB60" i="100"/>
  <c r="O66" i="88"/>
  <c r="AD65" i="100"/>
  <c r="O75" i="86"/>
  <c r="AB74" i="100"/>
  <c r="O41" i="88"/>
  <c r="AD40" i="100"/>
  <c r="O23" i="91"/>
  <c r="AF22" i="100"/>
  <c r="O23" i="88"/>
  <c r="AD22" i="100"/>
  <c r="R9" i="76"/>
  <c r="T9" i="76" s="1"/>
  <c r="U9" i="76" s="1"/>
  <c r="R18" i="76"/>
  <c r="T18" i="76" s="1"/>
  <c r="R44" i="76"/>
  <c r="T44" i="76" s="1"/>
  <c r="R70" i="80"/>
  <c r="T70" i="80" s="1"/>
  <c r="R73" i="90"/>
  <c r="R47" i="80"/>
  <c r="T47" i="80" s="1"/>
  <c r="U47" i="80" s="1"/>
  <c r="R44" i="80"/>
  <c r="T44" i="80" s="1"/>
  <c r="U44" i="80" s="1"/>
  <c r="R60" i="80"/>
  <c r="T60" i="80" s="1"/>
  <c r="R46" i="76"/>
  <c r="T46" i="76" s="1"/>
  <c r="U46" i="76" s="1"/>
  <c r="R46" i="80"/>
  <c r="T46" i="80" s="1"/>
  <c r="R22" i="76"/>
  <c r="T22" i="76" s="1"/>
  <c r="U22" i="76" s="1"/>
  <c r="R63" i="90"/>
  <c r="R60" i="76"/>
  <c r="T60" i="76" s="1"/>
  <c r="U60" i="76" s="1"/>
  <c r="R59" i="76"/>
  <c r="T59" i="76" s="1"/>
  <c r="U59" i="76" s="1"/>
  <c r="R28" i="76"/>
  <c r="T28" i="76" s="1"/>
  <c r="R11" i="76"/>
  <c r="T11" i="76" s="1"/>
  <c r="U11" i="76" s="1"/>
  <c r="R11" i="80"/>
  <c r="T11" i="80" s="1"/>
  <c r="R39" i="76"/>
  <c r="T39" i="76" s="1"/>
  <c r="U39" i="76" s="1"/>
  <c r="R15" i="76"/>
  <c r="T15" i="76" s="1"/>
  <c r="R16" i="80"/>
  <c r="T16" i="80" s="1"/>
  <c r="U16" i="80" s="1"/>
  <c r="R16" i="76"/>
  <c r="T16" i="76" s="1"/>
  <c r="R62" i="80"/>
  <c r="T62" i="80" s="1"/>
  <c r="R21" i="90"/>
  <c r="R18" i="80"/>
  <c r="T18" i="80" s="1"/>
  <c r="R28" i="80"/>
  <c r="T28" i="80" s="1"/>
  <c r="R14" i="90"/>
  <c r="R47" i="76"/>
  <c r="T47" i="76" s="1"/>
  <c r="R54" i="90"/>
  <c r="R7" i="76"/>
  <c r="T7" i="76" s="1"/>
  <c r="U7" i="76" s="1"/>
  <c r="O57" i="31"/>
  <c r="R25" i="90"/>
  <c r="R70" i="76"/>
  <c r="T70" i="76" s="1"/>
  <c r="R12" i="90"/>
  <c r="R39" i="80"/>
  <c r="T39" i="80" s="1"/>
  <c r="U39" i="80" s="1"/>
  <c r="R59" i="80"/>
  <c r="T59" i="80" s="1"/>
  <c r="R17" i="90"/>
  <c r="N7" i="92"/>
  <c r="AG6" i="100" s="1"/>
  <c r="P4" i="80"/>
  <c r="Z6" i="100" s="1"/>
  <c r="N7" i="86"/>
  <c r="AB6" i="100" s="1"/>
  <c r="P4" i="76"/>
  <c r="Y6" i="100" s="1"/>
  <c r="N7" i="88"/>
  <c r="AD6" i="100" s="1"/>
  <c r="N7" i="85"/>
  <c r="AA6" i="100" s="1"/>
  <c r="AA75" i="100" s="1"/>
  <c r="N7" i="91"/>
  <c r="AF6" i="100" s="1"/>
  <c r="N7" i="89"/>
  <c r="AE6" i="100" s="1"/>
  <c r="T30" i="46"/>
  <c r="U29" i="46"/>
  <c r="O21" i="31"/>
  <c r="BE52" i="72"/>
  <c r="R50" i="76"/>
  <c r="T50" i="76" s="1"/>
  <c r="R14" i="76"/>
  <c r="T14" i="76" s="1"/>
  <c r="T7" i="87"/>
  <c r="R76" i="87"/>
  <c r="X17" i="46"/>
  <c r="R47" i="90"/>
  <c r="BF52" i="72"/>
  <c r="R50" i="80"/>
  <c r="T50" i="80" s="1"/>
  <c r="R15" i="80"/>
  <c r="T15" i="80" s="1"/>
  <c r="R19" i="90"/>
  <c r="R50" i="90"/>
  <c r="R65" i="90"/>
  <c r="R62" i="76"/>
  <c r="T62" i="76" s="1"/>
  <c r="R51" i="76"/>
  <c r="T51" i="76" s="1"/>
  <c r="AM22" i="72"/>
  <c r="AM75" i="72" s="1"/>
  <c r="O56" i="85"/>
  <c r="Q56" i="90"/>
  <c r="P56" i="90"/>
  <c r="Q27" i="80"/>
  <c r="BF29" i="72" s="1"/>
  <c r="Q27" i="76"/>
  <c r="BE29" i="72" s="1"/>
  <c r="AN22" i="72"/>
  <c r="AN75" i="72" s="1"/>
  <c r="O52" i="85"/>
  <c r="P52" i="90"/>
  <c r="Q52" i="90"/>
  <c r="Q42" i="76"/>
  <c r="BE44" i="72" s="1"/>
  <c r="Q42" i="80"/>
  <c r="BF44" i="72" s="1"/>
  <c r="P45" i="90"/>
  <c r="Q45" i="90"/>
  <c r="Q32" i="90"/>
  <c r="P32" i="90"/>
  <c r="Q29" i="76"/>
  <c r="BE31" i="72" s="1"/>
  <c r="Q36" i="80"/>
  <c r="BF38" i="72" s="1"/>
  <c r="Q39" i="90"/>
  <c r="P39" i="90"/>
  <c r="Q40" i="80"/>
  <c r="BF42" i="72" s="1"/>
  <c r="Q21" i="76"/>
  <c r="BE23" i="72" s="1"/>
  <c r="P24" i="90"/>
  <c r="Q24" i="90"/>
  <c r="Q30" i="80"/>
  <c r="BF32" i="72" s="1"/>
  <c r="P33" i="90"/>
  <c r="Q33" i="90"/>
  <c r="Q35" i="80"/>
  <c r="BF37" i="72" s="1"/>
  <c r="Q33" i="76"/>
  <c r="BE35" i="72" s="1"/>
  <c r="P36" i="90"/>
  <c r="Q36" i="90"/>
  <c r="O68" i="85"/>
  <c r="P68" i="90"/>
  <c r="Q68" i="90"/>
  <c r="Q66" i="80"/>
  <c r="BF68" i="72" s="1"/>
  <c r="Q69" i="90"/>
  <c r="P69" i="90"/>
  <c r="Q55" i="80"/>
  <c r="BF57" i="72" s="1"/>
  <c r="Q55" i="76"/>
  <c r="BE57" i="72" s="1"/>
  <c r="Q41" i="80"/>
  <c r="BF43" i="72" s="1"/>
  <c r="Q41" i="76"/>
  <c r="BE43" i="72" s="1"/>
  <c r="Q26" i="80"/>
  <c r="BF28" i="72" s="1"/>
  <c r="Q29" i="90"/>
  <c r="P29" i="90"/>
  <c r="Q34" i="90"/>
  <c r="P34" i="90"/>
  <c r="Q6" i="80"/>
  <c r="BF8" i="72" s="1"/>
  <c r="P9" i="90"/>
  <c r="Q9" i="90"/>
  <c r="P40" i="90"/>
  <c r="Q40" i="90"/>
  <c r="Q69" i="76"/>
  <c r="BE71" i="72" s="1"/>
  <c r="O72" i="85"/>
  <c r="Q43" i="76"/>
  <c r="BE45" i="72" s="1"/>
  <c r="P46" i="90"/>
  <c r="Q46" i="90"/>
  <c r="Q16" i="90"/>
  <c r="P16" i="90"/>
  <c r="O16" i="85"/>
  <c r="Q75" i="100"/>
  <c r="Q45" i="76"/>
  <c r="BE47" i="72" s="1"/>
  <c r="O48" i="85"/>
  <c r="Q28" i="90"/>
  <c r="P28" i="90"/>
  <c r="Q24" i="80"/>
  <c r="BF26" i="72" s="1"/>
  <c r="Q27" i="90"/>
  <c r="P27" i="90"/>
  <c r="Q5" i="76"/>
  <c r="BE7" i="72" s="1"/>
  <c r="Q8" i="90"/>
  <c r="P8" i="90"/>
  <c r="Q61" i="76"/>
  <c r="BE63" i="72" s="1"/>
  <c r="O64" i="85"/>
  <c r="P22" i="90"/>
  <c r="Q22" i="90"/>
  <c r="Q67" i="76"/>
  <c r="BE69" i="72" s="1"/>
  <c r="O70" i="85"/>
  <c r="P55" i="90"/>
  <c r="Q55" i="90"/>
  <c r="P20" i="90"/>
  <c r="Q20" i="90"/>
  <c r="Q23" i="76"/>
  <c r="BE25" i="72" s="1"/>
  <c r="P26" i="90"/>
  <c r="Q26" i="90"/>
  <c r="Q71" i="76"/>
  <c r="BE73" i="72" s="1"/>
  <c r="O74" i="85"/>
  <c r="Q48" i="76"/>
  <c r="BE50" i="72" s="1"/>
  <c r="Q48" i="80"/>
  <c r="BF50" i="72" s="1"/>
  <c r="P51" i="90"/>
  <c r="Q51" i="90"/>
  <c r="O60" i="85"/>
  <c r="Q60" i="90"/>
  <c r="P60" i="90"/>
  <c r="Q58" i="76"/>
  <c r="BE60" i="72" s="1"/>
  <c r="Q58" i="80"/>
  <c r="BF60" i="72" s="1"/>
  <c r="Q61" i="90"/>
  <c r="P61" i="90"/>
  <c r="O66" i="85"/>
  <c r="P66" i="90"/>
  <c r="Q66" i="90"/>
  <c r="Q75" i="90"/>
  <c r="P75" i="90"/>
  <c r="O41" i="85"/>
  <c r="Q38" i="76"/>
  <c r="BE40" i="72" s="1"/>
  <c r="Q38" i="80"/>
  <c r="BF40" i="72" s="1"/>
  <c r="P41" i="90"/>
  <c r="Q41" i="90"/>
  <c r="R62" i="90"/>
  <c r="T18" i="46"/>
  <c r="U10" i="46"/>
  <c r="Q53" i="80"/>
  <c r="BF55" i="72" s="1"/>
  <c r="Q53" i="76"/>
  <c r="BE55" i="72" s="1"/>
  <c r="Q30" i="90"/>
  <c r="P30" i="90"/>
  <c r="O30" i="85"/>
  <c r="Q49" i="80"/>
  <c r="BF51" i="72" s="1"/>
  <c r="Q49" i="76"/>
  <c r="BE51" i="72" s="1"/>
  <c r="O45" i="85"/>
  <c r="Q29" i="80"/>
  <c r="BF31" i="72" s="1"/>
  <c r="O32" i="85"/>
  <c r="O39" i="85"/>
  <c r="Q36" i="76"/>
  <c r="BE38" i="72" s="1"/>
  <c r="O15" i="85"/>
  <c r="Q12" i="76"/>
  <c r="BE14" i="72" s="1"/>
  <c r="Q12" i="80"/>
  <c r="BF14" i="72" s="1"/>
  <c r="Q15" i="90"/>
  <c r="P15" i="90"/>
  <c r="O43" i="85"/>
  <c r="Q40" i="76"/>
  <c r="BE42" i="72" s="1"/>
  <c r="P43" i="90"/>
  <c r="Q43" i="90"/>
  <c r="O24" i="85"/>
  <c r="Q21" i="80"/>
  <c r="BF23" i="72" s="1"/>
  <c r="O67" i="85"/>
  <c r="Q64" i="76"/>
  <c r="BE66" i="72" s="1"/>
  <c r="Q64" i="80"/>
  <c r="BF66" i="72" s="1"/>
  <c r="P67" i="90"/>
  <c r="Q67" i="90"/>
  <c r="O33" i="85"/>
  <c r="Q30" i="76"/>
  <c r="BE32" i="72" s="1"/>
  <c r="Q35" i="76"/>
  <c r="BE37" i="72" s="1"/>
  <c r="P38" i="90"/>
  <c r="Q38" i="90"/>
  <c r="O38" i="85"/>
  <c r="O71" i="85"/>
  <c r="Q68" i="76"/>
  <c r="BE70" i="72" s="1"/>
  <c r="Q68" i="80"/>
  <c r="BF70" i="72" s="1"/>
  <c r="Q71" i="90"/>
  <c r="P71" i="90"/>
  <c r="O36" i="85"/>
  <c r="Q33" i="80"/>
  <c r="BF35" i="72" s="1"/>
  <c r="Q65" i="80"/>
  <c r="BF67" i="72" s="1"/>
  <c r="Q65" i="76"/>
  <c r="BE67" i="72" s="1"/>
  <c r="O69" i="85"/>
  <c r="Q66" i="76"/>
  <c r="BE68" i="72" s="1"/>
  <c r="O58" i="85"/>
  <c r="Q58" i="90"/>
  <c r="P58" i="90"/>
  <c r="O13" i="85"/>
  <c r="Q10" i="76"/>
  <c r="BE12" i="72" s="1"/>
  <c r="Q10" i="80"/>
  <c r="BF12" i="72" s="1"/>
  <c r="P13" i="90"/>
  <c r="Q13" i="90"/>
  <c r="P44" i="90"/>
  <c r="Q44" i="90"/>
  <c r="O44" i="85"/>
  <c r="O29" i="85"/>
  <c r="Q26" i="76"/>
  <c r="BE28" i="72" s="1"/>
  <c r="O34" i="85"/>
  <c r="Q31" i="80"/>
  <c r="BF33" i="72" s="1"/>
  <c r="Q31" i="76"/>
  <c r="BE33" i="72" s="1"/>
  <c r="O9" i="85"/>
  <c r="Q6" i="76"/>
  <c r="BE8" i="72" s="1"/>
  <c r="O40" i="85"/>
  <c r="Q37" i="80"/>
  <c r="BF39" i="72" s="1"/>
  <c r="Q37" i="76"/>
  <c r="BE39" i="72" s="1"/>
  <c r="Q72" i="90"/>
  <c r="P72" i="90"/>
  <c r="Q69" i="80"/>
  <c r="BF71" i="72" s="1"/>
  <c r="O57" i="85"/>
  <c r="Q54" i="76"/>
  <c r="BE56" i="72" s="1"/>
  <c r="Q54" i="80"/>
  <c r="BF56" i="72" s="1"/>
  <c r="P57" i="90"/>
  <c r="Q57" i="90"/>
  <c r="O46" i="85"/>
  <c r="Q43" i="80"/>
  <c r="BF45" i="72" s="1"/>
  <c r="Q13" i="80"/>
  <c r="BF15" i="72" s="1"/>
  <c r="Q13" i="76"/>
  <c r="BE15" i="72" s="1"/>
  <c r="P48" i="90"/>
  <c r="Q48" i="90"/>
  <c r="Q45" i="80"/>
  <c r="BF47" i="72" s="1"/>
  <c r="O28" i="85"/>
  <c r="Q25" i="80"/>
  <c r="BF27" i="72" s="1"/>
  <c r="Q25" i="76"/>
  <c r="BE27" i="72" s="1"/>
  <c r="O27" i="85"/>
  <c r="Q24" i="76"/>
  <c r="BE26" i="72" s="1"/>
  <c r="O59" i="85"/>
  <c r="Q56" i="76"/>
  <c r="BE58" i="72" s="1"/>
  <c r="Q56" i="80"/>
  <c r="BF58" i="72" s="1"/>
  <c r="P59" i="90"/>
  <c r="Q59" i="90"/>
  <c r="O8" i="85"/>
  <c r="Q5" i="80"/>
  <c r="BF7" i="72" s="1"/>
  <c r="O35" i="85"/>
  <c r="Q32" i="76"/>
  <c r="BE34" i="72" s="1"/>
  <c r="Q32" i="80"/>
  <c r="BF34" i="72" s="1"/>
  <c r="Q35" i="90"/>
  <c r="P35" i="90"/>
  <c r="P64" i="90"/>
  <c r="Q64" i="90"/>
  <c r="Q61" i="80"/>
  <c r="BF63" i="72" s="1"/>
  <c r="O22" i="85"/>
  <c r="Q19" i="80"/>
  <c r="BF21" i="72" s="1"/>
  <c r="Q19" i="76"/>
  <c r="BE21" i="72" s="1"/>
  <c r="P70" i="90"/>
  <c r="Q70" i="90"/>
  <c r="Q67" i="80"/>
  <c r="BF69" i="72" s="1"/>
  <c r="O55" i="85"/>
  <c r="Q52" i="80"/>
  <c r="BF54" i="72" s="1"/>
  <c r="Q52" i="76"/>
  <c r="BE54" i="72" s="1"/>
  <c r="O20" i="85"/>
  <c r="Q17" i="80"/>
  <c r="BF19" i="72" s="1"/>
  <c r="Q17" i="76"/>
  <c r="BE19" i="72" s="1"/>
  <c r="O37" i="85"/>
  <c r="Q34" i="76"/>
  <c r="BE36" i="72" s="1"/>
  <c r="Q34" i="80"/>
  <c r="BF36" i="72" s="1"/>
  <c r="Q37" i="90"/>
  <c r="P37" i="90"/>
  <c r="O26" i="85"/>
  <c r="Q23" i="80"/>
  <c r="BF25" i="72" s="1"/>
  <c r="P74" i="90"/>
  <c r="Q74" i="90"/>
  <c r="Q71" i="80"/>
  <c r="BF73" i="72" s="1"/>
  <c r="O51" i="85"/>
  <c r="Q57" i="80"/>
  <c r="BF59" i="72" s="1"/>
  <c r="Q57" i="76"/>
  <c r="BE59" i="72" s="1"/>
  <c r="O61" i="85"/>
  <c r="Q63" i="80"/>
  <c r="BF65" i="72" s="1"/>
  <c r="Q63" i="76"/>
  <c r="BE65" i="72" s="1"/>
  <c r="Q72" i="76"/>
  <c r="BE74" i="72" s="1"/>
  <c r="O75" i="85"/>
  <c r="Q72" i="80"/>
  <c r="BF74" i="72" s="1"/>
  <c r="Q20" i="76"/>
  <c r="BE22" i="72" s="1"/>
  <c r="Q20" i="80"/>
  <c r="BF22" i="72" s="1"/>
  <c r="P23" i="90"/>
  <c r="Q23" i="90"/>
  <c r="O23" i="85"/>
  <c r="R10" i="90"/>
  <c r="R53" i="90"/>
  <c r="R11" i="90"/>
  <c r="R8" i="80"/>
  <c r="T8" i="80" s="1"/>
  <c r="R18" i="90"/>
  <c r="R14" i="80"/>
  <c r="T14" i="80" s="1"/>
  <c r="R31" i="90"/>
  <c r="R9" i="80"/>
  <c r="T9" i="80" s="1"/>
  <c r="R51" i="80"/>
  <c r="T51" i="80" s="1"/>
  <c r="R49" i="90"/>
  <c r="R42" i="90"/>
  <c r="O39" i="31"/>
  <c r="P39" i="31" s="1"/>
  <c r="R39" i="31" s="1"/>
  <c r="S39" i="31" s="1"/>
  <c r="AO41" i="72" l="1"/>
  <c r="AO75" i="72" s="1"/>
  <c r="P57" i="31"/>
  <c r="O69" i="31"/>
  <c r="S31" i="91"/>
  <c r="AC30" i="72" s="1"/>
  <c r="S47" i="91"/>
  <c r="AC46" i="72" s="1"/>
  <c r="S14" i="88"/>
  <c r="AA13" i="72" s="1"/>
  <c r="S25" i="86"/>
  <c r="S62" i="88"/>
  <c r="AA61" i="72" s="1"/>
  <c r="S12" i="92"/>
  <c r="AD11" i="72" s="1"/>
  <c r="S53" i="86"/>
  <c r="S10" i="89"/>
  <c r="S62" i="92"/>
  <c r="AD61" i="72" s="1"/>
  <c r="T18" i="90"/>
  <c r="V18" i="90" s="1"/>
  <c r="T50" i="90"/>
  <c r="V50" i="90" s="1"/>
  <c r="T17" i="90"/>
  <c r="V17" i="90" s="1"/>
  <c r="W17" i="90" s="1"/>
  <c r="T14" i="90"/>
  <c r="V14" i="90" s="1"/>
  <c r="W14" i="90" s="1"/>
  <c r="T11" i="90"/>
  <c r="V11" i="90" s="1"/>
  <c r="AA10" i="72"/>
  <c r="AA62" i="72"/>
  <c r="AD72" i="72"/>
  <c r="AC61" i="72"/>
  <c r="AD16" i="72"/>
  <c r="AC9" i="72"/>
  <c r="AA53" i="72"/>
  <c r="AB62" i="72"/>
  <c r="AC13" i="72"/>
  <c r="AD46" i="72"/>
  <c r="AB11" i="72"/>
  <c r="AB24" i="72"/>
  <c r="AC53" i="72"/>
  <c r="AB10" i="72"/>
  <c r="AA41" i="72"/>
  <c r="AB46" i="72"/>
  <c r="Y61" i="72"/>
  <c r="AD53" i="72"/>
  <c r="AA18" i="72"/>
  <c r="AA30" i="72"/>
  <c r="AC10" i="72"/>
  <c r="AA52" i="72"/>
  <c r="AB17" i="72"/>
  <c r="P75" i="85"/>
  <c r="R75" i="85" s="1"/>
  <c r="BG74" i="72"/>
  <c r="P27" i="85"/>
  <c r="R27" i="85" s="1"/>
  <c r="BG26" i="72"/>
  <c r="P29" i="85"/>
  <c r="R29" i="85" s="1"/>
  <c r="BG28" i="72"/>
  <c r="P67" i="85"/>
  <c r="BG66" i="72"/>
  <c r="P45" i="85"/>
  <c r="R45" i="85" s="1"/>
  <c r="BG44" i="72"/>
  <c r="P66" i="85"/>
  <c r="R66" i="85" s="1"/>
  <c r="BG65" i="72"/>
  <c r="P70" i="85"/>
  <c r="BG69" i="72"/>
  <c r="P23" i="88"/>
  <c r="R23" i="88" s="1"/>
  <c r="S23" i="88" s="1"/>
  <c r="BJ22" i="72"/>
  <c r="P66" i="88"/>
  <c r="R66" i="88" s="1"/>
  <c r="S66" i="88" s="1"/>
  <c r="BJ65" i="72"/>
  <c r="P60" i="89"/>
  <c r="R60" i="89" s="1"/>
  <c r="S60" i="89" s="1"/>
  <c r="BK59" i="72"/>
  <c r="P26" i="92"/>
  <c r="R26" i="92" s="1"/>
  <c r="S26" i="92" s="1"/>
  <c r="BM25" i="72"/>
  <c r="P37" i="86"/>
  <c r="R37" i="86" s="1"/>
  <c r="S37" i="86" s="1"/>
  <c r="BH36" i="72"/>
  <c r="P22" i="91"/>
  <c r="R22" i="91" s="1"/>
  <c r="S22" i="91" s="1"/>
  <c r="BL21" i="72"/>
  <c r="P35" i="86"/>
  <c r="R35" i="86" s="1"/>
  <c r="S35" i="86" s="1"/>
  <c r="BH34" i="72"/>
  <c r="P59" i="92"/>
  <c r="R59" i="92" s="1"/>
  <c r="S59" i="92" s="1"/>
  <c r="BM58" i="72"/>
  <c r="P28" i="89"/>
  <c r="R28" i="89" s="1"/>
  <c r="S28" i="89" s="1"/>
  <c r="BK27" i="72"/>
  <c r="P16" i="91"/>
  <c r="R16" i="91" s="1"/>
  <c r="BL15" i="72"/>
  <c r="P72" i="89"/>
  <c r="R72" i="89" s="1"/>
  <c r="BK71" i="72"/>
  <c r="P40" i="88"/>
  <c r="R40" i="88" s="1"/>
  <c r="S40" i="88" s="1"/>
  <c r="BJ39" i="72"/>
  <c r="P34" i="91"/>
  <c r="R34" i="91" s="1"/>
  <c r="S34" i="91" s="1"/>
  <c r="BL33" i="72"/>
  <c r="P44" i="89"/>
  <c r="R44" i="89" s="1"/>
  <c r="BK43" i="72"/>
  <c r="P13" i="91"/>
  <c r="R13" i="91" s="1"/>
  <c r="S13" i="91" s="1"/>
  <c r="BL12" i="72"/>
  <c r="P69" i="88"/>
  <c r="R69" i="88" s="1"/>
  <c r="S69" i="88" s="1"/>
  <c r="BJ68" i="72"/>
  <c r="P36" i="89"/>
  <c r="R36" i="89" s="1"/>
  <c r="BK35" i="72"/>
  <c r="P38" i="89"/>
  <c r="R38" i="89" s="1"/>
  <c r="S38" i="89" s="1"/>
  <c r="BK37" i="72"/>
  <c r="P24" i="91"/>
  <c r="R24" i="91" s="1"/>
  <c r="S24" i="91" s="1"/>
  <c r="BL23" i="72"/>
  <c r="P43" i="88"/>
  <c r="R43" i="88" s="1"/>
  <c r="S43" i="88" s="1"/>
  <c r="BJ42" i="72"/>
  <c r="P39" i="88"/>
  <c r="R39" i="88" s="1"/>
  <c r="S39" i="88" s="1"/>
  <c r="BJ38" i="72"/>
  <c r="P32" i="88"/>
  <c r="R32" i="88" s="1"/>
  <c r="S32" i="88" s="1"/>
  <c r="BJ31" i="72"/>
  <c r="AD52" i="72"/>
  <c r="AC20" i="72"/>
  <c r="AC64" i="72"/>
  <c r="P30" i="86"/>
  <c r="R30" i="86" s="1"/>
  <c r="S30" i="86" s="1"/>
  <c r="BH29" i="72"/>
  <c r="AD62" i="72"/>
  <c r="AB16" i="72"/>
  <c r="P64" i="91"/>
  <c r="R64" i="91" s="1"/>
  <c r="S64" i="91" s="1"/>
  <c r="BL63" i="72"/>
  <c r="P59" i="91"/>
  <c r="R59" i="91" s="1"/>
  <c r="BL58" i="72"/>
  <c r="P46" i="89"/>
  <c r="R46" i="89" s="1"/>
  <c r="S46" i="89" s="1"/>
  <c r="BK45" i="72"/>
  <c r="P13" i="89"/>
  <c r="R13" i="89" s="1"/>
  <c r="S13" i="89" s="1"/>
  <c r="BK12" i="72"/>
  <c r="P69" i="86"/>
  <c r="R69" i="86" s="1"/>
  <c r="S69" i="86" s="1"/>
  <c r="BH68" i="72"/>
  <c r="P24" i="92"/>
  <c r="R24" i="92" s="1"/>
  <c r="BM23" i="72"/>
  <c r="Y24" i="72"/>
  <c r="P30" i="88"/>
  <c r="R30" i="88" s="1"/>
  <c r="S30" i="88" s="1"/>
  <c r="BJ29" i="72"/>
  <c r="AD41" i="72"/>
  <c r="P41" i="89"/>
  <c r="R41" i="89" s="1"/>
  <c r="S41" i="89" s="1"/>
  <c r="BK40" i="72"/>
  <c r="P75" i="88"/>
  <c r="R75" i="88" s="1"/>
  <c r="S75" i="88" s="1"/>
  <c r="BJ74" i="72"/>
  <c r="P60" i="91"/>
  <c r="R60" i="91" s="1"/>
  <c r="S60" i="91" s="1"/>
  <c r="BL59" i="72"/>
  <c r="P74" i="86"/>
  <c r="R74" i="86" s="1"/>
  <c r="S74" i="86" s="1"/>
  <c r="BH73" i="72"/>
  <c r="P20" i="92"/>
  <c r="R20" i="92" s="1"/>
  <c r="BM19" i="72"/>
  <c r="P55" i="91"/>
  <c r="R55" i="91" s="1"/>
  <c r="S55" i="91" s="1"/>
  <c r="BL54" i="72"/>
  <c r="P64" i="86"/>
  <c r="R64" i="86" s="1"/>
  <c r="S64" i="86" s="1"/>
  <c r="BH63" i="72"/>
  <c r="P59" i="89"/>
  <c r="R59" i="89" s="1"/>
  <c r="S59" i="89" s="1"/>
  <c r="BK58" i="72"/>
  <c r="P48" i="88"/>
  <c r="R48" i="88" s="1"/>
  <c r="S48" i="88" s="1"/>
  <c r="BJ47" i="72"/>
  <c r="P57" i="89"/>
  <c r="R57" i="89" s="1"/>
  <c r="S57" i="89" s="1"/>
  <c r="BK56" i="72"/>
  <c r="P9" i="89"/>
  <c r="R9" i="89" s="1"/>
  <c r="S9" i="89" s="1"/>
  <c r="BK8" i="72"/>
  <c r="P44" i="88"/>
  <c r="R44" i="88" s="1"/>
  <c r="S44" i="88" s="1"/>
  <c r="BJ43" i="72"/>
  <c r="P68" i="92"/>
  <c r="R68" i="92" s="1"/>
  <c r="S68" i="92" s="1"/>
  <c r="BM67" i="72"/>
  <c r="P36" i="88"/>
  <c r="R36" i="88" s="1"/>
  <c r="S36" i="88" s="1"/>
  <c r="BJ35" i="72"/>
  <c r="P24" i="86"/>
  <c r="R24" i="86" s="1"/>
  <c r="S24" i="86" s="1"/>
  <c r="BH23" i="72"/>
  <c r="P39" i="89"/>
  <c r="R39" i="89" s="1"/>
  <c r="S39" i="89" s="1"/>
  <c r="BK38" i="72"/>
  <c r="P52" i="86"/>
  <c r="R52" i="86" s="1"/>
  <c r="S52" i="86" s="1"/>
  <c r="BH51" i="72"/>
  <c r="AC52" i="72"/>
  <c r="AB64" i="72"/>
  <c r="Y18" i="72"/>
  <c r="P30" i="89"/>
  <c r="R30" i="89" s="1"/>
  <c r="BK29" i="72"/>
  <c r="AC24" i="72"/>
  <c r="AB72" i="72"/>
  <c r="Y48" i="72"/>
  <c r="AD13" i="72"/>
  <c r="P75" i="92"/>
  <c r="R75" i="92" s="1"/>
  <c r="S75" i="92" s="1"/>
  <c r="BM74" i="72"/>
  <c r="P37" i="92"/>
  <c r="R37" i="92" s="1"/>
  <c r="S37" i="92" s="1"/>
  <c r="BM36" i="72"/>
  <c r="P55" i="92"/>
  <c r="R55" i="92" s="1"/>
  <c r="S55" i="92" s="1"/>
  <c r="BM54" i="72"/>
  <c r="P8" i="89"/>
  <c r="R8" i="89" s="1"/>
  <c r="BK7" i="72"/>
  <c r="P57" i="91"/>
  <c r="R57" i="91" s="1"/>
  <c r="S57" i="91" s="1"/>
  <c r="BL56" i="72"/>
  <c r="P13" i="92"/>
  <c r="R13" i="92" s="1"/>
  <c r="BM12" i="72"/>
  <c r="P71" i="92"/>
  <c r="R71" i="92" s="1"/>
  <c r="BM70" i="72"/>
  <c r="P24" i="89"/>
  <c r="R24" i="89" s="1"/>
  <c r="S24" i="89" s="1"/>
  <c r="BK23" i="72"/>
  <c r="P15" i="92"/>
  <c r="R15" i="92" s="1"/>
  <c r="S15" i="92" s="1"/>
  <c r="BM14" i="72"/>
  <c r="Y20" i="72"/>
  <c r="Y72" i="72"/>
  <c r="Y46" i="72"/>
  <c r="AC41" i="72"/>
  <c r="Y17" i="72"/>
  <c r="P23" i="85"/>
  <c r="R23" i="85" s="1"/>
  <c r="BG22" i="72"/>
  <c r="P61" i="85"/>
  <c r="R61" i="85" s="1"/>
  <c r="BG60" i="72"/>
  <c r="P51" i="85"/>
  <c r="R51" i="85" s="1"/>
  <c r="BG50" i="72"/>
  <c r="P55" i="85"/>
  <c r="R55" i="85" s="1"/>
  <c r="BG54" i="72"/>
  <c r="P8" i="85"/>
  <c r="R8" i="85" s="1"/>
  <c r="BG7" i="72"/>
  <c r="P58" i="85"/>
  <c r="BG57" i="72"/>
  <c r="AC48" i="72"/>
  <c r="AA11" i="72"/>
  <c r="P23" i="86"/>
  <c r="R23" i="86" s="1"/>
  <c r="S23" i="86" s="1"/>
  <c r="BH22" i="72"/>
  <c r="P60" i="88"/>
  <c r="R60" i="88" s="1"/>
  <c r="S60" i="88" s="1"/>
  <c r="BJ59" i="72"/>
  <c r="P55" i="86"/>
  <c r="R55" i="86" s="1"/>
  <c r="S55" i="86" s="1"/>
  <c r="BH54" i="72"/>
  <c r="P27" i="92"/>
  <c r="R27" i="92" s="1"/>
  <c r="S27" i="92" s="1"/>
  <c r="BM26" i="72"/>
  <c r="P9" i="86"/>
  <c r="R9" i="86" s="1"/>
  <c r="S9" i="86" s="1"/>
  <c r="BH8" i="72"/>
  <c r="P29" i="88"/>
  <c r="R29" i="88" s="1"/>
  <c r="S29" i="88" s="1"/>
  <c r="BJ28" i="72"/>
  <c r="P43" i="91"/>
  <c r="R43" i="91" s="1"/>
  <c r="S43" i="91" s="1"/>
  <c r="BL42" i="72"/>
  <c r="P52" i="88"/>
  <c r="R52" i="88" s="1"/>
  <c r="S52" i="88" s="1"/>
  <c r="BJ51" i="72"/>
  <c r="AB52" i="72"/>
  <c r="P56" i="89"/>
  <c r="R56" i="89" s="1"/>
  <c r="S56" i="89" s="1"/>
  <c r="BK55" i="72"/>
  <c r="AA48" i="72"/>
  <c r="P66" i="91"/>
  <c r="R66" i="91" s="1"/>
  <c r="BL65" i="72"/>
  <c r="P61" i="89"/>
  <c r="R61" i="89" s="1"/>
  <c r="S61" i="89" s="1"/>
  <c r="BK60" i="72"/>
  <c r="P51" i="89"/>
  <c r="R51" i="89" s="1"/>
  <c r="S51" i="89" s="1"/>
  <c r="BK50" i="72"/>
  <c r="P37" i="89"/>
  <c r="R37" i="89" s="1"/>
  <c r="S37" i="89" s="1"/>
  <c r="BK36" i="72"/>
  <c r="P35" i="89"/>
  <c r="R35" i="89" s="1"/>
  <c r="S35" i="89" s="1"/>
  <c r="BK34" i="72"/>
  <c r="P27" i="89"/>
  <c r="R27" i="89" s="1"/>
  <c r="S27" i="89" s="1"/>
  <c r="BK26" i="72"/>
  <c r="P16" i="89"/>
  <c r="R16" i="89" s="1"/>
  <c r="S16" i="89" s="1"/>
  <c r="BK15" i="72"/>
  <c r="P40" i="86"/>
  <c r="R40" i="86" s="1"/>
  <c r="S40" i="86" s="1"/>
  <c r="BH39" i="72"/>
  <c r="P29" i="89"/>
  <c r="R29" i="89" s="1"/>
  <c r="BK28" i="72"/>
  <c r="P68" i="86"/>
  <c r="R68" i="86" s="1"/>
  <c r="S68" i="86" s="1"/>
  <c r="BH67" i="72"/>
  <c r="P71" i="89"/>
  <c r="R71" i="89" s="1"/>
  <c r="S71" i="89" s="1"/>
  <c r="BK70" i="72"/>
  <c r="P67" i="89"/>
  <c r="R67" i="89" s="1"/>
  <c r="S67" i="89" s="1"/>
  <c r="BK66" i="72"/>
  <c r="P32" i="92"/>
  <c r="R32" i="92" s="1"/>
  <c r="S32" i="92" s="1"/>
  <c r="BM31" i="72"/>
  <c r="P45" i="92"/>
  <c r="R45" i="92" s="1"/>
  <c r="S45" i="92" s="1"/>
  <c r="BM44" i="72"/>
  <c r="AD20" i="72"/>
  <c r="AC18" i="72"/>
  <c r="P26" i="85"/>
  <c r="R26" i="85" s="1"/>
  <c r="BG25" i="72"/>
  <c r="P59" i="85"/>
  <c r="R59" i="85" s="1"/>
  <c r="BG58" i="72"/>
  <c r="P13" i="85"/>
  <c r="R13" i="85" s="1"/>
  <c r="BG12" i="72"/>
  <c r="P43" i="85"/>
  <c r="R43" i="85" s="1"/>
  <c r="BG42" i="72"/>
  <c r="P32" i="85"/>
  <c r="R32" i="85" s="1"/>
  <c r="BG31" i="72"/>
  <c r="P30" i="85"/>
  <c r="R30" i="85" s="1"/>
  <c r="BG29" i="72"/>
  <c r="P41" i="85"/>
  <c r="R41" i="85" s="1"/>
  <c r="BG40" i="72"/>
  <c r="P37" i="85"/>
  <c r="R37" i="85" s="1"/>
  <c r="BG36" i="72"/>
  <c r="P22" i="85"/>
  <c r="R22" i="85" s="1"/>
  <c r="BG21" i="72"/>
  <c r="P35" i="85"/>
  <c r="R35" i="85" s="1"/>
  <c r="BG34" i="72"/>
  <c r="P28" i="85"/>
  <c r="R28" i="85" s="1"/>
  <c r="BG27" i="72"/>
  <c r="P57" i="85"/>
  <c r="R57" i="85" s="1"/>
  <c r="BG56" i="72"/>
  <c r="P9" i="85"/>
  <c r="R9" i="85" s="1"/>
  <c r="BG8" i="72"/>
  <c r="P69" i="85"/>
  <c r="R69" i="85" s="1"/>
  <c r="BG68" i="72"/>
  <c r="P36" i="85"/>
  <c r="R36" i="85" s="1"/>
  <c r="BG35" i="72"/>
  <c r="P33" i="85"/>
  <c r="R33" i="85" s="1"/>
  <c r="BG32" i="72"/>
  <c r="P15" i="85"/>
  <c r="R15" i="85" s="1"/>
  <c r="BG14" i="72"/>
  <c r="P60" i="85"/>
  <c r="R60" i="85" s="1"/>
  <c r="BG59" i="72"/>
  <c r="P16" i="85"/>
  <c r="R16" i="85" s="1"/>
  <c r="BG15" i="72"/>
  <c r="P56" i="85"/>
  <c r="R56" i="85" s="1"/>
  <c r="BG55" i="72"/>
  <c r="AA20" i="72"/>
  <c r="AB53" i="72"/>
  <c r="S65" i="88"/>
  <c r="S19" i="89"/>
  <c r="P66" i="89"/>
  <c r="R66" i="89" s="1"/>
  <c r="S66" i="89" s="1"/>
  <c r="BK65" i="72"/>
  <c r="P26" i="91"/>
  <c r="R26" i="91" s="1"/>
  <c r="S26" i="91" s="1"/>
  <c r="BL25" i="72"/>
  <c r="P20" i="89"/>
  <c r="R20" i="89" s="1"/>
  <c r="S20" i="89" s="1"/>
  <c r="BK19" i="72"/>
  <c r="P70" i="92"/>
  <c r="R70" i="92" s="1"/>
  <c r="S70" i="92" s="1"/>
  <c r="BM69" i="72"/>
  <c r="P8" i="92"/>
  <c r="R8" i="92" s="1"/>
  <c r="S8" i="92" s="1"/>
  <c r="BM7" i="72"/>
  <c r="P48" i="89"/>
  <c r="BK47" i="72"/>
  <c r="P46" i="92"/>
  <c r="R46" i="92" s="1"/>
  <c r="S46" i="92" s="1"/>
  <c r="BM45" i="72"/>
  <c r="P34" i="88"/>
  <c r="R34" i="88" s="1"/>
  <c r="BJ33" i="72"/>
  <c r="P58" i="91"/>
  <c r="R58" i="91" s="1"/>
  <c r="S58" i="91" s="1"/>
  <c r="BL57" i="72"/>
  <c r="P67" i="92"/>
  <c r="R67" i="92" s="1"/>
  <c r="BM66" i="72"/>
  <c r="P15" i="88"/>
  <c r="R15" i="88" s="1"/>
  <c r="S15" i="88" s="1"/>
  <c r="BJ14" i="72"/>
  <c r="P45" i="88"/>
  <c r="R45" i="88" s="1"/>
  <c r="BJ44" i="72"/>
  <c r="Y10" i="72"/>
  <c r="S50" i="92"/>
  <c r="AD18" i="72"/>
  <c r="S10" i="86"/>
  <c r="S31" i="89"/>
  <c r="P41" i="86"/>
  <c r="R41" i="86" s="1"/>
  <c r="BH40" i="72"/>
  <c r="P66" i="86"/>
  <c r="R66" i="86" s="1"/>
  <c r="S66" i="86" s="1"/>
  <c r="BH65" i="72"/>
  <c r="P61" i="92"/>
  <c r="R61" i="92" s="1"/>
  <c r="BM60" i="72"/>
  <c r="P51" i="91"/>
  <c r="R51" i="91" s="1"/>
  <c r="S51" i="91" s="1"/>
  <c r="BL50" i="72"/>
  <c r="P26" i="86"/>
  <c r="R26" i="86" s="1"/>
  <c r="BH25" i="72"/>
  <c r="P55" i="88"/>
  <c r="R55" i="88" s="1"/>
  <c r="S55" i="88" s="1"/>
  <c r="BJ54" i="72"/>
  <c r="P64" i="88"/>
  <c r="R64" i="88" s="1"/>
  <c r="S64" i="88" s="1"/>
  <c r="BJ63" i="72"/>
  <c r="P8" i="88"/>
  <c r="R8" i="88" s="1"/>
  <c r="S8" i="88" s="1"/>
  <c r="BJ7" i="72"/>
  <c r="P28" i="92"/>
  <c r="R28" i="92" s="1"/>
  <c r="S28" i="92" s="1"/>
  <c r="BM27" i="72"/>
  <c r="P48" i="86"/>
  <c r="R48" i="86" s="1"/>
  <c r="S48" i="86" s="1"/>
  <c r="BH47" i="72"/>
  <c r="P46" i="88"/>
  <c r="R46" i="88" s="1"/>
  <c r="BJ45" i="72"/>
  <c r="P40" i="92"/>
  <c r="R40" i="92" s="1"/>
  <c r="S40" i="92" s="1"/>
  <c r="BM39" i="72"/>
  <c r="P9" i="91"/>
  <c r="R9" i="91" s="1"/>
  <c r="BL8" i="72"/>
  <c r="P44" i="86"/>
  <c r="R44" i="86" s="1"/>
  <c r="S44" i="86" s="1"/>
  <c r="BH43" i="72"/>
  <c r="P69" i="91"/>
  <c r="R69" i="91" s="1"/>
  <c r="BL68" i="72"/>
  <c r="P36" i="86"/>
  <c r="R36" i="86" s="1"/>
  <c r="S36" i="86" s="1"/>
  <c r="BH35" i="72"/>
  <c r="P33" i="89"/>
  <c r="R33" i="89" s="1"/>
  <c r="BK32" i="72"/>
  <c r="P24" i="88"/>
  <c r="R24" i="88" s="1"/>
  <c r="S24" i="88" s="1"/>
  <c r="BJ23" i="72"/>
  <c r="P39" i="91"/>
  <c r="R39" i="91" s="1"/>
  <c r="BL38" i="72"/>
  <c r="P45" i="89"/>
  <c r="R45" i="89" s="1"/>
  <c r="S45" i="89" s="1"/>
  <c r="BK44" i="72"/>
  <c r="P52" i="92"/>
  <c r="R52" i="92" s="1"/>
  <c r="S52" i="92" s="1"/>
  <c r="BM51" i="72"/>
  <c r="S10" i="92"/>
  <c r="Y53" i="72"/>
  <c r="AD30" i="72"/>
  <c r="AA16" i="72"/>
  <c r="P56" i="86"/>
  <c r="R56" i="86" s="1"/>
  <c r="BH55" i="72"/>
  <c r="T25" i="90"/>
  <c r="V25" i="90" s="1"/>
  <c r="W25" i="90" s="1"/>
  <c r="T62" i="90"/>
  <c r="V62" i="90" s="1"/>
  <c r="T12" i="90"/>
  <c r="V12" i="90" s="1"/>
  <c r="T42" i="90"/>
  <c r="V42" i="90" s="1"/>
  <c r="T10" i="90"/>
  <c r="V10" i="90" s="1"/>
  <c r="T63" i="90"/>
  <c r="V63" i="90" s="1"/>
  <c r="P71" i="85"/>
  <c r="R71" i="85" s="1"/>
  <c r="BG70" i="72"/>
  <c r="P74" i="85"/>
  <c r="R74" i="85" s="1"/>
  <c r="BG73" i="72"/>
  <c r="P48" i="85"/>
  <c r="R48" i="85" s="1"/>
  <c r="BG47" i="72"/>
  <c r="P68" i="85"/>
  <c r="R68" i="85" s="1"/>
  <c r="BG67" i="72"/>
  <c r="P41" i="88"/>
  <c r="R41" i="88" s="1"/>
  <c r="S41" i="88" s="1"/>
  <c r="BJ40" i="72"/>
  <c r="P74" i="89"/>
  <c r="R74" i="89" s="1"/>
  <c r="S74" i="89" s="1"/>
  <c r="BK73" i="72"/>
  <c r="P55" i="89"/>
  <c r="R55" i="89" s="1"/>
  <c r="S55" i="89" s="1"/>
  <c r="BK54" i="72"/>
  <c r="P64" i="92"/>
  <c r="R64" i="92" s="1"/>
  <c r="S64" i="92" s="1"/>
  <c r="BM63" i="72"/>
  <c r="P27" i="86"/>
  <c r="R27" i="86" s="1"/>
  <c r="S27" i="86" s="1"/>
  <c r="BH26" i="72"/>
  <c r="P57" i="92"/>
  <c r="R57" i="92" s="1"/>
  <c r="S57" i="92" s="1"/>
  <c r="BM56" i="72"/>
  <c r="P9" i="92"/>
  <c r="R9" i="92" s="1"/>
  <c r="S9" i="92" s="1"/>
  <c r="BM8" i="72"/>
  <c r="P58" i="89"/>
  <c r="R58" i="89" s="1"/>
  <c r="S58" i="89" s="1"/>
  <c r="BK57" i="72"/>
  <c r="P71" i="91"/>
  <c r="R71" i="91" s="1"/>
  <c r="S71" i="91" s="1"/>
  <c r="BL70" i="72"/>
  <c r="P67" i="91"/>
  <c r="R67" i="91" s="1"/>
  <c r="S67" i="91" s="1"/>
  <c r="BL66" i="72"/>
  <c r="P15" i="86"/>
  <c r="R15" i="86" s="1"/>
  <c r="S15" i="86" s="1"/>
  <c r="BH14" i="72"/>
  <c r="P52" i="89"/>
  <c r="R52" i="89" s="1"/>
  <c r="S52" i="89" s="1"/>
  <c r="BK51" i="72"/>
  <c r="Y16" i="72"/>
  <c r="AD24" i="72"/>
  <c r="P75" i="89"/>
  <c r="R75" i="89" s="1"/>
  <c r="S75" i="89" s="1"/>
  <c r="BK74" i="72"/>
  <c r="P28" i="91"/>
  <c r="R28" i="91" s="1"/>
  <c r="S28" i="91" s="1"/>
  <c r="BL27" i="72"/>
  <c r="P29" i="92"/>
  <c r="R29" i="92" s="1"/>
  <c r="S29" i="92" s="1"/>
  <c r="BM28" i="72"/>
  <c r="P71" i="88"/>
  <c r="R71" i="88" s="1"/>
  <c r="S71" i="88" s="1"/>
  <c r="BJ70" i="72"/>
  <c r="Y64" i="72"/>
  <c r="AC17" i="72"/>
  <c r="P66" i="92"/>
  <c r="R66" i="92" s="1"/>
  <c r="S66" i="92" s="1"/>
  <c r="BM65" i="72"/>
  <c r="P51" i="92"/>
  <c r="R51" i="92" s="1"/>
  <c r="S51" i="92" s="1"/>
  <c r="BM50" i="72"/>
  <c r="P22" i="92"/>
  <c r="R22" i="92" s="1"/>
  <c r="S22" i="92" s="1"/>
  <c r="BM21" i="72"/>
  <c r="P16" i="86"/>
  <c r="R16" i="86" s="1"/>
  <c r="S16" i="86" s="1"/>
  <c r="BH15" i="72"/>
  <c r="P34" i="86"/>
  <c r="R34" i="86" s="1"/>
  <c r="S34" i="86" s="1"/>
  <c r="BH33" i="72"/>
  <c r="P58" i="86"/>
  <c r="R58" i="86" s="1"/>
  <c r="S58" i="86" s="1"/>
  <c r="BH57" i="72"/>
  <c r="P38" i="86"/>
  <c r="R38" i="86" s="1"/>
  <c r="BH37" i="72"/>
  <c r="P45" i="91"/>
  <c r="R45" i="91" s="1"/>
  <c r="BL44" i="72"/>
  <c r="AB61" i="72"/>
  <c r="AB13" i="72"/>
  <c r="P56" i="88"/>
  <c r="R56" i="88" s="1"/>
  <c r="S56" i="88" s="1"/>
  <c r="BJ55" i="72"/>
  <c r="Y62" i="72"/>
  <c r="P51" i="88"/>
  <c r="R51" i="88" s="1"/>
  <c r="S51" i="88" s="1"/>
  <c r="BJ50" i="72"/>
  <c r="P22" i="88"/>
  <c r="R22" i="88" s="1"/>
  <c r="S22" i="88" s="1"/>
  <c r="BJ21" i="72"/>
  <c r="P40" i="91"/>
  <c r="R40" i="91" s="1"/>
  <c r="S40" i="91" s="1"/>
  <c r="BL39" i="72"/>
  <c r="P33" i="88"/>
  <c r="R33" i="88" s="1"/>
  <c r="S33" i="88" s="1"/>
  <c r="BJ32" i="72"/>
  <c r="AB41" i="72"/>
  <c r="AC16" i="72"/>
  <c r="AA46" i="72"/>
  <c r="T47" i="90"/>
  <c r="V47" i="90" s="1"/>
  <c r="P40" i="85"/>
  <c r="R40" i="85" s="1"/>
  <c r="BG39" i="72"/>
  <c r="P44" i="85"/>
  <c r="R44" i="85" s="1"/>
  <c r="BG43" i="72"/>
  <c r="P38" i="85"/>
  <c r="R38" i="85" s="1"/>
  <c r="BG37" i="72"/>
  <c r="P39" i="85"/>
  <c r="BG38" i="72"/>
  <c r="P64" i="85"/>
  <c r="R64" i="85" s="1"/>
  <c r="BG63" i="72"/>
  <c r="AA9" i="72"/>
  <c r="AC62" i="72"/>
  <c r="P37" i="88"/>
  <c r="R37" i="88" s="1"/>
  <c r="S37" i="88" s="1"/>
  <c r="BJ36" i="72"/>
  <c r="P22" i="89"/>
  <c r="R22" i="89" s="1"/>
  <c r="S22" i="89" s="1"/>
  <c r="BK21" i="72"/>
  <c r="P16" i="88"/>
  <c r="R16" i="88" s="1"/>
  <c r="S16" i="88" s="1"/>
  <c r="BJ15" i="72"/>
  <c r="P33" i="92"/>
  <c r="R33" i="92" s="1"/>
  <c r="S33" i="92" s="1"/>
  <c r="BM32" i="72"/>
  <c r="P32" i="89"/>
  <c r="R32" i="89" s="1"/>
  <c r="BK31" i="72"/>
  <c r="Y30" i="72"/>
  <c r="P41" i="91"/>
  <c r="R41" i="91" s="1"/>
  <c r="BL40" i="72"/>
  <c r="P60" i="92"/>
  <c r="R60" i="92" s="1"/>
  <c r="S60" i="92" s="1"/>
  <c r="BM59" i="72"/>
  <c r="P70" i="86"/>
  <c r="R70" i="86" s="1"/>
  <c r="BH69" i="72"/>
  <c r="P28" i="86"/>
  <c r="R28" i="86" s="1"/>
  <c r="BH27" i="72"/>
  <c r="P72" i="88"/>
  <c r="R72" i="88" s="1"/>
  <c r="BJ71" i="72"/>
  <c r="P58" i="88"/>
  <c r="R58" i="88" s="1"/>
  <c r="S58" i="88" s="1"/>
  <c r="BJ57" i="72"/>
  <c r="P15" i="89"/>
  <c r="R15" i="89" s="1"/>
  <c r="S15" i="89" s="1"/>
  <c r="BK14" i="72"/>
  <c r="AC49" i="72"/>
  <c r="P30" i="91"/>
  <c r="R30" i="91" s="1"/>
  <c r="BL29" i="72"/>
  <c r="T73" i="90"/>
  <c r="V73" i="90" s="1"/>
  <c r="W73" i="90" s="1"/>
  <c r="P20" i="85"/>
  <c r="R20" i="85" s="1"/>
  <c r="BG19" i="72"/>
  <c r="P46" i="85"/>
  <c r="R46" i="85" s="1"/>
  <c r="BG45" i="72"/>
  <c r="P34" i="85"/>
  <c r="R34" i="85" s="1"/>
  <c r="BG33" i="72"/>
  <c r="P24" i="85"/>
  <c r="R24" i="85" s="1"/>
  <c r="BG23" i="72"/>
  <c r="P72" i="85"/>
  <c r="R72" i="85" s="1"/>
  <c r="BG71" i="72"/>
  <c r="P52" i="85"/>
  <c r="R52" i="85" s="1"/>
  <c r="BG51" i="72"/>
  <c r="P23" i="91"/>
  <c r="R23" i="91" s="1"/>
  <c r="S23" i="91" s="1"/>
  <c r="BL22" i="72"/>
  <c r="P75" i="86"/>
  <c r="R75" i="86" s="1"/>
  <c r="S75" i="86" s="1"/>
  <c r="BH74" i="72"/>
  <c r="P61" i="86"/>
  <c r="R61" i="86" s="1"/>
  <c r="S61" i="86" s="1"/>
  <c r="BH60" i="72"/>
  <c r="P51" i="86"/>
  <c r="R51" i="86" s="1"/>
  <c r="S51" i="86" s="1"/>
  <c r="BH50" i="72"/>
  <c r="P26" i="89"/>
  <c r="R26" i="89" s="1"/>
  <c r="S26" i="89" s="1"/>
  <c r="BK25" i="72"/>
  <c r="P37" i="91"/>
  <c r="R37" i="91" s="1"/>
  <c r="BL36" i="72"/>
  <c r="P20" i="91"/>
  <c r="R20" i="91" s="1"/>
  <c r="S20" i="91" s="1"/>
  <c r="BL19" i="72"/>
  <c r="P70" i="91"/>
  <c r="R70" i="91" s="1"/>
  <c r="BL69" i="72"/>
  <c r="P64" i="89"/>
  <c r="R64" i="89" s="1"/>
  <c r="BK63" i="72"/>
  <c r="P35" i="91"/>
  <c r="R35" i="91" s="1"/>
  <c r="BL34" i="72"/>
  <c r="P8" i="91"/>
  <c r="R8" i="91" s="1"/>
  <c r="S8" i="91" s="1"/>
  <c r="BL7" i="72"/>
  <c r="P59" i="88"/>
  <c r="R59" i="88" s="1"/>
  <c r="S59" i="88" s="1"/>
  <c r="BJ58" i="72"/>
  <c r="P28" i="88"/>
  <c r="R28" i="88" s="1"/>
  <c r="BJ27" i="72"/>
  <c r="P48" i="91"/>
  <c r="R48" i="91" s="1"/>
  <c r="BL47" i="72"/>
  <c r="P46" i="91"/>
  <c r="R46" i="91" s="1"/>
  <c r="S46" i="91" s="1"/>
  <c r="BL45" i="72"/>
  <c r="P57" i="88"/>
  <c r="R57" i="88" s="1"/>
  <c r="S57" i="88" s="1"/>
  <c r="BJ56" i="72"/>
  <c r="P72" i="92"/>
  <c r="R72" i="92" s="1"/>
  <c r="S72" i="92" s="1"/>
  <c r="BM71" i="72"/>
  <c r="P40" i="89"/>
  <c r="R40" i="89" s="1"/>
  <c r="S40" i="89" s="1"/>
  <c r="BK39" i="72"/>
  <c r="P9" i="88"/>
  <c r="R9" i="88" s="1"/>
  <c r="S9" i="88" s="1"/>
  <c r="BJ8" i="72"/>
  <c r="P29" i="86"/>
  <c r="R29" i="86" s="1"/>
  <c r="S29" i="86" s="1"/>
  <c r="BH28" i="72"/>
  <c r="P44" i="92"/>
  <c r="R44" i="92" s="1"/>
  <c r="S44" i="92" s="1"/>
  <c r="BM43" i="72"/>
  <c r="P13" i="86"/>
  <c r="R13" i="86" s="1"/>
  <c r="BH12" i="72"/>
  <c r="P69" i="92"/>
  <c r="R69" i="92" s="1"/>
  <c r="S69" i="92" s="1"/>
  <c r="BM68" i="72"/>
  <c r="P68" i="91"/>
  <c r="R68" i="91" s="1"/>
  <c r="S68" i="91" s="1"/>
  <c r="BL67" i="72"/>
  <c r="P36" i="92"/>
  <c r="R36" i="92" s="1"/>
  <c r="S36" i="92" s="1"/>
  <c r="BM35" i="72"/>
  <c r="P71" i="86"/>
  <c r="R71" i="86" s="1"/>
  <c r="BH70" i="72"/>
  <c r="P33" i="86"/>
  <c r="R33" i="86" s="1"/>
  <c r="S33" i="86" s="1"/>
  <c r="BH32" i="72"/>
  <c r="P67" i="86"/>
  <c r="R67" i="86" s="1"/>
  <c r="S67" i="86" s="1"/>
  <c r="BH66" i="72"/>
  <c r="P43" i="92"/>
  <c r="R43" i="92" s="1"/>
  <c r="S43" i="92" s="1"/>
  <c r="BM42" i="72"/>
  <c r="P15" i="91"/>
  <c r="R15" i="91" s="1"/>
  <c r="S15" i="91" s="1"/>
  <c r="BL14" i="72"/>
  <c r="P39" i="92"/>
  <c r="R39" i="92" s="1"/>
  <c r="S39" i="92" s="1"/>
  <c r="BM38" i="72"/>
  <c r="P32" i="91"/>
  <c r="R32" i="91" s="1"/>
  <c r="S32" i="91" s="1"/>
  <c r="BL31" i="72"/>
  <c r="P45" i="86"/>
  <c r="R45" i="86" s="1"/>
  <c r="S45" i="86" s="1"/>
  <c r="BH44" i="72"/>
  <c r="AC11" i="72"/>
  <c r="AB49" i="72"/>
  <c r="AA17" i="72"/>
  <c r="P56" i="91"/>
  <c r="R56" i="91" s="1"/>
  <c r="S56" i="91" s="1"/>
  <c r="BL55" i="72"/>
  <c r="AD48" i="72"/>
  <c r="P23" i="92"/>
  <c r="R23" i="92" s="1"/>
  <c r="BM22" i="72"/>
  <c r="P74" i="92"/>
  <c r="R74" i="92" s="1"/>
  <c r="BM73" i="72"/>
  <c r="P35" i="88"/>
  <c r="R35" i="88" s="1"/>
  <c r="S35" i="88" s="1"/>
  <c r="BJ34" i="72"/>
  <c r="P27" i="88"/>
  <c r="R27" i="88" s="1"/>
  <c r="BJ26" i="72"/>
  <c r="P48" i="92"/>
  <c r="R48" i="92" s="1"/>
  <c r="BM47" i="72"/>
  <c r="P57" i="86"/>
  <c r="R57" i="86" s="1"/>
  <c r="S57" i="86" s="1"/>
  <c r="BH56" i="72"/>
  <c r="P44" i="91"/>
  <c r="R44" i="91" s="1"/>
  <c r="S44" i="91" s="1"/>
  <c r="BL43" i="72"/>
  <c r="P58" i="92"/>
  <c r="R58" i="92" s="1"/>
  <c r="S58" i="92" s="1"/>
  <c r="BM57" i="72"/>
  <c r="P36" i="91"/>
  <c r="R36" i="91" s="1"/>
  <c r="S36" i="91" s="1"/>
  <c r="BL35" i="72"/>
  <c r="P38" i="88"/>
  <c r="R38" i="88" s="1"/>
  <c r="BJ37" i="72"/>
  <c r="AC72" i="72"/>
  <c r="P56" i="92"/>
  <c r="R56" i="92" s="1"/>
  <c r="BM55" i="72"/>
  <c r="Y11" i="72"/>
  <c r="P23" i="89"/>
  <c r="R23" i="89" s="1"/>
  <c r="S23" i="89" s="1"/>
  <c r="BK22" i="72"/>
  <c r="P41" i="92"/>
  <c r="R41" i="92" s="1"/>
  <c r="BM40" i="72"/>
  <c r="P75" i="91"/>
  <c r="R75" i="91" s="1"/>
  <c r="BL74" i="72"/>
  <c r="P61" i="91"/>
  <c r="R61" i="91" s="1"/>
  <c r="S61" i="91" s="1"/>
  <c r="BL60" i="72"/>
  <c r="P60" i="86"/>
  <c r="R60" i="86" s="1"/>
  <c r="S60" i="86" s="1"/>
  <c r="BH59" i="72"/>
  <c r="P74" i="91"/>
  <c r="R74" i="91" s="1"/>
  <c r="BL73" i="72"/>
  <c r="P26" i="88"/>
  <c r="R26" i="88" s="1"/>
  <c r="S26" i="88" s="1"/>
  <c r="BJ25" i="72"/>
  <c r="P20" i="86"/>
  <c r="R20" i="86" s="1"/>
  <c r="BH19" i="72"/>
  <c r="P70" i="88"/>
  <c r="R70" i="88" s="1"/>
  <c r="BJ69" i="72"/>
  <c r="P22" i="86"/>
  <c r="R22" i="86" s="1"/>
  <c r="S22" i="86" s="1"/>
  <c r="BH21" i="72"/>
  <c r="P8" i="86"/>
  <c r="R8" i="86" s="1"/>
  <c r="S8" i="86" s="1"/>
  <c r="BH7" i="72"/>
  <c r="P27" i="91"/>
  <c r="R27" i="91" s="1"/>
  <c r="BL26" i="72"/>
  <c r="P16" i="92"/>
  <c r="R16" i="92" s="1"/>
  <c r="S16" i="92" s="1"/>
  <c r="BM15" i="72"/>
  <c r="P46" i="86"/>
  <c r="R46" i="86" s="1"/>
  <c r="BH45" i="72"/>
  <c r="P72" i="86"/>
  <c r="R72" i="86" s="1"/>
  <c r="S72" i="86" s="1"/>
  <c r="BH71" i="72"/>
  <c r="P34" i="92"/>
  <c r="R34" i="92" s="1"/>
  <c r="S34" i="92" s="1"/>
  <c r="BM33" i="72"/>
  <c r="P29" i="91"/>
  <c r="R29" i="91" s="1"/>
  <c r="BL28" i="72"/>
  <c r="P13" i="88"/>
  <c r="R13" i="88" s="1"/>
  <c r="S13" i="88" s="1"/>
  <c r="BJ12" i="72"/>
  <c r="P69" i="89"/>
  <c r="R69" i="89" s="1"/>
  <c r="BK68" i="72"/>
  <c r="P68" i="88"/>
  <c r="R68" i="88" s="1"/>
  <c r="S68" i="88" s="1"/>
  <c r="BJ67" i="72"/>
  <c r="P38" i="91"/>
  <c r="R38" i="91" s="1"/>
  <c r="BL37" i="72"/>
  <c r="P33" i="91"/>
  <c r="R33" i="91" s="1"/>
  <c r="BL32" i="72"/>
  <c r="P43" i="89"/>
  <c r="R43" i="89" s="1"/>
  <c r="S43" i="89" s="1"/>
  <c r="BK42" i="72"/>
  <c r="P32" i="86"/>
  <c r="R32" i="86" s="1"/>
  <c r="S32" i="86" s="1"/>
  <c r="BH31" i="72"/>
  <c r="P52" i="91"/>
  <c r="R52" i="91" s="1"/>
  <c r="BL51" i="72"/>
  <c r="AA24" i="72"/>
  <c r="Y13" i="72"/>
  <c r="P30" i="92"/>
  <c r="R30" i="92" s="1"/>
  <c r="BM29" i="72"/>
  <c r="AD17" i="72"/>
  <c r="P61" i="88"/>
  <c r="R61" i="88" s="1"/>
  <c r="BJ60" i="72"/>
  <c r="P74" i="88"/>
  <c r="R74" i="88" s="1"/>
  <c r="BJ73" i="72"/>
  <c r="P20" i="88"/>
  <c r="R20" i="88" s="1"/>
  <c r="BJ19" i="72"/>
  <c r="P70" i="89"/>
  <c r="R70" i="89" s="1"/>
  <c r="BK69" i="72"/>
  <c r="P35" i="92"/>
  <c r="R35" i="92" s="1"/>
  <c r="BM34" i="72"/>
  <c r="P59" i="86"/>
  <c r="R59" i="86" s="1"/>
  <c r="S59" i="86" s="1"/>
  <c r="BH58" i="72"/>
  <c r="P72" i="91"/>
  <c r="R72" i="91" s="1"/>
  <c r="S72" i="91" s="1"/>
  <c r="BL71" i="72"/>
  <c r="P34" i="89"/>
  <c r="R34" i="89" s="1"/>
  <c r="S34" i="89" s="1"/>
  <c r="BK33" i="72"/>
  <c r="P68" i="89"/>
  <c r="R68" i="89" s="1"/>
  <c r="BK67" i="72"/>
  <c r="P38" i="92"/>
  <c r="R38" i="92" s="1"/>
  <c r="BM37" i="72"/>
  <c r="P67" i="88"/>
  <c r="R67" i="88" s="1"/>
  <c r="S67" i="88" s="1"/>
  <c r="BJ66" i="72"/>
  <c r="P43" i="86"/>
  <c r="R43" i="86" s="1"/>
  <c r="S43" i="86" s="1"/>
  <c r="BH42" i="72"/>
  <c r="P39" i="86"/>
  <c r="R39" i="86" s="1"/>
  <c r="BH38" i="72"/>
  <c r="Y41" i="72"/>
  <c r="AB48" i="72"/>
  <c r="AA49" i="72"/>
  <c r="AB20" i="72"/>
  <c r="AD64" i="72"/>
  <c r="Y49" i="72"/>
  <c r="AD10" i="72"/>
  <c r="AA72" i="72"/>
  <c r="X61" i="72"/>
  <c r="T49" i="90"/>
  <c r="V49" i="90" s="1"/>
  <c r="T31" i="90"/>
  <c r="V31" i="90" s="1"/>
  <c r="T21" i="90"/>
  <c r="V21" i="90" s="1"/>
  <c r="T65" i="90"/>
  <c r="V65" i="90" s="1"/>
  <c r="T19" i="90"/>
  <c r="V19" i="90" s="1"/>
  <c r="T53" i="90"/>
  <c r="V53" i="90" s="1"/>
  <c r="T54" i="90"/>
  <c r="V54" i="90" s="1"/>
  <c r="AH43" i="100"/>
  <c r="S44" i="90"/>
  <c r="BN43" i="72" s="1"/>
  <c r="AH60" i="100"/>
  <c r="S61" i="90"/>
  <c r="BN60" i="72" s="1"/>
  <c r="AH32" i="100"/>
  <c r="S33" i="90"/>
  <c r="BN32" i="72" s="1"/>
  <c r="AH51" i="100"/>
  <c r="S52" i="90"/>
  <c r="AH63" i="100"/>
  <c r="S64" i="90"/>
  <c r="BN63" i="72" s="1"/>
  <c r="AH47" i="100"/>
  <c r="S48" i="90"/>
  <c r="AH54" i="100"/>
  <c r="S55" i="90"/>
  <c r="BN54" i="72" s="1"/>
  <c r="AH27" i="100"/>
  <c r="S28" i="90"/>
  <c r="AH35" i="100"/>
  <c r="S36" i="90"/>
  <c r="BN35" i="72" s="1"/>
  <c r="AH38" i="100"/>
  <c r="S39" i="90"/>
  <c r="AH31" i="100"/>
  <c r="S32" i="90"/>
  <c r="BN31" i="72" s="1"/>
  <c r="AH71" i="100"/>
  <c r="S72" i="90"/>
  <c r="AH66" i="100"/>
  <c r="S67" i="90"/>
  <c r="BN66" i="72" s="1"/>
  <c r="AH50" i="100"/>
  <c r="S51" i="90"/>
  <c r="AH7" i="100"/>
  <c r="S8" i="90"/>
  <c r="BN7" i="72" s="1"/>
  <c r="AH33" i="100"/>
  <c r="S34" i="90"/>
  <c r="AH44" i="100"/>
  <c r="S45" i="90"/>
  <c r="BN44" i="72" s="1"/>
  <c r="AH22" i="100"/>
  <c r="S23" i="90"/>
  <c r="AH36" i="100"/>
  <c r="S37" i="90"/>
  <c r="BN36" i="72" s="1"/>
  <c r="AH34" i="100"/>
  <c r="S35" i="90"/>
  <c r="BN34" i="72" s="1"/>
  <c r="AH58" i="100"/>
  <c r="S59" i="90"/>
  <c r="BN58" i="72" s="1"/>
  <c r="AH12" i="100"/>
  <c r="S13" i="90"/>
  <c r="AH57" i="100"/>
  <c r="S58" i="90"/>
  <c r="BN57" i="72" s="1"/>
  <c r="AH37" i="100"/>
  <c r="S38" i="90"/>
  <c r="BN37" i="72" s="1"/>
  <c r="AH14" i="100"/>
  <c r="S15" i="90"/>
  <c r="BN14" i="72" s="1"/>
  <c r="AH29" i="100"/>
  <c r="S30" i="90"/>
  <c r="AH40" i="100"/>
  <c r="S41" i="90"/>
  <c r="BN40" i="72" s="1"/>
  <c r="AH65" i="100"/>
  <c r="S66" i="90"/>
  <c r="BN65" i="72" s="1"/>
  <c r="AH25" i="100"/>
  <c r="S26" i="90"/>
  <c r="BN25" i="72" s="1"/>
  <c r="AH19" i="100"/>
  <c r="S20" i="90"/>
  <c r="BN19" i="72" s="1"/>
  <c r="AH26" i="100"/>
  <c r="S27" i="90"/>
  <c r="BN26" i="72" s="1"/>
  <c r="AH45" i="100"/>
  <c r="S46" i="90"/>
  <c r="BN45" i="72" s="1"/>
  <c r="AH39" i="100"/>
  <c r="S40" i="90"/>
  <c r="BN39" i="72" s="1"/>
  <c r="AH8" i="100"/>
  <c r="S9" i="90"/>
  <c r="AH68" i="100"/>
  <c r="S69" i="90"/>
  <c r="BN68" i="72" s="1"/>
  <c r="AH67" i="100"/>
  <c r="S68" i="90"/>
  <c r="BN67" i="72" s="1"/>
  <c r="AH59" i="100"/>
  <c r="S60" i="90"/>
  <c r="BN59" i="72" s="1"/>
  <c r="AH55" i="100"/>
  <c r="S56" i="90"/>
  <c r="BN55" i="72" s="1"/>
  <c r="AH73" i="100"/>
  <c r="S74" i="90"/>
  <c r="AH69" i="100"/>
  <c r="S70" i="90"/>
  <c r="BN69" i="72" s="1"/>
  <c r="AH56" i="100"/>
  <c r="S57" i="90"/>
  <c r="BN56" i="72" s="1"/>
  <c r="AH70" i="100"/>
  <c r="S71" i="90"/>
  <c r="BN70" i="72" s="1"/>
  <c r="AH42" i="100"/>
  <c r="S43" i="90"/>
  <c r="AH74" i="100"/>
  <c r="S75" i="90"/>
  <c r="BN74" i="72" s="1"/>
  <c r="AH21" i="100"/>
  <c r="S22" i="90"/>
  <c r="BN21" i="72" s="1"/>
  <c r="AH15" i="100"/>
  <c r="S16" i="90"/>
  <c r="BN15" i="72" s="1"/>
  <c r="AH28" i="100"/>
  <c r="S29" i="90"/>
  <c r="AH23" i="100"/>
  <c r="S24" i="90"/>
  <c r="BN23" i="72" s="1"/>
  <c r="U28" i="80"/>
  <c r="W30" i="72" s="1"/>
  <c r="U44" i="76"/>
  <c r="V46" i="72" s="1"/>
  <c r="P21" i="31"/>
  <c r="U70" i="80"/>
  <c r="W72" i="72" s="1"/>
  <c r="U22" i="80"/>
  <c r="U15" i="76"/>
  <c r="V17" i="72" s="1"/>
  <c r="R31" i="80"/>
  <c r="T31" i="80" s="1"/>
  <c r="U31" i="80" s="1"/>
  <c r="U11" i="80"/>
  <c r="U70" i="76"/>
  <c r="V72" i="72" s="1"/>
  <c r="U16" i="76"/>
  <c r="V18" i="72" s="1"/>
  <c r="U46" i="80"/>
  <c r="W48" i="72" s="1"/>
  <c r="U18" i="76"/>
  <c r="V20" i="72" s="1"/>
  <c r="U28" i="76"/>
  <c r="R10" i="80"/>
  <c r="T10" i="80" s="1"/>
  <c r="U10" i="80" s="1"/>
  <c r="R12" i="76"/>
  <c r="T12" i="76" s="1"/>
  <c r="U12" i="76" s="1"/>
  <c r="R38" i="76"/>
  <c r="T38" i="76" s="1"/>
  <c r="R40" i="80"/>
  <c r="T40" i="80" s="1"/>
  <c r="U40" i="80" s="1"/>
  <c r="U47" i="76"/>
  <c r="V49" i="72" s="1"/>
  <c r="U62" i="80"/>
  <c r="W64" i="72" s="1"/>
  <c r="U60" i="80"/>
  <c r="R5" i="76"/>
  <c r="T5" i="76" s="1"/>
  <c r="U5" i="76" s="1"/>
  <c r="S16" i="91"/>
  <c r="S18" i="85"/>
  <c r="S56" i="86"/>
  <c r="S14" i="85"/>
  <c r="S66" i="91"/>
  <c r="R56" i="76"/>
  <c r="T56" i="76" s="1"/>
  <c r="U56" i="76" s="1"/>
  <c r="S42" i="85"/>
  <c r="R53" i="80"/>
  <c r="T53" i="80" s="1"/>
  <c r="U53" i="80" s="1"/>
  <c r="R48" i="80"/>
  <c r="T48" i="80" s="1"/>
  <c r="U48" i="80" s="1"/>
  <c r="S44" i="89"/>
  <c r="S71" i="92"/>
  <c r="S11" i="85"/>
  <c r="U59" i="80"/>
  <c r="W61" i="72" s="1"/>
  <c r="S53" i="85"/>
  <c r="S50" i="85"/>
  <c r="S54" i="85"/>
  <c r="AF75" i="100"/>
  <c r="AB75" i="100"/>
  <c r="S12" i="85"/>
  <c r="R72" i="80"/>
  <c r="T72" i="80" s="1"/>
  <c r="S73" i="85"/>
  <c r="S10" i="85"/>
  <c r="S31" i="85"/>
  <c r="U18" i="80"/>
  <c r="S65" i="85"/>
  <c r="S19" i="85"/>
  <c r="S17" i="85"/>
  <c r="AD75" i="100"/>
  <c r="AG75" i="100"/>
  <c r="S29" i="89"/>
  <c r="S38" i="86"/>
  <c r="S49" i="85"/>
  <c r="X48" i="72" s="1"/>
  <c r="T38" i="46"/>
  <c r="S63" i="85"/>
  <c r="S47" i="85"/>
  <c r="S25" i="85"/>
  <c r="S21" i="85"/>
  <c r="R31" i="76"/>
  <c r="T31" i="76" s="1"/>
  <c r="R53" i="76"/>
  <c r="T53" i="76" s="1"/>
  <c r="U53" i="76" s="1"/>
  <c r="R38" i="80"/>
  <c r="T38" i="80" s="1"/>
  <c r="R39" i="90"/>
  <c r="R42" i="80"/>
  <c r="T42" i="80" s="1"/>
  <c r="U42" i="80" s="1"/>
  <c r="R63" i="80"/>
  <c r="T63" i="80" s="1"/>
  <c r="R66" i="76"/>
  <c r="T66" i="76" s="1"/>
  <c r="R64" i="80"/>
  <c r="T64" i="80" s="1"/>
  <c r="U64" i="80" s="1"/>
  <c r="N75" i="100"/>
  <c r="R6" i="80"/>
  <c r="T6" i="80" s="1"/>
  <c r="U6" i="80" s="1"/>
  <c r="R72" i="90"/>
  <c r="R20" i="80"/>
  <c r="T20" i="80" s="1"/>
  <c r="U20" i="80" s="1"/>
  <c r="R37" i="76"/>
  <c r="T37" i="76" s="1"/>
  <c r="U37" i="76" s="1"/>
  <c r="R49" i="80"/>
  <c r="T49" i="80" s="1"/>
  <c r="R23" i="76"/>
  <c r="T23" i="76" s="1"/>
  <c r="U23" i="76" s="1"/>
  <c r="R55" i="76"/>
  <c r="T55" i="76" s="1"/>
  <c r="R57" i="80"/>
  <c r="T57" i="80" s="1"/>
  <c r="U57" i="80" s="1"/>
  <c r="R52" i="80"/>
  <c r="T52" i="80" s="1"/>
  <c r="U52" i="80" s="1"/>
  <c r="R5" i="80"/>
  <c r="T5" i="80" s="1"/>
  <c r="U5" i="80" s="1"/>
  <c r="R54" i="80"/>
  <c r="T54" i="80" s="1"/>
  <c r="U54" i="80" s="1"/>
  <c r="R69" i="80"/>
  <c r="T69" i="80" s="1"/>
  <c r="R26" i="76"/>
  <c r="T26" i="76" s="1"/>
  <c r="R10" i="76"/>
  <c r="T10" i="76" s="1"/>
  <c r="R24" i="80"/>
  <c r="T24" i="80" s="1"/>
  <c r="R57" i="76"/>
  <c r="T57" i="76" s="1"/>
  <c r="U57" i="76" s="1"/>
  <c r="R71" i="80"/>
  <c r="T71" i="80" s="1"/>
  <c r="U71" i="80" s="1"/>
  <c r="R45" i="80"/>
  <c r="T45" i="80" s="1"/>
  <c r="R32" i="90"/>
  <c r="R42" i="76"/>
  <c r="T42" i="76" s="1"/>
  <c r="U42" i="76" s="1"/>
  <c r="R24" i="76"/>
  <c r="T24" i="76" s="1"/>
  <c r="U24" i="76" s="1"/>
  <c r="R6" i="76"/>
  <c r="T6" i="76" s="1"/>
  <c r="R72" i="76"/>
  <c r="T72" i="76" s="1"/>
  <c r="R61" i="80"/>
  <c r="T61" i="80" s="1"/>
  <c r="U61" i="80" s="1"/>
  <c r="R35" i="90"/>
  <c r="R32" i="80"/>
  <c r="T32" i="80" s="1"/>
  <c r="R59" i="90"/>
  <c r="R48" i="90"/>
  <c r="R13" i="80"/>
  <c r="T13" i="80" s="1"/>
  <c r="R43" i="80"/>
  <c r="T43" i="80" s="1"/>
  <c r="U43" i="80" s="1"/>
  <c r="R54" i="76"/>
  <c r="T54" i="76" s="1"/>
  <c r="U54" i="76" s="1"/>
  <c r="R37" i="80"/>
  <c r="T37" i="80" s="1"/>
  <c r="R15" i="90"/>
  <c r="R12" i="80"/>
  <c r="T12" i="80" s="1"/>
  <c r="U12" i="80" s="1"/>
  <c r="R67" i="76"/>
  <c r="T67" i="76" s="1"/>
  <c r="R22" i="90"/>
  <c r="R61" i="76"/>
  <c r="T61" i="76" s="1"/>
  <c r="U61" i="76" s="1"/>
  <c r="R27" i="90"/>
  <c r="R46" i="90"/>
  <c r="R43" i="76"/>
  <c r="T43" i="76" s="1"/>
  <c r="U43" i="76" s="1"/>
  <c r="R21" i="76"/>
  <c r="T21" i="76" s="1"/>
  <c r="U21" i="76" s="1"/>
  <c r="R37" i="90"/>
  <c r="R38" i="90"/>
  <c r="R49" i="76"/>
  <c r="T49" i="76" s="1"/>
  <c r="U49" i="76" s="1"/>
  <c r="R41" i="90"/>
  <c r="R75" i="90"/>
  <c r="R61" i="90"/>
  <c r="R36" i="90"/>
  <c r="R70" i="90"/>
  <c r="R58" i="80"/>
  <c r="T58" i="80" s="1"/>
  <c r="U58" i="80" s="1"/>
  <c r="R58" i="76"/>
  <c r="T58" i="76" s="1"/>
  <c r="R48" i="76"/>
  <c r="T48" i="76" s="1"/>
  <c r="U48" i="76" s="1"/>
  <c r="R55" i="90"/>
  <c r="R69" i="76"/>
  <c r="T69" i="76" s="1"/>
  <c r="U69" i="76" s="1"/>
  <c r="R40" i="90"/>
  <c r="R9" i="90"/>
  <c r="R34" i="90"/>
  <c r="R29" i="90"/>
  <c r="R41" i="76"/>
  <c r="T41" i="76" s="1"/>
  <c r="R69" i="90"/>
  <c r="R66" i="80"/>
  <c r="T66" i="80" s="1"/>
  <c r="U66" i="80" s="1"/>
  <c r="R68" i="90"/>
  <c r="R35" i="80"/>
  <c r="T35" i="80" s="1"/>
  <c r="U35" i="80" s="1"/>
  <c r="R33" i="90"/>
  <c r="R27" i="80"/>
  <c r="T27" i="80" s="1"/>
  <c r="R23" i="90"/>
  <c r="R17" i="76"/>
  <c r="T17" i="76" s="1"/>
  <c r="R17" i="80"/>
  <c r="T17" i="80" s="1"/>
  <c r="U17" i="80" s="1"/>
  <c r="R52" i="76"/>
  <c r="T52" i="76" s="1"/>
  <c r="R58" i="90"/>
  <c r="R65" i="76"/>
  <c r="T65" i="76" s="1"/>
  <c r="U65" i="76" s="1"/>
  <c r="R65" i="80"/>
  <c r="T65" i="80" s="1"/>
  <c r="U65" i="80" s="1"/>
  <c r="R33" i="80"/>
  <c r="T33" i="80" s="1"/>
  <c r="U33" i="80" s="1"/>
  <c r="R68" i="80"/>
  <c r="T68" i="80" s="1"/>
  <c r="U68" i="80" s="1"/>
  <c r="R68" i="76"/>
  <c r="T68" i="76" s="1"/>
  <c r="R30" i="76"/>
  <c r="T30" i="76" s="1"/>
  <c r="R67" i="90"/>
  <c r="R29" i="80"/>
  <c r="T29" i="80" s="1"/>
  <c r="U29" i="80" s="1"/>
  <c r="U51" i="80"/>
  <c r="U8" i="80"/>
  <c r="R58" i="85"/>
  <c r="W9" i="72"/>
  <c r="V48" i="72"/>
  <c r="U18" i="46"/>
  <c r="P75" i="100"/>
  <c r="R70" i="85"/>
  <c r="V61" i="72"/>
  <c r="V9" i="72"/>
  <c r="W49" i="72"/>
  <c r="V10" i="72"/>
  <c r="U62" i="76"/>
  <c r="U15" i="80"/>
  <c r="T76" i="87"/>
  <c r="U7" i="87"/>
  <c r="Z6" i="72" s="1"/>
  <c r="Z75" i="72" s="1"/>
  <c r="U14" i="76"/>
  <c r="U30" i="46"/>
  <c r="O7" i="89"/>
  <c r="N76" i="89"/>
  <c r="O7" i="85"/>
  <c r="N76" i="85"/>
  <c r="P73" i="76"/>
  <c r="P77" i="76" s="1"/>
  <c r="Q4" i="76"/>
  <c r="Z75" i="100"/>
  <c r="Q4" i="80"/>
  <c r="P73" i="80"/>
  <c r="P77" i="80" s="1"/>
  <c r="Q7" i="90"/>
  <c r="Q76" i="90" s="1"/>
  <c r="P7" i="90"/>
  <c r="R20" i="76"/>
  <c r="T20" i="76" s="1"/>
  <c r="R63" i="76"/>
  <c r="T63" i="76" s="1"/>
  <c r="R74" i="90"/>
  <c r="R23" i="80"/>
  <c r="T23" i="80" s="1"/>
  <c r="R34" i="80"/>
  <c r="T34" i="80" s="1"/>
  <c r="R34" i="76"/>
  <c r="T34" i="76" s="1"/>
  <c r="R67" i="80"/>
  <c r="T67" i="80" s="1"/>
  <c r="R19" i="76"/>
  <c r="T19" i="76" s="1"/>
  <c r="R19" i="80"/>
  <c r="T19" i="80" s="1"/>
  <c r="R64" i="90"/>
  <c r="R32" i="76"/>
  <c r="T32" i="76" s="1"/>
  <c r="R56" i="80"/>
  <c r="T56" i="80" s="1"/>
  <c r="R25" i="76"/>
  <c r="T25" i="76" s="1"/>
  <c r="R25" i="80"/>
  <c r="T25" i="80" s="1"/>
  <c r="R44" i="90"/>
  <c r="R13" i="90"/>
  <c r="R71" i="90"/>
  <c r="R35" i="76"/>
  <c r="T35" i="76" s="1"/>
  <c r="R64" i="76"/>
  <c r="T64" i="76" s="1"/>
  <c r="R21" i="80"/>
  <c r="T21" i="80" s="1"/>
  <c r="R43" i="90"/>
  <c r="R40" i="76"/>
  <c r="T40" i="76" s="1"/>
  <c r="R36" i="76"/>
  <c r="T36" i="76" s="1"/>
  <c r="R30" i="90"/>
  <c r="R66" i="90"/>
  <c r="R51" i="90"/>
  <c r="R71" i="76"/>
  <c r="T71" i="76" s="1"/>
  <c r="R45" i="76"/>
  <c r="T45" i="76" s="1"/>
  <c r="R16" i="90"/>
  <c r="R26" i="80"/>
  <c r="T26" i="80" s="1"/>
  <c r="U9" i="80"/>
  <c r="U14" i="80"/>
  <c r="O75" i="100"/>
  <c r="AU75" i="72"/>
  <c r="R67" i="85"/>
  <c r="R39" i="85"/>
  <c r="AS75" i="72"/>
  <c r="V24" i="72"/>
  <c r="V11" i="72"/>
  <c r="AP75" i="72"/>
  <c r="K75" i="100"/>
  <c r="AV75" i="72"/>
  <c r="AW75" i="72"/>
  <c r="V62" i="72"/>
  <c r="S40" i="46"/>
  <c r="T40" i="46" s="1"/>
  <c r="R43" i="46"/>
  <c r="R42" i="46"/>
  <c r="T42" i="46" s="1"/>
  <c r="U51" i="76"/>
  <c r="U50" i="80"/>
  <c r="U50" i="76"/>
  <c r="AT75" i="72"/>
  <c r="V41" i="72"/>
  <c r="W41" i="72"/>
  <c r="M9" i="31"/>
  <c r="O9" i="31" s="1"/>
  <c r="P9" i="31" s="1"/>
  <c r="W46" i="72"/>
  <c r="V13" i="72"/>
  <c r="W18" i="72"/>
  <c r="N76" i="91"/>
  <c r="O7" i="91"/>
  <c r="O7" i="88"/>
  <c r="N76" i="88"/>
  <c r="N76" i="86"/>
  <c r="O7" i="86"/>
  <c r="O7" i="92"/>
  <c r="N76" i="92"/>
  <c r="R13" i="76"/>
  <c r="T13" i="76" s="1"/>
  <c r="R57" i="90"/>
  <c r="J75" i="100"/>
  <c r="R60" i="90"/>
  <c r="R26" i="90"/>
  <c r="AQ75" i="72"/>
  <c r="R20" i="90"/>
  <c r="R8" i="90"/>
  <c r="R28" i="90"/>
  <c r="R41" i="80"/>
  <c r="T41" i="80" s="1"/>
  <c r="R55" i="80"/>
  <c r="T55" i="80" s="1"/>
  <c r="R33" i="76"/>
  <c r="T33" i="76" s="1"/>
  <c r="R30" i="80"/>
  <c r="T30" i="80" s="1"/>
  <c r="R24" i="90"/>
  <c r="R36" i="80"/>
  <c r="T36" i="80" s="1"/>
  <c r="R29" i="76"/>
  <c r="T29" i="76" s="1"/>
  <c r="R45" i="90"/>
  <c r="R52" i="90"/>
  <c r="R27" i="76"/>
  <c r="T27" i="76" s="1"/>
  <c r="R56" i="90"/>
  <c r="P69" i="31" l="1"/>
  <c r="S30" i="91"/>
  <c r="AC29" i="72" s="1"/>
  <c r="S48" i="92"/>
  <c r="AD47" i="72" s="1"/>
  <c r="S30" i="92"/>
  <c r="AD29" i="72" s="1"/>
  <c r="S20" i="86"/>
  <c r="S41" i="91"/>
  <c r="AC40" i="72" s="1"/>
  <c r="S28" i="88"/>
  <c r="S33" i="91"/>
  <c r="AC32" i="72" s="1"/>
  <c r="S70" i="86"/>
  <c r="Y69" i="72" s="1"/>
  <c r="S39" i="86"/>
  <c r="Y38" i="72" s="1"/>
  <c r="S68" i="89"/>
  <c r="AB67" i="72" s="1"/>
  <c r="S61" i="88"/>
  <c r="AA60" i="72" s="1"/>
  <c r="S46" i="86"/>
  <c r="S41" i="92"/>
  <c r="AD40" i="72" s="1"/>
  <c r="S23" i="92"/>
  <c r="AD22" i="72" s="1"/>
  <c r="S64" i="89"/>
  <c r="AB63" i="72" s="1"/>
  <c r="U55" i="76"/>
  <c r="U72" i="76"/>
  <c r="V74" i="72" s="1"/>
  <c r="U66" i="76"/>
  <c r="V68" i="72" s="1"/>
  <c r="S61" i="92"/>
  <c r="AD60" i="72" s="1"/>
  <c r="S26" i="86"/>
  <c r="Y25" i="72" s="1"/>
  <c r="S35" i="92"/>
  <c r="S27" i="91"/>
  <c r="AC26" i="72" s="1"/>
  <c r="S32" i="89"/>
  <c r="AB31" i="72" s="1"/>
  <c r="S20" i="88"/>
  <c r="AA19" i="72" s="1"/>
  <c r="S74" i="91"/>
  <c r="S72" i="88"/>
  <c r="AB9" i="72"/>
  <c r="S45" i="88"/>
  <c r="AA44" i="72" s="1"/>
  <c r="Y52" i="72"/>
  <c r="S45" i="91"/>
  <c r="S67" i="92"/>
  <c r="AD66" i="72" s="1"/>
  <c r="U45" i="80"/>
  <c r="W47" i="72" s="1"/>
  <c r="S34" i="88"/>
  <c r="AA33" i="72" s="1"/>
  <c r="T69" i="90"/>
  <c r="V69" i="90" s="1"/>
  <c r="W69" i="90" s="1"/>
  <c r="T58" i="90"/>
  <c r="V58" i="90" s="1"/>
  <c r="W58" i="90" s="1"/>
  <c r="T67" i="90"/>
  <c r="V67" i="90" s="1"/>
  <c r="W67" i="90" s="1"/>
  <c r="T15" i="90"/>
  <c r="V15" i="90" s="1"/>
  <c r="W15" i="90" s="1"/>
  <c r="T32" i="90"/>
  <c r="V32" i="90" s="1"/>
  <c r="W32" i="90" s="1"/>
  <c r="T41" i="90"/>
  <c r="V41" i="90" s="1"/>
  <c r="W41" i="90" s="1"/>
  <c r="T55" i="90"/>
  <c r="V55" i="90" s="1"/>
  <c r="W55" i="90" s="1"/>
  <c r="T56" i="90"/>
  <c r="V56" i="90" s="1"/>
  <c r="T64" i="90"/>
  <c r="V64" i="90" s="1"/>
  <c r="T71" i="90"/>
  <c r="V71" i="90" s="1"/>
  <c r="T26" i="90"/>
  <c r="V26" i="90" s="1"/>
  <c r="T59" i="90"/>
  <c r="V59" i="90" s="1"/>
  <c r="W59" i="90" s="1"/>
  <c r="T33" i="90"/>
  <c r="V33" i="90" s="1"/>
  <c r="W33" i="90" s="1"/>
  <c r="AD27" i="72"/>
  <c r="Y71" i="72"/>
  <c r="Y56" i="72"/>
  <c r="AC31" i="72"/>
  <c r="AC67" i="72"/>
  <c r="Y28" i="72"/>
  <c r="AC14" i="72"/>
  <c r="Y50" i="72"/>
  <c r="AA8" i="72"/>
  <c r="Y37" i="72"/>
  <c r="AC23" i="72"/>
  <c r="Y34" i="72"/>
  <c r="AB65" i="72"/>
  <c r="AD74" i="72"/>
  <c r="Y23" i="72"/>
  <c r="X11" i="72"/>
  <c r="AB12" i="72"/>
  <c r="Y74" i="72"/>
  <c r="X49" i="72"/>
  <c r="AA56" i="72"/>
  <c r="AB25" i="72"/>
  <c r="Y31" i="72"/>
  <c r="Y35" i="72"/>
  <c r="AA57" i="72"/>
  <c r="AC59" i="72"/>
  <c r="Y73" i="72"/>
  <c r="X13" i="72"/>
  <c r="X17" i="72"/>
  <c r="AD57" i="72"/>
  <c r="AC27" i="72"/>
  <c r="AA43" i="72"/>
  <c r="AC15" i="72"/>
  <c r="AB70" i="72"/>
  <c r="AA12" i="72"/>
  <c r="AD38" i="72"/>
  <c r="AD42" i="72"/>
  <c r="Y32" i="72"/>
  <c r="AD68" i="72"/>
  <c r="AD43" i="72"/>
  <c r="AD71" i="72"/>
  <c r="AC45" i="72"/>
  <c r="Y60" i="72"/>
  <c r="S28" i="86"/>
  <c r="AD59" i="72"/>
  <c r="AD32" i="72"/>
  <c r="AB21" i="72"/>
  <c r="T46" i="90"/>
  <c r="V46" i="90" s="1"/>
  <c r="W46" i="90" s="1"/>
  <c r="U38" i="80"/>
  <c r="X20" i="72"/>
  <c r="X46" i="72"/>
  <c r="Y44" i="72"/>
  <c r="AC70" i="72"/>
  <c r="AB54" i="72"/>
  <c r="AB8" i="72"/>
  <c r="AA38" i="72"/>
  <c r="AC19" i="72"/>
  <c r="AA40" i="72"/>
  <c r="AD28" i="72"/>
  <c r="AA39" i="72"/>
  <c r="S71" i="86"/>
  <c r="AD36" i="72"/>
  <c r="AC73" i="72"/>
  <c r="X10" i="72"/>
  <c r="AB43" i="72"/>
  <c r="Y39" i="72"/>
  <c r="Y63" i="72"/>
  <c r="S38" i="92"/>
  <c r="AC56" i="72"/>
  <c r="S70" i="89"/>
  <c r="AD26" i="72"/>
  <c r="S35" i="91"/>
  <c r="T35" i="90"/>
  <c r="V35" i="90" s="1"/>
  <c r="W35" i="90" s="1"/>
  <c r="AC66" i="72"/>
  <c r="AB66" i="72"/>
  <c r="X16" i="72"/>
  <c r="AD54" i="72"/>
  <c r="AB26" i="72"/>
  <c r="AD69" i="72"/>
  <c r="AA22" i="72"/>
  <c r="Y51" i="72"/>
  <c r="AC54" i="72"/>
  <c r="AB44" i="72"/>
  <c r="AB36" i="72"/>
  <c r="AB33" i="72"/>
  <c r="Y8" i="72"/>
  <c r="BN42" i="72"/>
  <c r="T43" i="90"/>
  <c r="V43" i="90" s="1"/>
  <c r="BN73" i="72"/>
  <c r="T74" i="90"/>
  <c r="V74" i="90" s="1"/>
  <c r="BN8" i="72"/>
  <c r="T9" i="90"/>
  <c r="V9" i="90" s="1"/>
  <c r="W9" i="90" s="1"/>
  <c r="BN29" i="72"/>
  <c r="T30" i="90"/>
  <c r="V30" i="90" s="1"/>
  <c r="BN12" i="72"/>
  <c r="T13" i="90"/>
  <c r="V13" i="90" s="1"/>
  <c r="BN22" i="72"/>
  <c r="T23" i="90"/>
  <c r="V23" i="90" s="1"/>
  <c r="W23" i="90" s="1"/>
  <c r="BN33" i="72"/>
  <c r="T34" i="90"/>
  <c r="V34" i="90" s="1"/>
  <c r="W34" i="90" s="1"/>
  <c r="BN50" i="72"/>
  <c r="T51" i="90"/>
  <c r="V51" i="90" s="1"/>
  <c r="BN71" i="72"/>
  <c r="T72" i="90"/>
  <c r="V72" i="90" s="1"/>
  <c r="W72" i="90" s="1"/>
  <c r="BN38" i="72"/>
  <c r="T39" i="90"/>
  <c r="V39" i="90" s="1"/>
  <c r="W39" i="90" s="1"/>
  <c r="BN27" i="72"/>
  <c r="T28" i="90"/>
  <c r="V28" i="90" s="1"/>
  <c r="BN47" i="72"/>
  <c r="T48" i="90"/>
  <c r="V48" i="90" s="1"/>
  <c r="W48" i="90" s="1"/>
  <c r="BN51" i="72"/>
  <c r="T52" i="90"/>
  <c r="V52" i="90" s="1"/>
  <c r="W21" i="90"/>
  <c r="AE20" i="72" s="1"/>
  <c r="Y42" i="72"/>
  <c r="Y58" i="72"/>
  <c r="S74" i="88"/>
  <c r="S52" i="91"/>
  <c r="AB42" i="72"/>
  <c r="S69" i="89"/>
  <c r="S29" i="91"/>
  <c r="Y7" i="72"/>
  <c r="S70" i="88"/>
  <c r="AA25" i="72"/>
  <c r="Y59" i="72"/>
  <c r="S56" i="92"/>
  <c r="S74" i="92"/>
  <c r="Y66" i="72"/>
  <c r="S13" i="86"/>
  <c r="AB39" i="72"/>
  <c r="S48" i="91"/>
  <c r="S70" i="91"/>
  <c r="S37" i="91"/>
  <c r="AA36" i="72"/>
  <c r="AA32" i="72"/>
  <c r="AA21" i="72"/>
  <c r="AD50" i="72"/>
  <c r="AD63" i="72"/>
  <c r="W63" i="90"/>
  <c r="AE62" i="72" s="1"/>
  <c r="AD51" i="72"/>
  <c r="S39" i="91"/>
  <c r="S33" i="89"/>
  <c r="S69" i="91"/>
  <c r="S9" i="91"/>
  <c r="S46" i="88"/>
  <c r="AA63" i="72"/>
  <c r="S41" i="86"/>
  <c r="AB18" i="72"/>
  <c r="T68" i="90"/>
  <c r="V68" i="90" s="1"/>
  <c r="W68" i="90" s="1"/>
  <c r="T38" i="90"/>
  <c r="V38" i="90" s="1"/>
  <c r="W38" i="90" s="1"/>
  <c r="AB55" i="72"/>
  <c r="S13" i="92"/>
  <c r="S8" i="89"/>
  <c r="S30" i="89"/>
  <c r="AA47" i="72"/>
  <c r="S20" i="92"/>
  <c r="AA29" i="72"/>
  <c r="S24" i="92"/>
  <c r="S59" i="91"/>
  <c r="S36" i="89"/>
  <c r="AC33" i="72"/>
  <c r="S72" i="89"/>
  <c r="T57" i="90"/>
  <c r="V57" i="90" s="1"/>
  <c r="AD44" i="72"/>
  <c r="AB40" i="72"/>
  <c r="X64" i="72"/>
  <c r="AC12" i="72"/>
  <c r="AA58" i="72"/>
  <c r="Y33" i="72"/>
  <c r="AD15" i="72"/>
  <c r="AD31" i="72"/>
  <c r="AB27" i="72"/>
  <c r="AD58" i="72"/>
  <c r="AB19" i="72"/>
  <c r="Y29" i="72"/>
  <c r="AB14" i="72"/>
  <c r="AB59" i="72"/>
  <c r="Y21" i="72"/>
  <c r="AB22" i="72"/>
  <c r="BN28" i="72"/>
  <c r="T29" i="90"/>
  <c r="V29" i="90" s="1"/>
  <c r="W29" i="90" s="1"/>
  <c r="O76" i="85"/>
  <c r="BG6" i="72"/>
  <c r="BG75" i="72" s="1"/>
  <c r="Y68" i="72"/>
  <c r="AA34" i="72"/>
  <c r="AC22" i="72"/>
  <c r="S27" i="88"/>
  <c r="AD67" i="72"/>
  <c r="AA54" i="72"/>
  <c r="AB60" i="72"/>
  <c r="X9" i="72"/>
  <c r="AA70" i="72"/>
  <c r="AD56" i="72"/>
  <c r="AC21" i="72"/>
  <c r="AB23" i="72"/>
  <c r="AB37" i="72"/>
  <c r="AB57" i="72"/>
  <c r="Y43" i="72"/>
  <c r="Y15" i="72"/>
  <c r="AB34" i="72"/>
  <c r="AC42" i="72"/>
  <c r="AA66" i="72"/>
  <c r="AA14" i="72"/>
  <c r="AA23" i="72"/>
  <c r="W54" i="90"/>
  <c r="S38" i="91"/>
  <c r="S75" i="91"/>
  <c r="S38" i="88"/>
  <c r="Y36" i="72"/>
  <c r="T61" i="90"/>
  <c r="V61" i="90" s="1"/>
  <c r="W61" i="90" s="1"/>
  <c r="T20" i="90"/>
  <c r="V20" i="90" s="1"/>
  <c r="T66" i="90"/>
  <c r="V66" i="90" s="1"/>
  <c r="T22" i="90"/>
  <c r="V22" i="90" s="1"/>
  <c r="W22" i="90" s="1"/>
  <c r="O76" i="92"/>
  <c r="BM6" i="72"/>
  <c r="BM75" i="72" s="1"/>
  <c r="O76" i="88"/>
  <c r="BJ6" i="72"/>
  <c r="BJ75" i="72" s="1"/>
  <c r="AB38" i="72"/>
  <c r="Y57" i="72"/>
  <c r="Y65" i="72"/>
  <c r="AC25" i="72"/>
  <c r="AB28" i="72"/>
  <c r="X18" i="72"/>
  <c r="AB51" i="72"/>
  <c r="AC57" i="72"/>
  <c r="AC63" i="72"/>
  <c r="AA59" i="72"/>
  <c r="AD21" i="72"/>
  <c r="X53" i="72"/>
  <c r="AB74" i="72"/>
  <c r="AD65" i="72"/>
  <c r="AC65" i="72"/>
  <c r="Y55" i="72"/>
  <c r="Y14" i="72"/>
  <c r="AD35" i="72"/>
  <c r="AB45" i="72"/>
  <c r="AC55" i="72"/>
  <c r="AA67" i="72"/>
  <c r="AB15" i="72"/>
  <c r="AC50" i="72"/>
  <c r="AC71" i="72"/>
  <c r="AA28" i="72"/>
  <c r="AA15" i="72"/>
  <c r="AA42" i="72"/>
  <c r="AD25" i="72"/>
  <c r="AA7" i="72"/>
  <c r="AC35" i="72"/>
  <c r="AA31" i="72"/>
  <c r="O76" i="86"/>
  <c r="BH6" i="72"/>
  <c r="BH75" i="72" s="1"/>
  <c r="O76" i="91"/>
  <c r="BL6" i="72"/>
  <c r="BL75" i="72" s="1"/>
  <c r="U6" i="76"/>
  <c r="V8" i="72" s="1"/>
  <c r="X24" i="72"/>
  <c r="X62" i="72"/>
  <c r="AD8" i="72"/>
  <c r="AD45" i="72"/>
  <c r="Y22" i="72"/>
  <c r="X30" i="72"/>
  <c r="AA55" i="72"/>
  <c r="AC39" i="72"/>
  <c r="AA65" i="72"/>
  <c r="X72" i="72"/>
  <c r="AB56" i="72"/>
  <c r="Y47" i="72"/>
  <c r="AD14" i="72"/>
  <c r="AD70" i="72"/>
  <c r="AA68" i="72"/>
  <c r="Y26" i="72"/>
  <c r="AD7" i="72"/>
  <c r="Y54" i="72"/>
  <c r="AA50" i="72"/>
  <c r="X41" i="72"/>
  <c r="Y67" i="72"/>
  <c r="AD39" i="72"/>
  <c r="T36" i="90"/>
  <c r="V36" i="90" s="1"/>
  <c r="W36" i="90" s="1"/>
  <c r="T40" i="90"/>
  <c r="V40" i="90" s="1"/>
  <c r="W40" i="90" s="1"/>
  <c r="T27" i="90"/>
  <c r="V27" i="90" s="1"/>
  <c r="W27" i="90" s="1"/>
  <c r="T45" i="90"/>
  <c r="V45" i="90" s="1"/>
  <c r="T60" i="90"/>
  <c r="V60" i="90" s="1"/>
  <c r="T44" i="90"/>
  <c r="V44" i="90" s="1"/>
  <c r="T16" i="90"/>
  <c r="V16" i="90" s="1"/>
  <c r="AB30" i="72"/>
  <c r="AD49" i="72"/>
  <c r="AA64" i="72"/>
  <c r="T37" i="90"/>
  <c r="V37" i="90" s="1"/>
  <c r="W37" i="90" s="1"/>
  <c r="T24" i="90"/>
  <c r="V24" i="90" s="1"/>
  <c r="T75" i="90"/>
  <c r="V75" i="90" s="1"/>
  <c r="W75" i="90" s="1"/>
  <c r="O76" i="89"/>
  <c r="BK6" i="72"/>
  <c r="BK75" i="72" s="1"/>
  <c r="AC43" i="72"/>
  <c r="AA35" i="72"/>
  <c r="AB50" i="72"/>
  <c r="AA74" i="72"/>
  <c r="X52" i="72"/>
  <c r="AA51" i="72"/>
  <c r="AB73" i="72"/>
  <c r="AD33" i="72"/>
  <c r="AB58" i="72"/>
  <c r="AC60" i="72"/>
  <c r="AC7" i="72"/>
  <c r="T70" i="90"/>
  <c r="V70" i="90" s="1"/>
  <c r="W70" i="90" s="1"/>
  <c r="AD9" i="72"/>
  <c r="Y9" i="72"/>
  <c r="T8" i="90"/>
  <c r="V8" i="90" s="1"/>
  <c r="AH6" i="100"/>
  <c r="AH75" i="100" s="1"/>
  <c r="S7" i="90"/>
  <c r="BN6" i="72" s="1"/>
  <c r="AE16" i="72"/>
  <c r="AE13" i="72"/>
  <c r="AE72" i="72"/>
  <c r="AE24" i="72"/>
  <c r="U72" i="80"/>
  <c r="W74" i="72" s="1"/>
  <c r="W24" i="72"/>
  <c r="W13" i="72"/>
  <c r="U31" i="76"/>
  <c r="V33" i="72" s="1"/>
  <c r="W62" i="72"/>
  <c r="U30" i="76"/>
  <c r="V32" i="72" s="1"/>
  <c r="V30" i="72"/>
  <c r="U24" i="80"/>
  <c r="U32" i="80"/>
  <c r="W34" i="72" s="1"/>
  <c r="U67" i="76"/>
  <c r="U38" i="76"/>
  <c r="U27" i="80"/>
  <c r="W29" i="72" s="1"/>
  <c r="U13" i="80"/>
  <c r="W15" i="72" s="1"/>
  <c r="U10" i="76"/>
  <c r="U37" i="80"/>
  <c r="W39" i="72" s="1"/>
  <c r="U63" i="80"/>
  <c r="W65" i="72" s="1"/>
  <c r="U68" i="76"/>
  <c r="U17" i="76"/>
  <c r="U69" i="80"/>
  <c r="S36" i="85"/>
  <c r="S9" i="85"/>
  <c r="S70" i="85"/>
  <c r="S38" i="85"/>
  <c r="S13" i="85"/>
  <c r="S22" i="85"/>
  <c r="S51" i="85"/>
  <c r="S61" i="85"/>
  <c r="X60" i="72" s="1"/>
  <c r="W47" i="90"/>
  <c r="S56" i="85"/>
  <c r="S15" i="85"/>
  <c r="S24" i="85"/>
  <c r="S69" i="85"/>
  <c r="U26" i="76"/>
  <c r="V28" i="72" s="1"/>
  <c r="S59" i="85"/>
  <c r="S55" i="85"/>
  <c r="S75" i="85"/>
  <c r="X74" i="72" s="1"/>
  <c r="W18" i="90"/>
  <c r="AE17" i="72" s="1"/>
  <c r="W42" i="90"/>
  <c r="W12" i="90"/>
  <c r="S30" i="85"/>
  <c r="S43" i="85"/>
  <c r="S29" i="85"/>
  <c r="S64" i="85"/>
  <c r="S60" i="85"/>
  <c r="U49" i="80"/>
  <c r="S67" i="85"/>
  <c r="S16" i="85"/>
  <c r="S32" i="85"/>
  <c r="S40" i="85"/>
  <c r="S57" i="85"/>
  <c r="S8" i="85"/>
  <c r="S23" i="85"/>
  <c r="W20" i="72"/>
  <c r="U41" i="76"/>
  <c r="V43" i="72" s="1"/>
  <c r="S72" i="85"/>
  <c r="S74" i="85"/>
  <c r="X73" i="72" s="1"/>
  <c r="S41" i="85"/>
  <c r="X40" i="72" s="1"/>
  <c r="S34" i="85"/>
  <c r="S35" i="85"/>
  <c r="S37" i="85"/>
  <c r="W53" i="90"/>
  <c r="W31" i="90"/>
  <c r="AE30" i="72" s="1"/>
  <c r="W49" i="90"/>
  <c r="AE48" i="72" s="1"/>
  <c r="W50" i="90"/>
  <c r="AE49" i="72" s="1"/>
  <c r="W11" i="90"/>
  <c r="S58" i="85"/>
  <c r="S27" i="85"/>
  <c r="W65" i="90"/>
  <c r="S52" i="85"/>
  <c r="S45" i="85"/>
  <c r="S39" i="85"/>
  <c r="X38" i="72" s="1"/>
  <c r="P7" i="88"/>
  <c r="P76" i="88" s="1"/>
  <c r="S66" i="85"/>
  <c r="X65" i="72" s="1"/>
  <c r="S33" i="85"/>
  <c r="X32" i="72" s="1"/>
  <c r="S71" i="85"/>
  <c r="S46" i="85"/>
  <c r="X45" i="72" s="1"/>
  <c r="S20" i="85"/>
  <c r="W10" i="90"/>
  <c r="W19" i="90"/>
  <c r="AE18" i="72" s="1"/>
  <c r="S68" i="85"/>
  <c r="S48" i="85"/>
  <c r="U58" i="76"/>
  <c r="W62" i="90"/>
  <c r="S44" i="85"/>
  <c r="S28" i="85"/>
  <c r="S26" i="85"/>
  <c r="U52" i="76"/>
  <c r="V54" i="72" s="1"/>
  <c r="P7" i="89"/>
  <c r="R7" i="89" s="1"/>
  <c r="T44" i="46"/>
  <c r="P7" i="92"/>
  <c r="P76" i="92" s="1"/>
  <c r="R44" i="46"/>
  <c r="P7" i="85"/>
  <c r="P76" i="85" s="1"/>
  <c r="P7" i="86"/>
  <c r="P76" i="86" s="1"/>
  <c r="P7" i="91"/>
  <c r="R7" i="91" s="1"/>
  <c r="U36" i="80"/>
  <c r="U30" i="80"/>
  <c r="U33" i="76"/>
  <c r="U55" i="80"/>
  <c r="U41" i="80"/>
  <c r="U13" i="76"/>
  <c r="V45" i="72"/>
  <c r="V50" i="72"/>
  <c r="W50" i="72"/>
  <c r="V51" i="72"/>
  <c r="W67" i="72"/>
  <c r="W33" i="72"/>
  <c r="V39" i="72"/>
  <c r="W11" i="72"/>
  <c r="U40" i="76"/>
  <c r="U25" i="80"/>
  <c r="U32" i="76"/>
  <c r="U19" i="80"/>
  <c r="U67" i="80"/>
  <c r="U34" i="80"/>
  <c r="U20" i="76"/>
  <c r="R7" i="90"/>
  <c r="P76" i="90"/>
  <c r="P78" i="90" s="1"/>
  <c r="R4" i="76"/>
  <c r="BE6" i="72"/>
  <c r="BE75" i="72" s="1"/>
  <c r="Q73" i="76"/>
  <c r="Q75" i="76" s="1"/>
  <c r="V16" i="72"/>
  <c r="W17" i="72"/>
  <c r="W68" i="72"/>
  <c r="V55" i="72"/>
  <c r="W66" i="72"/>
  <c r="V56" i="72"/>
  <c r="W54" i="72"/>
  <c r="W73" i="72"/>
  <c r="W22" i="72"/>
  <c r="M70" i="31"/>
  <c r="S44" i="46"/>
  <c r="O70" i="31"/>
  <c r="U38" i="46"/>
  <c r="U27" i="76"/>
  <c r="U29" i="76"/>
  <c r="H75" i="72"/>
  <c r="V52" i="72"/>
  <c r="W52" i="72"/>
  <c r="V53" i="72"/>
  <c r="W42" i="72"/>
  <c r="V71" i="72"/>
  <c r="V7" i="72"/>
  <c r="W55" i="72"/>
  <c r="W31" i="72"/>
  <c r="W14" i="72"/>
  <c r="W70" i="72"/>
  <c r="W35" i="72"/>
  <c r="V67" i="72"/>
  <c r="W12" i="72"/>
  <c r="V26" i="72"/>
  <c r="V58" i="72"/>
  <c r="W7" i="72"/>
  <c r="W63" i="72"/>
  <c r="W19" i="72"/>
  <c r="W59" i="72"/>
  <c r="W16" i="72"/>
  <c r="U26" i="80"/>
  <c r="U45" i="76"/>
  <c r="U71" i="76"/>
  <c r="U36" i="76"/>
  <c r="U21" i="80"/>
  <c r="U64" i="76"/>
  <c r="U35" i="76"/>
  <c r="U25" i="76"/>
  <c r="U56" i="80"/>
  <c r="U19" i="76"/>
  <c r="U34" i="76"/>
  <c r="U23" i="80"/>
  <c r="U63" i="76"/>
  <c r="I77" i="90"/>
  <c r="Q77" i="90"/>
  <c r="R77" i="90" s="1"/>
  <c r="R4" i="80"/>
  <c r="Q73" i="80"/>
  <c r="BF6" i="72"/>
  <c r="BF75" i="72" s="1"/>
  <c r="Y75" i="100"/>
  <c r="P70" i="31"/>
  <c r="U76" i="87"/>
  <c r="V64" i="72"/>
  <c r="V44" i="72"/>
  <c r="W44" i="72"/>
  <c r="V23" i="72"/>
  <c r="W37" i="72"/>
  <c r="W8" i="72"/>
  <c r="V63" i="72"/>
  <c r="V25" i="72"/>
  <c r="W60" i="72"/>
  <c r="V14" i="72"/>
  <c r="W56" i="72"/>
  <c r="W45" i="72"/>
  <c r="V59" i="72"/>
  <c r="W10" i="72"/>
  <c r="W53" i="72"/>
  <c r="S76" i="90" l="1"/>
  <c r="S78" i="90" s="1"/>
  <c r="V57" i="72"/>
  <c r="AA27" i="72"/>
  <c r="AA71" i="72"/>
  <c r="AD34" i="72"/>
  <c r="Y45" i="72"/>
  <c r="Y19" i="72"/>
  <c r="W40" i="72"/>
  <c r="R7" i="92"/>
  <c r="R76" i="92" s="1"/>
  <c r="AE53" i="72"/>
  <c r="AC44" i="72"/>
  <c r="R7" i="86"/>
  <c r="S7" i="86" s="1"/>
  <c r="Y6" i="72" s="1"/>
  <c r="X47" i="72"/>
  <c r="X70" i="72"/>
  <c r="X66" i="72"/>
  <c r="X68" i="72"/>
  <c r="AA37" i="72"/>
  <c r="AC8" i="72"/>
  <c r="AC69" i="72"/>
  <c r="AD55" i="72"/>
  <c r="AB69" i="72"/>
  <c r="Y70" i="72"/>
  <c r="X27" i="72"/>
  <c r="X57" i="72"/>
  <c r="X36" i="72"/>
  <c r="X33" i="72"/>
  <c r="X7" i="72"/>
  <c r="X39" i="72"/>
  <c r="X63" i="72"/>
  <c r="X28" i="72"/>
  <c r="X58" i="72"/>
  <c r="X50" i="72"/>
  <c r="X12" i="72"/>
  <c r="X69" i="72"/>
  <c r="X8" i="72"/>
  <c r="X35" i="72"/>
  <c r="BN75" i="72"/>
  <c r="AC74" i="72"/>
  <c r="AC58" i="72"/>
  <c r="AB7" i="72"/>
  <c r="AB32" i="72"/>
  <c r="AB68" i="72"/>
  <c r="AC51" i="72"/>
  <c r="AD37" i="72"/>
  <c r="Y27" i="72"/>
  <c r="X67" i="72"/>
  <c r="X19" i="72"/>
  <c r="X71" i="72"/>
  <c r="X15" i="72"/>
  <c r="X14" i="72"/>
  <c r="X23" i="72"/>
  <c r="AC37" i="72"/>
  <c r="T7" i="90"/>
  <c r="V7" i="90" s="1"/>
  <c r="AD23" i="72"/>
  <c r="AD12" i="72"/>
  <c r="AA45" i="72"/>
  <c r="AC68" i="72"/>
  <c r="AC38" i="72"/>
  <c r="AC36" i="72"/>
  <c r="AC47" i="72"/>
  <c r="X25" i="72"/>
  <c r="X43" i="72"/>
  <c r="X44" i="72"/>
  <c r="X51" i="72"/>
  <c r="X26" i="72"/>
  <c r="X34" i="72"/>
  <c r="X22" i="72"/>
  <c r="X56" i="72"/>
  <c r="X31" i="72"/>
  <c r="X59" i="72"/>
  <c r="X42" i="72"/>
  <c r="X29" i="72"/>
  <c r="X54" i="72"/>
  <c r="X55" i="72"/>
  <c r="X21" i="72"/>
  <c r="X37" i="72"/>
  <c r="AA26" i="72"/>
  <c r="AB71" i="72"/>
  <c r="AB35" i="72"/>
  <c r="AD19" i="72"/>
  <c r="AB29" i="72"/>
  <c r="Y40" i="72"/>
  <c r="Y12" i="72"/>
  <c r="AD73" i="72"/>
  <c r="AA69" i="72"/>
  <c r="AC28" i="72"/>
  <c r="AA73" i="72"/>
  <c r="AC34" i="72"/>
  <c r="J77" i="90"/>
  <c r="K77" i="90" s="1"/>
  <c r="AE68" i="72"/>
  <c r="AE32" i="72"/>
  <c r="AE9" i="72"/>
  <c r="AE54" i="72"/>
  <c r="AE40" i="72"/>
  <c r="AE8" i="72"/>
  <c r="AE74" i="72"/>
  <c r="AE10" i="72"/>
  <c r="AE28" i="72"/>
  <c r="AE52" i="72"/>
  <c r="AE35" i="72"/>
  <c r="AE69" i="72"/>
  <c r="AE45" i="72"/>
  <c r="AE11" i="72"/>
  <c r="AE22" i="72"/>
  <c r="AE71" i="72"/>
  <c r="AE67" i="72"/>
  <c r="AE57" i="72"/>
  <c r="AE66" i="72"/>
  <c r="AE60" i="72"/>
  <c r="AE47" i="72"/>
  <c r="AE37" i="72"/>
  <c r="AE26" i="72"/>
  <c r="AE61" i="72"/>
  <c r="AE33" i="72"/>
  <c r="AE64" i="72"/>
  <c r="AE14" i="72"/>
  <c r="AE36" i="72"/>
  <c r="AE31" i="72"/>
  <c r="AE38" i="72"/>
  <c r="AE21" i="72"/>
  <c r="AE41" i="72"/>
  <c r="AE46" i="72"/>
  <c r="AE58" i="72"/>
  <c r="AE34" i="72"/>
  <c r="AE39" i="72"/>
  <c r="W71" i="72"/>
  <c r="R7" i="88"/>
  <c r="S7" i="88" s="1"/>
  <c r="AA6" i="72" s="1"/>
  <c r="W26" i="72"/>
  <c r="V40" i="72"/>
  <c r="V69" i="72"/>
  <c r="V12" i="72"/>
  <c r="V19" i="72"/>
  <c r="V60" i="72"/>
  <c r="P76" i="89"/>
  <c r="V70" i="72"/>
  <c r="R7" i="85"/>
  <c r="P76" i="91"/>
  <c r="W26" i="90"/>
  <c r="AE25" i="72" s="1"/>
  <c r="W71" i="90"/>
  <c r="W57" i="90"/>
  <c r="W56" i="90"/>
  <c r="W43" i="90"/>
  <c r="W51" i="72"/>
  <c r="W8" i="90"/>
  <c r="AE7" i="72" s="1"/>
  <c r="W30" i="90"/>
  <c r="W16" i="90"/>
  <c r="W66" i="90"/>
  <c r="W13" i="90"/>
  <c r="W20" i="90"/>
  <c r="W24" i="90"/>
  <c r="W44" i="90"/>
  <c r="AE43" i="72" s="1"/>
  <c r="W45" i="90"/>
  <c r="W64" i="90"/>
  <c r="W51" i="90"/>
  <c r="W28" i="90"/>
  <c r="W74" i="90"/>
  <c r="W60" i="90"/>
  <c r="W52" i="90"/>
  <c r="AE51" i="72" s="1"/>
  <c r="Q78" i="90"/>
  <c r="T4" i="80"/>
  <c r="R73" i="80"/>
  <c r="V65" i="72"/>
  <c r="V36" i="72"/>
  <c r="W58" i="72"/>
  <c r="V37" i="72"/>
  <c r="V73" i="72"/>
  <c r="V47" i="72"/>
  <c r="W28" i="72"/>
  <c r="S7" i="89"/>
  <c r="AB6" i="72" s="1"/>
  <c r="Q77" i="76"/>
  <c r="R75" i="76"/>
  <c r="T75" i="76"/>
  <c r="R73" i="76"/>
  <c r="T4" i="76"/>
  <c r="R76" i="90"/>
  <c r="R78" i="90" s="1"/>
  <c r="V22" i="72"/>
  <c r="W36" i="72"/>
  <c r="W69" i="72"/>
  <c r="W21" i="72"/>
  <c r="V34" i="72"/>
  <c r="W27" i="72"/>
  <c r="V42" i="72"/>
  <c r="V15" i="72"/>
  <c r="W43" i="72"/>
  <c r="W57" i="72"/>
  <c r="N75" i="72"/>
  <c r="Q75" i="80"/>
  <c r="R75" i="80" s="1"/>
  <c r="T75" i="80" s="1"/>
  <c r="W25" i="72"/>
  <c r="V21" i="72"/>
  <c r="V27" i="72"/>
  <c r="V66" i="72"/>
  <c r="W23" i="72"/>
  <c r="V38" i="72"/>
  <c r="R76" i="91"/>
  <c r="S7" i="91"/>
  <c r="AC6" i="72" s="1"/>
  <c r="V31" i="72"/>
  <c r="V29" i="72"/>
  <c r="V35" i="72"/>
  <c r="W32" i="72"/>
  <c r="W38" i="72"/>
  <c r="R76" i="86" l="1"/>
  <c r="S7" i="92"/>
  <c r="AD6" i="72" s="1"/>
  <c r="AD75" i="72" s="1"/>
  <c r="AA75" i="72"/>
  <c r="Y75" i="72"/>
  <c r="AC75" i="72"/>
  <c r="M77" i="90"/>
  <c r="AE55" i="72"/>
  <c r="AE19" i="72"/>
  <c r="AE29" i="72"/>
  <c r="AE70" i="72"/>
  <c r="AE73" i="72"/>
  <c r="AE50" i="72"/>
  <c r="AE44" i="72"/>
  <c r="AE42" i="72"/>
  <c r="AE56" i="72"/>
  <c r="AE59" i="72"/>
  <c r="AE27" i="72"/>
  <c r="AE63" i="72"/>
  <c r="AE65" i="72"/>
  <c r="AE23" i="72"/>
  <c r="AE12" i="72"/>
  <c r="AE15" i="72"/>
  <c r="R76" i="88"/>
  <c r="R76" i="85"/>
  <c r="S7" i="85"/>
  <c r="Q77" i="80"/>
  <c r="S76" i="88"/>
  <c r="S76" i="86"/>
  <c r="T73" i="76"/>
  <c r="T77" i="76" s="1"/>
  <c r="U4" i="76"/>
  <c r="R77" i="80"/>
  <c r="S76" i="91"/>
  <c r="G75" i="72"/>
  <c r="K75" i="72"/>
  <c r="F75" i="72"/>
  <c r="U4" i="80"/>
  <c r="T73" i="80"/>
  <c r="T77" i="80" s="1"/>
  <c r="R77" i="76"/>
  <c r="S76" i="92" l="1"/>
  <c r="X6" i="72"/>
  <c r="X75" i="72" s="1"/>
  <c r="N77" i="90"/>
  <c r="X77" i="90"/>
  <c r="S76" i="85"/>
  <c r="T76" i="90"/>
  <c r="T78" i="90" s="1"/>
  <c r="U73" i="80"/>
  <c r="W6" i="72"/>
  <c r="W75" i="72" s="1"/>
  <c r="M75" i="72"/>
  <c r="L75" i="72"/>
  <c r="W7" i="90"/>
  <c r="AE6" i="72" s="1"/>
  <c r="V76" i="90"/>
  <c r="V78" i="90" s="1"/>
  <c r="U73" i="76"/>
  <c r="V6" i="72"/>
  <c r="Y77" i="90" l="1"/>
  <c r="V75" i="72"/>
  <c r="W76" i="90"/>
  <c r="W78" i="90" s="1"/>
  <c r="AE75" i="72"/>
  <c r="K9" i="1"/>
  <c r="AG9" i="1" s="1"/>
  <c r="AQ9" i="1" s="1"/>
  <c r="AR9" i="1" s="1"/>
  <c r="K53" i="1" l="1"/>
  <c r="AG53" i="1" s="1"/>
  <c r="K65" i="1"/>
  <c r="AG65" i="1" s="1"/>
  <c r="K57" i="1"/>
  <c r="AG57" i="1" s="1"/>
  <c r="K34" i="1"/>
  <c r="AG34" i="1" s="1"/>
  <c r="K14" i="1"/>
  <c r="AG14" i="1" s="1"/>
  <c r="K74" i="1"/>
  <c r="AG74" i="1" s="1"/>
  <c r="K67" i="1"/>
  <c r="AG67" i="1" s="1"/>
  <c r="K76" i="1"/>
  <c r="AG76" i="1" s="1"/>
  <c r="K26" i="1"/>
  <c r="AG26" i="1" s="1"/>
  <c r="K75" i="1"/>
  <c r="AG75" i="1" s="1"/>
  <c r="K21" i="1"/>
  <c r="AG21" i="1" s="1"/>
  <c r="K72" i="1"/>
  <c r="AG72" i="1" s="1"/>
  <c r="K54" i="1"/>
  <c r="AG54" i="1" s="1"/>
  <c r="K77" i="1"/>
  <c r="AG77" i="1" s="1"/>
  <c r="K66" i="1"/>
  <c r="AG66" i="1" s="1"/>
  <c r="K32" i="1"/>
  <c r="AG32" i="1" s="1"/>
  <c r="K36" i="1"/>
  <c r="AG36" i="1" s="1"/>
  <c r="K22" i="1"/>
  <c r="AG22" i="1" s="1"/>
  <c r="K47" i="1"/>
  <c r="AG47" i="1" s="1"/>
  <c r="K48" i="1"/>
  <c r="AG48" i="1" s="1"/>
  <c r="K49" i="1"/>
  <c r="AG49" i="1" s="1"/>
  <c r="K51" i="1"/>
  <c r="AG51" i="1" s="1"/>
  <c r="K69" i="1"/>
  <c r="AG69" i="1" s="1"/>
  <c r="K64" i="1"/>
  <c r="AG64" i="1" s="1"/>
  <c r="K27" i="1"/>
  <c r="AG27" i="1" s="1"/>
  <c r="K52" i="1"/>
  <c r="AG52" i="1" s="1"/>
  <c r="K40" i="1"/>
  <c r="AG40" i="1" s="1"/>
  <c r="K43" i="1"/>
  <c r="AG43" i="1" s="1"/>
  <c r="K61" i="1"/>
  <c r="AG61" i="1" s="1"/>
  <c r="K18" i="1"/>
  <c r="AG18" i="1" s="1"/>
  <c r="K15" i="1"/>
  <c r="AG15" i="1" s="1"/>
  <c r="K68" i="1"/>
  <c r="AG68" i="1" s="1"/>
  <c r="K55" i="1"/>
  <c r="AG55" i="1" s="1"/>
  <c r="K17" i="1"/>
  <c r="AG17" i="1" s="1"/>
  <c r="K50" i="1"/>
  <c r="AG50" i="1" s="1"/>
  <c r="K35" i="1"/>
  <c r="AG35" i="1" s="1"/>
  <c r="K45" i="1"/>
  <c r="AG45" i="1" s="1"/>
  <c r="K38" i="1"/>
  <c r="AG38" i="1" s="1"/>
  <c r="K13" i="1"/>
  <c r="AG13" i="1" s="1"/>
  <c r="K42" i="1"/>
  <c r="AG42" i="1" s="1"/>
  <c r="K29" i="1"/>
  <c r="AG29" i="1" s="1"/>
  <c r="K16" i="1"/>
  <c r="AG16" i="1" s="1"/>
  <c r="K20" i="1"/>
  <c r="AG20" i="1" s="1"/>
  <c r="K59" i="1"/>
  <c r="AG59" i="1" s="1"/>
  <c r="K41" i="1"/>
  <c r="AG41" i="1" s="1"/>
  <c r="K60" i="1"/>
  <c r="AG60" i="1" s="1"/>
  <c r="K24" i="1"/>
  <c r="AG24" i="1" s="1"/>
  <c r="K56" i="1"/>
  <c r="AG56" i="1" s="1"/>
  <c r="K25" i="1"/>
  <c r="AG25" i="1" s="1"/>
  <c r="K33" i="1"/>
  <c r="AG33" i="1" s="1"/>
  <c r="K11" i="1"/>
  <c r="AG11" i="1" s="1"/>
  <c r="K23" i="1"/>
  <c r="AG23" i="1" s="1"/>
  <c r="K28" i="1"/>
  <c r="AG28" i="1" s="1"/>
  <c r="K30" i="1"/>
  <c r="AG30" i="1" s="1"/>
  <c r="K58" i="1"/>
  <c r="AG58" i="1" s="1"/>
  <c r="K44" i="1"/>
  <c r="AG44" i="1" s="1"/>
  <c r="K62" i="1"/>
  <c r="AG62" i="1" s="1"/>
  <c r="K46" i="1"/>
  <c r="AG46" i="1" s="1"/>
  <c r="K37" i="1"/>
  <c r="AG37" i="1" s="1"/>
  <c r="K73" i="1"/>
  <c r="AG73" i="1" s="1"/>
  <c r="K63" i="1"/>
  <c r="AG63" i="1" s="1"/>
  <c r="K31" i="1"/>
  <c r="AG31" i="1" s="1"/>
  <c r="K12" i="1"/>
  <c r="AG12" i="1" s="1"/>
  <c r="K70" i="1"/>
  <c r="AG70" i="1" s="1"/>
  <c r="K19" i="1"/>
  <c r="AG19" i="1" s="1"/>
  <c r="K39" i="1"/>
  <c r="AG39" i="1" s="1"/>
  <c r="K71" i="1"/>
  <c r="AG71" i="1" s="1"/>
  <c r="J78" i="1" l="1"/>
  <c r="K10" i="1"/>
  <c r="AG10" i="1" s="1"/>
  <c r="K78" i="1" l="1"/>
  <c r="AQ35" i="1" l="1"/>
  <c r="AR35" i="1" s="1"/>
  <c r="AQ48" i="1"/>
  <c r="AR48" i="1" s="1"/>
  <c r="AQ18" i="1"/>
  <c r="AR18" i="1" s="1"/>
  <c r="AQ70" i="1"/>
  <c r="AR70" i="1" s="1"/>
  <c r="AQ12" i="1"/>
  <c r="AR12" i="1" s="1"/>
  <c r="AQ38" i="1"/>
  <c r="AR38" i="1" s="1"/>
  <c r="AQ37" i="1"/>
  <c r="AR37" i="1" s="1"/>
  <c r="AQ52" i="1"/>
  <c r="AR52" i="1" s="1"/>
  <c r="AQ22" i="1"/>
  <c r="AR22" i="1" s="1"/>
  <c r="AQ31" i="1"/>
  <c r="AR31" i="1" s="1"/>
  <c r="AT31" i="1" s="1"/>
  <c r="AQ71" i="1"/>
  <c r="AR71" i="1" s="1"/>
  <c r="AQ42" i="1"/>
  <c r="AR42" i="1" s="1"/>
  <c r="AQ62" i="1"/>
  <c r="AR62" i="1" s="1"/>
  <c r="AQ77" i="1"/>
  <c r="AR77" i="1" s="1"/>
  <c r="AQ56" i="1"/>
  <c r="AR56" i="1" s="1"/>
  <c r="AQ24" i="1"/>
  <c r="AR24" i="1" s="1"/>
  <c r="AQ51" i="1"/>
  <c r="AR51" i="1" s="1"/>
  <c r="AQ65" i="1"/>
  <c r="AR65" i="1" s="1"/>
  <c r="AQ14" i="1"/>
  <c r="AR14" i="1" s="1"/>
  <c r="AQ54" i="1"/>
  <c r="AR54" i="1" s="1"/>
  <c r="AQ39" i="1"/>
  <c r="AR39" i="1" s="1"/>
  <c r="AQ57" i="1"/>
  <c r="AR57" i="1" s="1"/>
  <c r="AQ17" i="1"/>
  <c r="AR17" i="1" s="1"/>
  <c r="AQ34" i="1"/>
  <c r="AR34" i="1" s="1"/>
  <c r="AQ36" i="1"/>
  <c r="AR36" i="1" s="1"/>
  <c r="AQ74" i="1"/>
  <c r="AR74" i="1" s="1"/>
  <c r="AQ55" i="1"/>
  <c r="AR55" i="1" s="1"/>
  <c r="AQ72" i="1"/>
  <c r="AR72" i="1" s="1"/>
  <c r="AQ29" i="1"/>
  <c r="AR29" i="1" s="1"/>
  <c r="AQ49" i="1"/>
  <c r="AR49" i="1" s="1"/>
  <c r="AQ50" i="1"/>
  <c r="AR50" i="1" s="1"/>
  <c r="AT50" i="1" s="1"/>
  <c r="AQ66" i="1"/>
  <c r="AR66" i="1" s="1"/>
  <c r="AQ23" i="1"/>
  <c r="AR23" i="1" s="1"/>
  <c r="AQ44" i="1"/>
  <c r="AR44" i="1" s="1"/>
  <c r="AQ61" i="1"/>
  <c r="AR61" i="1" s="1"/>
  <c r="AQ27" i="1"/>
  <c r="AR27" i="1" s="1"/>
  <c r="AQ68" i="1"/>
  <c r="AR68" i="1" s="1"/>
  <c r="AQ28" i="1"/>
  <c r="AR28" i="1" s="1"/>
  <c r="AQ58" i="1"/>
  <c r="AR58" i="1" s="1"/>
  <c r="AQ73" i="1"/>
  <c r="AR73" i="1" s="1"/>
  <c r="AT73" i="1" s="1"/>
  <c r="AV73" i="1" s="1"/>
  <c r="AQ45" i="1"/>
  <c r="AR45" i="1" s="1"/>
  <c r="AQ11" i="1"/>
  <c r="AR11" i="1" s="1"/>
  <c r="AQ43" i="1"/>
  <c r="AR43" i="1" s="1"/>
  <c r="AQ46" i="1"/>
  <c r="AR46" i="1" s="1"/>
  <c r="AQ33" i="1"/>
  <c r="AR33" i="1" s="1"/>
  <c r="AQ69" i="1"/>
  <c r="AR69" i="1" s="1"/>
  <c r="AQ20" i="1"/>
  <c r="AR20" i="1" s="1"/>
  <c r="AQ15" i="1"/>
  <c r="AR15" i="1" s="1"/>
  <c r="AQ41" i="1"/>
  <c r="AR41" i="1" s="1"/>
  <c r="AT41" i="1" s="1"/>
  <c r="AQ75" i="1"/>
  <c r="AR75" i="1" s="1"/>
  <c r="AQ19" i="1"/>
  <c r="AR19" i="1" s="1"/>
  <c r="AQ76" i="1"/>
  <c r="AR76" i="1" s="1"/>
  <c r="AQ16" i="1"/>
  <c r="AR16" i="1" s="1"/>
  <c r="AQ67" i="1"/>
  <c r="AR67" i="1" s="1"/>
  <c r="AQ60" i="1"/>
  <c r="AR60" i="1" s="1"/>
  <c r="AQ25" i="1"/>
  <c r="AR25" i="1" s="1"/>
  <c r="AQ59" i="1"/>
  <c r="AR59" i="1" s="1"/>
  <c r="AT59" i="1" s="1"/>
  <c r="AQ53" i="1"/>
  <c r="AR53" i="1" s="1"/>
  <c r="AQ13" i="1"/>
  <c r="AR13" i="1" s="1"/>
  <c r="AQ40" i="1"/>
  <c r="AR40" i="1" s="1"/>
  <c r="AQ26" i="1"/>
  <c r="AR26" i="1" s="1"/>
  <c r="AQ21" i="1"/>
  <c r="AR21" i="1" s="1"/>
  <c r="AQ32" i="1"/>
  <c r="AR32" i="1" s="1"/>
  <c r="AQ63" i="1"/>
  <c r="AR63" i="1" s="1"/>
  <c r="AQ47" i="1"/>
  <c r="AR47" i="1" s="1"/>
  <c r="AQ30" i="1"/>
  <c r="AR30" i="1" s="1"/>
  <c r="AQ64" i="1"/>
  <c r="AR64" i="1" s="1"/>
  <c r="AQ10" i="1"/>
  <c r="AR10" i="1" s="1"/>
  <c r="AT19" i="1" l="1"/>
  <c r="BD19" i="1" s="1"/>
  <c r="AT15" i="1"/>
  <c r="AV15" i="1" s="1"/>
  <c r="AT60" i="1"/>
  <c r="BD60" i="1" s="1"/>
  <c r="AT27" i="1"/>
  <c r="BD27" i="1" s="1"/>
  <c r="AT65" i="1"/>
  <c r="BD65" i="1" s="1"/>
  <c r="AT45" i="1"/>
  <c r="BD45" i="1" s="1"/>
  <c r="AT72" i="1"/>
  <c r="BD72" i="1" s="1"/>
  <c r="AT12" i="1"/>
  <c r="BD12" i="1" s="1"/>
  <c r="AT36" i="1"/>
  <c r="BD36" i="1" s="1"/>
  <c r="AT62" i="1"/>
  <c r="AV62" i="1" s="1"/>
  <c r="AW62" i="1" s="1"/>
  <c r="AT37" i="1"/>
  <c r="AT20" i="1"/>
  <c r="BD20" i="1" s="1"/>
  <c r="AT23" i="1"/>
  <c r="AV23" i="1" s="1"/>
  <c r="BB23" i="1" s="1"/>
  <c r="BD59" i="1"/>
  <c r="AV59" i="1"/>
  <c r="AW59" i="1" s="1"/>
  <c r="AT55" i="1"/>
  <c r="AT14" i="1"/>
  <c r="AT30" i="1"/>
  <c r="AT43" i="1"/>
  <c r="AT61" i="1"/>
  <c r="AT40" i="1"/>
  <c r="AT75" i="1"/>
  <c r="AT58" i="1"/>
  <c r="AT54" i="1"/>
  <c r="AT69" i="1"/>
  <c r="AT68" i="1"/>
  <c r="AT24" i="1"/>
  <c r="BD31" i="1"/>
  <c r="AV31" i="1"/>
  <c r="AW31" i="1" s="1"/>
  <c r="AT47" i="1"/>
  <c r="AT34" i="1"/>
  <c r="AT57" i="1"/>
  <c r="AT51" i="1"/>
  <c r="AT52" i="1"/>
  <c r="AT53" i="1"/>
  <c r="AT46" i="1"/>
  <c r="BD73" i="1"/>
  <c r="AW73" i="1"/>
  <c r="AT66" i="1"/>
  <c r="AT38" i="1"/>
  <c r="AT48" i="1"/>
  <c r="AT25" i="1"/>
  <c r="AT76" i="1"/>
  <c r="AT74" i="1"/>
  <c r="AT17" i="1"/>
  <c r="AT77" i="1"/>
  <c r="AT35" i="1"/>
  <c r="AT10" i="1"/>
  <c r="AT11" i="1"/>
  <c r="AT28" i="1"/>
  <c r="AT44" i="1"/>
  <c r="BD50" i="1"/>
  <c r="AV50" i="1"/>
  <c r="AT22" i="1"/>
  <c r="BC73" i="1"/>
  <c r="AZ73" i="1"/>
  <c r="BB73" i="1"/>
  <c r="AT16" i="1"/>
  <c r="AT64" i="1"/>
  <c r="BD41" i="1"/>
  <c r="AV41" i="1"/>
  <c r="AW41" i="1" s="1"/>
  <c r="AT39" i="1"/>
  <c r="AT56" i="1"/>
  <c r="AT42" i="1"/>
  <c r="AT26" i="1"/>
  <c r="AT63" i="1"/>
  <c r="AT32" i="1"/>
  <c r="AT21" i="1"/>
  <c r="AT13" i="1"/>
  <c r="AT67" i="1"/>
  <c r="AT33" i="1"/>
  <c r="AT49" i="1"/>
  <c r="AT29" i="1"/>
  <c r="AT71" i="1"/>
  <c r="AT70" i="1"/>
  <c r="AT18" i="1"/>
  <c r="AY73" i="1"/>
  <c r="AV19" i="1" l="1"/>
  <c r="BC19" i="1" s="1"/>
  <c r="BD15" i="1"/>
  <c r="BD62" i="1"/>
  <c r="AV12" i="1"/>
  <c r="AW12" i="1" s="1"/>
  <c r="AV27" i="1"/>
  <c r="BB27" i="1" s="1"/>
  <c r="BE27" i="1" s="1"/>
  <c r="AV20" i="1"/>
  <c r="AW20" i="1" s="1"/>
  <c r="AV36" i="1"/>
  <c r="BC36" i="1" s="1"/>
  <c r="AV65" i="1"/>
  <c r="BC65" i="1" s="1"/>
  <c r="AV45" i="1"/>
  <c r="BB45" i="1" s="1"/>
  <c r="BE45" i="1" s="1"/>
  <c r="AW23" i="1"/>
  <c r="AV72" i="1"/>
  <c r="AW72" i="1" s="1"/>
  <c r="AX72" i="1" s="1"/>
  <c r="AY23" i="1"/>
  <c r="AV37" i="1"/>
  <c r="BC37" i="1" s="1"/>
  <c r="AV60" i="1"/>
  <c r="BC60" i="1" s="1"/>
  <c r="BD37" i="1"/>
  <c r="AZ23" i="1"/>
  <c r="BD23" i="1"/>
  <c r="BE23" i="1" s="1"/>
  <c r="BC23" i="1"/>
  <c r="BD29" i="1"/>
  <c r="AV29" i="1"/>
  <c r="AW29" i="1" s="1"/>
  <c r="BD13" i="1"/>
  <c r="AV13" i="1"/>
  <c r="AW13" i="1" s="1"/>
  <c r="BD64" i="1"/>
  <c r="AV64" i="1"/>
  <c r="AW64" i="1" s="1"/>
  <c r="BD35" i="1"/>
  <c r="AV35" i="1"/>
  <c r="AW35" i="1" s="1"/>
  <c r="BD74" i="1"/>
  <c r="AV74" i="1"/>
  <c r="AV76" i="1"/>
  <c r="AW76" i="1" s="1"/>
  <c r="BD76" i="1"/>
  <c r="BD57" i="1"/>
  <c r="AV57" i="1"/>
  <c r="AW57" i="1" s="1"/>
  <c r="BD68" i="1"/>
  <c r="AV68" i="1"/>
  <c r="AW68" i="1" s="1"/>
  <c r="BD75" i="1"/>
  <c r="AV75" i="1"/>
  <c r="AW75" i="1" s="1"/>
  <c r="BD55" i="1"/>
  <c r="AV55" i="1"/>
  <c r="AW55" i="1" s="1"/>
  <c r="BD71" i="1"/>
  <c r="AV71" i="1"/>
  <c r="AW71" i="1" s="1"/>
  <c r="BD21" i="1"/>
  <c r="AV21" i="1"/>
  <c r="BD56" i="1"/>
  <c r="AV56" i="1"/>
  <c r="AW56" i="1" s="1"/>
  <c r="BD16" i="1"/>
  <c r="AV16" i="1"/>
  <c r="BD22" i="1"/>
  <c r="AV22" i="1"/>
  <c r="AW22" i="1" s="1"/>
  <c r="BD44" i="1"/>
  <c r="AV44" i="1"/>
  <c r="AV10" i="1"/>
  <c r="BD10" i="1"/>
  <c r="AX62" i="1"/>
  <c r="BD66" i="1"/>
  <c r="AV66" i="1"/>
  <c r="AW66" i="1" s="1"/>
  <c r="BD30" i="1"/>
  <c r="AV30" i="1"/>
  <c r="AW30" i="1" s="1"/>
  <c r="AZ62" i="1"/>
  <c r="BC62" i="1"/>
  <c r="AY62" i="1"/>
  <c r="BB62" i="1"/>
  <c r="BE73" i="1"/>
  <c r="BD25" i="1"/>
  <c r="AV25" i="1"/>
  <c r="BD58" i="1"/>
  <c r="AV58" i="1"/>
  <c r="AW58" i="1" s="1"/>
  <c r="AV40" i="1"/>
  <c r="BD40" i="1"/>
  <c r="BD14" i="1"/>
  <c r="AV14" i="1"/>
  <c r="AX59" i="1"/>
  <c r="BC50" i="1"/>
  <c r="AZ50" i="1"/>
  <c r="AY50" i="1"/>
  <c r="BB50" i="1"/>
  <c r="BE50" i="1" s="1"/>
  <c r="BD11" i="1"/>
  <c r="AV11" i="1"/>
  <c r="AW11" i="1" s="1"/>
  <c r="AZ65" i="1"/>
  <c r="BD52" i="1"/>
  <c r="AV52" i="1"/>
  <c r="BD24" i="1"/>
  <c r="AV24" i="1"/>
  <c r="AW24" i="1" s="1"/>
  <c r="BD61" i="1"/>
  <c r="AV61" i="1"/>
  <c r="AW61" i="1" s="1"/>
  <c r="BD18" i="1"/>
  <c r="AV18" i="1"/>
  <c r="AW18" i="1" s="1"/>
  <c r="BD49" i="1"/>
  <c r="AV49" i="1"/>
  <c r="AW49" i="1" s="1"/>
  <c r="BD26" i="1"/>
  <c r="AV26" i="1"/>
  <c r="AX41" i="1"/>
  <c r="BD48" i="1"/>
  <c r="AV48" i="1"/>
  <c r="AW48" i="1" s="1"/>
  <c r="BD46" i="1"/>
  <c r="AV46" i="1"/>
  <c r="AW46" i="1" s="1"/>
  <c r="BD53" i="1"/>
  <c r="AV53" i="1"/>
  <c r="AX31" i="1"/>
  <c r="BD54" i="1"/>
  <c r="AV54" i="1"/>
  <c r="AW54" i="1" s="1"/>
  <c r="BD33" i="1"/>
  <c r="AV33" i="1"/>
  <c r="AW33" i="1" s="1"/>
  <c r="BD32" i="1"/>
  <c r="AV32" i="1"/>
  <c r="AW32" i="1" s="1"/>
  <c r="BC41" i="1"/>
  <c r="AZ41" i="1"/>
  <c r="AY41" i="1"/>
  <c r="BB41" i="1"/>
  <c r="BE41" i="1" s="1"/>
  <c r="BD28" i="1"/>
  <c r="AV28" i="1"/>
  <c r="BD77" i="1"/>
  <c r="AV77" i="1"/>
  <c r="AW77" i="1" s="1"/>
  <c r="BD34" i="1"/>
  <c r="AV34" i="1"/>
  <c r="AW34" i="1" s="1"/>
  <c r="AZ31" i="1"/>
  <c r="BC31" i="1"/>
  <c r="AY31" i="1"/>
  <c r="BB31" i="1"/>
  <c r="BE31" i="1" s="1"/>
  <c r="BD69" i="1"/>
  <c r="AV69" i="1"/>
  <c r="BD43" i="1"/>
  <c r="AV43" i="1"/>
  <c r="AW43" i="1" s="1"/>
  <c r="BD70" i="1"/>
  <c r="AV70" i="1"/>
  <c r="AW70" i="1" s="1"/>
  <c r="BD67" i="1"/>
  <c r="AV67" i="1"/>
  <c r="AW67" i="1" s="1"/>
  <c r="AV63" i="1"/>
  <c r="BD63" i="1"/>
  <c r="BD42" i="1"/>
  <c r="AV42" i="1"/>
  <c r="AW42" i="1" s="1"/>
  <c r="BD39" i="1"/>
  <c r="AV39" i="1"/>
  <c r="AW39" i="1" s="1"/>
  <c r="AZ15" i="1"/>
  <c r="BC15" i="1"/>
  <c r="AY15" i="1"/>
  <c r="BB15" i="1"/>
  <c r="AW15" i="1"/>
  <c r="AW50" i="1"/>
  <c r="BD17" i="1"/>
  <c r="AV17" i="1"/>
  <c r="AW17" i="1" s="1"/>
  <c r="BD38" i="1"/>
  <c r="AV38" i="1"/>
  <c r="AX73" i="1"/>
  <c r="BD51" i="1"/>
  <c r="AV51" i="1"/>
  <c r="AW51" i="1" s="1"/>
  <c r="BD47" i="1"/>
  <c r="AV47" i="1"/>
  <c r="AW47" i="1" s="1"/>
  <c r="BC59" i="1"/>
  <c r="AY59" i="1"/>
  <c r="AZ59" i="1"/>
  <c r="BB59" i="1"/>
  <c r="BE59" i="1" s="1"/>
  <c r="AW40" i="1" l="1"/>
  <c r="BB40" i="1"/>
  <c r="BE62" i="1"/>
  <c r="CA62" i="1" s="1"/>
  <c r="AY19" i="1"/>
  <c r="AZ19" i="1"/>
  <c r="BB19" i="1"/>
  <c r="BE19" i="1" s="1"/>
  <c r="BE15" i="1"/>
  <c r="BF15" i="1" s="1"/>
  <c r="BG15" i="1" s="1"/>
  <c r="AW19" i="1"/>
  <c r="AX19" i="1" s="1"/>
  <c r="BB12" i="1"/>
  <c r="BE12" i="1" s="1"/>
  <c r="CA12" i="1" s="1"/>
  <c r="BC12" i="1"/>
  <c r="AZ12" i="1"/>
  <c r="BC27" i="1"/>
  <c r="AY12" i="1"/>
  <c r="AX12" i="1"/>
  <c r="AY27" i="1"/>
  <c r="AW27" i="1"/>
  <c r="AX27" i="1" s="1"/>
  <c r="AZ27" i="1"/>
  <c r="AZ60" i="1"/>
  <c r="AZ72" i="1"/>
  <c r="AW60" i="1"/>
  <c r="AX60" i="1" s="1"/>
  <c r="AZ20" i="1"/>
  <c r="BB20" i="1"/>
  <c r="BE20" i="1" s="1"/>
  <c r="CA20" i="1" s="1"/>
  <c r="BB65" i="1"/>
  <c r="BE65" i="1" s="1"/>
  <c r="CA65" i="1" s="1"/>
  <c r="AY20" i="1"/>
  <c r="AX20" i="1"/>
  <c r="BC20" i="1"/>
  <c r="AY60" i="1"/>
  <c r="AW36" i="1"/>
  <c r="AX36" i="1" s="1"/>
  <c r="BB36" i="1"/>
  <c r="BE36" i="1" s="1"/>
  <c r="CA36" i="1" s="1"/>
  <c r="AY36" i="1"/>
  <c r="AZ36" i="1"/>
  <c r="AY72" i="1"/>
  <c r="BB60" i="1"/>
  <c r="BE60" i="1" s="1"/>
  <c r="CA60" i="1" s="1"/>
  <c r="AY65" i="1"/>
  <c r="AW65" i="1"/>
  <c r="BC72" i="1"/>
  <c r="BB72" i="1"/>
  <c r="BE72" i="1" s="1"/>
  <c r="CA72" i="1" s="1"/>
  <c r="AY45" i="1"/>
  <c r="AZ45" i="1"/>
  <c r="BC45" i="1"/>
  <c r="AY37" i="1"/>
  <c r="AW45" i="1"/>
  <c r="BB37" i="1"/>
  <c r="BE37" i="1" s="1"/>
  <c r="AW37" i="1"/>
  <c r="AX23" i="1"/>
  <c r="AZ37" i="1"/>
  <c r="BF23" i="1"/>
  <c r="BG23" i="1" s="1"/>
  <c r="CA23" i="1"/>
  <c r="L21" i="67" s="1"/>
  <c r="O21" i="67" s="1"/>
  <c r="P21" i="67" s="1"/>
  <c r="AX54" i="1"/>
  <c r="AX51" i="1"/>
  <c r="AZ38" i="1"/>
  <c r="BC38" i="1"/>
  <c r="AY38" i="1"/>
  <c r="BB38" i="1"/>
  <c r="BE38" i="1" s="1"/>
  <c r="AX34" i="1"/>
  <c r="AX49" i="1"/>
  <c r="AX11" i="1"/>
  <c r="AX58" i="1"/>
  <c r="AX30" i="1"/>
  <c r="AX22" i="1"/>
  <c r="AX55" i="1"/>
  <c r="AX76" i="1"/>
  <c r="BC51" i="1"/>
  <c r="AZ51" i="1"/>
  <c r="AY51" i="1"/>
  <c r="BB51" i="1"/>
  <c r="BE51" i="1" s="1"/>
  <c r="AX67" i="1"/>
  <c r="AX33" i="1"/>
  <c r="AX48" i="1"/>
  <c r="CA27" i="1"/>
  <c r="AZ49" i="1"/>
  <c r="BC49" i="1"/>
  <c r="AY49" i="1"/>
  <c r="BB49" i="1"/>
  <c r="BE49" i="1" s="1"/>
  <c r="AX24" i="1"/>
  <c r="BC11" i="1"/>
  <c r="AZ11" i="1"/>
  <c r="AY11" i="1"/>
  <c r="BB11" i="1"/>
  <c r="BE11" i="1" s="1"/>
  <c r="BC14" i="1"/>
  <c r="AZ14" i="1"/>
  <c r="AY14" i="1"/>
  <c r="BB14" i="1"/>
  <c r="BE14" i="1" s="1"/>
  <c r="BC30" i="1"/>
  <c r="AZ30" i="1"/>
  <c r="AY30" i="1"/>
  <c r="BB30" i="1"/>
  <c r="BE30" i="1" s="1"/>
  <c r="BC22" i="1"/>
  <c r="AZ22" i="1"/>
  <c r="AY22" i="1"/>
  <c r="BB22" i="1"/>
  <c r="BE22" i="1" s="1"/>
  <c r="AZ76" i="1"/>
  <c r="BC76" i="1"/>
  <c r="AY76" i="1"/>
  <c r="BB76" i="1"/>
  <c r="BE76" i="1" s="1"/>
  <c r="AX77" i="1"/>
  <c r="AX39" i="1"/>
  <c r="AX42" i="1"/>
  <c r="AZ63" i="1"/>
  <c r="BC63" i="1"/>
  <c r="AY63" i="1"/>
  <c r="BB63" i="1"/>
  <c r="BE63" i="1" s="1"/>
  <c r="BF31" i="1"/>
  <c r="BG31" i="1" s="1"/>
  <c r="CA31" i="1"/>
  <c r="AZ28" i="1"/>
  <c r="BC28" i="1"/>
  <c r="AY28" i="1"/>
  <c r="BB28" i="1"/>
  <c r="BE28" i="1" s="1"/>
  <c r="BC54" i="1"/>
  <c r="AZ54" i="1"/>
  <c r="AY54" i="1"/>
  <c r="BB54" i="1"/>
  <c r="BE54" i="1" s="1"/>
  <c r="BC53" i="1"/>
  <c r="AZ53" i="1"/>
  <c r="BB53" i="1"/>
  <c r="BE53" i="1" s="1"/>
  <c r="AY53" i="1"/>
  <c r="AX18" i="1"/>
  <c r="CA45" i="1"/>
  <c r="BC52" i="1"/>
  <c r="AZ52" i="1"/>
  <c r="AY52" i="1"/>
  <c r="BB52" i="1"/>
  <c r="BE52" i="1" s="1"/>
  <c r="AX40" i="1"/>
  <c r="AZ25" i="1"/>
  <c r="BC25" i="1"/>
  <c r="BB25" i="1"/>
  <c r="BE25" i="1" s="1"/>
  <c r="AY25" i="1"/>
  <c r="AX66" i="1"/>
  <c r="BC16" i="1"/>
  <c r="AZ16" i="1"/>
  <c r="AY16" i="1"/>
  <c r="BB16" i="1"/>
  <c r="BE16" i="1" s="1"/>
  <c r="AX71" i="1"/>
  <c r="AX57" i="1"/>
  <c r="AX64" i="1"/>
  <c r="AX13" i="1"/>
  <c r="BF59" i="1"/>
  <c r="BG59" i="1" s="1"/>
  <c r="CA59" i="1"/>
  <c r="AX47" i="1"/>
  <c r="AZ39" i="1"/>
  <c r="BC39" i="1"/>
  <c r="AY39" i="1"/>
  <c r="BB39" i="1"/>
  <c r="BE39" i="1" s="1"/>
  <c r="AX70" i="1"/>
  <c r="BC69" i="1"/>
  <c r="AZ69" i="1"/>
  <c r="AY69" i="1"/>
  <c r="BB69" i="1"/>
  <c r="BE69" i="1" s="1"/>
  <c r="AZ34" i="1"/>
  <c r="BC34" i="1"/>
  <c r="AY34" i="1"/>
  <c r="BB34" i="1"/>
  <c r="BE34" i="1" s="1"/>
  <c r="BC26" i="1"/>
  <c r="AZ26" i="1"/>
  <c r="AY26" i="1"/>
  <c r="BB26" i="1"/>
  <c r="BE26" i="1" s="1"/>
  <c r="AW52" i="1"/>
  <c r="AZ44" i="1"/>
  <c r="BC44" i="1"/>
  <c r="AY44" i="1"/>
  <c r="BB44" i="1"/>
  <c r="BE44" i="1" s="1"/>
  <c r="BC21" i="1"/>
  <c r="AZ21" i="1"/>
  <c r="BB21" i="1"/>
  <c r="BE21" i="1" s="1"/>
  <c r="AY21" i="1"/>
  <c r="AZ71" i="1"/>
  <c r="BC71" i="1"/>
  <c r="AY71" i="1"/>
  <c r="BB71" i="1"/>
  <c r="BE71" i="1" s="1"/>
  <c r="AX68" i="1"/>
  <c r="BC57" i="1"/>
  <c r="AZ57" i="1"/>
  <c r="AY57" i="1"/>
  <c r="BB57" i="1"/>
  <c r="BE57" i="1" s="1"/>
  <c r="AX35" i="1"/>
  <c r="BC64" i="1"/>
  <c r="AY64" i="1"/>
  <c r="BB64" i="1"/>
  <c r="BE64" i="1" s="1"/>
  <c r="AZ64" i="1"/>
  <c r="AZ47" i="1"/>
  <c r="BC47" i="1"/>
  <c r="AY47" i="1"/>
  <c r="BB47" i="1"/>
  <c r="BE47" i="1" s="1"/>
  <c r="AX17" i="1"/>
  <c r="AX50" i="1"/>
  <c r="AW63" i="1"/>
  <c r="BC67" i="1"/>
  <c r="AZ67" i="1"/>
  <c r="BB67" i="1"/>
  <c r="BE67" i="1" s="1"/>
  <c r="AY67" i="1"/>
  <c r="BC70" i="1"/>
  <c r="AZ70" i="1"/>
  <c r="AY70" i="1"/>
  <c r="BB70" i="1"/>
  <c r="BE70" i="1" s="1"/>
  <c r="AX43" i="1"/>
  <c r="AW69" i="1"/>
  <c r="BF41" i="1"/>
  <c r="BG41" i="1" s="1"/>
  <c r="CA41" i="1"/>
  <c r="AX32" i="1"/>
  <c r="AZ33" i="1"/>
  <c r="BC33" i="1"/>
  <c r="AY33" i="1"/>
  <c r="BB33" i="1"/>
  <c r="BE33" i="1" s="1"/>
  <c r="AX46" i="1"/>
  <c r="AZ48" i="1"/>
  <c r="BC48" i="1"/>
  <c r="AY48" i="1"/>
  <c r="BB48" i="1"/>
  <c r="BE48" i="1" s="1"/>
  <c r="AW26" i="1"/>
  <c r="AX61" i="1"/>
  <c r="AZ24" i="1"/>
  <c r="BC24" i="1"/>
  <c r="BB24" i="1"/>
  <c r="BE24" i="1" s="1"/>
  <c r="AY24" i="1"/>
  <c r="AW14" i="1"/>
  <c r="BC40" i="1"/>
  <c r="AZ40" i="1"/>
  <c r="BE40" i="1"/>
  <c r="AY40" i="1"/>
  <c r="AY10" i="1"/>
  <c r="AZ10" i="1"/>
  <c r="BC10" i="1"/>
  <c r="BB10" i="1"/>
  <c r="AW44" i="1"/>
  <c r="AX56" i="1"/>
  <c r="AW21" i="1"/>
  <c r="AX75" i="1"/>
  <c r="BC68" i="1"/>
  <c r="AY68" i="1"/>
  <c r="AZ68" i="1"/>
  <c r="BB68" i="1"/>
  <c r="BE68" i="1" s="1"/>
  <c r="AZ74" i="1"/>
  <c r="BC74" i="1"/>
  <c r="AY74" i="1"/>
  <c r="BB74" i="1"/>
  <c r="BE74" i="1" s="1"/>
  <c r="AZ35" i="1"/>
  <c r="BC35" i="1"/>
  <c r="AY35" i="1"/>
  <c r="BB35" i="1"/>
  <c r="BE35" i="1" s="1"/>
  <c r="AX29" i="1"/>
  <c r="AW38" i="1"/>
  <c r="AZ17" i="1"/>
  <c r="BC17" i="1"/>
  <c r="AY17" i="1"/>
  <c r="BB17" i="1"/>
  <c r="BE17" i="1" s="1"/>
  <c r="AX15" i="1"/>
  <c r="AZ42" i="1"/>
  <c r="BC42" i="1"/>
  <c r="BB42" i="1"/>
  <c r="BE42" i="1" s="1"/>
  <c r="AY42" i="1"/>
  <c r="BC43" i="1"/>
  <c r="AZ43" i="1"/>
  <c r="AY43" i="1"/>
  <c r="BB43" i="1"/>
  <c r="BE43" i="1" s="1"/>
  <c r="BC77" i="1"/>
  <c r="AZ77" i="1"/>
  <c r="AY77" i="1"/>
  <c r="BB77" i="1"/>
  <c r="BE77" i="1" s="1"/>
  <c r="AW28" i="1"/>
  <c r="BC32" i="1"/>
  <c r="AY32" i="1"/>
  <c r="BB32" i="1"/>
  <c r="BE32" i="1" s="1"/>
  <c r="AZ32" i="1"/>
  <c r="AW53" i="1"/>
  <c r="AZ46" i="1"/>
  <c r="BC46" i="1"/>
  <c r="AY46" i="1"/>
  <c r="BB46" i="1"/>
  <c r="BE46" i="1" s="1"/>
  <c r="AZ18" i="1"/>
  <c r="BC18" i="1"/>
  <c r="AY18" i="1"/>
  <c r="BB18" i="1"/>
  <c r="BE18" i="1" s="1"/>
  <c r="AZ61" i="1"/>
  <c r="BC61" i="1"/>
  <c r="BB61" i="1"/>
  <c r="BE61" i="1" s="1"/>
  <c r="AY61" i="1"/>
  <c r="BF50" i="1"/>
  <c r="BG50" i="1" s="1"/>
  <c r="CA50" i="1"/>
  <c r="BC58" i="1"/>
  <c r="AZ58" i="1"/>
  <c r="AY58" i="1"/>
  <c r="BB58" i="1"/>
  <c r="BE58" i="1" s="1"/>
  <c r="AW25" i="1"/>
  <c r="BF73" i="1"/>
  <c r="BG73" i="1" s="1"/>
  <c r="BH73" i="1" s="1"/>
  <c r="CA73" i="1"/>
  <c r="AZ66" i="1"/>
  <c r="BC66" i="1"/>
  <c r="AY66" i="1"/>
  <c r="BB66" i="1"/>
  <c r="BE66" i="1" s="1"/>
  <c r="AW10" i="1"/>
  <c r="AW16" i="1"/>
  <c r="AZ56" i="1"/>
  <c r="BC56" i="1"/>
  <c r="BB56" i="1"/>
  <c r="BE56" i="1" s="1"/>
  <c r="AY56" i="1"/>
  <c r="BC55" i="1"/>
  <c r="AZ55" i="1"/>
  <c r="AY55" i="1"/>
  <c r="BB55" i="1"/>
  <c r="BE55" i="1" s="1"/>
  <c r="AZ75" i="1"/>
  <c r="BC75" i="1"/>
  <c r="AY75" i="1"/>
  <c r="BB75" i="1"/>
  <c r="BE75" i="1" s="1"/>
  <c r="AW74" i="1"/>
  <c r="AZ13" i="1"/>
  <c r="BC13" i="1"/>
  <c r="AY13" i="1"/>
  <c r="BB13" i="1"/>
  <c r="BE13" i="1" s="1"/>
  <c r="AZ29" i="1"/>
  <c r="BC29" i="1"/>
  <c r="AY29" i="1"/>
  <c r="BB29" i="1"/>
  <c r="BE29" i="1" s="1"/>
  <c r="BF62" i="1" l="1"/>
  <c r="BG62" i="1" s="1"/>
  <c r="BH62" i="1" s="1"/>
  <c r="BF19" i="1"/>
  <c r="BG19" i="1" s="1"/>
  <c r="CA19" i="1"/>
  <c r="CB19" i="1" s="1"/>
  <c r="CA15" i="1"/>
  <c r="CB15" i="1" s="1"/>
  <c r="BF12" i="1"/>
  <c r="BG12" i="1" s="1"/>
  <c r="BH12" i="1" s="1"/>
  <c r="AX65" i="1"/>
  <c r="BF27" i="1"/>
  <c r="BG27" i="1" s="1"/>
  <c r="BI27" i="1" s="1"/>
  <c r="BF36" i="1"/>
  <c r="BG36" i="1" s="1"/>
  <c r="BF20" i="1"/>
  <c r="BG20" i="1" s="1"/>
  <c r="BI20" i="1" s="1"/>
  <c r="BF72" i="1"/>
  <c r="BG72" i="1" s="1"/>
  <c r="BH72" i="1" s="1"/>
  <c r="BF65" i="1"/>
  <c r="BG65" i="1" s="1"/>
  <c r="CB23" i="1"/>
  <c r="J21" i="98" s="1"/>
  <c r="K21" i="98" s="1"/>
  <c r="BF60" i="1"/>
  <c r="BG60" i="1" s="1"/>
  <c r="BI60" i="1" s="1"/>
  <c r="BF45" i="1"/>
  <c r="BG45" i="1" s="1"/>
  <c r="BH45" i="1" s="1"/>
  <c r="AX45" i="1"/>
  <c r="CA37" i="1"/>
  <c r="CB37" i="1" s="1"/>
  <c r="BF37" i="1"/>
  <c r="BG37" i="1" s="1"/>
  <c r="BH37" i="1" s="1"/>
  <c r="AX37" i="1"/>
  <c r="BI23" i="1"/>
  <c r="BJ23" i="1" s="1"/>
  <c r="BH23" i="1"/>
  <c r="BH50" i="1"/>
  <c r="BI50" i="1"/>
  <c r="BI31" i="1"/>
  <c r="BH31" i="1"/>
  <c r="BH15" i="1"/>
  <c r="BI15" i="1"/>
  <c r="AX10" i="1"/>
  <c r="BF18" i="1"/>
  <c r="BG18" i="1" s="1"/>
  <c r="CA18" i="1"/>
  <c r="BF77" i="1"/>
  <c r="BG77" i="1" s="1"/>
  <c r="CA77" i="1"/>
  <c r="BF40" i="1"/>
  <c r="BG40" i="1" s="1"/>
  <c r="CA40" i="1"/>
  <c r="AX69" i="1"/>
  <c r="L70" i="67"/>
  <c r="O70" i="67" s="1"/>
  <c r="P70" i="67" s="1"/>
  <c r="CB72" i="1"/>
  <c r="BF64" i="1"/>
  <c r="BG64" i="1" s="1"/>
  <c r="CA64" i="1"/>
  <c r="BF69" i="1"/>
  <c r="BG69" i="1" s="1"/>
  <c r="CA69" i="1"/>
  <c r="L57" i="67"/>
  <c r="O57" i="67" s="1"/>
  <c r="P57" i="67" s="1"/>
  <c r="CB59" i="1"/>
  <c r="BF16" i="1"/>
  <c r="BG16" i="1" s="1"/>
  <c r="CA16" i="1"/>
  <c r="BF63" i="1"/>
  <c r="BG63" i="1" s="1"/>
  <c r="CA63" i="1"/>
  <c r="AI20" i="100"/>
  <c r="R21" i="67"/>
  <c r="S21" i="67" s="1"/>
  <c r="AF20" i="72" s="1"/>
  <c r="BF66" i="1"/>
  <c r="BG66" i="1" s="1"/>
  <c r="CA66" i="1"/>
  <c r="L71" i="67"/>
  <c r="O71" i="67" s="1"/>
  <c r="P71" i="67" s="1"/>
  <c r="CB73" i="1"/>
  <c r="BF61" i="1"/>
  <c r="BG61" i="1" s="1"/>
  <c r="BH61" i="1" s="1"/>
  <c r="CA61" i="1"/>
  <c r="BF46" i="1"/>
  <c r="BG46" i="1" s="1"/>
  <c r="BH46" i="1" s="1"/>
  <c r="CA46" i="1"/>
  <c r="AX53" i="1"/>
  <c r="CB41" i="1"/>
  <c r="L39" i="67"/>
  <c r="O39" i="67" s="1"/>
  <c r="P39" i="67" s="1"/>
  <c r="BF67" i="1"/>
  <c r="BG67" i="1" s="1"/>
  <c r="CA67" i="1"/>
  <c r="CB20" i="1"/>
  <c r="L18" i="67"/>
  <c r="O18" i="67" s="1"/>
  <c r="P18" i="67" s="1"/>
  <c r="BF44" i="1"/>
  <c r="BG44" i="1" s="1"/>
  <c r="CA44" i="1"/>
  <c r="BF39" i="1"/>
  <c r="BG39" i="1" s="1"/>
  <c r="CA39" i="1"/>
  <c r="BF54" i="1"/>
  <c r="BG54" i="1" s="1"/>
  <c r="CA54" i="1"/>
  <c r="BF29" i="1"/>
  <c r="BG29" i="1" s="1"/>
  <c r="CA29" i="1"/>
  <c r="AX74" i="1"/>
  <c r="L48" i="67"/>
  <c r="O48" i="67" s="1"/>
  <c r="P48" i="67" s="1"/>
  <c r="CB50" i="1"/>
  <c r="BF42" i="1"/>
  <c r="BG42" i="1" s="1"/>
  <c r="BH42" i="1" s="1"/>
  <c r="CA42" i="1"/>
  <c r="BF35" i="1"/>
  <c r="BG35" i="1" s="1"/>
  <c r="BH35" i="1" s="1"/>
  <c r="CA35" i="1"/>
  <c r="BF57" i="1"/>
  <c r="BG57" i="1" s="1"/>
  <c r="BH57" i="1" s="1"/>
  <c r="CA57" i="1"/>
  <c r="BF21" i="1"/>
  <c r="BG21" i="1" s="1"/>
  <c r="CA21" i="1"/>
  <c r="BF26" i="1"/>
  <c r="BG26" i="1" s="1"/>
  <c r="CA26" i="1"/>
  <c r="CB62" i="1"/>
  <c r="L60" i="67"/>
  <c r="O60" i="67" s="1"/>
  <c r="P60" i="67" s="1"/>
  <c r="BF25" i="1"/>
  <c r="BG25" i="1" s="1"/>
  <c r="CA25" i="1"/>
  <c r="BF52" i="1"/>
  <c r="BG52" i="1" s="1"/>
  <c r="CA52" i="1"/>
  <c r="BF53" i="1"/>
  <c r="BG53" i="1" s="1"/>
  <c r="CA53" i="1"/>
  <c r="L29" i="67"/>
  <c r="O29" i="67" s="1"/>
  <c r="P29" i="67" s="1"/>
  <c r="CB31" i="1"/>
  <c r="BF76" i="1"/>
  <c r="BG76" i="1" s="1"/>
  <c r="BH76" i="1" s="1"/>
  <c r="CA76" i="1"/>
  <c r="BF22" i="1"/>
  <c r="BG22" i="1" s="1"/>
  <c r="CA22" i="1"/>
  <c r="BF30" i="1"/>
  <c r="BG30" i="1" s="1"/>
  <c r="CA30" i="1"/>
  <c r="BF49" i="1"/>
  <c r="BG49" i="1" s="1"/>
  <c r="CA49" i="1"/>
  <c r="CB27" i="1"/>
  <c r="L25" i="67"/>
  <c r="O25" i="67" s="1"/>
  <c r="P25" i="67" s="1"/>
  <c r="CB60" i="1"/>
  <c r="L58" i="67"/>
  <c r="O58" i="67" s="1"/>
  <c r="P58" i="67" s="1"/>
  <c r="BF56" i="1"/>
  <c r="BG56" i="1" s="1"/>
  <c r="CA56" i="1"/>
  <c r="AX26" i="1"/>
  <c r="BI41" i="1"/>
  <c r="BF70" i="1"/>
  <c r="BG70" i="1" s="1"/>
  <c r="CA70" i="1"/>
  <c r="AX63" i="1"/>
  <c r="AX52" i="1"/>
  <c r="BF51" i="1"/>
  <c r="BG51" i="1" s="1"/>
  <c r="CA51" i="1"/>
  <c r="CB36" i="1"/>
  <c r="L34" i="67"/>
  <c r="O34" i="67" s="1"/>
  <c r="P34" i="67" s="1"/>
  <c r="BF43" i="1"/>
  <c r="BG43" i="1" s="1"/>
  <c r="CA43" i="1"/>
  <c r="BF17" i="1"/>
  <c r="BG17" i="1" s="1"/>
  <c r="BH17" i="1" s="1"/>
  <c r="CA17" i="1"/>
  <c r="AX21" i="1"/>
  <c r="AX44" i="1"/>
  <c r="BF33" i="1"/>
  <c r="BG33" i="1" s="1"/>
  <c r="CA33" i="1"/>
  <c r="BF71" i="1"/>
  <c r="BG71" i="1" s="1"/>
  <c r="CA71" i="1"/>
  <c r="BI59" i="1"/>
  <c r="BF28" i="1"/>
  <c r="BG28" i="1" s="1"/>
  <c r="CA28" i="1"/>
  <c r="BF13" i="1"/>
  <c r="BG13" i="1" s="1"/>
  <c r="CA13" i="1"/>
  <c r="BI73" i="1"/>
  <c r="AX25" i="1"/>
  <c r="AX38" i="1"/>
  <c r="BF74" i="1"/>
  <c r="BG74" i="1" s="1"/>
  <c r="CA74" i="1"/>
  <c r="BF68" i="1"/>
  <c r="BG68" i="1" s="1"/>
  <c r="CA68" i="1"/>
  <c r="BE10" i="1"/>
  <c r="BF24" i="1"/>
  <c r="BG24" i="1" s="1"/>
  <c r="BH24" i="1" s="1"/>
  <c r="CA24" i="1"/>
  <c r="BH41" i="1"/>
  <c r="BF75" i="1"/>
  <c r="BG75" i="1" s="1"/>
  <c r="CA75" i="1"/>
  <c r="CA55" i="1"/>
  <c r="BF55" i="1"/>
  <c r="BG55" i="1" s="1"/>
  <c r="AX16" i="1"/>
  <c r="BF58" i="1"/>
  <c r="BG58" i="1" s="1"/>
  <c r="CA58" i="1"/>
  <c r="BF32" i="1"/>
  <c r="BG32" i="1" s="1"/>
  <c r="CA32" i="1"/>
  <c r="AX28" i="1"/>
  <c r="AX14" i="1"/>
  <c r="BF48" i="1"/>
  <c r="BG48" i="1" s="1"/>
  <c r="CA48" i="1"/>
  <c r="BF47" i="1"/>
  <c r="BG47" i="1" s="1"/>
  <c r="CA47" i="1"/>
  <c r="CB65" i="1"/>
  <c r="L63" i="67"/>
  <c r="O63" i="67" s="1"/>
  <c r="P63" i="67" s="1"/>
  <c r="CB12" i="1"/>
  <c r="L10" i="67"/>
  <c r="O10" i="67" s="1"/>
  <c r="P10" i="67" s="1"/>
  <c r="BF34" i="1"/>
  <c r="BG34" i="1" s="1"/>
  <c r="BH34" i="1" s="1"/>
  <c r="CA34" i="1"/>
  <c r="BH59" i="1"/>
  <c r="L43" i="67"/>
  <c r="O43" i="67" s="1"/>
  <c r="P43" i="67" s="1"/>
  <c r="CB45" i="1"/>
  <c r="BF14" i="1"/>
  <c r="BG14" i="1" s="1"/>
  <c r="CA14" i="1"/>
  <c r="BF11" i="1"/>
  <c r="BG11" i="1" s="1"/>
  <c r="CA11" i="1"/>
  <c r="BF38" i="1"/>
  <c r="BG38" i="1" s="1"/>
  <c r="CA38" i="1"/>
  <c r="BI62" i="1" l="1"/>
  <c r="BM62" i="1" s="1"/>
  <c r="BN62" i="1" s="1"/>
  <c r="BI36" i="1"/>
  <c r="BJ36" i="1" s="1"/>
  <c r="BI19" i="1"/>
  <c r="BQ19" i="1" s="1"/>
  <c r="BH19" i="1"/>
  <c r="L13" i="67"/>
  <c r="O13" i="67" s="1"/>
  <c r="P13" i="67" s="1"/>
  <c r="AI12" i="100" s="1"/>
  <c r="L17" i="67"/>
  <c r="O17" i="67" s="1"/>
  <c r="P17" i="67" s="1"/>
  <c r="AI16" i="100" s="1"/>
  <c r="BI12" i="1"/>
  <c r="BM12" i="1" s="1"/>
  <c r="BN12" i="1" s="1"/>
  <c r="BH27" i="1"/>
  <c r="BI65" i="1"/>
  <c r="BQ65" i="1" s="1"/>
  <c r="BH20" i="1"/>
  <c r="BH36" i="1"/>
  <c r="BI72" i="1"/>
  <c r="BJ72" i="1" s="1"/>
  <c r="BH65" i="1"/>
  <c r="BH60" i="1"/>
  <c r="J21" i="99"/>
  <c r="K21" i="99" s="1"/>
  <c r="F20" i="100" s="1"/>
  <c r="J21" i="84"/>
  <c r="K21" i="84" s="1"/>
  <c r="E20" i="100" s="1"/>
  <c r="L21" i="83"/>
  <c r="M21" i="83" s="1"/>
  <c r="D20" i="100" s="1"/>
  <c r="BM23" i="1"/>
  <c r="BN23" i="1" s="1"/>
  <c r="BI45" i="1"/>
  <c r="BJ45" i="1" s="1"/>
  <c r="L35" i="67"/>
  <c r="O35" i="67" s="1"/>
  <c r="P35" i="67" s="1"/>
  <c r="AI34" i="100" s="1"/>
  <c r="BI52" i="1"/>
  <c r="BM52" i="1" s="1"/>
  <c r="BN52" i="1" s="1"/>
  <c r="BI37" i="1"/>
  <c r="BJ37" i="1" s="1"/>
  <c r="BQ23" i="1"/>
  <c r="BH69" i="1"/>
  <c r="BH63" i="1"/>
  <c r="BI21" i="1"/>
  <c r="BM21" i="1" s="1"/>
  <c r="BN21" i="1" s="1"/>
  <c r="BI63" i="1"/>
  <c r="BQ63" i="1" s="1"/>
  <c r="BH44" i="1"/>
  <c r="BI44" i="1"/>
  <c r="BQ44" i="1" s="1"/>
  <c r="BI67" i="1"/>
  <c r="BH67" i="1"/>
  <c r="BI40" i="1"/>
  <c r="BH40" i="1"/>
  <c r="BI54" i="1"/>
  <c r="BH54" i="1"/>
  <c r="BI39" i="1"/>
  <c r="BH39" i="1"/>
  <c r="BI66" i="1"/>
  <c r="BH66" i="1"/>
  <c r="BH16" i="1"/>
  <c r="BI16" i="1"/>
  <c r="BI64" i="1"/>
  <c r="BH64" i="1"/>
  <c r="BI43" i="1"/>
  <c r="BH43" i="1"/>
  <c r="BI38" i="1"/>
  <c r="BH38" i="1"/>
  <c r="BI71" i="1"/>
  <c r="BH71" i="1"/>
  <c r="BI33" i="1"/>
  <c r="BH33" i="1"/>
  <c r="BI49" i="1"/>
  <c r="BH49" i="1"/>
  <c r="BI55" i="1"/>
  <c r="BH55" i="1"/>
  <c r="BH26" i="1"/>
  <c r="BI26" i="1"/>
  <c r="L32" i="67"/>
  <c r="O32" i="67" s="1"/>
  <c r="P32" i="67" s="1"/>
  <c r="CB34" i="1"/>
  <c r="BI47" i="1"/>
  <c r="BI48" i="1"/>
  <c r="BI14" i="1"/>
  <c r="L30" i="67"/>
  <c r="O30" i="67" s="1"/>
  <c r="P30" i="67" s="1"/>
  <c r="CB32" i="1"/>
  <c r="AI33" i="100"/>
  <c r="R34" i="67"/>
  <c r="S34" i="67" s="1"/>
  <c r="AF33" i="72" s="1"/>
  <c r="BI70" i="1"/>
  <c r="G20" i="100"/>
  <c r="L21" i="98"/>
  <c r="AJ20" i="72" s="1"/>
  <c r="L20" i="67"/>
  <c r="O20" i="67" s="1"/>
  <c r="P20" i="67" s="1"/>
  <c r="CB22" i="1"/>
  <c r="L23" i="67"/>
  <c r="O23" i="67" s="1"/>
  <c r="P23" i="67" s="1"/>
  <c r="CB25" i="1"/>
  <c r="CB57" i="1"/>
  <c r="L55" i="67"/>
  <c r="O55" i="67" s="1"/>
  <c r="P55" i="67" s="1"/>
  <c r="J18" i="98"/>
  <c r="K18" i="98" s="1"/>
  <c r="J18" i="99"/>
  <c r="K18" i="99" s="1"/>
  <c r="J18" i="84"/>
  <c r="K18" i="84" s="1"/>
  <c r="L18" i="83"/>
  <c r="M18" i="83" s="1"/>
  <c r="J39" i="99"/>
  <c r="K39" i="99" s="1"/>
  <c r="J39" i="84"/>
  <c r="K39" i="84" s="1"/>
  <c r="J39" i="98"/>
  <c r="K39" i="98" s="1"/>
  <c r="L39" i="83"/>
  <c r="M39" i="83" s="1"/>
  <c r="CB18" i="1"/>
  <c r="L16" i="67"/>
  <c r="O16" i="67" s="1"/>
  <c r="P16" i="67" s="1"/>
  <c r="J10" i="98"/>
  <c r="K10" i="98" s="1"/>
  <c r="J10" i="84"/>
  <c r="K10" i="84" s="1"/>
  <c r="L10" i="83"/>
  <c r="M10" i="83" s="1"/>
  <c r="J10" i="99"/>
  <c r="K10" i="99" s="1"/>
  <c r="BI28" i="1"/>
  <c r="CB55" i="1"/>
  <c r="L53" i="67"/>
  <c r="O53" i="67" s="1"/>
  <c r="P53" i="67" s="1"/>
  <c r="CB24" i="1"/>
  <c r="L22" i="67"/>
  <c r="O22" i="67" s="1"/>
  <c r="P22" i="67" s="1"/>
  <c r="CB13" i="1"/>
  <c r="L11" i="67"/>
  <c r="O11" i="67" s="1"/>
  <c r="P11" i="67" s="1"/>
  <c r="BI51" i="1"/>
  <c r="L47" i="67"/>
  <c r="O47" i="67" s="1"/>
  <c r="P47" i="67" s="1"/>
  <c r="CB49" i="1"/>
  <c r="BI30" i="1"/>
  <c r="BI22" i="1"/>
  <c r="L13" i="83"/>
  <c r="M13" i="83" s="1"/>
  <c r="J13" i="99"/>
  <c r="K13" i="99" s="1"/>
  <c r="J13" i="98"/>
  <c r="K13" i="98" s="1"/>
  <c r="J13" i="84"/>
  <c r="K13" i="84" s="1"/>
  <c r="BH53" i="1"/>
  <c r="CB35" i="1"/>
  <c r="L33" i="67"/>
  <c r="O33" i="67" s="1"/>
  <c r="P33" i="67" s="1"/>
  <c r="BI42" i="1"/>
  <c r="BI74" i="1"/>
  <c r="BI29" i="1"/>
  <c r="L42" i="67"/>
  <c r="O42" i="67" s="1"/>
  <c r="P42" i="67" s="1"/>
  <c r="CB44" i="1"/>
  <c r="L44" i="67"/>
  <c r="O44" i="67" s="1"/>
  <c r="P44" i="67" s="1"/>
  <c r="CB46" i="1"/>
  <c r="J71" i="99"/>
  <c r="K71" i="99" s="1"/>
  <c r="J71" i="84"/>
  <c r="K71" i="84" s="1"/>
  <c r="J71" i="98"/>
  <c r="K71" i="98" s="1"/>
  <c r="L71" i="83"/>
  <c r="M71" i="83" s="1"/>
  <c r="CB16" i="1"/>
  <c r="L14" i="67"/>
  <c r="O14" i="67" s="1"/>
  <c r="P14" i="67" s="1"/>
  <c r="L67" i="67"/>
  <c r="O67" i="67" s="1"/>
  <c r="P67" i="67" s="1"/>
  <c r="CB69" i="1"/>
  <c r="BI77" i="1"/>
  <c r="BH14" i="1"/>
  <c r="BH74" i="1"/>
  <c r="BI25" i="1"/>
  <c r="BJ65" i="1"/>
  <c r="R58" i="67"/>
  <c r="S58" i="67" s="1"/>
  <c r="AF57" i="72" s="1"/>
  <c r="AI57" i="100"/>
  <c r="J25" i="98"/>
  <c r="K25" i="98" s="1"/>
  <c r="J25" i="84"/>
  <c r="K25" i="84" s="1"/>
  <c r="L25" i="83"/>
  <c r="M25" i="83" s="1"/>
  <c r="J25" i="99"/>
  <c r="K25" i="99" s="1"/>
  <c r="BH22" i="1"/>
  <c r="BH52" i="1"/>
  <c r="CB26" i="1"/>
  <c r="L24" i="67"/>
  <c r="O24" i="67" s="1"/>
  <c r="P24" i="67" s="1"/>
  <c r="BI35" i="1"/>
  <c r="CB42" i="1"/>
  <c r="L40" i="67"/>
  <c r="O40" i="67" s="1"/>
  <c r="P40" i="67" s="1"/>
  <c r="AI47" i="100"/>
  <c r="R48" i="67"/>
  <c r="S48" i="67" s="1"/>
  <c r="AF47" i="72" s="1"/>
  <c r="BH29" i="1"/>
  <c r="L52" i="67"/>
  <c r="O52" i="67" s="1"/>
  <c r="P52" i="67" s="1"/>
  <c r="CB54" i="1"/>
  <c r="J17" i="98"/>
  <c r="K17" i="98" s="1"/>
  <c r="J17" i="84"/>
  <c r="K17" i="84" s="1"/>
  <c r="J17" i="99"/>
  <c r="K17" i="99" s="1"/>
  <c r="L17" i="83"/>
  <c r="M17" i="83" s="1"/>
  <c r="AI17" i="100"/>
  <c r="R18" i="67"/>
  <c r="S18" i="67" s="1"/>
  <c r="AF17" i="72" s="1"/>
  <c r="CB67" i="1"/>
  <c r="L65" i="67"/>
  <c r="O65" i="67" s="1"/>
  <c r="P65" i="67" s="1"/>
  <c r="AI38" i="100"/>
  <c r="R39" i="67"/>
  <c r="S39" i="67" s="1"/>
  <c r="AF38" i="72" s="1"/>
  <c r="BI53" i="1"/>
  <c r="BI46" i="1"/>
  <c r="CB61" i="1"/>
  <c r="L59" i="67"/>
  <c r="O59" i="67" s="1"/>
  <c r="P59" i="67" s="1"/>
  <c r="CB63" i="1"/>
  <c r="L61" i="67"/>
  <c r="O61" i="67" s="1"/>
  <c r="P61" i="67" s="1"/>
  <c r="AI56" i="100"/>
  <c r="R57" i="67"/>
  <c r="S57" i="67" s="1"/>
  <c r="AF56" i="72" s="1"/>
  <c r="J70" i="98"/>
  <c r="K70" i="98" s="1"/>
  <c r="L70" i="83"/>
  <c r="M70" i="83" s="1"/>
  <c r="J70" i="84"/>
  <c r="K70" i="84" s="1"/>
  <c r="J70" i="99"/>
  <c r="K70" i="99" s="1"/>
  <c r="BJ15" i="1"/>
  <c r="BQ15" i="1"/>
  <c r="BM15" i="1"/>
  <c r="BN15" i="1" s="1"/>
  <c r="BJ31" i="1"/>
  <c r="BM31" i="1"/>
  <c r="BN31" i="1" s="1"/>
  <c r="BQ31" i="1"/>
  <c r="BJ60" i="1"/>
  <c r="BM60" i="1"/>
  <c r="BN60" i="1" s="1"/>
  <c r="BQ60" i="1"/>
  <c r="BM50" i="1"/>
  <c r="BN50" i="1" s="1"/>
  <c r="BJ50" i="1"/>
  <c r="BQ50" i="1"/>
  <c r="BI11" i="1"/>
  <c r="AI42" i="100"/>
  <c r="R43" i="67"/>
  <c r="S43" i="67" s="1"/>
  <c r="AF42" i="72" s="1"/>
  <c r="AI9" i="100"/>
  <c r="R10" i="67"/>
  <c r="S10" i="67" s="1"/>
  <c r="AF9" i="72" s="1"/>
  <c r="BI58" i="1"/>
  <c r="BI75" i="1"/>
  <c r="BI24" i="1"/>
  <c r="BI68" i="1"/>
  <c r="BI13" i="1"/>
  <c r="BI17" i="1"/>
  <c r="L49" i="67"/>
  <c r="O49" i="67" s="1"/>
  <c r="P49" i="67" s="1"/>
  <c r="CB51" i="1"/>
  <c r="L54" i="67"/>
  <c r="O54" i="67" s="1"/>
  <c r="P54" i="67" s="1"/>
  <c r="CB56" i="1"/>
  <c r="CB30" i="1"/>
  <c r="L28" i="67"/>
  <c r="O28" i="67" s="1"/>
  <c r="P28" i="67" s="1"/>
  <c r="CB76" i="1"/>
  <c r="L74" i="67"/>
  <c r="O74" i="67" s="1"/>
  <c r="P74" i="67" s="1"/>
  <c r="CB52" i="1"/>
  <c r="L50" i="67"/>
  <c r="O50" i="67" s="1"/>
  <c r="P50" i="67" s="1"/>
  <c r="R60" i="67"/>
  <c r="S60" i="67" s="1"/>
  <c r="AF59" i="72" s="1"/>
  <c r="AI59" i="100"/>
  <c r="L19" i="67"/>
  <c r="O19" i="67" s="1"/>
  <c r="P19" i="67" s="1"/>
  <c r="CB21" i="1"/>
  <c r="L27" i="67"/>
  <c r="O27" i="67" s="1"/>
  <c r="P27" i="67" s="1"/>
  <c r="CB29" i="1"/>
  <c r="L38" i="67"/>
  <c r="O38" i="67" s="1"/>
  <c r="P38" i="67" s="1"/>
  <c r="CB40" i="1"/>
  <c r="L75" i="67"/>
  <c r="O75" i="67" s="1"/>
  <c r="P75" i="67" s="1"/>
  <c r="CB77" i="1"/>
  <c r="BJ27" i="1"/>
  <c r="BQ27" i="1"/>
  <c r="BM27" i="1"/>
  <c r="BN27" i="1" s="1"/>
  <c r="BH11" i="1"/>
  <c r="BI34" i="1"/>
  <c r="BH48" i="1"/>
  <c r="BI32" i="1"/>
  <c r="L56" i="67"/>
  <c r="O56" i="67" s="1"/>
  <c r="P56" i="67" s="1"/>
  <c r="CB58" i="1"/>
  <c r="L73" i="67"/>
  <c r="O73" i="67" s="1"/>
  <c r="P73" i="67" s="1"/>
  <c r="CB75" i="1"/>
  <c r="BH68" i="1"/>
  <c r="BJ73" i="1"/>
  <c r="BQ73" i="1"/>
  <c r="BM73" i="1"/>
  <c r="BN73" i="1" s="1"/>
  <c r="CB71" i="1"/>
  <c r="L69" i="67"/>
  <c r="O69" i="67" s="1"/>
  <c r="P69" i="67" s="1"/>
  <c r="J34" i="84"/>
  <c r="K34" i="84" s="1"/>
  <c r="J34" i="98"/>
  <c r="K34" i="98" s="1"/>
  <c r="J34" i="99"/>
  <c r="K34" i="99" s="1"/>
  <c r="L34" i="83"/>
  <c r="M34" i="83" s="1"/>
  <c r="BI56" i="1"/>
  <c r="AI24" i="100"/>
  <c r="R25" i="67"/>
  <c r="S25" i="67" s="1"/>
  <c r="AF24" i="72" s="1"/>
  <c r="BI76" i="1"/>
  <c r="J29" i="98"/>
  <c r="K29" i="98" s="1"/>
  <c r="J29" i="84"/>
  <c r="K29" i="84" s="1"/>
  <c r="J29" i="99"/>
  <c r="K29" i="99" s="1"/>
  <c r="L29" i="83"/>
  <c r="M29" i="83" s="1"/>
  <c r="J60" i="98"/>
  <c r="K60" i="98" s="1"/>
  <c r="J60" i="84"/>
  <c r="K60" i="84" s="1"/>
  <c r="J60" i="99"/>
  <c r="K60" i="99" s="1"/>
  <c r="L60" i="83"/>
  <c r="M60" i="83" s="1"/>
  <c r="BI57" i="1"/>
  <c r="J48" i="98"/>
  <c r="K48" i="98" s="1"/>
  <c r="J48" i="84"/>
  <c r="K48" i="84" s="1"/>
  <c r="L48" i="83"/>
  <c r="M48" i="83" s="1"/>
  <c r="J48" i="99"/>
  <c r="K48" i="99" s="1"/>
  <c r="CB39" i="1"/>
  <c r="L37" i="67"/>
  <c r="O37" i="67" s="1"/>
  <c r="P37" i="67" s="1"/>
  <c r="BI61" i="1"/>
  <c r="CB66" i="1"/>
  <c r="L64" i="67"/>
  <c r="O64" i="67" s="1"/>
  <c r="P64" i="67" s="1"/>
  <c r="J57" i="99"/>
  <c r="K57" i="99" s="1"/>
  <c r="J57" i="84"/>
  <c r="K57" i="84" s="1"/>
  <c r="L57" i="83"/>
  <c r="M57" i="83" s="1"/>
  <c r="J57" i="98"/>
  <c r="K57" i="98" s="1"/>
  <c r="BI18" i="1"/>
  <c r="R63" i="67"/>
  <c r="S63" i="67" s="1"/>
  <c r="AF62" i="72" s="1"/>
  <c r="AI62" i="100"/>
  <c r="BH47" i="1"/>
  <c r="BH32" i="1"/>
  <c r="CA10" i="1"/>
  <c r="BF10" i="1"/>
  <c r="BH13" i="1"/>
  <c r="BH28" i="1"/>
  <c r="BJ59" i="1"/>
  <c r="BM59" i="1"/>
  <c r="BN59" i="1" s="1"/>
  <c r="BQ59" i="1"/>
  <c r="CB33" i="1"/>
  <c r="L31" i="67"/>
  <c r="O31" i="67" s="1"/>
  <c r="P31" i="67" s="1"/>
  <c r="CB17" i="1"/>
  <c r="L15" i="67"/>
  <c r="O15" i="67" s="1"/>
  <c r="P15" i="67" s="1"/>
  <c r="BJ20" i="1"/>
  <c r="BM20" i="1"/>
  <c r="BN20" i="1" s="1"/>
  <c r="BQ20" i="1"/>
  <c r="BH70" i="1"/>
  <c r="BH56" i="1"/>
  <c r="CB38" i="1"/>
  <c r="L36" i="67"/>
  <c r="O36" i="67" s="1"/>
  <c r="P36" i="67" s="1"/>
  <c r="L9" i="67"/>
  <c r="O9" i="67" s="1"/>
  <c r="P9" i="67" s="1"/>
  <c r="CB11" i="1"/>
  <c r="L12" i="67"/>
  <c r="O12" i="67" s="1"/>
  <c r="P12" i="67" s="1"/>
  <c r="CB14" i="1"/>
  <c r="J43" i="98"/>
  <c r="K43" i="98" s="1"/>
  <c r="J43" i="99"/>
  <c r="K43" i="99" s="1"/>
  <c r="L43" i="83"/>
  <c r="M43" i="83" s="1"/>
  <c r="J43" i="84"/>
  <c r="K43" i="84" s="1"/>
  <c r="J63" i="98"/>
  <c r="K63" i="98" s="1"/>
  <c r="J63" i="99"/>
  <c r="K63" i="99" s="1"/>
  <c r="J63" i="84"/>
  <c r="K63" i="84" s="1"/>
  <c r="L63" i="83"/>
  <c r="M63" i="83" s="1"/>
  <c r="CB47" i="1"/>
  <c r="L45" i="67"/>
  <c r="O45" i="67" s="1"/>
  <c r="P45" i="67" s="1"/>
  <c r="L46" i="67"/>
  <c r="O46" i="67" s="1"/>
  <c r="P46" i="67" s="1"/>
  <c r="CB48" i="1"/>
  <c r="BH58" i="1"/>
  <c r="BH75" i="1"/>
  <c r="L66" i="67"/>
  <c r="O66" i="67" s="1"/>
  <c r="P66" i="67" s="1"/>
  <c r="CB68" i="1"/>
  <c r="CB74" i="1"/>
  <c r="L72" i="67"/>
  <c r="O72" i="67" s="1"/>
  <c r="P72" i="67" s="1"/>
  <c r="CB28" i="1"/>
  <c r="L26" i="67"/>
  <c r="O26" i="67" s="1"/>
  <c r="P26" i="67" s="1"/>
  <c r="L41" i="67"/>
  <c r="O41" i="67" s="1"/>
  <c r="P41" i="67" s="1"/>
  <c r="CB43" i="1"/>
  <c r="BH51" i="1"/>
  <c r="L68" i="67"/>
  <c r="O68" i="67" s="1"/>
  <c r="P68" i="67" s="1"/>
  <c r="CB70" i="1"/>
  <c r="BM41" i="1"/>
  <c r="BN41" i="1" s="1"/>
  <c r="BQ41" i="1"/>
  <c r="BJ41" i="1"/>
  <c r="J58" i="99"/>
  <c r="K58" i="99" s="1"/>
  <c r="J58" i="98"/>
  <c r="K58" i="98" s="1"/>
  <c r="L58" i="83"/>
  <c r="M58" i="83" s="1"/>
  <c r="J58" i="84"/>
  <c r="K58" i="84" s="1"/>
  <c r="BH30" i="1"/>
  <c r="AI28" i="100"/>
  <c r="R29" i="67"/>
  <c r="S29" i="67" s="1"/>
  <c r="AF28" i="72" s="1"/>
  <c r="L51" i="67"/>
  <c r="O51" i="67" s="1"/>
  <c r="P51" i="67" s="1"/>
  <c r="CB53" i="1"/>
  <c r="BH25" i="1"/>
  <c r="BH21" i="1"/>
  <c r="AI70" i="100"/>
  <c r="R71" i="67"/>
  <c r="S71" i="67" s="1"/>
  <c r="AF70" i="72" s="1"/>
  <c r="CB64" i="1"/>
  <c r="L62" i="67"/>
  <c r="O62" i="67" s="1"/>
  <c r="P62" i="67" s="1"/>
  <c r="AI69" i="100"/>
  <c r="R70" i="67"/>
  <c r="S70" i="67" s="1"/>
  <c r="AF69" i="72" s="1"/>
  <c r="J35" i="99"/>
  <c r="K35" i="99" s="1"/>
  <c r="J35" i="98"/>
  <c r="K35" i="98" s="1"/>
  <c r="L35" i="83"/>
  <c r="M35" i="83" s="1"/>
  <c r="J35" i="84"/>
  <c r="K35" i="84" s="1"/>
  <c r="BI69" i="1"/>
  <c r="BH77" i="1"/>
  <c r="BH18" i="1"/>
  <c r="BJ62" i="1" l="1"/>
  <c r="BQ62" i="1"/>
  <c r="BJ19" i="1"/>
  <c r="BM19" i="1"/>
  <c r="BN19" i="1" s="1"/>
  <c r="BQ36" i="1"/>
  <c r="BM36" i="1"/>
  <c r="BN36" i="1" s="1"/>
  <c r="R17" i="67"/>
  <c r="S17" i="67" s="1"/>
  <c r="AF16" i="72" s="1"/>
  <c r="R13" i="67"/>
  <c r="S13" i="67" s="1"/>
  <c r="AF12" i="72" s="1"/>
  <c r="BJ12" i="1"/>
  <c r="BQ12" i="1"/>
  <c r="BM65" i="1"/>
  <c r="BN65" i="1" s="1"/>
  <c r="BM45" i="1"/>
  <c r="BN45" i="1" s="1"/>
  <c r="BM72" i="1"/>
  <c r="BN72" i="1" s="1"/>
  <c r="N21" i="83"/>
  <c r="AG20" i="72" s="1"/>
  <c r="BQ45" i="1"/>
  <c r="L21" i="84"/>
  <c r="AH20" i="72" s="1"/>
  <c r="BQ52" i="1"/>
  <c r="BQ72" i="1"/>
  <c r="L21" i="99"/>
  <c r="AI20" i="72" s="1"/>
  <c r="BM37" i="1"/>
  <c r="BN37" i="1" s="1"/>
  <c r="BR23" i="1"/>
  <c r="BM63" i="1"/>
  <c r="BN63" i="1" s="1"/>
  <c r="R35" i="67"/>
  <c r="S35" i="67" s="1"/>
  <c r="AF34" i="72" s="1"/>
  <c r="BJ52" i="1"/>
  <c r="BJ44" i="1"/>
  <c r="BJ63" i="1"/>
  <c r="BQ21" i="1"/>
  <c r="BQ37" i="1"/>
  <c r="BM44" i="1"/>
  <c r="BN44" i="1" s="1"/>
  <c r="BJ21" i="1"/>
  <c r="D34" i="100"/>
  <c r="N35" i="83"/>
  <c r="AG34" i="72" s="1"/>
  <c r="J51" i="99"/>
  <c r="K51" i="99" s="1"/>
  <c r="J51" i="98"/>
  <c r="K51" i="98" s="1"/>
  <c r="L51" i="83"/>
  <c r="M51" i="83" s="1"/>
  <c r="J51" i="84"/>
  <c r="K51" i="84" s="1"/>
  <c r="R68" i="67"/>
  <c r="S68" i="67" s="1"/>
  <c r="AF67" i="72" s="1"/>
  <c r="AI67" i="100"/>
  <c r="J72" i="99"/>
  <c r="K72" i="99" s="1"/>
  <c r="J72" i="84"/>
  <c r="K72" i="84" s="1"/>
  <c r="J72" i="98"/>
  <c r="K72" i="98" s="1"/>
  <c r="L72" i="83"/>
  <c r="M72" i="83" s="1"/>
  <c r="E42" i="100"/>
  <c r="L43" i="84"/>
  <c r="AH42" i="72" s="1"/>
  <c r="J36" i="84"/>
  <c r="K36" i="84" s="1"/>
  <c r="J36" i="99"/>
  <c r="K36" i="99" s="1"/>
  <c r="L36" i="83"/>
  <c r="M36" i="83" s="1"/>
  <c r="J36" i="98"/>
  <c r="K36" i="98" s="1"/>
  <c r="AI14" i="100"/>
  <c r="R15" i="67"/>
  <c r="S15" i="67" s="1"/>
  <c r="AF14" i="72" s="1"/>
  <c r="AI36" i="100"/>
  <c r="R37" i="67"/>
  <c r="S37" i="67" s="1"/>
  <c r="AF36" i="72" s="1"/>
  <c r="N60" i="83"/>
  <c r="AG59" i="72" s="1"/>
  <c r="D59" i="100"/>
  <c r="E28" i="100"/>
  <c r="L29" i="84"/>
  <c r="AH28" i="72" s="1"/>
  <c r="BJ76" i="1"/>
  <c r="BM76" i="1"/>
  <c r="BN76" i="1" s="1"/>
  <c r="BQ76" i="1"/>
  <c r="BJ56" i="1"/>
  <c r="BQ56" i="1"/>
  <c r="BM56" i="1"/>
  <c r="BN56" i="1" s="1"/>
  <c r="G33" i="100"/>
  <c r="L34" i="98"/>
  <c r="AJ33" i="72" s="1"/>
  <c r="AI55" i="100"/>
  <c r="R56" i="67"/>
  <c r="S56" i="67" s="1"/>
  <c r="AF55" i="72" s="1"/>
  <c r="BJ34" i="1"/>
  <c r="BM34" i="1"/>
  <c r="BN34" i="1" s="1"/>
  <c r="BQ34" i="1"/>
  <c r="BJ17" i="1"/>
  <c r="BQ17" i="1"/>
  <c r="BM17" i="1"/>
  <c r="BN17" i="1" s="1"/>
  <c r="BR44" i="1"/>
  <c r="BJ68" i="1"/>
  <c r="BM68" i="1"/>
  <c r="BN68" i="1" s="1"/>
  <c r="BQ68" i="1"/>
  <c r="BJ75" i="1"/>
  <c r="BQ75" i="1"/>
  <c r="BM75" i="1"/>
  <c r="BN75" i="1" s="1"/>
  <c r="BJ11" i="1"/>
  <c r="BM11" i="1"/>
  <c r="BN11" i="1" s="1"/>
  <c r="BQ11" i="1"/>
  <c r="E69" i="100"/>
  <c r="L70" i="84"/>
  <c r="AH69" i="72" s="1"/>
  <c r="AI60" i="100"/>
  <c r="R61" i="67"/>
  <c r="S61" i="67" s="1"/>
  <c r="AF60" i="72" s="1"/>
  <c r="AI64" i="100"/>
  <c r="R65" i="67"/>
  <c r="S65" i="67" s="1"/>
  <c r="AF64" i="72" s="1"/>
  <c r="E16" i="100"/>
  <c r="L17" i="84"/>
  <c r="AH16" i="72" s="1"/>
  <c r="F24" i="100"/>
  <c r="L25" i="99"/>
  <c r="AI24" i="72" s="1"/>
  <c r="J67" i="99"/>
  <c r="K67" i="99" s="1"/>
  <c r="J67" i="84"/>
  <c r="K67" i="84" s="1"/>
  <c r="J67" i="98"/>
  <c r="K67" i="98" s="1"/>
  <c r="L67" i="83"/>
  <c r="M67" i="83" s="1"/>
  <c r="N71" i="83"/>
  <c r="AG70" i="72" s="1"/>
  <c r="D70" i="100"/>
  <c r="J42" i="98"/>
  <c r="K42" i="98" s="1"/>
  <c r="J42" i="99"/>
  <c r="K42" i="99" s="1"/>
  <c r="J42" i="84"/>
  <c r="K42" i="84" s="1"/>
  <c r="L42" i="83"/>
  <c r="M42" i="83" s="1"/>
  <c r="BJ74" i="1"/>
  <c r="BM74" i="1"/>
  <c r="BN74" i="1" s="1"/>
  <c r="BQ74" i="1"/>
  <c r="BJ30" i="1"/>
  <c r="BQ30" i="1"/>
  <c r="BM30" i="1"/>
  <c r="BN30" i="1" s="1"/>
  <c r="BJ51" i="1"/>
  <c r="BQ51" i="1"/>
  <c r="BM51" i="1"/>
  <c r="BN51" i="1" s="1"/>
  <c r="F9" i="100"/>
  <c r="L10" i="99"/>
  <c r="AI9" i="72" s="1"/>
  <c r="N39" i="83"/>
  <c r="AG38" i="72" s="1"/>
  <c r="D38" i="100"/>
  <c r="AI54" i="100"/>
  <c r="R55" i="67"/>
  <c r="S55" i="67" s="1"/>
  <c r="AF54" i="72" s="1"/>
  <c r="BJ71" i="1"/>
  <c r="BM71" i="1"/>
  <c r="BN71" i="1" s="1"/>
  <c r="BQ71" i="1"/>
  <c r="BJ40" i="1"/>
  <c r="BM40" i="1"/>
  <c r="BN40" i="1" s="1"/>
  <c r="BQ40" i="1"/>
  <c r="BJ69" i="1"/>
  <c r="BQ69" i="1"/>
  <c r="BM69" i="1"/>
  <c r="BN69" i="1" s="1"/>
  <c r="AI50" i="100"/>
  <c r="R51" i="67"/>
  <c r="S51" i="67" s="1"/>
  <c r="AF50" i="72" s="1"/>
  <c r="BR41" i="1"/>
  <c r="AI25" i="100"/>
  <c r="R26" i="67"/>
  <c r="S26" i="67" s="1"/>
  <c r="AF25" i="72" s="1"/>
  <c r="J66" i="99"/>
  <c r="K66" i="99" s="1"/>
  <c r="J66" i="98"/>
  <c r="K66" i="98" s="1"/>
  <c r="J66" i="84"/>
  <c r="K66" i="84" s="1"/>
  <c r="L66" i="83"/>
  <c r="M66" i="83" s="1"/>
  <c r="F62" i="100"/>
  <c r="L63" i="99"/>
  <c r="AI62" i="72" s="1"/>
  <c r="L43" i="98"/>
  <c r="AJ42" i="72" s="1"/>
  <c r="G42" i="100"/>
  <c r="N57" i="83"/>
  <c r="AG56" i="72" s="1"/>
  <c r="D56" i="100"/>
  <c r="L29" i="98"/>
  <c r="AJ28" i="72" s="1"/>
  <c r="G28" i="100"/>
  <c r="E33" i="100"/>
  <c r="L34" i="84"/>
  <c r="AH33" i="72" s="1"/>
  <c r="AI18" i="100"/>
  <c r="R19" i="67"/>
  <c r="S19" i="67" s="1"/>
  <c r="AF18" i="72" s="1"/>
  <c r="AI27" i="100"/>
  <c r="R28" i="67"/>
  <c r="S28" i="67" s="1"/>
  <c r="AF27" i="72" s="1"/>
  <c r="AI48" i="100"/>
  <c r="R49" i="67"/>
  <c r="S49" i="67" s="1"/>
  <c r="AF48" i="72" s="1"/>
  <c r="BJ13" i="1"/>
  <c r="BQ13" i="1"/>
  <c r="BM13" i="1"/>
  <c r="BN13" i="1" s="1"/>
  <c r="BJ53" i="1"/>
  <c r="BQ53" i="1"/>
  <c r="BM53" i="1"/>
  <c r="BN53" i="1" s="1"/>
  <c r="N25" i="83"/>
  <c r="AG24" i="72" s="1"/>
  <c r="D24" i="100"/>
  <c r="BQ77" i="1"/>
  <c r="BM77" i="1"/>
  <c r="BN77" i="1" s="1"/>
  <c r="BJ77" i="1"/>
  <c r="J14" i="84"/>
  <c r="K14" i="84" s="1"/>
  <c r="L14" i="83"/>
  <c r="M14" i="83" s="1"/>
  <c r="J14" i="98"/>
  <c r="K14" i="98" s="1"/>
  <c r="J14" i="99"/>
  <c r="K14" i="99" s="1"/>
  <c r="AI41" i="100"/>
  <c r="R42" i="67"/>
  <c r="S42" i="67" s="1"/>
  <c r="AF41" i="72" s="1"/>
  <c r="E12" i="100"/>
  <c r="L13" i="84"/>
  <c r="AH12" i="72" s="1"/>
  <c r="G38" i="100"/>
  <c r="L39" i="98"/>
  <c r="AJ38" i="72" s="1"/>
  <c r="F17" i="100"/>
  <c r="L18" i="99"/>
  <c r="AI17" i="72" s="1"/>
  <c r="AI29" i="100"/>
  <c r="R30" i="67"/>
  <c r="S30" i="67" s="1"/>
  <c r="AF29" i="72" s="1"/>
  <c r="BJ47" i="1"/>
  <c r="BQ47" i="1"/>
  <c r="BM47" i="1"/>
  <c r="BN47" i="1" s="1"/>
  <c r="BJ33" i="1"/>
  <c r="BQ33" i="1"/>
  <c r="BM33" i="1"/>
  <c r="BN33" i="1" s="1"/>
  <c r="BJ54" i="1"/>
  <c r="BM54" i="1"/>
  <c r="BN54" i="1" s="1"/>
  <c r="BQ54" i="1"/>
  <c r="AI61" i="100"/>
  <c r="R62" i="67"/>
  <c r="S62" i="67" s="1"/>
  <c r="AF61" i="72" s="1"/>
  <c r="AI65" i="100"/>
  <c r="R66" i="67"/>
  <c r="S66" i="67" s="1"/>
  <c r="AF65" i="72" s="1"/>
  <c r="J46" i="99"/>
  <c r="K46" i="99" s="1"/>
  <c r="L46" i="83"/>
  <c r="M46" i="83" s="1"/>
  <c r="J46" i="84"/>
  <c r="K46" i="84" s="1"/>
  <c r="J46" i="98"/>
  <c r="K46" i="98" s="1"/>
  <c r="G62" i="100"/>
  <c r="L63" i="98"/>
  <c r="AJ62" i="72" s="1"/>
  <c r="J12" i="84"/>
  <c r="K12" i="84" s="1"/>
  <c r="J12" i="98"/>
  <c r="K12" i="98" s="1"/>
  <c r="J12" i="99"/>
  <c r="K12" i="99" s="1"/>
  <c r="L12" i="83"/>
  <c r="M12" i="83" s="1"/>
  <c r="J31" i="84"/>
  <c r="K31" i="84" s="1"/>
  <c r="J31" i="99"/>
  <c r="K31" i="99" s="1"/>
  <c r="J31" i="98"/>
  <c r="K31" i="98" s="1"/>
  <c r="L31" i="83"/>
  <c r="M31" i="83" s="1"/>
  <c r="L8" i="67"/>
  <c r="CB10" i="1"/>
  <c r="E56" i="100"/>
  <c r="L57" i="84"/>
  <c r="AH56" i="72" s="1"/>
  <c r="BQ61" i="1"/>
  <c r="BJ61" i="1"/>
  <c r="BM61" i="1"/>
  <c r="BN61" i="1" s="1"/>
  <c r="E47" i="100"/>
  <c r="L48" i="84"/>
  <c r="AH47" i="72" s="1"/>
  <c r="N29" i="83"/>
  <c r="AG28" i="72" s="1"/>
  <c r="D28" i="100"/>
  <c r="N34" i="83"/>
  <c r="AG33" i="72" s="1"/>
  <c r="D33" i="100"/>
  <c r="BR73" i="1"/>
  <c r="J73" i="99"/>
  <c r="K73" i="99" s="1"/>
  <c r="J73" i="98"/>
  <c r="K73" i="98" s="1"/>
  <c r="J73" i="84"/>
  <c r="K73" i="84" s="1"/>
  <c r="L73" i="83"/>
  <c r="M73" i="83" s="1"/>
  <c r="L56" i="83"/>
  <c r="M56" i="83" s="1"/>
  <c r="J56" i="84"/>
  <c r="K56" i="84" s="1"/>
  <c r="J56" i="98"/>
  <c r="K56" i="98" s="1"/>
  <c r="J56" i="99"/>
  <c r="K56" i="99" s="1"/>
  <c r="BR62" i="1"/>
  <c r="J75" i="99"/>
  <c r="K75" i="99" s="1"/>
  <c r="J75" i="98"/>
  <c r="K75" i="98" s="1"/>
  <c r="J75" i="84"/>
  <c r="K75" i="84" s="1"/>
  <c r="L75" i="83"/>
  <c r="M75" i="83" s="1"/>
  <c r="J38" i="98"/>
  <c r="K38" i="98" s="1"/>
  <c r="J38" i="99"/>
  <c r="K38" i="99" s="1"/>
  <c r="J38" i="84"/>
  <c r="K38" i="84" s="1"/>
  <c r="L38" i="83"/>
  <c r="M38" i="83" s="1"/>
  <c r="J50" i="99"/>
  <c r="K50" i="99" s="1"/>
  <c r="J50" i="84"/>
  <c r="K50" i="84" s="1"/>
  <c r="J50" i="98"/>
  <c r="K50" i="98" s="1"/>
  <c r="L50" i="83"/>
  <c r="M50" i="83" s="1"/>
  <c r="AI73" i="100"/>
  <c r="R74" i="67"/>
  <c r="S74" i="67" s="1"/>
  <c r="AF73" i="72" s="1"/>
  <c r="J54" i="98"/>
  <c r="K54" i="98" s="1"/>
  <c r="J54" i="99"/>
  <c r="K54" i="99" s="1"/>
  <c r="L54" i="83"/>
  <c r="M54" i="83" s="1"/>
  <c r="J54" i="84"/>
  <c r="K54" i="84" s="1"/>
  <c r="BJ24" i="1"/>
  <c r="BQ24" i="1"/>
  <c r="BM24" i="1"/>
  <c r="BN24" i="1" s="1"/>
  <c r="BJ58" i="1"/>
  <c r="BQ58" i="1"/>
  <c r="BM58" i="1"/>
  <c r="BN58" i="1" s="1"/>
  <c r="BR50" i="1"/>
  <c r="N17" i="83"/>
  <c r="AG16" i="72" s="1"/>
  <c r="D16" i="100"/>
  <c r="AI51" i="100"/>
  <c r="R52" i="67"/>
  <c r="S52" i="67" s="1"/>
  <c r="AF51" i="72" s="1"/>
  <c r="L40" i="83"/>
  <c r="M40" i="83" s="1"/>
  <c r="J40" i="84"/>
  <c r="K40" i="84" s="1"/>
  <c r="J40" i="99"/>
  <c r="K40" i="99" s="1"/>
  <c r="J40" i="98"/>
  <c r="K40" i="98" s="1"/>
  <c r="E24" i="100"/>
  <c r="L25" i="84"/>
  <c r="AH24" i="72" s="1"/>
  <c r="BR65" i="1"/>
  <c r="E70" i="100"/>
  <c r="L71" i="84"/>
  <c r="AH70" i="72" s="1"/>
  <c r="J44" i="98"/>
  <c r="K44" i="98" s="1"/>
  <c r="J44" i="99"/>
  <c r="K44" i="99" s="1"/>
  <c r="J44" i="84"/>
  <c r="K44" i="84" s="1"/>
  <c r="L44" i="83"/>
  <c r="M44" i="83" s="1"/>
  <c r="BJ29" i="1"/>
  <c r="BQ29" i="1"/>
  <c r="BM29" i="1"/>
  <c r="BN29" i="1" s="1"/>
  <c r="G12" i="100"/>
  <c r="L13" i="98"/>
  <c r="AJ12" i="72" s="1"/>
  <c r="BJ22" i="1"/>
  <c r="BM22" i="1"/>
  <c r="BN22" i="1" s="1"/>
  <c r="BQ22" i="1"/>
  <c r="J47" i="98"/>
  <c r="K47" i="98" s="1"/>
  <c r="J47" i="99"/>
  <c r="K47" i="99" s="1"/>
  <c r="J47" i="84"/>
  <c r="K47" i="84" s="1"/>
  <c r="L47" i="83"/>
  <c r="M47" i="83" s="1"/>
  <c r="AI10" i="100"/>
  <c r="R11" i="67"/>
  <c r="S11" i="67" s="1"/>
  <c r="AF10" i="72" s="1"/>
  <c r="R22" i="67"/>
  <c r="S22" i="67" s="1"/>
  <c r="AF21" i="72" s="1"/>
  <c r="AI21" i="100"/>
  <c r="E9" i="100"/>
  <c r="L10" i="84"/>
  <c r="AH9" i="72" s="1"/>
  <c r="AI15" i="100"/>
  <c r="R16" i="67"/>
  <c r="S16" i="67" s="1"/>
  <c r="AF15" i="72" s="1"/>
  <c r="E38" i="100"/>
  <c r="L39" i="84"/>
  <c r="AH38" i="72" s="1"/>
  <c r="G17" i="100"/>
  <c r="L18" i="98"/>
  <c r="AJ17" i="72" s="1"/>
  <c r="J55" i="99"/>
  <c r="K55" i="99" s="1"/>
  <c r="J55" i="84"/>
  <c r="K55" i="84" s="1"/>
  <c r="L55" i="83"/>
  <c r="M55" i="83" s="1"/>
  <c r="J55" i="98"/>
  <c r="K55" i="98" s="1"/>
  <c r="AI22" i="100"/>
  <c r="R23" i="67"/>
  <c r="S23" i="67" s="1"/>
  <c r="AF22" i="72" s="1"/>
  <c r="J20" i="99"/>
  <c r="K20" i="99" s="1"/>
  <c r="J20" i="84"/>
  <c r="K20" i="84" s="1"/>
  <c r="J20" i="98"/>
  <c r="K20" i="98" s="1"/>
  <c r="L20" i="83"/>
  <c r="M20" i="83" s="1"/>
  <c r="BJ70" i="1"/>
  <c r="BQ70" i="1"/>
  <c r="BM70" i="1"/>
  <c r="BN70" i="1" s="1"/>
  <c r="BQ14" i="1"/>
  <c r="BM14" i="1"/>
  <c r="BN14" i="1" s="1"/>
  <c r="BJ14" i="1"/>
  <c r="BJ49" i="1"/>
  <c r="BQ49" i="1"/>
  <c r="BM49" i="1"/>
  <c r="BN49" i="1" s="1"/>
  <c r="BJ43" i="1"/>
  <c r="BM43" i="1"/>
  <c r="BN43" i="1" s="1"/>
  <c r="BQ43" i="1"/>
  <c r="BJ39" i="1"/>
  <c r="BM39" i="1"/>
  <c r="BN39" i="1" s="1"/>
  <c r="BQ39" i="1"/>
  <c r="L58" i="98"/>
  <c r="AJ57" i="72" s="1"/>
  <c r="G57" i="100"/>
  <c r="BR19" i="1"/>
  <c r="E62" i="100"/>
  <c r="L63" i="84"/>
  <c r="AH62" i="72" s="1"/>
  <c r="BR20" i="1"/>
  <c r="AI30" i="100"/>
  <c r="R31" i="67"/>
  <c r="S31" i="67" s="1"/>
  <c r="AF30" i="72" s="1"/>
  <c r="BR59" i="1"/>
  <c r="G56" i="100"/>
  <c r="L57" i="98"/>
  <c r="AJ56" i="72" s="1"/>
  <c r="J64" i="84"/>
  <c r="K64" i="84" s="1"/>
  <c r="J64" i="99"/>
  <c r="K64" i="99" s="1"/>
  <c r="L64" i="83"/>
  <c r="M64" i="83" s="1"/>
  <c r="J64" i="98"/>
  <c r="K64" i="98" s="1"/>
  <c r="F47" i="100"/>
  <c r="L48" i="99"/>
  <c r="AI47" i="72" s="1"/>
  <c r="G59" i="100"/>
  <c r="L60" i="98"/>
  <c r="AJ59" i="72" s="1"/>
  <c r="AI26" i="100"/>
  <c r="R27" i="67"/>
  <c r="S27" i="67" s="1"/>
  <c r="AF26" i="72" s="1"/>
  <c r="J49" i="99"/>
  <c r="K49" i="99" s="1"/>
  <c r="J49" i="84"/>
  <c r="K49" i="84" s="1"/>
  <c r="J49" i="98"/>
  <c r="K49" i="98" s="1"/>
  <c r="L49" i="83"/>
  <c r="M49" i="83" s="1"/>
  <c r="BR31" i="1"/>
  <c r="BR15" i="1"/>
  <c r="J59" i="84"/>
  <c r="K59" i="84" s="1"/>
  <c r="J59" i="99"/>
  <c r="K59" i="99" s="1"/>
  <c r="L59" i="83"/>
  <c r="M59" i="83" s="1"/>
  <c r="J59" i="98"/>
  <c r="K59" i="98" s="1"/>
  <c r="J24" i="84"/>
  <c r="K24" i="84" s="1"/>
  <c r="J24" i="98"/>
  <c r="K24" i="98" s="1"/>
  <c r="J24" i="99"/>
  <c r="K24" i="99" s="1"/>
  <c r="L24" i="83"/>
  <c r="M24" i="83" s="1"/>
  <c r="L25" i="98"/>
  <c r="AJ24" i="72" s="1"/>
  <c r="G24" i="100"/>
  <c r="AI13" i="100"/>
  <c r="R14" i="67"/>
  <c r="S14" i="67" s="1"/>
  <c r="AF13" i="72" s="1"/>
  <c r="R44" i="67"/>
  <c r="S44" i="67" s="1"/>
  <c r="AF43" i="72" s="1"/>
  <c r="AI43" i="100"/>
  <c r="J33" i="99"/>
  <c r="K33" i="99" s="1"/>
  <c r="L33" i="83"/>
  <c r="M33" i="83" s="1"/>
  <c r="J33" i="98"/>
  <c r="K33" i="98" s="1"/>
  <c r="J33" i="84"/>
  <c r="K33" i="84" s="1"/>
  <c r="N13" i="83"/>
  <c r="AG12" i="72" s="1"/>
  <c r="D12" i="100"/>
  <c r="J53" i="84"/>
  <c r="K53" i="84" s="1"/>
  <c r="J53" i="98"/>
  <c r="K53" i="98" s="1"/>
  <c r="L53" i="83"/>
  <c r="M53" i="83" s="1"/>
  <c r="J53" i="99"/>
  <c r="K53" i="99" s="1"/>
  <c r="E17" i="100"/>
  <c r="L18" i="84"/>
  <c r="AH17" i="72" s="1"/>
  <c r="L23" i="83"/>
  <c r="M23" i="83" s="1"/>
  <c r="J23" i="99"/>
  <c r="K23" i="99" s="1"/>
  <c r="J23" i="98"/>
  <c r="K23" i="98" s="1"/>
  <c r="J23" i="84"/>
  <c r="K23" i="84" s="1"/>
  <c r="G34" i="100"/>
  <c r="L35" i="98"/>
  <c r="AJ34" i="72" s="1"/>
  <c r="F57" i="100"/>
  <c r="L58" i="99"/>
  <c r="AI57" i="72" s="1"/>
  <c r="J41" i="84"/>
  <c r="K41" i="84" s="1"/>
  <c r="J41" i="98"/>
  <c r="K41" i="98" s="1"/>
  <c r="L41" i="83"/>
  <c r="M41" i="83" s="1"/>
  <c r="J41" i="99"/>
  <c r="K41" i="99" s="1"/>
  <c r="AI71" i="100"/>
  <c r="R72" i="67"/>
  <c r="S72" i="67" s="1"/>
  <c r="AF71" i="72" s="1"/>
  <c r="N43" i="83"/>
  <c r="AG42" i="72" s="1"/>
  <c r="D42" i="100"/>
  <c r="J15" i="98"/>
  <c r="K15" i="98" s="1"/>
  <c r="J15" i="99"/>
  <c r="K15" i="99" s="1"/>
  <c r="L15" i="83"/>
  <c r="M15" i="83" s="1"/>
  <c r="J15" i="84"/>
  <c r="K15" i="84" s="1"/>
  <c r="N48" i="83"/>
  <c r="AG47" i="72" s="1"/>
  <c r="D47" i="100"/>
  <c r="F59" i="100"/>
  <c r="L60" i="99"/>
  <c r="AI59" i="72" s="1"/>
  <c r="R69" i="67"/>
  <c r="S69" i="67" s="1"/>
  <c r="AF68" i="72" s="1"/>
  <c r="AI68" i="100"/>
  <c r="BQ32" i="1"/>
  <c r="BM32" i="1"/>
  <c r="BN32" i="1" s="1"/>
  <c r="BJ32" i="1"/>
  <c r="AI37" i="100"/>
  <c r="R38" i="67"/>
  <c r="S38" i="67" s="1"/>
  <c r="AF37" i="72" s="1"/>
  <c r="R50" i="67"/>
  <c r="S50" i="67" s="1"/>
  <c r="AF49" i="72" s="1"/>
  <c r="AI49" i="100"/>
  <c r="BR63" i="1"/>
  <c r="BR60" i="1"/>
  <c r="N70" i="83"/>
  <c r="AG69" i="72" s="1"/>
  <c r="D69" i="100"/>
  <c r="J61" i="99"/>
  <c r="K61" i="99" s="1"/>
  <c r="J61" i="84"/>
  <c r="K61" i="84" s="1"/>
  <c r="L61" i="83"/>
  <c r="M61" i="83" s="1"/>
  <c r="J61" i="98"/>
  <c r="K61" i="98" s="1"/>
  <c r="J65" i="84"/>
  <c r="K65" i="84" s="1"/>
  <c r="J65" i="99"/>
  <c r="K65" i="99" s="1"/>
  <c r="J65" i="98"/>
  <c r="K65" i="98" s="1"/>
  <c r="L65" i="83"/>
  <c r="M65" i="83" s="1"/>
  <c r="G16" i="100"/>
  <c r="L17" i="98"/>
  <c r="AJ16" i="72" s="1"/>
  <c r="L52" i="83"/>
  <c r="M52" i="83" s="1"/>
  <c r="J52" i="98"/>
  <c r="K52" i="98" s="1"/>
  <c r="J52" i="99"/>
  <c r="K52" i="99" s="1"/>
  <c r="J52" i="84"/>
  <c r="K52" i="84" s="1"/>
  <c r="BJ25" i="1"/>
  <c r="BQ25" i="1"/>
  <c r="BM25" i="1"/>
  <c r="BN25" i="1" s="1"/>
  <c r="AI66" i="100"/>
  <c r="R67" i="67"/>
  <c r="S67" i="67" s="1"/>
  <c r="AF66" i="72" s="1"/>
  <c r="G70" i="100"/>
  <c r="L71" i="98"/>
  <c r="AJ70" i="72" s="1"/>
  <c r="BJ42" i="1"/>
  <c r="BM42" i="1"/>
  <c r="BN42" i="1" s="1"/>
  <c r="BQ42" i="1"/>
  <c r="D9" i="100"/>
  <c r="N10" i="83"/>
  <c r="AG9" i="72" s="1"/>
  <c r="AI31" i="100"/>
  <c r="R32" i="67"/>
  <c r="S32" i="67" s="1"/>
  <c r="AF31" i="72" s="1"/>
  <c r="BJ64" i="1"/>
  <c r="BQ64" i="1"/>
  <c r="BM64" i="1"/>
  <c r="BN64" i="1" s="1"/>
  <c r="L35" i="99"/>
  <c r="AI34" i="72" s="1"/>
  <c r="F34" i="100"/>
  <c r="E57" i="100"/>
  <c r="L58" i="84"/>
  <c r="AH57" i="72" s="1"/>
  <c r="J26" i="84"/>
  <c r="K26" i="84" s="1"/>
  <c r="J26" i="98"/>
  <c r="K26" i="98" s="1"/>
  <c r="L26" i="83"/>
  <c r="M26" i="83" s="1"/>
  <c r="J26" i="99"/>
  <c r="K26" i="99" s="1"/>
  <c r="AI44" i="100"/>
  <c r="R45" i="67"/>
  <c r="S45" i="67" s="1"/>
  <c r="AF44" i="72" s="1"/>
  <c r="F42" i="100"/>
  <c r="L43" i="99"/>
  <c r="AI42" i="72" s="1"/>
  <c r="J9" i="98"/>
  <c r="K9" i="98" s="1"/>
  <c r="J9" i="99"/>
  <c r="K9" i="99" s="1"/>
  <c r="L9" i="83"/>
  <c r="M9" i="83" s="1"/>
  <c r="J9" i="84"/>
  <c r="K9" i="84" s="1"/>
  <c r="BJ18" i="1"/>
  <c r="BM18" i="1"/>
  <c r="BN18" i="1" s="1"/>
  <c r="BQ18" i="1"/>
  <c r="J37" i="84"/>
  <c r="K37" i="84" s="1"/>
  <c r="J37" i="99"/>
  <c r="K37" i="99" s="1"/>
  <c r="L37" i="83"/>
  <c r="M37" i="83" s="1"/>
  <c r="J37" i="98"/>
  <c r="K37" i="98" s="1"/>
  <c r="BJ57" i="1"/>
  <c r="BQ57" i="1"/>
  <c r="BM57" i="1"/>
  <c r="BN57" i="1" s="1"/>
  <c r="E34" i="100"/>
  <c r="L35" i="84"/>
  <c r="AH34" i="72" s="1"/>
  <c r="J62" i="98"/>
  <c r="K62" i="98" s="1"/>
  <c r="J62" i="84"/>
  <c r="K62" i="84" s="1"/>
  <c r="J62" i="99"/>
  <c r="K62" i="99" s="1"/>
  <c r="L62" i="83"/>
  <c r="M62" i="83" s="1"/>
  <c r="N58" i="83"/>
  <c r="AG57" i="72" s="1"/>
  <c r="D57" i="100"/>
  <c r="J68" i="98"/>
  <c r="K68" i="98" s="1"/>
  <c r="J68" i="84"/>
  <c r="K68" i="84" s="1"/>
  <c r="J68" i="99"/>
  <c r="K68" i="99" s="1"/>
  <c r="L68" i="83"/>
  <c r="M68" i="83" s="1"/>
  <c r="AI40" i="100"/>
  <c r="R41" i="67"/>
  <c r="S41" i="67" s="1"/>
  <c r="AF40" i="72" s="1"/>
  <c r="R46" i="67"/>
  <c r="S46" i="67" s="1"/>
  <c r="AF45" i="72" s="1"/>
  <c r="AI45" i="100"/>
  <c r="J45" i="99"/>
  <c r="K45" i="99" s="1"/>
  <c r="J45" i="84"/>
  <c r="K45" i="84" s="1"/>
  <c r="L45" i="83"/>
  <c r="M45" i="83" s="1"/>
  <c r="J45" i="98"/>
  <c r="K45" i="98" s="1"/>
  <c r="D62" i="100"/>
  <c r="N63" i="83"/>
  <c r="AG62" i="72" s="1"/>
  <c r="AI11" i="100"/>
  <c r="R12" i="67"/>
  <c r="S12" i="67" s="1"/>
  <c r="AF11" i="72" s="1"/>
  <c r="AI8" i="100"/>
  <c r="R9" i="67"/>
  <c r="S9" i="67" s="1"/>
  <c r="AF8" i="72" s="1"/>
  <c r="R36" i="67"/>
  <c r="S36" i="67" s="1"/>
  <c r="AF35" i="72" s="1"/>
  <c r="AI35" i="100"/>
  <c r="BG10" i="1"/>
  <c r="L57" i="99"/>
  <c r="AI56" i="72" s="1"/>
  <c r="F56" i="100"/>
  <c r="R64" i="67"/>
  <c r="S64" i="67" s="1"/>
  <c r="AF63" i="72" s="1"/>
  <c r="AI63" i="100"/>
  <c r="G47" i="100"/>
  <c r="L48" i="98"/>
  <c r="AJ47" i="72" s="1"/>
  <c r="E59" i="100"/>
  <c r="L60" i="84"/>
  <c r="AH59" i="72" s="1"/>
  <c r="L29" i="99"/>
  <c r="AI28" i="72" s="1"/>
  <c r="F28" i="100"/>
  <c r="F33" i="100"/>
  <c r="L34" i="99"/>
  <c r="AI33" i="72" s="1"/>
  <c r="J69" i="99"/>
  <c r="K69" i="99" s="1"/>
  <c r="L69" i="83"/>
  <c r="M69" i="83" s="1"/>
  <c r="J69" i="84"/>
  <c r="K69" i="84" s="1"/>
  <c r="J69" i="98"/>
  <c r="K69" i="98" s="1"/>
  <c r="AI72" i="100"/>
  <c r="R73" i="67"/>
  <c r="S73" i="67" s="1"/>
  <c r="AF72" i="72" s="1"/>
  <c r="BR27" i="1"/>
  <c r="R75" i="67"/>
  <c r="S75" i="67" s="1"/>
  <c r="AF74" i="72" s="1"/>
  <c r="AI74" i="100"/>
  <c r="J27" i="98"/>
  <c r="K27" i="98" s="1"/>
  <c r="J27" i="84"/>
  <c r="K27" i="84" s="1"/>
  <c r="J27" i="99"/>
  <c r="K27" i="99" s="1"/>
  <c r="L27" i="83"/>
  <c r="M27" i="83" s="1"/>
  <c r="J19" i="99"/>
  <c r="K19" i="99" s="1"/>
  <c r="J19" i="84"/>
  <c r="K19" i="84" s="1"/>
  <c r="J19" i="98"/>
  <c r="K19" i="98" s="1"/>
  <c r="L19" i="83"/>
  <c r="M19" i="83" s="1"/>
  <c r="J74" i="99"/>
  <c r="K74" i="99" s="1"/>
  <c r="J74" i="84"/>
  <c r="K74" i="84" s="1"/>
  <c r="J74" i="98"/>
  <c r="K74" i="98" s="1"/>
  <c r="L74" i="83"/>
  <c r="M74" i="83" s="1"/>
  <c r="J28" i="98"/>
  <c r="K28" i="98" s="1"/>
  <c r="J28" i="84"/>
  <c r="K28" i="84" s="1"/>
  <c r="L28" i="83"/>
  <c r="M28" i="83" s="1"/>
  <c r="J28" i="99"/>
  <c r="K28" i="99" s="1"/>
  <c r="AI53" i="100"/>
  <c r="R54" i="67"/>
  <c r="S54" i="67" s="1"/>
  <c r="AF53" i="72" s="1"/>
  <c r="F69" i="100"/>
  <c r="L70" i="99"/>
  <c r="AI69" i="72" s="1"/>
  <c r="G69" i="100"/>
  <c r="L70" i="98"/>
  <c r="AJ69" i="72" s="1"/>
  <c r="AI58" i="100"/>
  <c r="R59" i="67"/>
  <c r="S59" i="67" s="1"/>
  <c r="AF58" i="72" s="1"/>
  <c r="BJ46" i="1"/>
  <c r="BM46" i="1"/>
  <c r="BN46" i="1" s="1"/>
  <c r="BQ46" i="1"/>
  <c r="F16" i="100"/>
  <c r="L17" i="99"/>
  <c r="AI16" i="72" s="1"/>
  <c r="AI39" i="100"/>
  <c r="R40" i="67"/>
  <c r="S40" i="67" s="1"/>
  <c r="AF39" i="72" s="1"/>
  <c r="BJ35" i="1"/>
  <c r="BQ35" i="1"/>
  <c r="BM35" i="1"/>
  <c r="BN35" i="1" s="1"/>
  <c r="AI23" i="100"/>
  <c r="R24" i="67"/>
  <c r="S24" i="67" s="1"/>
  <c r="AF23" i="72" s="1"/>
  <c r="L71" i="99"/>
  <c r="AI70" i="72" s="1"/>
  <c r="F70" i="100"/>
  <c r="R33" i="67"/>
  <c r="S33" i="67" s="1"/>
  <c r="AF32" i="72" s="1"/>
  <c r="AI32" i="100"/>
  <c r="L13" i="99"/>
  <c r="AI12" i="72" s="1"/>
  <c r="F12" i="100"/>
  <c r="AI46" i="100"/>
  <c r="R47" i="67"/>
  <c r="S47" i="67" s="1"/>
  <c r="AF46" i="72" s="1"/>
  <c r="J11" i="98"/>
  <c r="K11" i="98" s="1"/>
  <c r="J11" i="99"/>
  <c r="K11" i="99" s="1"/>
  <c r="J11" i="84"/>
  <c r="K11" i="84" s="1"/>
  <c r="L11" i="83"/>
  <c r="M11" i="83" s="1"/>
  <c r="J22" i="98"/>
  <c r="K22" i="98" s="1"/>
  <c r="J22" i="84"/>
  <c r="K22" i="84" s="1"/>
  <c r="J22" i="99"/>
  <c r="K22" i="99" s="1"/>
  <c r="L22" i="83"/>
  <c r="M22" i="83" s="1"/>
  <c r="AI52" i="100"/>
  <c r="R53" i="67"/>
  <c r="S53" i="67" s="1"/>
  <c r="AF52" i="72" s="1"/>
  <c r="BJ28" i="1"/>
  <c r="BQ28" i="1"/>
  <c r="BM28" i="1"/>
  <c r="BN28" i="1" s="1"/>
  <c r="G9" i="100"/>
  <c r="L10" i="98"/>
  <c r="AJ9" i="72" s="1"/>
  <c r="J16" i="84"/>
  <c r="K16" i="84" s="1"/>
  <c r="L16" i="83"/>
  <c r="M16" i="83" s="1"/>
  <c r="J16" i="99"/>
  <c r="K16" i="99" s="1"/>
  <c r="J16" i="98"/>
  <c r="K16" i="98" s="1"/>
  <c r="L39" i="99"/>
  <c r="AI38" i="72" s="1"/>
  <c r="F38" i="100"/>
  <c r="D17" i="100"/>
  <c r="N18" i="83"/>
  <c r="AG17" i="72" s="1"/>
  <c r="AI19" i="100"/>
  <c r="R20" i="67"/>
  <c r="S20" i="67" s="1"/>
  <c r="AF19" i="72" s="1"/>
  <c r="J30" i="98"/>
  <c r="K30" i="98" s="1"/>
  <c r="J30" i="84"/>
  <c r="K30" i="84" s="1"/>
  <c r="L30" i="83"/>
  <c r="M30" i="83" s="1"/>
  <c r="J30" i="99"/>
  <c r="K30" i="99" s="1"/>
  <c r="BJ48" i="1"/>
  <c r="BQ48" i="1"/>
  <c r="BM48" i="1"/>
  <c r="BN48" i="1" s="1"/>
  <c r="J32" i="99"/>
  <c r="K32" i="99" s="1"/>
  <c r="J32" i="98"/>
  <c r="K32" i="98" s="1"/>
  <c r="L32" i="83"/>
  <c r="M32" i="83" s="1"/>
  <c r="J32" i="84"/>
  <c r="K32" i="84" s="1"/>
  <c r="BJ26" i="1"/>
  <c r="BM26" i="1"/>
  <c r="BN26" i="1" s="1"/>
  <c r="BQ26" i="1"/>
  <c r="BJ55" i="1"/>
  <c r="BM55" i="1"/>
  <c r="BN55" i="1" s="1"/>
  <c r="BQ55" i="1"/>
  <c r="BQ38" i="1"/>
  <c r="BM38" i="1"/>
  <c r="BN38" i="1" s="1"/>
  <c r="BJ38" i="1"/>
  <c r="BJ16" i="1"/>
  <c r="BM16" i="1"/>
  <c r="BN16" i="1" s="1"/>
  <c r="BQ16" i="1"/>
  <c r="BQ66" i="1"/>
  <c r="BJ66" i="1"/>
  <c r="BM66" i="1"/>
  <c r="BN66" i="1" s="1"/>
  <c r="BJ67" i="1"/>
  <c r="BQ67" i="1"/>
  <c r="BM67" i="1"/>
  <c r="BN67" i="1" s="1"/>
  <c r="BR37" i="1" l="1"/>
  <c r="BR12" i="1"/>
  <c r="BR36" i="1"/>
  <c r="BR72" i="1"/>
  <c r="BR45" i="1"/>
  <c r="BR52" i="1"/>
  <c r="BR21" i="1"/>
  <c r="BR67" i="1"/>
  <c r="BR48" i="1"/>
  <c r="G15" i="100"/>
  <c r="L16" i="98"/>
  <c r="AJ15" i="72" s="1"/>
  <c r="G21" i="100"/>
  <c r="L22" i="98"/>
  <c r="AJ21" i="72" s="1"/>
  <c r="L74" i="98"/>
  <c r="AJ73" i="72" s="1"/>
  <c r="G73" i="100"/>
  <c r="G18" i="100"/>
  <c r="L19" i="98"/>
  <c r="AJ18" i="72" s="1"/>
  <c r="D26" i="100"/>
  <c r="N27" i="83"/>
  <c r="AG26" i="72" s="1"/>
  <c r="F68" i="100"/>
  <c r="L69" i="99"/>
  <c r="AI68" i="72" s="1"/>
  <c r="D36" i="100"/>
  <c r="N37" i="83"/>
  <c r="AG36" i="72" s="1"/>
  <c r="E25" i="100"/>
  <c r="L26" i="84"/>
  <c r="AH25" i="72" s="1"/>
  <c r="BR64" i="1"/>
  <c r="BR42" i="1"/>
  <c r="BR25" i="1"/>
  <c r="E51" i="100"/>
  <c r="L52" i="84"/>
  <c r="AH51" i="72" s="1"/>
  <c r="N65" i="83"/>
  <c r="AG64" i="72" s="1"/>
  <c r="D64" i="100"/>
  <c r="G22" i="100"/>
  <c r="L23" i="98"/>
  <c r="AJ22" i="72" s="1"/>
  <c r="N53" i="83"/>
  <c r="AG52" i="72" s="1"/>
  <c r="D52" i="100"/>
  <c r="E32" i="100"/>
  <c r="L33" i="84"/>
  <c r="AH32" i="72" s="1"/>
  <c r="N33" i="83"/>
  <c r="AG32" i="72" s="1"/>
  <c r="D32" i="100"/>
  <c r="L24" i="98"/>
  <c r="AJ23" i="72" s="1"/>
  <c r="G23" i="100"/>
  <c r="L59" i="84"/>
  <c r="AH58" i="72" s="1"/>
  <c r="E58" i="100"/>
  <c r="E48" i="100"/>
  <c r="L49" i="84"/>
  <c r="AH48" i="72" s="1"/>
  <c r="F63" i="100"/>
  <c r="L64" i="99"/>
  <c r="AI63" i="72" s="1"/>
  <c r="F19" i="100"/>
  <c r="L20" i="99"/>
  <c r="AI19" i="72" s="1"/>
  <c r="E39" i="100"/>
  <c r="L40" i="84"/>
  <c r="AH39" i="72" s="1"/>
  <c r="E49" i="100"/>
  <c r="L50" i="84"/>
  <c r="AH49" i="72" s="1"/>
  <c r="N73" i="83"/>
  <c r="AG72" i="72" s="1"/>
  <c r="D72" i="100"/>
  <c r="O8" i="67"/>
  <c r="P8" i="67" s="1"/>
  <c r="G30" i="100"/>
  <c r="L31" i="98"/>
  <c r="AJ30" i="72" s="1"/>
  <c r="L14" i="98"/>
  <c r="AJ13" i="72" s="1"/>
  <c r="G13" i="100"/>
  <c r="BR53" i="1"/>
  <c r="G65" i="100"/>
  <c r="L66" i="98"/>
  <c r="AJ65" i="72" s="1"/>
  <c r="BR51" i="1"/>
  <c r="E66" i="100"/>
  <c r="L67" i="84"/>
  <c r="AH66" i="72" s="1"/>
  <c r="E35" i="100"/>
  <c r="L36" i="84"/>
  <c r="AH35" i="72" s="1"/>
  <c r="BR16" i="1"/>
  <c r="N22" i="83"/>
  <c r="AG21" i="72" s="1"/>
  <c r="D21" i="100"/>
  <c r="F10" i="100"/>
  <c r="L11" i="99"/>
  <c r="AI10" i="72" s="1"/>
  <c r="BR35" i="1"/>
  <c r="F27" i="100"/>
  <c r="L28" i="99"/>
  <c r="AI27" i="72" s="1"/>
  <c r="E73" i="100"/>
  <c r="L74" i="84"/>
  <c r="AH73" i="72" s="1"/>
  <c r="E18" i="100"/>
  <c r="L19" i="84"/>
  <c r="AH18" i="72" s="1"/>
  <c r="G26" i="100"/>
  <c r="L27" i="98"/>
  <c r="AJ26" i="72" s="1"/>
  <c r="F51" i="100"/>
  <c r="L52" i="99"/>
  <c r="AI51" i="72" s="1"/>
  <c r="G64" i="100"/>
  <c r="L65" i="98"/>
  <c r="AJ64" i="72" s="1"/>
  <c r="G40" i="100"/>
  <c r="L41" i="98"/>
  <c r="AJ40" i="72" s="1"/>
  <c r="E23" i="100"/>
  <c r="L24" i="84"/>
  <c r="AH23" i="72" s="1"/>
  <c r="F48" i="100"/>
  <c r="L49" i="99"/>
  <c r="AI48" i="72" s="1"/>
  <c r="BR49" i="1"/>
  <c r="G54" i="100"/>
  <c r="L55" i="98"/>
  <c r="AJ54" i="72" s="1"/>
  <c r="L44" i="99"/>
  <c r="AI43" i="72" s="1"/>
  <c r="F43" i="100"/>
  <c r="L50" i="99"/>
  <c r="AI49" i="72" s="1"/>
  <c r="F49" i="100"/>
  <c r="F30" i="100"/>
  <c r="L31" i="99"/>
  <c r="AI30" i="72" s="1"/>
  <c r="F45" i="100"/>
  <c r="L46" i="99"/>
  <c r="AI45" i="72" s="1"/>
  <c r="N14" i="83"/>
  <c r="AG13" i="72" s="1"/>
  <c r="D13" i="100"/>
  <c r="L42" i="99"/>
  <c r="AI41" i="72" s="1"/>
  <c r="F41" i="100"/>
  <c r="F66" i="100"/>
  <c r="L67" i="99"/>
  <c r="AI66" i="72" s="1"/>
  <c r="G35" i="100"/>
  <c r="L36" i="98"/>
  <c r="AJ35" i="72" s="1"/>
  <c r="E71" i="100"/>
  <c r="L72" i="84"/>
  <c r="AH71" i="72" s="1"/>
  <c r="BR38" i="1"/>
  <c r="BR26" i="1"/>
  <c r="N32" i="83"/>
  <c r="AG31" i="72" s="1"/>
  <c r="D31" i="100"/>
  <c r="F29" i="100"/>
  <c r="L30" i="99"/>
  <c r="AI29" i="72" s="1"/>
  <c r="N28" i="83"/>
  <c r="AG27" i="72" s="1"/>
  <c r="D27" i="100"/>
  <c r="F73" i="100"/>
  <c r="L74" i="99"/>
  <c r="AI73" i="72" s="1"/>
  <c r="N19" i="83"/>
  <c r="AG18" i="72" s="1"/>
  <c r="D18" i="100"/>
  <c r="F18" i="100"/>
  <c r="L19" i="99"/>
  <c r="AI18" i="72" s="1"/>
  <c r="E26" i="100"/>
  <c r="L27" i="84"/>
  <c r="AH26" i="72" s="1"/>
  <c r="E68" i="100"/>
  <c r="L69" i="84"/>
  <c r="AH68" i="72" s="1"/>
  <c r="E44" i="100"/>
  <c r="L45" i="84"/>
  <c r="AH44" i="72" s="1"/>
  <c r="E67" i="100"/>
  <c r="L68" i="84"/>
  <c r="AH67" i="72" s="1"/>
  <c r="F61" i="100"/>
  <c r="L62" i="99"/>
  <c r="AI61" i="72" s="1"/>
  <c r="E36" i="100"/>
  <c r="L37" i="84"/>
  <c r="AH36" i="72" s="1"/>
  <c r="E8" i="100"/>
  <c r="L9" i="84"/>
  <c r="AH8" i="72" s="1"/>
  <c r="G51" i="100"/>
  <c r="L52" i="98"/>
  <c r="AJ51" i="72" s="1"/>
  <c r="G60" i="100"/>
  <c r="L61" i="98"/>
  <c r="AJ60" i="72" s="1"/>
  <c r="F60" i="100"/>
  <c r="L61" i="99"/>
  <c r="AI60" i="72" s="1"/>
  <c r="BR32" i="1"/>
  <c r="F14" i="100"/>
  <c r="L15" i="99"/>
  <c r="AI14" i="72" s="1"/>
  <c r="F40" i="100"/>
  <c r="L41" i="99"/>
  <c r="AI40" i="72" s="1"/>
  <c r="E40" i="100"/>
  <c r="L41" i="84"/>
  <c r="AH40" i="72" s="1"/>
  <c r="N23" i="83"/>
  <c r="AG22" i="72" s="1"/>
  <c r="D22" i="100"/>
  <c r="E52" i="100"/>
  <c r="L53" i="84"/>
  <c r="AH52" i="72" s="1"/>
  <c r="G32" i="100"/>
  <c r="L33" i="98"/>
  <c r="AJ32" i="72" s="1"/>
  <c r="N24" i="83"/>
  <c r="AG23" i="72" s="1"/>
  <c r="D23" i="100"/>
  <c r="F58" i="100"/>
  <c r="L59" i="99"/>
  <c r="AI58" i="72" s="1"/>
  <c r="N49" i="83"/>
  <c r="AG48" i="72" s="1"/>
  <c r="D48" i="100"/>
  <c r="E63" i="100"/>
  <c r="L64" i="84"/>
  <c r="AH63" i="72" s="1"/>
  <c r="BR39" i="1"/>
  <c r="G19" i="100"/>
  <c r="L20" i="98"/>
  <c r="AJ19" i="72" s="1"/>
  <c r="N55" i="83"/>
  <c r="AG54" i="72" s="1"/>
  <c r="D54" i="100"/>
  <c r="E46" i="100"/>
  <c r="L47" i="84"/>
  <c r="AH46" i="72" s="1"/>
  <c r="BR22" i="1"/>
  <c r="L44" i="98"/>
  <c r="AJ43" i="72" s="1"/>
  <c r="G43" i="100"/>
  <c r="G39" i="100"/>
  <c r="L40" i="98"/>
  <c r="AJ39" i="72" s="1"/>
  <c r="BR24" i="1"/>
  <c r="N54" i="83"/>
  <c r="AG53" i="72" s="1"/>
  <c r="D53" i="100"/>
  <c r="L54" i="98"/>
  <c r="AJ53" i="72" s="1"/>
  <c r="G53" i="100"/>
  <c r="F37" i="100"/>
  <c r="L38" i="99"/>
  <c r="AI37" i="72" s="1"/>
  <c r="D74" i="100"/>
  <c r="N75" i="83"/>
  <c r="AG74" i="72" s="1"/>
  <c r="F74" i="100"/>
  <c r="L75" i="99"/>
  <c r="AI74" i="72" s="1"/>
  <c r="G55" i="100"/>
  <c r="L56" i="98"/>
  <c r="AJ55" i="72" s="1"/>
  <c r="L73" i="98"/>
  <c r="AJ72" i="72" s="1"/>
  <c r="G72" i="100"/>
  <c r="BR61" i="1"/>
  <c r="E30" i="100"/>
  <c r="L31" i="84"/>
  <c r="AH30" i="72" s="1"/>
  <c r="N12" i="83"/>
  <c r="AG11" i="72" s="1"/>
  <c r="D11" i="100"/>
  <c r="E11" i="100"/>
  <c r="L12" i="84"/>
  <c r="AH11" i="72" s="1"/>
  <c r="E13" i="100"/>
  <c r="L14" i="84"/>
  <c r="AH13" i="72" s="1"/>
  <c r="N66" i="83"/>
  <c r="AG65" i="72" s="1"/>
  <c r="D65" i="100"/>
  <c r="F65" i="100"/>
  <c r="L66" i="99"/>
  <c r="AI65" i="72" s="1"/>
  <c r="D41" i="100"/>
  <c r="N42" i="83"/>
  <c r="AG41" i="72" s="1"/>
  <c r="G41" i="100"/>
  <c r="L42" i="98"/>
  <c r="AJ41" i="72" s="1"/>
  <c r="N67" i="83"/>
  <c r="AG66" i="72" s="1"/>
  <c r="D66" i="100"/>
  <c r="BR76" i="1"/>
  <c r="N36" i="83"/>
  <c r="AG35" i="72" s="1"/>
  <c r="D35" i="100"/>
  <c r="N72" i="83"/>
  <c r="AG71" i="72" s="1"/>
  <c r="D71" i="100"/>
  <c r="L72" i="99"/>
  <c r="AI71" i="72" s="1"/>
  <c r="F71" i="100"/>
  <c r="E50" i="100"/>
  <c r="L51" i="84"/>
  <c r="AH50" i="72" s="1"/>
  <c r="L51" i="99"/>
  <c r="AI50" i="72" s="1"/>
  <c r="F50" i="100"/>
  <c r="BR66" i="1"/>
  <c r="L32" i="99"/>
  <c r="AI31" i="72" s="1"/>
  <c r="F31" i="100"/>
  <c r="E29" i="100"/>
  <c r="L30" i="84"/>
  <c r="AH29" i="72" s="1"/>
  <c r="E10" i="100"/>
  <c r="L11" i="84"/>
  <c r="AH10" i="72" s="1"/>
  <c r="G68" i="100"/>
  <c r="L69" i="98"/>
  <c r="AJ68" i="72" s="1"/>
  <c r="N45" i="83"/>
  <c r="AG44" i="72" s="1"/>
  <c r="D44" i="100"/>
  <c r="F67" i="100"/>
  <c r="L68" i="99"/>
  <c r="AI67" i="72" s="1"/>
  <c r="G61" i="100"/>
  <c r="L62" i="98"/>
  <c r="AJ61" i="72" s="1"/>
  <c r="F8" i="100"/>
  <c r="L9" i="99"/>
  <c r="AI8" i="72" s="1"/>
  <c r="F25" i="100"/>
  <c r="L26" i="99"/>
  <c r="AI25" i="72" s="1"/>
  <c r="E64" i="100"/>
  <c r="L65" i="84"/>
  <c r="AH64" i="72" s="1"/>
  <c r="E60" i="100"/>
  <c r="L61" i="84"/>
  <c r="AH60" i="72" s="1"/>
  <c r="N15" i="83"/>
  <c r="AG14" i="72" s="1"/>
  <c r="D14" i="100"/>
  <c r="L59" i="98"/>
  <c r="AJ58" i="72" s="1"/>
  <c r="G58" i="100"/>
  <c r="N47" i="83"/>
  <c r="AG46" i="72" s="1"/>
  <c r="D46" i="100"/>
  <c r="G46" i="100"/>
  <c r="L47" i="98"/>
  <c r="AJ46" i="72" s="1"/>
  <c r="BR29" i="1"/>
  <c r="E43" i="100"/>
  <c r="L44" i="84"/>
  <c r="AH43" i="72" s="1"/>
  <c r="F53" i="100"/>
  <c r="L54" i="99"/>
  <c r="AI53" i="72" s="1"/>
  <c r="N38" i="83"/>
  <c r="AG37" i="72" s="1"/>
  <c r="D37" i="100"/>
  <c r="G74" i="100"/>
  <c r="L75" i="98"/>
  <c r="AJ74" i="72" s="1"/>
  <c r="N56" i="83"/>
  <c r="AG55" i="72" s="1"/>
  <c r="D55" i="100"/>
  <c r="F72" i="100"/>
  <c r="L73" i="99"/>
  <c r="AI72" i="72" s="1"/>
  <c r="G11" i="100"/>
  <c r="L12" i="98"/>
  <c r="AJ11" i="72" s="1"/>
  <c r="N46" i="83"/>
  <c r="AG45" i="72" s="1"/>
  <c r="D45" i="100"/>
  <c r="BR54" i="1"/>
  <c r="BR33" i="1"/>
  <c r="BR69" i="1"/>
  <c r="BR40" i="1"/>
  <c r="E31" i="100"/>
  <c r="L32" i="84"/>
  <c r="AH31" i="72" s="1"/>
  <c r="L16" i="99"/>
  <c r="AI15" i="72" s="1"/>
  <c r="F15" i="100"/>
  <c r="BR28" i="1"/>
  <c r="G27" i="100"/>
  <c r="L28" i="98"/>
  <c r="AJ27" i="72" s="1"/>
  <c r="F26" i="100"/>
  <c r="L27" i="99"/>
  <c r="AI26" i="72" s="1"/>
  <c r="BI10" i="1"/>
  <c r="BH10" i="1"/>
  <c r="D61" i="100"/>
  <c r="N62" i="83"/>
  <c r="AG61" i="72" s="1"/>
  <c r="F36" i="100"/>
  <c r="L37" i="99"/>
  <c r="AI36" i="72" s="1"/>
  <c r="G8" i="100"/>
  <c r="L9" i="98"/>
  <c r="AJ8" i="72" s="1"/>
  <c r="N26" i="83"/>
  <c r="AG25" i="72" s="1"/>
  <c r="D25" i="100"/>
  <c r="F22" i="100"/>
  <c r="L23" i="99"/>
  <c r="AI22" i="72" s="1"/>
  <c r="G52" i="100"/>
  <c r="L53" i="98"/>
  <c r="AJ52" i="72" s="1"/>
  <c r="L33" i="99"/>
  <c r="AI32" i="72" s="1"/>
  <c r="F32" i="100"/>
  <c r="N59" i="83"/>
  <c r="AG58" i="72" s="1"/>
  <c r="D58" i="100"/>
  <c r="G63" i="100"/>
  <c r="L64" i="98"/>
  <c r="AJ63" i="72" s="1"/>
  <c r="BR43" i="1"/>
  <c r="BR14" i="1"/>
  <c r="BR70" i="1"/>
  <c r="N20" i="83"/>
  <c r="AG19" i="72" s="1"/>
  <c r="D19" i="100"/>
  <c r="L55" i="99"/>
  <c r="AI54" i="72" s="1"/>
  <c r="F54" i="100"/>
  <c r="N40" i="83"/>
  <c r="AG39" i="72" s="1"/>
  <c r="D39" i="100"/>
  <c r="E53" i="100"/>
  <c r="L54" i="84"/>
  <c r="AH53" i="72" s="1"/>
  <c r="N50" i="83"/>
  <c r="AG49" i="72" s="1"/>
  <c r="D49" i="100"/>
  <c r="E37" i="100"/>
  <c r="L38" i="84"/>
  <c r="AH37" i="72" s="1"/>
  <c r="F55" i="100"/>
  <c r="L56" i="99"/>
  <c r="AI55" i="72" s="1"/>
  <c r="E72" i="100"/>
  <c r="L73" i="84"/>
  <c r="AH72" i="72" s="1"/>
  <c r="G45" i="100"/>
  <c r="L46" i="98"/>
  <c r="AJ45" i="72" s="1"/>
  <c r="BR68" i="1"/>
  <c r="G50" i="100"/>
  <c r="L51" i="98"/>
  <c r="AJ50" i="72" s="1"/>
  <c r="G29" i="100"/>
  <c r="L30" i="98"/>
  <c r="AJ29" i="72" s="1"/>
  <c r="N16" i="83"/>
  <c r="AG15" i="72" s="1"/>
  <c r="D15" i="100"/>
  <c r="F21" i="100"/>
  <c r="L22" i="99"/>
  <c r="AI21" i="72" s="1"/>
  <c r="G10" i="100"/>
  <c r="L11" i="98"/>
  <c r="AJ10" i="72" s="1"/>
  <c r="BR55" i="1"/>
  <c r="G31" i="100"/>
  <c r="L32" i="98"/>
  <c r="AJ31" i="72" s="1"/>
  <c r="N30" i="83"/>
  <c r="AG29" i="72" s="1"/>
  <c r="D29" i="100"/>
  <c r="L16" i="84"/>
  <c r="AH15" i="72" s="1"/>
  <c r="E15" i="100"/>
  <c r="E21" i="100"/>
  <c r="L22" i="84"/>
  <c r="AH21" i="72" s="1"/>
  <c r="N11" i="83"/>
  <c r="AG10" i="72" s="1"/>
  <c r="D10" i="100"/>
  <c r="BR46" i="1"/>
  <c r="E27" i="100"/>
  <c r="L28" i="84"/>
  <c r="AH27" i="72" s="1"/>
  <c r="D73" i="100"/>
  <c r="N74" i="83"/>
  <c r="AG73" i="72" s="1"/>
  <c r="N69" i="83"/>
  <c r="AG68" i="72" s="1"/>
  <c r="D68" i="100"/>
  <c r="G44" i="100"/>
  <c r="L45" i="98"/>
  <c r="AJ44" i="72" s="1"/>
  <c r="F44" i="100"/>
  <c r="L45" i="99"/>
  <c r="AI44" i="72" s="1"/>
  <c r="N68" i="83"/>
  <c r="AG67" i="72" s="1"/>
  <c r="D67" i="100"/>
  <c r="L68" i="98"/>
  <c r="AJ67" i="72" s="1"/>
  <c r="G67" i="100"/>
  <c r="E61" i="100"/>
  <c r="L62" i="84"/>
  <c r="AH61" i="72" s="1"/>
  <c r="BR57" i="1"/>
  <c r="G36" i="100"/>
  <c r="L37" i="98"/>
  <c r="AJ36" i="72" s="1"/>
  <c r="BR18" i="1"/>
  <c r="D8" i="100"/>
  <c r="N9" i="83"/>
  <c r="AG8" i="72" s="1"/>
  <c r="G25" i="100"/>
  <c r="L26" i="98"/>
  <c r="AJ25" i="72" s="1"/>
  <c r="D51" i="100"/>
  <c r="N52" i="83"/>
  <c r="AG51" i="72" s="1"/>
  <c r="F64" i="100"/>
  <c r="L65" i="99"/>
  <c r="AI64" i="72" s="1"/>
  <c r="D60" i="100"/>
  <c r="N61" i="83"/>
  <c r="AG60" i="72" s="1"/>
  <c r="E14" i="100"/>
  <c r="L15" i="84"/>
  <c r="AH14" i="72" s="1"/>
  <c r="G14" i="100"/>
  <c r="L15" i="98"/>
  <c r="AJ14" i="72" s="1"/>
  <c r="N41" i="83"/>
  <c r="AG40" i="72" s="1"/>
  <c r="D40" i="100"/>
  <c r="E22" i="100"/>
  <c r="L23" i="84"/>
  <c r="AH22" i="72" s="1"/>
  <c r="F52" i="100"/>
  <c r="L53" i="99"/>
  <c r="AI52" i="72" s="1"/>
  <c r="F23" i="100"/>
  <c r="L24" i="99"/>
  <c r="AI23" i="72" s="1"/>
  <c r="G48" i="100"/>
  <c r="L49" i="98"/>
  <c r="AJ48" i="72" s="1"/>
  <c r="D63" i="100"/>
  <c r="N64" i="83"/>
  <c r="AG63" i="72" s="1"/>
  <c r="L20" i="84"/>
  <c r="AH19" i="72" s="1"/>
  <c r="E19" i="100"/>
  <c r="E54" i="100"/>
  <c r="L55" i="84"/>
  <c r="AH54" i="72" s="1"/>
  <c r="L47" i="99"/>
  <c r="AI46" i="72" s="1"/>
  <c r="F46" i="100"/>
  <c r="N44" i="83"/>
  <c r="AG43" i="72" s="1"/>
  <c r="D43" i="100"/>
  <c r="L40" i="99"/>
  <c r="AI39" i="72" s="1"/>
  <c r="F39" i="100"/>
  <c r="BR58" i="1"/>
  <c r="G49" i="100"/>
  <c r="L50" i="98"/>
  <c r="AJ49" i="72" s="1"/>
  <c r="G37" i="100"/>
  <c r="L38" i="98"/>
  <c r="AJ37" i="72" s="1"/>
  <c r="E74" i="100"/>
  <c r="L75" i="84"/>
  <c r="AH74" i="72" s="1"/>
  <c r="E55" i="100"/>
  <c r="L56" i="84"/>
  <c r="AH55" i="72" s="1"/>
  <c r="L8" i="83"/>
  <c r="M8" i="83" s="1"/>
  <c r="J8" i="98"/>
  <c r="K8" i="98" s="1"/>
  <c r="J8" i="84"/>
  <c r="K8" i="84" s="1"/>
  <c r="J8" i="99"/>
  <c r="K8" i="99" s="1"/>
  <c r="N31" i="83"/>
  <c r="AG30" i="72" s="1"/>
  <c r="D30" i="100"/>
  <c r="F11" i="100"/>
  <c r="L12" i="99"/>
  <c r="AI11" i="72" s="1"/>
  <c r="E45" i="100"/>
  <c r="L46" i="84"/>
  <c r="AH45" i="72" s="1"/>
  <c r="BR47" i="1"/>
  <c r="F13" i="100"/>
  <c r="L14" i="99"/>
  <c r="AI13" i="72" s="1"/>
  <c r="BR77" i="1"/>
  <c r="BR13" i="1"/>
  <c r="E65" i="100"/>
  <c r="L66" i="84"/>
  <c r="AH65" i="72" s="1"/>
  <c r="BR71" i="1"/>
  <c r="BR30" i="1"/>
  <c r="BR74" i="1"/>
  <c r="E41" i="100"/>
  <c r="L42" i="84"/>
  <c r="AH41" i="72" s="1"/>
  <c r="G66" i="100"/>
  <c r="L67" i="98"/>
  <c r="AJ66" i="72" s="1"/>
  <c r="BR11" i="1"/>
  <c r="BR75" i="1"/>
  <c r="BR17" i="1"/>
  <c r="BR34" i="1"/>
  <c r="BR56" i="1"/>
  <c r="F35" i="100"/>
  <c r="L36" i="99"/>
  <c r="AI35" i="72" s="1"/>
  <c r="G71" i="100"/>
  <c r="L72" i="98"/>
  <c r="AJ71" i="72" s="1"/>
  <c r="N51" i="83"/>
  <c r="AG50" i="72" s="1"/>
  <c r="D50" i="100"/>
  <c r="F7" i="100" l="1"/>
  <c r="L8" i="99"/>
  <c r="N8" i="83"/>
  <c r="D7" i="100"/>
  <c r="R8" i="67"/>
  <c r="AI7" i="100"/>
  <c r="L8" i="98"/>
  <c r="G7" i="100"/>
  <c r="BJ10" i="1"/>
  <c r="BM10" i="1"/>
  <c r="BQ10" i="1"/>
  <c r="E7" i="100"/>
  <c r="L8" i="84"/>
  <c r="BR10" i="1" l="1"/>
  <c r="AJ7" i="72"/>
  <c r="BN10" i="1"/>
  <c r="S8" i="67"/>
  <c r="AI7" i="72"/>
  <c r="AH7" i="72"/>
  <c r="AG7" i="72"/>
  <c r="AF7" i="72" l="1"/>
  <c r="Y78" i="1" l="1"/>
  <c r="AG78" i="1"/>
  <c r="E21" i="81" s="1"/>
  <c r="H21" i="81" l="1"/>
  <c r="G21" i="81"/>
  <c r="G10" i="81" l="1"/>
  <c r="H10" i="81"/>
  <c r="AQ78" i="1"/>
  <c r="AR78" i="1" l="1"/>
  <c r="AT9" i="1"/>
  <c r="AT78" i="1" l="1"/>
  <c r="BD9" i="1"/>
  <c r="BD78" i="1" s="1"/>
  <c r="AV9" i="1"/>
  <c r="AW9" i="1" s="1"/>
  <c r="BC9" i="1" l="1"/>
  <c r="BC78" i="1" s="1"/>
  <c r="AV78" i="1"/>
  <c r="AZ9" i="1"/>
  <c r="AY9" i="1"/>
  <c r="BB9" i="1"/>
  <c r="E25" i="81"/>
  <c r="AT80" i="1"/>
  <c r="AW80" i="1" s="1"/>
  <c r="AX9" i="1"/>
  <c r="AW78" i="1"/>
  <c r="AX78" i="1" l="1"/>
  <c r="E26" i="81"/>
  <c r="H25" i="81"/>
  <c r="G25" i="81"/>
  <c r="AZ78" i="1"/>
  <c r="AY78" i="1"/>
  <c r="E27" i="81"/>
  <c r="BB78" i="1"/>
  <c r="BE9" i="1"/>
  <c r="BE78" i="1" l="1"/>
  <c r="BF9" i="1"/>
  <c r="BF78" i="1" s="1"/>
  <c r="CA9" i="1"/>
  <c r="G99" i="81"/>
  <c r="H26" i="81"/>
  <c r="G26" i="81"/>
  <c r="G27" i="81"/>
  <c r="H27" i="81"/>
  <c r="E99" i="81"/>
  <c r="F81" i="25"/>
  <c r="CA78" i="1" l="1"/>
  <c r="CB9" i="1"/>
  <c r="L7" i="67"/>
  <c r="BG9" i="1"/>
  <c r="E36" i="81"/>
  <c r="CC76" i="1" l="1"/>
  <c r="CC71" i="1"/>
  <c r="CC70" i="1"/>
  <c r="CC43" i="1"/>
  <c r="CC61" i="1"/>
  <c r="CC9" i="1"/>
  <c r="CC41" i="1"/>
  <c r="CC31" i="1"/>
  <c r="CC38" i="1"/>
  <c r="CC30" i="1"/>
  <c r="CC51" i="1"/>
  <c r="CC32" i="1"/>
  <c r="CC40" i="1"/>
  <c r="CC57" i="1"/>
  <c r="CC10" i="1"/>
  <c r="CC65" i="1"/>
  <c r="CC45" i="1"/>
  <c r="CC74" i="1"/>
  <c r="CC42" i="1"/>
  <c r="CC35" i="1"/>
  <c r="CC37" i="1"/>
  <c r="CC53" i="1"/>
  <c r="CC17" i="1"/>
  <c r="CC67" i="1"/>
  <c r="CC69" i="1"/>
  <c r="CC59" i="1"/>
  <c r="CC47" i="1"/>
  <c r="CC25" i="1"/>
  <c r="CC22" i="1"/>
  <c r="CC15" i="1"/>
  <c r="CC75" i="1"/>
  <c r="CC58" i="1"/>
  <c r="CC55" i="1"/>
  <c r="CC23" i="1"/>
  <c r="CC27" i="1"/>
  <c r="CC54" i="1"/>
  <c r="CC34" i="1"/>
  <c r="CC29" i="1"/>
  <c r="CC77" i="1"/>
  <c r="CC52" i="1"/>
  <c r="CC36" i="1"/>
  <c r="CC62" i="1"/>
  <c r="CC68" i="1"/>
  <c r="CC11" i="1"/>
  <c r="CC18" i="1"/>
  <c r="CC24" i="1"/>
  <c r="CC39" i="1"/>
  <c r="CC26" i="1"/>
  <c r="CC14" i="1"/>
  <c r="CC19" i="1"/>
  <c r="CC73" i="1"/>
  <c r="CC33" i="1"/>
  <c r="CC21" i="1"/>
  <c r="CC28" i="1"/>
  <c r="CC48" i="1"/>
  <c r="CC72" i="1"/>
  <c r="CC63" i="1"/>
  <c r="CC64" i="1"/>
  <c r="CC66" i="1"/>
  <c r="CC60" i="1"/>
  <c r="CC44" i="1"/>
  <c r="CC56" i="1"/>
  <c r="CC49" i="1"/>
  <c r="CC20" i="1"/>
  <c r="CC50" i="1"/>
  <c r="CC46" i="1"/>
  <c r="CC13" i="1"/>
  <c r="CC16" i="1"/>
  <c r="CC12" i="1"/>
  <c r="J7" i="99"/>
  <c r="K7" i="99" s="1"/>
  <c r="J7" i="98"/>
  <c r="K7" i="98" s="1"/>
  <c r="J7" i="84"/>
  <c r="K7" i="84" s="1"/>
  <c r="L7" i="83"/>
  <c r="M7" i="83" s="1"/>
  <c r="G36" i="81"/>
  <c r="H36" i="81"/>
  <c r="L76" i="67"/>
  <c r="O76" i="67" s="1"/>
  <c r="O7" i="67"/>
  <c r="P7" i="67" s="1"/>
  <c r="BG78" i="1"/>
  <c r="BI9" i="1"/>
  <c r="BH9" i="1"/>
  <c r="CB78" i="1"/>
  <c r="L7" i="84" l="1"/>
  <c r="K76" i="84"/>
  <c r="E6" i="100"/>
  <c r="E75" i="100" s="1"/>
  <c r="K76" i="99"/>
  <c r="L7" i="99"/>
  <c r="F6" i="100"/>
  <c r="F75" i="100" s="1"/>
  <c r="L76" i="83"/>
  <c r="J76" i="99"/>
  <c r="J77" i="98"/>
  <c r="BJ9" i="1"/>
  <c r="BQ9" i="1"/>
  <c r="BI78" i="1"/>
  <c r="BM9" i="1"/>
  <c r="E37" i="81"/>
  <c r="E38" i="81" s="1"/>
  <c r="BH78" i="1"/>
  <c r="P76" i="67"/>
  <c r="AI6" i="100"/>
  <c r="AI75" i="100" s="1"/>
  <c r="R7" i="67"/>
  <c r="N7" i="83"/>
  <c r="M77" i="83"/>
  <c r="D6" i="100"/>
  <c r="K77" i="98"/>
  <c r="G6" i="100"/>
  <c r="G75" i="100" s="1"/>
  <c r="L7" i="98"/>
  <c r="AJ75" i="100"/>
  <c r="D75" i="100" l="1"/>
  <c r="R76" i="67"/>
  <c r="S7" i="67"/>
  <c r="BN9" i="1"/>
  <c r="BM78" i="1"/>
  <c r="BN78" i="1" s="1"/>
  <c r="BQ78" i="1"/>
  <c r="BR9" i="1"/>
  <c r="AH6" i="72"/>
  <c r="AH75" i="72" s="1"/>
  <c r="L76" i="84"/>
  <c r="L77" i="98"/>
  <c r="AJ6" i="72"/>
  <c r="AJ75" i="72" s="1"/>
  <c r="N77" i="83"/>
  <c r="AG6" i="72"/>
  <c r="AG75" i="72" s="1"/>
  <c r="G37" i="81"/>
  <c r="H37" i="81"/>
  <c r="BJ78" i="1"/>
  <c r="L76" i="99"/>
  <c r="AI6" i="72"/>
  <c r="AI75" i="72" s="1"/>
  <c r="H38" i="81" l="1"/>
  <c r="G38" i="81"/>
  <c r="BR78" i="1"/>
  <c r="S76" i="67"/>
  <c r="AF6" i="72"/>
  <c r="AF75" i="72" s="1"/>
  <c r="AF76" i="33" l="1"/>
  <c r="H73" i="81" l="1"/>
  <c r="G73" i="81"/>
  <c r="E89" i="81"/>
  <c r="G93" i="81" l="1"/>
  <c r="H93" i="81"/>
  <c r="G89" i="81"/>
  <c r="H89" i="81"/>
  <c r="BS52" i="1" l="1"/>
  <c r="BT52" i="1" s="1"/>
  <c r="BS72" i="1"/>
  <c r="BT72" i="1" s="1"/>
  <c r="BS23" i="1"/>
  <c r="BT23" i="1" s="1"/>
  <c r="BS44" i="1"/>
  <c r="BT44" i="1" s="1"/>
  <c r="BS41" i="1"/>
  <c r="BT41" i="1" s="1"/>
  <c r="BS73" i="1"/>
  <c r="BT73" i="1" s="1"/>
  <c r="BS62" i="1"/>
  <c r="BT62" i="1" s="1"/>
  <c r="BS50" i="1"/>
  <c r="BT50" i="1" s="1"/>
  <c r="BS65" i="1"/>
  <c r="BT65" i="1" s="1"/>
  <c r="BS19" i="1"/>
  <c r="BT19" i="1" s="1"/>
  <c r="BS20" i="1"/>
  <c r="BT20" i="1" s="1"/>
  <c r="BS59" i="1"/>
  <c r="BT59" i="1" s="1"/>
  <c r="BS31" i="1"/>
  <c r="BT31" i="1" s="1"/>
  <c r="BS15" i="1"/>
  <c r="BT15" i="1" s="1"/>
  <c r="BS63" i="1"/>
  <c r="BT63" i="1" s="1"/>
  <c r="BS60" i="1"/>
  <c r="BT60" i="1" s="1"/>
  <c r="BS27" i="1"/>
  <c r="BT27" i="1" s="1"/>
  <c r="BU27" i="1" l="1"/>
  <c r="BU63" i="1"/>
  <c r="BU31" i="1"/>
  <c r="BU20" i="1"/>
  <c r="BU65" i="1"/>
  <c r="BU62" i="1"/>
  <c r="BU41" i="1"/>
  <c r="BU23" i="1"/>
  <c r="BU52" i="1"/>
  <c r="BU60" i="1"/>
  <c r="BU15" i="1"/>
  <c r="BU59" i="1"/>
  <c r="BU19" i="1"/>
  <c r="BU50" i="1"/>
  <c r="BV50" i="1" s="1"/>
  <c r="BU73" i="1"/>
  <c r="BV73" i="1" s="1"/>
  <c r="BU44" i="1"/>
  <c r="BV44" i="1" s="1"/>
  <c r="BU72" i="1"/>
  <c r="BV72" i="1" s="1"/>
  <c r="BS36" i="1"/>
  <c r="BT36" i="1" s="1"/>
  <c r="BS12" i="1"/>
  <c r="BT12" i="1" s="1"/>
  <c r="BS45" i="1"/>
  <c r="BT45" i="1" s="1"/>
  <c r="BS37" i="1"/>
  <c r="BT37" i="1" s="1"/>
  <c r="BS21" i="1"/>
  <c r="BT21" i="1" s="1"/>
  <c r="BS67" i="1"/>
  <c r="BT67" i="1" s="1"/>
  <c r="BS48" i="1"/>
  <c r="BT48" i="1" s="1"/>
  <c r="BS64" i="1"/>
  <c r="BT64" i="1" s="1"/>
  <c r="BS42" i="1"/>
  <c r="BT42" i="1" s="1"/>
  <c r="BS25" i="1"/>
  <c r="BT25" i="1" s="1"/>
  <c r="BS53" i="1"/>
  <c r="BT53" i="1" s="1"/>
  <c r="BS51" i="1"/>
  <c r="BT51" i="1" s="1"/>
  <c r="BS16" i="1"/>
  <c r="BT16" i="1" s="1"/>
  <c r="BS35" i="1"/>
  <c r="BT35" i="1" s="1"/>
  <c r="BS49" i="1"/>
  <c r="BT49" i="1" s="1"/>
  <c r="BS38" i="1"/>
  <c r="BT38" i="1" s="1"/>
  <c r="BS26" i="1"/>
  <c r="BT26" i="1" s="1"/>
  <c r="BS32" i="1"/>
  <c r="BT32" i="1" s="1"/>
  <c r="BS39" i="1"/>
  <c r="BT39" i="1" s="1"/>
  <c r="BS22" i="1"/>
  <c r="BT22" i="1" s="1"/>
  <c r="BS24" i="1"/>
  <c r="BT24" i="1" s="1"/>
  <c r="BS61" i="1"/>
  <c r="BT61" i="1" s="1"/>
  <c r="BS76" i="1"/>
  <c r="BT76" i="1" s="1"/>
  <c r="BS66" i="1"/>
  <c r="BT66" i="1" s="1"/>
  <c r="BS29" i="1"/>
  <c r="BT29" i="1" s="1"/>
  <c r="BS54" i="1"/>
  <c r="BT54" i="1" s="1"/>
  <c r="BS33" i="1"/>
  <c r="BT33" i="1" s="1"/>
  <c r="BS69" i="1"/>
  <c r="BT69" i="1" s="1"/>
  <c r="BS40" i="1"/>
  <c r="BT40" i="1" s="1"/>
  <c r="BS28" i="1"/>
  <c r="BT28" i="1" s="1"/>
  <c r="BS43" i="1"/>
  <c r="BT43" i="1" s="1"/>
  <c r="BS14" i="1"/>
  <c r="BT14" i="1" s="1"/>
  <c r="BS70" i="1"/>
  <c r="BT70" i="1" s="1"/>
  <c r="BS68" i="1"/>
  <c r="BT68" i="1" s="1"/>
  <c r="BS55" i="1"/>
  <c r="BT55" i="1" s="1"/>
  <c r="BS46" i="1"/>
  <c r="BT46" i="1" s="1"/>
  <c r="BS57" i="1"/>
  <c r="BT57" i="1" s="1"/>
  <c r="BS18" i="1"/>
  <c r="BT18" i="1" s="1"/>
  <c r="BS58" i="1"/>
  <c r="BT58" i="1" s="1"/>
  <c r="BS47" i="1"/>
  <c r="BT47" i="1" s="1"/>
  <c r="BS77" i="1"/>
  <c r="BT77" i="1" s="1"/>
  <c r="BS13" i="1"/>
  <c r="BT13" i="1" s="1"/>
  <c r="BS71" i="1"/>
  <c r="BT71" i="1" s="1"/>
  <c r="BS30" i="1"/>
  <c r="BT30" i="1" s="1"/>
  <c r="BS74" i="1"/>
  <c r="BT74" i="1" s="1"/>
  <c r="BS11" i="1"/>
  <c r="BT11" i="1" s="1"/>
  <c r="BS75" i="1"/>
  <c r="BT75" i="1" s="1"/>
  <c r="BS17" i="1"/>
  <c r="BT17" i="1" s="1"/>
  <c r="BS34" i="1"/>
  <c r="BT34" i="1" s="1"/>
  <c r="BS56" i="1"/>
  <c r="BT56" i="1" s="1"/>
  <c r="D67" i="76" l="1"/>
  <c r="I67" i="76" s="1"/>
  <c r="D67" i="80"/>
  <c r="I67" i="80" s="1"/>
  <c r="D68" i="80"/>
  <c r="I68" i="80" s="1"/>
  <c r="D68" i="76"/>
  <c r="I68" i="76" s="1"/>
  <c r="D39" i="76"/>
  <c r="I39" i="76" s="1"/>
  <c r="D39" i="80"/>
  <c r="I39" i="80" s="1"/>
  <c r="D45" i="76"/>
  <c r="I45" i="76" s="1"/>
  <c r="D45" i="80"/>
  <c r="I45" i="80" s="1"/>
  <c r="D70" i="86"/>
  <c r="E70" i="86" s="1"/>
  <c r="G70" i="86" s="1"/>
  <c r="D70" i="88"/>
  <c r="E70" i="88" s="1"/>
  <c r="G70" i="88" s="1"/>
  <c r="D70" i="91"/>
  <c r="E70" i="91" s="1"/>
  <c r="G70" i="91" s="1"/>
  <c r="D70" i="85"/>
  <c r="E70" i="85" s="1"/>
  <c r="G70" i="85" s="1"/>
  <c r="D70" i="127"/>
  <c r="E70" i="127" s="1"/>
  <c r="H70" i="127" s="1"/>
  <c r="I70" i="127" s="1"/>
  <c r="J70" i="127" s="1"/>
  <c r="L70" i="127" s="1"/>
  <c r="D70" i="130"/>
  <c r="E70" i="130" s="1"/>
  <c r="H70" i="130" s="1"/>
  <c r="I70" i="130" s="1"/>
  <c r="J70" i="130" s="1"/>
  <c r="L70" i="130" s="1"/>
  <c r="D70" i="125"/>
  <c r="E70" i="125" s="1"/>
  <c r="H70" i="125" s="1"/>
  <c r="I70" i="125" s="1"/>
  <c r="J70" i="125" s="1"/>
  <c r="L70" i="125" s="1"/>
  <c r="D70" i="115"/>
  <c r="E70" i="115" s="1"/>
  <c r="H70" i="115" s="1"/>
  <c r="D70" i="117"/>
  <c r="E70" i="117" s="1"/>
  <c r="H70" i="117" s="1"/>
  <c r="D70" i="119"/>
  <c r="E70" i="119" s="1"/>
  <c r="H70" i="119" s="1"/>
  <c r="D70" i="113"/>
  <c r="E70" i="113" s="1"/>
  <c r="H70" i="113" s="1"/>
  <c r="D70" i="129"/>
  <c r="E70" i="129" s="1"/>
  <c r="H70" i="129" s="1"/>
  <c r="I70" i="129" s="1"/>
  <c r="J70" i="129" s="1"/>
  <c r="L70" i="129" s="1"/>
  <c r="D70" i="84"/>
  <c r="E70" i="84" s="1"/>
  <c r="H70" i="84" s="1"/>
  <c r="F70" i="90"/>
  <c r="G70" i="90" s="1"/>
  <c r="I70" i="90" s="1"/>
  <c r="D70" i="87"/>
  <c r="E70" i="87" s="1"/>
  <c r="G70" i="87" s="1"/>
  <c r="D70" i="89"/>
  <c r="E70" i="89" s="1"/>
  <c r="G70" i="89" s="1"/>
  <c r="D70" i="92"/>
  <c r="E70" i="92" s="1"/>
  <c r="G70" i="92" s="1"/>
  <c r="D70" i="126"/>
  <c r="E70" i="126" s="1"/>
  <c r="H70" i="126" s="1"/>
  <c r="I70" i="126" s="1"/>
  <c r="J70" i="126" s="1"/>
  <c r="L70" i="126" s="1"/>
  <c r="D70" i="128"/>
  <c r="E70" i="128" s="1"/>
  <c r="H70" i="128" s="1"/>
  <c r="I70" i="128" s="1"/>
  <c r="J70" i="128" s="1"/>
  <c r="L70" i="128" s="1"/>
  <c r="D70" i="131"/>
  <c r="E70" i="131" s="1"/>
  <c r="H70" i="131" s="1"/>
  <c r="I70" i="131" s="1"/>
  <c r="J70" i="131" s="1"/>
  <c r="L70" i="131" s="1"/>
  <c r="D70" i="114"/>
  <c r="E70" i="114" s="1"/>
  <c r="H70" i="114" s="1"/>
  <c r="D70" i="116"/>
  <c r="E70" i="116" s="1"/>
  <c r="H70" i="116" s="1"/>
  <c r="D70" i="118"/>
  <c r="E70" i="118" s="1"/>
  <c r="H70" i="118" s="1"/>
  <c r="D70" i="120"/>
  <c r="E70" i="120" s="1"/>
  <c r="H70" i="120" s="1"/>
  <c r="D70" i="99"/>
  <c r="E70" i="99" s="1"/>
  <c r="H70" i="99" s="1"/>
  <c r="D70" i="98"/>
  <c r="E70" i="98" s="1"/>
  <c r="H70" i="98" s="1"/>
  <c r="D70" i="83"/>
  <c r="E70" i="83" s="1"/>
  <c r="H70" i="83" s="1"/>
  <c r="D70" i="67"/>
  <c r="E70" i="67" s="1"/>
  <c r="F70" i="67" s="1"/>
  <c r="G70" i="67" s="1"/>
  <c r="D42" i="86"/>
  <c r="E42" i="86" s="1"/>
  <c r="G42" i="86" s="1"/>
  <c r="D42" i="88"/>
  <c r="E42" i="88" s="1"/>
  <c r="G42" i="88" s="1"/>
  <c r="D42" i="91"/>
  <c r="E42" i="91" s="1"/>
  <c r="G42" i="91" s="1"/>
  <c r="D42" i="85"/>
  <c r="E42" i="85" s="1"/>
  <c r="G42" i="85" s="1"/>
  <c r="D42" i="127"/>
  <c r="E42" i="127" s="1"/>
  <c r="H42" i="127" s="1"/>
  <c r="I42" i="127" s="1"/>
  <c r="J42" i="127" s="1"/>
  <c r="L42" i="127" s="1"/>
  <c r="D42" i="131"/>
  <c r="E42" i="131" s="1"/>
  <c r="H42" i="131" s="1"/>
  <c r="I42" i="131" s="1"/>
  <c r="J42" i="131" s="1"/>
  <c r="L42" i="131" s="1"/>
  <c r="D42" i="114"/>
  <c r="E42" i="114" s="1"/>
  <c r="H42" i="114" s="1"/>
  <c r="D42" i="116"/>
  <c r="E42" i="116" s="1"/>
  <c r="H42" i="116" s="1"/>
  <c r="D42" i="118"/>
  <c r="E42" i="118" s="1"/>
  <c r="H42" i="118" s="1"/>
  <c r="D42" i="120"/>
  <c r="E42" i="120" s="1"/>
  <c r="H42" i="120" s="1"/>
  <c r="D3" i="31"/>
  <c r="D42" i="128"/>
  <c r="E42" i="128" s="1"/>
  <c r="H42" i="128" s="1"/>
  <c r="I42" i="128" s="1"/>
  <c r="J42" i="128" s="1"/>
  <c r="L42" i="128" s="1"/>
  <c r="D42" i="98"/>
  <c r="E42" i="98" s="1"/>
  <c r="H42" i="98" s="1"/>
  <c r="D42" i="83"/>
  <c r="E42" i="83" s="1"/>
  <c r="H42" i="83" s="1"/>
  <c r="K42" i="83" s="1"/>
  <c r="O42" i="83" s="1"/>
  <c r="F42" i="90"/>
  <c r="G42" i="90" s="1"/>
  <c r="I42" i="90" s="1"/>
  <c r="D42" i="87"/>
  <c r="E42" i="87" s="1"/>
  <c r="G42" i="87" s="1"/>
  <c r="D42" i="89"/>
  <c r="E42" i="89" s="1"/>
  <c r="G42" i="89" s="1"/>
  <c r="D42" i="92"/>
  <c r="E42" i="92" s="1"/>
  <c r="G42" i="92" s="1"/>
  <c r="D42" i="126"/>
  <c r="E42" i="126" s="1"/>
  <c r="H42" i="126" s="1"/>
  <c r="I42" i="126" s="1"/>
  <c r="J42" i="126" s="1"/>
  <c r="L42" i="126" s="1"/>
  <c r="D42" i="130"/>
  <c r="E42" i="130" s="1"/>
  <c r="H42" i="130" s="1"/>
  <c r="I42" i="130" s="1"/>
  <c r="J42" i="130" s="1"/>
  <c r="L42" i="130" s="1"/>
  <c r="D42" i="125"/>
  <c r="E42" i="125" s="1"/>
  <c r="H42" i="125" s="1"/>
  <c r="I42" i="125" s="1"/>
  <c r="J42" i="125" s="1"/>
  <c r="L42" i="125" s="1"/>
  <c r="D42" i="115"/>
  <c r="E42" i="115" s="1"/>
  <c r="H42" i="115" s="1"/>
  <c r="D42" i="117"/>
  <c r="E42" i="117" s="1"/>
  <c r="H42" i="117" s="1"/>
  <c r="D42" i="119"/>
  <c r="E42" i="119" s="1"/>
  <c r="H42" i="119" s="1"/>
  <c r="D42" i="113"/>
  <c r="E42" i="113" s="1"/>
  <c r="H42" i="113" s="1"/>
  <c r="D42" i="99"/>
  <c r="E42" i="99" s="1"/>
  <c r="H42" i="99" s="1"/>
  <c r="D42" i="129"/>
  <c r="E42" i="129" s="1"/>
  <c r="H42" i="129" s="1"/>
  <c r="I42" i="129" s="1"/>
  <c r="J42" i="129" s="1"/>
  <c r="L42" i="129" s="1"/>
  <c r="D42" i="84"/>
  <c r="E42" i="84" s="1"/>
  <c r="H42" i="84" s="1"/>
  <c r="D42" i="67"/>
  <c r="E42" i="67" s="1"/>
  <c r="F42" i="67" s="1"/>
  <c r="G42" i="67" s="1"/>
  <c r="D71" i="87"/>
  <c r="E71" i="87" s="1"/>
  <c r="G71" i="87" s="1"/>
  <c r="D71" i="89"/>
  <c r="E71" i="89" s="1"/>
  <c r="G71" i="89" s="1"/>
  <c r="D71" i="92"/>
  <c r="E71" i="92" s="1"/>
  <c r="G71" i="92" s="1"/>
  <c r="D71" i="126"/>
  <c r="E71" i="126" s="1"/>
  <c r="H71" i="126" s="1"/>
  <c r="I71" i="126" s="1"/>
  <c r="J71" i="126" s="1"/>
  <c r="L71" i="126" s="1"/>
  <c r="D71" i="128"/>
  <c r="E71" i="128" s="1"/>
  <c r="H71" i="128" s="1"/>
  <c r="I71" i="128" s="1"/>
  <c r="J71" i="128" s="1"/>
  <c r="L71" i="128" s="1"/>
  <c r="D71" i="85"/>
  <c r="E71" i="85" s="1"/>
  <c r="G71" i="85" s="1"/>
  <c r="D71" i="84"/>
  <c r="E71" i="84" s="1"/>
  <c r="H71" i="84" s="1"/>
  <c r="D71" i="131"/>
  <c r="E71" i="131" s="1"/>
  <c r="H71" i="131" s="1"/>
  <c r="I71" i="131" s="1"/>
  <c r="J71" i="131" s="1"/>
  <c r="L71" i="131" s="1"/>
  <c r="D71" i="114"/>
  <c r="E71" i="114" s="1"/>
  <c r="H71" i="114" s="1"/>
  <c r="D71" i="116"/>
  <c r="E71" i="116" s="1"/>
  <c r="H71" i="116" s="1"/>
  <c r="D71" i="118"/>
  <c r="E71" i="118" s="1"/>
  <c r="H71" i="118" s="1"/>
  <c r="D71" i="120"/>
  <c r="E71" i="120" s="1"/>
  <c r="H71" i="120" s="1"/>
  <c r="D71" i="99"/>
  <c r="E71" i="99" s="1"/>
  <c r="H71" i="99" s="1"/>
  <c r="D71" i="86"/>
  <c r="E71" i="86" s="1"/>
  <c r="G71" i="86" s="1"/>
  <c r="D71" i="88"/>
  <c r="E71" i="88" s="1"/>
  <c r="G71" i="88" s="1"/>
  <c r="D71" i="91"/>
  <c r="E71" i="91" s="1"/>
  <c r="G71" i="91" s="1"/>
  <c r="F71" i="90"/>
  <c r="G71" i="90" s="1"/>
  <c r="I71" i="90" s="1"/>
  <c r="D71" i="127"/>
  <c r="E71" i="127" s="1"/>
  <c r="H71" i="127" s="1"/>
  <c r="I71" i="127" s="1"/>
  <c r="J71" i="127" s="1"/>
  <c r="L71" i="127" s="1"/>
  <c r="D71" i="129"/>
  <c r="E71" i="129" s="1"/>
  <c r="H71" i="129" s="1"/>
  <c r="I71" i="129" s="1"/>
  <c r="J71" i="129" s="1"/>
  <c r="L71" i="129" s="1"/>
  <c r="D71" i="98"/>
  <c r="E71" i="98" s="1"/>
  <c r="H71" i="98" s="1"/>
  <c r="D71" i="130"/>
  <c r="E71" i="130" s="1"/>
  <c r="H71" i="130" s="1"/>
  <c r="I71" i="130" s="1"/>
  <c r="J71" i="130" s="1"/>
  <c r="L71" i="130" s="1"/>
  <c r="D71" i="125"/>
  <c r="E71" i="125" s="1"/>
  <c r="H71" i="125" s="1"/>
  <c r="I71" i="125" s="1"/>
  <c r="J71" i="125" s="1"/>
  <c r="L71" i="125" s="1"/>
  <c r="D71" i="115"/>
  <c r="E71" i="115" s="1"/>
  <c r="H71" i="115" s="1"/>
  <c r="D71" i="117"/>
  <c r="E71" i="117" s="1"/>
  <c r="H71" i="117" s="1"/>
  <c r="D71" i="119"/>
  <c r="E71" i="119" s="1"/>
  <c r="H71" i="119" s="1"/>
  <c r="D71" i="113"/>
  <c r="E71" i="113" s="1"/>
  <c r="H71" i="113" s="1"/>
  <c r="D71" i="83"/>
  <c r="E71" i="83" s="1"/>
  <c r="H71" i="83" s="1"/>
  <c r="K71" i="83" s="1"/>
  <c r="O71" i="83" s="1"/>
  <c r="D71" i="67"/>
  <c r="E71" i="67" s="1"/>
  <c r="F71" i="67" s="1"/>
  <c r="G71" i="67" s="1"/>
  <c r="D48" i="86"/>
  <c r="E48" i="86" s="1"/>
  <c r="G48" i="86" s="1"/>
  <c r="D48" i="88"/>
  <c r="E48" i="88" s="1"/>
  <c r="G48" i="88" s="1"/>
  <c r="D48" i="91"/>
  <c r="E48" i="91" s="1"/>
  <c r="G48" i="91" s="1"/>
  <c r="D48" i="85"/>
  <c r="E48" i="85" s="1"/>
  <c r="G48" i="85" s="1"/>
  <c r="D48" i="127"/>
  <c r="E48" i="127" s="1"/>
  <c r="H48" i="127" s="1"/>
  <c r="I48" i="127" s="1"/>
  <c r="J48" i="127" s="1"/>
  <c r="L48" i="127" s="1"/>
  <c r="D48" i="129"/>
  <c r="E48" i="129" s="1"/>
  <c r="H48" i="129" s="1"/>
  <c r="I48" i="129" s="1"/>
  <c r="J48" i="129" s="1"/>
  <c r="L48" i="129" s="1"/>
  <c r="D48" i="131"/>
  <c r="E48" i="131" s="1"/>
  <c r="H48" i="131" s="1"/>
  <c r="I48" i="131" s="1"/>
  <c r="J48" i="131" s="1"/>
  <c r="L48" i="131" s="1"/>
  <c r="D48" i="114"/>
  <c r="E48" i="114" s="1"/>
  <c r="H48" i="114" s="1"/>
  <c r="D48" i="116"/>
  <c r="E48" i="116" s="1"/>
  <c r="H48" i="116" s="1"/>
  <c r="D48" i="118"/>
  <c r="E48" i="118" s="1"/>
  <c r="H48" i="118" s="1"/>
  <c r="D48" i="120"/>
  <c r="E48" i="120" s="1"/>
  <c r="H48" i="120" s="1"/>
  <c r="D48" i="99"/>
  <c r="E48" i="99" s="1"/>
  <c r="H48" i="99" s="1"/>
  <c r="D48" i="84"/>
  <c r="E48" i="84" s="1"/>
  <c r="H48" i="84" s="1"/>
  <c r="F48" i="90"/>
  <c r="G48" i="90" s="1"/>
  <c r="I48" i="90" s="1"/>
  <c r="D48" i="87"/>
  <c r="E48" i="87" s="1"/>
  <c r="G48" i="87" s="1"/>
  <c r="D48" i="89"/>
  <c r="E48" i="89" s="1"/>
  <c r="G48" i="89" s="1"/>
  <c r="D48" i="92"/>
  <c r="E48" i="92" s="1"/>
  <c r="G48" i="92" s="1"/>
  <c r="D48" i="126"/>
  <c r="E48" i="126" s="1"/>
  <c r="H48" i="126" s="1"/>
  <c r="I48" i="126" s="1"/>
  <c r="J48" i="126" s="1"/>
  <c r="L48" i="126" s="1"/>
  <c r="D48" i="128"/>
  <c r="E48" i="128" s="1"/>
  <c r="H48" i="128" s="1"/>
  <c r="I48" i="128" s="1"/>
  <c r="J48" i="128" s="1"/>
  <c r="L48" i="128" s="1"/>
  <c r="D48" i="130"/>
  <c r="E48" i="130" s="1"/>
  <c r="H48" i="130" s="1"/>
  <c r="I48" i="130" s="1"/>
  <c r="J48" i="130" s="1"/>
  <c r="L48" i="130" s="1"/>
  <c r="D48" i="125"/>
  <c r="E48" i="125" s="1"/>
  <c r="H48" i="125" s="1"/>
  <c r="I48" i="125" s="1"/>
  <c r="J48" i="125" s="1"/>
  <c r="L48" i="125" s="1"/>
  <c r="D48" i="115"/>
  <c r="E48" i="115" s="1"/>
  <c r="H48" i="115" s="1"/>
  <c r="D48" i="117"/>
  <c r="E48" i="117" s="1"/>
  <c r="H48" i="117" s="1"/>
  <c r="D48" i="119"/>
  <c r="E48" i="119" s="1"/>
  <c r="H48" i="119" s="1"/>
  <c r="D48" i="113"/>
  <c r="E48" i="113" s="1"/>
  <c r="H48" i="113" s="1"/>
  <c r="D48" i="98"/>
  <c r="E48" i="98" s="1"/>
  <c r="H48" i="98" s="1"/>
  <c r="D48" i="83"/>
  <c r="E48" i="83" s="1"/>
  <c r="H48" i="83" s="1"/>
  <c r="K48" i="83" s="1"/>
  <c r="O48" i="83" s="1"/>
  <c r="D48" i="67"/>
  <c r="E48" i="67" s="1"/>
  <c r="F48" i="67" s="1"/>
  <c r="G48" i="67" s="1"/>
  <c r="BW19" i="1"/>
  <c r="CI19" i="1" s="1"/>
  <c r="BV19" i="1"/>
  <c r="BW15" i="1"/>
  <c r="BX15" i="1" s="1"/>
  <c r="BV15" i="1"/>
  <c r="BW52" i="1"/>
  <c r="CI52" i="1" s="1"/>
  <c r="BV52" i="1"/>
  <c r="BW41" i="1"/>
  <c r="CI41" i="1" s="1"/>
  <c r="BV41" i="1"/>
  <c r="BW65" i="1"/>
  <c r="CE65" i="1" s="1"/>
  <c r="BY65" i="1" s="1"/>
  <c r="BV65" i="1"/>
  <c r="BW31" i="1"/>
  <c r="CE31" i="1" s="1"/>
  <c r="BV31" i="1"/>
  <c r="BW27" i="1"/>
  <c r="BX27" i="1" s="1"/>
  <c r="BV27" i="1"/>
  <c r="BW59" i="1"/>
  <c r="BX59" i="1" s="1"/>
  <c r="BV59" i="1"/>
  <c r="BW60" i="1"/>
  <c r="BX60" i="1" s="1"/>
  <c r="BV60" i="1"/>
  <c r="BW23" i="1"/>
  <c r="CI23" i="1" s="1"/>
  <c r="BV23" i="1"/>
  <c r="BW62" i="1"/>
  <c r="C60" i="33" s="1"/>
  <c r="BV62" i="1"/>
  <c r="BW20" i="1"/>
  <c r="CI20" i="1" s="1"/>
  <c r="BV20" i="1"/>
  <c r="BW63" i="1"/>
  <c r="C61" i="33" s="1"/>
  <c r="BV63" i="1"/>
  <c r="BW72" i="1"/>
  <c r="BW44" i="1"/>
  <c r="BW73" i="1"/>
  <c r="BW50" i="1"/>
  <c r="BU56" i="1"/>
  <c r="BV56" i="1" s="1"/>
  <c r="BU17" i="1"/>
  <c r="BV17" i="1" s="1"/>
  <c r="BU11" i="1"/>
  <c r="BV11" i="1" s="1"/>
  <c r="BU30" i="1"/>
  <c r="BV30" i="1" s="1"/>
  <c r="BU13" i="1"/>
  <c r="BV13" i="1" s="1"/>
  <c r="BU47" i="1"/>
  <c r="BV47" i="1" s="1"/>
  <c r="BU18" i="1"/>
  <c r="BV18" i="1" s="1"/>
  <c r="BU46" i="1"/>
  <c r="BV46" i="1" s="1"/>
  <c r="BU68" i="1"/>
  <c r="BV68" i="1" s="1"/>
  <c r="BU14" i="1"/>
  <c r="BV14" i="1" s="1"/>
  <c r="BU28" i="1"/>
  <c r="BV28" i="1" s="1"/>
  <c r="BU69" i="1"/>
  <c r="BV69" i="1" s="1"/>
  <c r="BU54" i="1"/>
  <c r="BV54" i="1" s="1"/>
  <c r="BU66" i="1"/>
  <c r="BV66" i="1" s="1"/>
  <c r="BU61" i="1"/>
  <c r="BV61" i="1" s="1"/>
  <c r="BU22" i="1"/>
  <c r="BV22" i="1" s="1"/>
  <c r="BU32" i="1"/>
  <c r="BV32" i="1" s="1"/>
  <c r="BU38" i="1"/>
  <c r="BV38" i="1" s="1"/>
  <c r="BU35" i="1"/>
  <c r="BV35" i="1" s="1"/>
  <c r="BU51" i="1"/>
  <c r="BV51" i="1" s="1"/>
  <c r="BU25" i="1"/>
  <c r="BV25" i="1" s="1"/>
  <c r="BU64" i="1"/>
  <c r="BV64" i="1" s="1"/>
  <c r="D76" i="114" s="1"/>
  <c r="BU67" i="1"/>
  <c r="BV67" i="1" s="1"/>
  <c r="BU37" i="1"/>
  <c r="BV37" i="1" s="1"/>
  <c r="BU12" i="1"/>
  <c r="BV12" i="1" s="1"/>
  <c r="BU34" i="1"/>
  <c r="BV34" i="1" s="1"/>
  <c r="BU75" i="1"/>
  <c r="BV75" i="1" s="1"/>
  <c r="BU74" i="1"/>
  <c r="BV74" i="1" s="1"/>
  <c r="BU71" i="1"/>
  <c r="BV71" i="1" s="1"/>
  <c r="BU77" i="1"/>
  <c r="BV77" i="1" s="1"/>
  <c r="BU58" i="1"/>
  <c r="BV58" i="1" s="1"/>
  <c r="BU57" i="1"/>
  <c r="BV57" i="1" s="1"/>
  <c r="BU55" i="1"/>
  <c r="BV55" i="1" s="1"/>
  <c r="BU70" i="1"/>
  <c r="BV70" i="1" s="1"/>
  <c r="BU43" i="1"/>
  <c r="BV43" i="1" s="1"/>
  <c r="BU40" i="1"/>
  <c r="BV40" i="1" s="1"/>
  <c r="BU33" i="1"/>
  <c r="BV33" i="1" s="1"/>
  <c r="BU29" i="1"/>
  <c r="BV29" i="1" s="1"/>
  <c r="BU76" i="1"/>
  <c r="BV76" i="1" s="1"/>
  <c r="BU24" i="1"/>
  <c r="BV24" i="1" s="1"/>
  <c r="BU39" i="1"/>
  <c r="BV39" i="1" s="1"/>
  <c r="BU26" i="1"/>
  <c r="BV26" i="1" s="1"/>
  <c r="BU49" i="1"/>
  <c r="BV49" i="1" s="1"/>
  <c r="BU16" i="1"/>
  <c r="BV16" i="1" s="1"/>
  <c r="BU53" i="1"/>
  <c r="BV53" i="1" s="1"/>
  <c r="BU42" i="1"/>
  <c r="BV42" i="1" s="1"/>
  <c r="BU48" i="1"/>
  <c r="BV48" i="1" s="1"/>
  <c r="BU21" i="1"/>
  <c r="BV21" i="1" s="1"/>
  <c r="BU45" i="1"/>
  <c r="BV45" i="1" s="1"/>
  <c r="BU36" i="1"/>
  <c r="BV36" i="1" s="1"/>
  <c r="CE19" i="1" l="1"/>
  <c r="CF19" i="1" s="1"/>
  <c r="C50" i="33"/>
  <c r="C13" i="33"/>
  <c r="K70" i="83"/>
  <c r="O70" i="83" s="1"/>
  <c r="BX65" i="1"/>
  <c r="CE41" i="1"/>
  <c r="CD41" i="1" s="1"/>
  <c r="C21" i="33"/>
  <c r="BX31" i="1"/>
  <c r="CI63" i="1"/>
  <c r="CE59" i="1"/>
  <c r="BY59" i="1" s="1"/>
  <c r="C63" i="33"/>
  <c r="C39" i="33"/>
  <c r="BX52" i="1"/>
  <c r="CE15" i="1"/>
  <c r="C17" i="33"/>
  <c r="BY41" i="1"/>
  <c r="CI62" i="1"/>
  <c r="C58" i="33"/>
  <c r="CI27" i="1"/>
  <c r="CD19" i="1"/>
  <c r="BX20" i="1"/>
  <c r="BX23" i="1"/>
  <c r="CE60" i="1"/>
  <c r="CD60" i="1" s="1"/>
  <c r="CI59" i="1"/>
  <c r="CE27" i="1"/>
  <c r="CF27" i="1" s="1"/>
  <c r="CF41" i="1"/>
  <c r="BX63" i="1"/>
  <c r="C18" i="33"/>
  <c r="BX62" i="1"/>
  <c r="C29" i="33"/>
  <c r="CD31" i="1"/>
  <c r="CF31" i="1"/>
  <c r="BY19" i="1"/>
  <c r="CF15" i="1"/>
  <c r="CE63" i="1"/>
  <c r="CE20" i="1"/>
  <c r="BY20" i="1" s="1"/>
  <c r="CE62" i="1"/>
  <c r="CF62" i="1" s="1"/>
  <c r="CE23" i="1"/>
  <c r="CI60" i="1"/>
  <c r="C57" i="33"/>
  <c r="C25" i="33"/>
  <c r="CI31" i="1"/>
  <c r="CI65" i="1"/>
  <c r="BX41" i="1"/>
  <c r="CE52" i="1"/>
  <c r="CF52" i="1" s="1"/>
  <c r="CI15" i="1"/>
  <c r="BX19" i="1"/>
  <c r="D40" i="80"/>
  <c r="I40" i="80" s="1"/>
  <c r="D40" i="76"/>
  <c r="I40" i="76" s="1"/>
  <c r="D43" i="76"/>
  <c r="I43" i="76" s="1"/>
  <c r="D43" i="80"/>
  <c r="I43" i="80" s="1"/>
  <c r="D48" i="80"/>
  <c r="I48" i="80" s="1"/>
  <c r="D48" i="76"/>
  <c r="I48" i="76" s="1"/>
  <c r="D44" i="80"/>
  <c r="I44" i="80" s="1"/>
  <c r="D44" i="76"/>
  <c r="I44" i="76" s="1"/>
  <c r="D34" i="80"/>
  <c r="I34" i="80" s="1"/>
  <c r="D34" i="76"/>
  <c r="I34" i="76" s="1"/>
  <c r="D71" i="76"/>
  <c r="I71" i="76" s="1"/>
  <c r="D71" i="80"/>
  <c r="I71" i="80" s="1"/>
  <c r="D28" i="80"/>
  <c r="I28" i="80" s="1"/>
  <c r="D28" i="76"/>
  <c r="I28" i="76" s="1"/>
  <c r="D38" i="80"/>
  <c r="I38" i="80" s="1"/>
  <c r="D38" i="76"/>
  <c r="I38" i="76" s="1"/>
  <c r="D50" i="80"/>
  <c r="I50" i="80" s="1"/>
  <c r="D50" i="76"/>
  <c r="I50" i="76" s="1"/>
  <c r="D53" i="76"/>
  <c r="I53" i="76" s="1"/>
  <c r="D53" i="80"/>
  <c r="I53" i="80" s="1"/>
  <c r="D66" i="80"/>
  <c r="I66" i="80" s="1"/>
  <c r="D66" i="76"/>
  <c r="I66" i="76" s="1"/>
  <c r="D70" i="80"/>
  <c r="I70" i="80" s="1"/>
  <c r="D70" i="76"/>
  <c r="I70" i="76" s="1"/>
  <c r="D7" i="76"/>
  <c r="I7" i="76" s="1"/>
  <c r="D7" i="80"/>
  <c r="I7" i="80" s="1"/>
  <c r="D62" i="80"/>
  <c r="I62" i="80" s="1"/>
  <c r="D62" i="76"/>
  <c r="I62" i="76" s="1"/>
  <c r="D20" i="80"/>
  <c r="I20" i="80" s="1"/>
  <c r="D20" i="76"/>
  <c r="I20" i="76" s="1"/>
  <c r="D30" i="80"/>
  <c r="I30" i="80" s="1"/>
  <c r="D30" i="76"/>
  <c r="I30" i="76" s="1"/>
  <c r="D27" i="76"/>
  <c r="I27" i="76" s="1"/>
  <c r="D27" i="80"/>
  <c r="I27" i="80" s="1"/>
  <c r="D56" i="80"/>
  <c r="I56" i="80" s="1"/>
  <c r="D56" i="76"/>
  <c r="I56" i="76" s="1"/>
  <c r="D49" i="76"/>
  <c r="I49" i="76" s="1"/>
  <c r="D49" i="80"/>
  <c r="I49" i="80" s="1"/>
  <c r="D23" i="76"/>
  <c r="I23" i="76" s="1"/>
  <c r="D23" i="80"/>
  <c r="I23" i="80" s="1"/>
  <c r="D63" i="76"/>
  <c r="I63" i="76" s="1"/>
  <c r="D63" i="80"/>
  <c r="I63" i="80" s="1"/>
  <c r="D13" i="76"/>
  <c r="I13" i="76" s="1"/>
  <c r="D13" i="80"/>
  <c r="I13" i="80" s="1"/>
  <c r="D8" i="80"/>
  <c r="I8" i="80" s="1"/>
  <c r="D8" i="76"/>
  <c r="I8" i="76" s="1"/>
  <c r="D6" i="80"/>
  <c r="I6" i="80" s="1"/>
  <c r="D6" i="76"/>
  <c r="I6" i="76" s="1"/>
  <c r="D51" i="76"/>
  <c r="I51" i="76" s="1"/>
  <c r="D51" i="80"/>
  <c r="I51" i="80" s="1"/>
  <c r="D58" i="80"/>
  <c r="I58" i="80" s="1"/>
  <c r="D58" i="76"/>
  <c r="I58" i="76" s="1"/>
  <c r="D15" i="76"/>
  <c r="I15" i="76" s="1"/>
  <c r="D15" i="80"/>
  <c r="I15" i="80" s="1"/>
  <c r="D57" i="76"/>
  <c r="I57" i="76" s="1"/>
  <c r="D57" i="80"/>
  <c r="I57" i="80" s="1"/>
  <c r="D18" i="80"/>
  <c r="I18" i="80" s="1"/>
  <c r="D18" i="76"/>
  <c r="I18" i="76" s="1"/>
  <c r="D55" i="76"/>
  <c r="I55" i="76" s="1"/>
  <c r="D55" i="80"/>
  <c r="I55" i="80" s="1"/>
  <c r="D54" i="80"/>
  <c r="I54" i="80" s="1"/>
  <c r="D54" i="76"/>
  <c r="I54" i="76" s="1"/>
  <c r="D22" i="80"/>
  <c r="I22" i="80" s="1"/>
  <c r="D22" i="76"/>
  <c r="I22" i="76" s="1"/>
  <c r="D26" i="80"/>
  <c r="I26" i="80" s="1"/>
  <c r="D26" i="76"/>
  <c r="I26" i="76" s="1"/>
  <c r="D60" i="80"/>
  <c r="I60" i="80" s="1"/>
  <c r="D60" i="76"/>
  <c r="I60" i="76" s="1"/>
  <c r="D36" i="80"/>
  <c r="I36" i="80" s="1"/>
  <c r="D36" i="76"/>
  <c r="I36" i="76" s="1"/>
  <c r="D47" i="76"/>
  <c r="I47" i="76" s="1"/>
  <c r="D47" i="80"/>
  <c r="I47" i="80" s="1"/>
  <c r="D10" i="80"/>
  <c r="I10" i="80" s="1"/>
  <c r="D10" i="76"/>
  <c r="I10" i="76" s="1"/>
  <c r="D14" i="80"/>
  <c r="I14" i="80" s="1"/>
  <c r="D14" i="76"/>
  <c r="I14" i="76" s="1"/>
  <c r="D31" i="76"/>
  <c r="I31" i="76" s="1"/>
  <c r="D31" i="80"/>
  <c r="I31" i="80" s="1"/>
  <c r="D16" i="80"/>
  <c r="I16" i="80" s="1"/>
  <c r="D16" i="76"/>
  <c r="I16" i="76" s="1"/>
  <c r="D37" i="76"/>
  <c r="I37" i="76" s="1"/>
  <c r="D37" i="80"/>
  <c r="I37" i="80" s="1"/>
  <c r="D11" i="76"/>
  <c r="I11" i="76" s="1"/>
  <c r="D11" i="80"/>
  <c r="I11" i="80" s="1"/>
  <c r="D21" i="76"/>
  <c r="I21" i="76" s="1"/>
  <c r="D21" i="80"/>
  <c r="I21" i="80" s="1"/>
  <c r="D19" i="76"/>
  <c r="I19" i="76" s="1"/>
  <c r="D19" i="80"/>
  <c r="I19" i="80" s="1"/>
  <c r="D24" i="80"/>
  <c r="I24" i="80" s="1"/>
  <c r="D24" i="76"/>
  <c r="I24" i="76" s="1"/>
  <c r="D35" i="76"/>
  <c r="I35" i="76" s="1"/>
  <c r="D35" i="80"/>
  <c r="I35" i="80" s="1"/>
  <c r="D65" i="76"/>
  <c r="I65" i="76" s="1"/>
  <c r="D65" i="80"/>
  <c r="I65" i="80" s="1"/>
  <c r="D52" i="80"/>
  <c r="I52" i="80" s="1"/>
  <c r="D52" i="76"/>
  <c r="I52" i="76" s="1"/>
  <c r="D72" i="80"/>
  <c r="I72" i="80" s="1"/>
  <c r="D72" i="76"/>
  <c r="I72" i="76" s="1"/>
  <c r="D69" i="76"/>
  <c r="I69" i="76" s="1"/>
  <c r="D69" i="80"/>
  <c r="I69" i="80" s="1"/>
  <c r="D29" i="76"/>
  <c r="I29" i="76" s="1"/>
  <c r="D29" i="80"/>
  <c r="I29" i="80" s="1"/>
  <c r="D32" i="80"/>
  <c r="I32" i="80" s="1"/>
  <c r="D32" i="76"/>
  <c r="I32" i="76" s="1"/>
  <c r="D59" i="76"/>
  <c r="I59" i="76" s="1"/>
  <c r="D59" i="80"/>
  <c r="I59" i="80" s="1"/>
  <c r="D46" i="80"/>
  <c r="I46" i="80" s="1"/>
  <c r="D46" i="76"/>
  <c r="I46" i="76" s="1"/>
  <c r="D33" i="76"/>
  <c r="I33" i="76" s="1"/>
  <c r="D33" i="80"/>
  <c r="I33" i="80" s="1"/>
  <c r="D17" i="76"/>
  <c r="I17" i="76" s="1"/>
  <c r="D17" i="80"/>
  <c r="I17" i="80" s="1"/>
  <c r="D61" i="76"/>
  <c r="I61" i="76" s="1"/>
  <c r="D61" i="80"/>
  <c r="I61" i="80" s="1"/>
  <c r="D64" i="80"/>
  <c r="I64" i="80" s="1"/>
  <c r="D64" i="76"/>
  <c r="I64" i="76" s="1"/>
  <c r="D9" i="76"/>
  <c r="I9" i="76" s="1"/>
  <c r="D9" i="80"/>
  <c r="I9" i="80" s="1"/>
  <c r="D41" i="76"/>
  <c r="I41" i="76" s="1"/>
  <c r="D41" i="80"/>
  <c r="I41" i="80" s="1"/>
  <c r="D42" i="80"/>
  <c r="I42" i="80" s="1"/>
  <c r="D42" i="76"/>
  <c r="I42" i="76" s="1"/>
  <c r="D25" i="76"/>
  <c r="I25" i="76" s="1"/>
  <c r="D25" i="80"/>
  <c r="I25" i="80" s="1"/>
  <c r="D12" i="80"/>
  <c r="I12" i="80" s="1"/>
  <c r="D12" i="76"/>
  <c r="I12" i="76" s="1"/>
  <c r="BY23" i="1"/>
  <c r="BY31" i="1"/>
  <c r="CD20" i="1"/>
  <c r="CF65" i="1"/>
  <c r="CF20" i="1"/>
  <c r="CD65" i="1"/>
  <c r="D34" i="86"/>
  <c r="E34" i="86" s="1"/>
  <c r="G34" i="86" s="1"/>
  <c r="D34" i="88"/>
  <c r="E34" i="88" s="1"/>
  <c r="G34" i="88" s="1"/>
  <c r="D34" i="91"/>
  <c r="E34" i="91" s="1"/>
  <c r="G34" i="91" s="1"/>
  <c r="D34" i="85"/>
  <c r="E34" i="85" s="1"/>
  <c r="G34" i="85" s="1"/>
  <c r="D34" i="127"/>
  <c r="E34" i="127" s="1"/>
  <c r="H34" i="127" s="1"/>
  <c r="I34" i="127" s="1"/>
  <c r="J34" i="127" s="1"/>
  <c r="L34" i="127" s="1"/>
  <c r="D34" i="131"/>
  <c r="E34" i="131" s="1"/>
  <c r="H34" i="131" s="1"/>
  <c r="I34" i="131" s="1"/>
  <c r="J34" i="131" s="1"/>
  <c r="L34" i="131" s="1"/>
  <c r="D34" i="114"/>
  <c r="E34" i="114" s="1"/>
  <c r="H34" i="114" s="1"/>
  <c r="D34" i="116"/>
  <c r="E34" i="116" s="1"/>
  <c r="H34" i="116" s="1"/>
  <c r="D34" i="118"/>
  <c r="E34" i="118" s="1"/>
  <c r="H34" i="118" s="1"/>
  <c r="D34" i="120"/>
  <c r="E34" i="120" s="1"/>
  <c r="H34" i="120" s="1"/>
  <c r="D34" i="99"/>
  <c r="E34" i="99" s="1"/>
  <c r="H34" i="99" s="1"/>
  <c r="D34" i="129"/>
  <c r="E34" i="129" s="1"/>
  <c r="H34" i="129" s="1"/>
  <c r="I34" i="129" s="1"/>
  <c r="J34" i="129" s="1"/>
  <c r="L34" i="129" s="1"/>
  <c r="D34" i="84"/>
  <c r="E34" i="84" s="1"/>
  <c r="H34" i="84" s="1"/>
  <c r="F34" i="90"/>
  <c r="G34" i="90" s="1"/>
  <c r="I34" i="90" s="1"/>
  <c r="D34" i="87"/>
  <c r="E34" i="87" s="1"/>
  <c r="G34" i="87" s="1"/>
  <c r="D34" i="89"/>
  <c r="E34" i="89" s="1"/>
  <c r="G34" i="89" s="1"/>
  <c r="D34" i="92"/>
  <c r="E34" i="92" s="1"/>
  <c r="G34" i="92" s="1"/>
  <c r="D34" i="126"/>
  <c r="E34" i="126" s="1"/>
  <c r="H34" i="126" s="1"/>
  <c r="I34" i="126" s="1"/>
  <c r="J34" i="126" s="1"/>
  <c r="L34" i="126" s="1"/>
  <c r="D34" i="130"/>
  <c r="E34" i="130" s="1"/>
  <c r="H34" i="130" s="1"/>
  <c r="I34" i="130" s="1"/>
  <c r="J34" i="130" s="1"/>
  <c r="L34" i="130" s="1"/>
  <c r="D34" i="125"/>
  <c r="E34" i="125" s="1"/>
  <c r="H34" i="125" s="1"/>
  <c r="I34" i="125" s="1"/>
  <c r="J34" i="125" s="1"/>
  <c r="L34" i="125" s="1"/>
  <c r="D34" i="115"/>
  <c r="E34" i="115" s="1"/>
  <c r="H34" i="115" s="1"/>
  <c r="D34" i="117"/>
  <c r="E34" i="117" s="1"/>
  <c r="H34" i="117" s="1"/>
  <c r="D34" i="119"/>
  <c r="E34" i="119" s="1"/>
  <c r="H34" i="119" s="1"/>
  <c r="D34" i="113"/>
  <c r="E34" i="113" s="1"/>
  <c r="H34" i="113" s="1"/>
  <c r="D34" i="128"/>
  <c r="E34" i="128" s="1"/>
  <c r="H34" i="128" s="1"/>
  <c r="I34" i="128" s="1"/>
  <c r="J34" i="128" s="1"/>
  <c r="L34" i="128" s="1"/>
  <c r="D34" i="98"/>
  <c r="E34" i="98" s="1"/>
  <c r="H34" i="98" s="1"/>
  <c r="D34" i="83"/>
  <c r="E34" i="83" s="1"/>
  <c r="H34" i="83" s="1"/>
  <c r="K34" i="83" s="1"/>
  <c r="O34" i="83" s="1"/>
  <c r="D34" i="67"/>
  <c r="E34" i="67" s="1"/>
  <c r="F34" i="67" s="1"/>
  <c r="G34" i="67" s="1"/>
  <c r="D43" i="86"/>
  <c r="E43" i="86" s="1"/>
  <c r="G43" i="86" s="1"/>
  <c r="D43" i="88"/>
  <c r="E43" i="88" s="1"/>
  <c r="G43" i="88" s="1"/>
  <c r="D43" i="91"/>
  <c r="E43" i="91" s="1"/>
  <c r="G43" i="91" s="1"/>
  <c r="D43" i="126"/>
  <c r="E43" i="126" s="1"/>
  <c r="H43" i="126" s="1"/>
  <c r="I43" i="126" s="1"/>
  <c r="J43" i="126" s="1"/>
  <c r="L43" i="126" s="1"/>
  <c r="D43" i="128"/>
  <c r="E43" i="128" s="1"/>
  <c r="H43" i="128" s="1"/>
  <c r="I43" i="128" s="1"/>
  <c r="J43" i="128" s="1"/>
  <c r="L43" i="128" s="1"/>
  <c r="D43" i="92"/>
  <c r="E43" i="92" s="1"/>
  <c r="G43" i="92" s="1"/>
  <c r="D43" i="98"/>
  <c r="E43" i="98" s="1"/>
  <c r="H43" i="98" s="1"/>
  <c r="D43" i="130"/>
  <c r="E43" i="130" s="1"/>
  <c r="H43" i="130" s="1"/>
  <c r="I43" i="130" s="1"/>
  <c r="J43" i="130" s="1"/>
  <c r="L43" i="130" s="1"/>
  <c r="D43" i="125"/>
  <c r="E43" i="125" s="1"/>
  <c r="H43" i="125" s="1"/>
  <c r="I43" i="125" s="1"/>
  <c r="J43" i="125" s="1"/>
  <c r="L43" i="125" s="1"/>
  <c r="D43" i="115"/>
  <c r="E43" i="115" s="1"/>
  <c r="H43" i="115" s="1"/>
  <c r="D43" i="117"/>
  <c r="E43" i="117" s="1"/>
  <c r="H43" i="117" s="1"/>
  <c r="D43" i="119"/>
  <c r="E43" i="119" s="1"/>
  <c r="H43" i="119" s="1"/>
  <c r="D43" i="113"/>
  <c r="E43" i="113" s="1"/>
  <c r="H43" i="113" s="1"/>
  <c r="D43" i="83"/>
  <c r="E43" i="83" s="1"/>
  <c r="H43" i="83" s="1"/>
  <c r="K43" i="83" s="1"/>
  <c r="O43" i="83" s="1"/>
  <c r="D43" i="87"/>
  <c r="E43" i="87" s="1"/>
  <c r="G43" i="87" s="1"/>
  <c r="D43" i="89"/>
  <c r="E43" i="89" s="1"/>
  <c r="G43" i="89" s="1"/>
  <c r="F43" i="90"/>
  <c r="G43" i="90" s="1"/>
  <c r="I43" i="90" s="1"/>
  <c r="D43" i="127"/>
  <c r="E43" i="127" s="1"/>
  <c r="H43" i="127" s="1"/>
  <c r="I43" i="127" s="1"/>
  <c r="J43" i="127" s="1"/>
  <c r="L43" i="127" s="1"/>
  <c r="D43" i="129"/>
  <c r="E43" i="129" s="1"/>
  <c r="H43" i="129" s="1"/>
  <c r="I43" i="129" s="1"/>
  <c r="J43" i="129" s="1"/>
  <c r="L43" i="129" s="1"/>
  <c r="D43" i="85"/>
  <c r="E43" i="85" s="1"/>
  <c r="G43" i="85" s="1"/>
  <c r="D43" i="84"/>
  <c r="E43" i="84" s="1"/>
  <c r="H43" i="84" s="1"/>
  <c r="D43" i="131"/>
  <c r="E43" i="131" s="1"/>
  <c r="H43" i="131" s="1"/>
  <c r="I43" i="131" s="1"/>
  <c r="J43" i="131" s="1"/>
  <c r="L43" i="131" s="1"/>
  <c r="D43" i="114"/>
  <c r="E43" i="114" s="1"/>
  <c r="H43" i="114" s="1"/>
  <c r="D43" i="116"/>
  <c r="E43" i="116" s="1"/>
  <c r="H43" i="116" s="1"/>
  <c r="D43" i="118"/>
  <c r="E43" i="118" s="1"/>
  <c r="H43" i="118" s="1"/>
  <c r="D43" i="120"/>
  <c r="E43" i="120" s="1"/>
  <c r="H43" i="120" s="1"/>
  <c r="D43" i="99"/>
  <c r="E43" i="99" s="1"/>
  <c r="H43" i="99" s="1"/>
  <c r="D43" i="67"/>
  <c r="E43" i="67" s="1"/>
  <c r="F43" i="67" s="1"/>
  <c r="G43" i="67" s="1"/>
  <c r="D19" i="87"/>
  <c r="E19" i="87" s="1"/>
  <c r="G19" i="87" s="1"/>
  <c r="D19" i="89"/>
  <c r="E19" i="89" s="1"/>
  <c r="G19" i="89" s="1"/>
  <c r="F19" i="90"/>
  <c r="G19" i="90" s="1"/>
  <c r="I19" i="90" s="1"/>
  <c r="D19" i="127"/>
  <c r="E19" i="127" s="1"/>
  <c r="H19" i="127" s="1"/>
  <c r="I19" i="127" s="1"/>
  <c r="J19" i="127" s="1"/>
  <c r="L19" i="127" s="1"/>
  <c r="D19" i="92"/>
  <c r="E19" i="92" s="1"/>
  <c r="G19" i="92" s="1"/>
  <c r="D19" i="98"/>
  <c r="E19" i="98" s="1"/>
  <c r="H19" i="98" s="1"/>
  <c r="D19" i="130"/>
  <c r="E19" i="130" s="1"/>
  <c r="H19" i="130" s="1"/>
  <c r="I19" i="130" s="1"/>
  <c r="J19" i="130" s="1"/>
  <c r="L19" i="130" s="1"/>
  <c r="D19" i="125"/>
  <c r="E19" i="125" s="1"/>
  <c r="H19" i="125" s="1"/>
  <c r="I19" i="125" s="1"/>
  <c r="J19" i="125" s="1"/>
  <c r="L19" i="125" s="1"/>
  <c r="D19" i="115"/>
  <c r="E19" i="115" s="1"/>
  <c r="H19" i="115" s="1"/>
  <c r="D19" i="117"/>
  <c r="E19" i="117" s="1"/>
  <c r="H19" i="117" s="1"/>
  <c r="D19" i="119"/>
  <c r="E19" i="119" s="1"/>
  <c r="H19" i="119" s="1"/>
  <c r="D19" i="113"/>
  <c r="E19" i="113" s="1"/>
  <c r="H19" i="113" s="1"/>
  <c r="D19" i="84"/>
  <c r="E19" i="84" s="1"/>
  <c r="H19" i="84" s="1"/>
  <c r="D19" i="86"/>
  <c r="E19" i="86" s="1"/>
  <c r="G19" i="86" s="1"/>
  <c r="D19" i="88"/>
  <c r="E19" i="88" s="1"/>
  <c r="G19" i="88" s="1"/>
  <c r="D19" i="91"/>
  <c r="E19" i="91" s="1"/>
  <c r="G19" i="91" s="1"/>
  <c r="D19" i="126"/>
  <c r="E19" i="126" s="1"/>
  <c r="H19" i="126" s="1"/>
  <c r="I19" i="126" s="1"/>
  <c r="J19" i="126" s="1"/>
  <c r="L19" i="126" s="1"/>
  <c r="D19" i="128"/>
  <c r="E19" i="128" s="1"/>
  <c r="H19" i="128" s="1"/>
  <c r="I19" i="128" s="1"/>
  <c r="J19" i="128" s="1"/>
  <c r="L19" i="128" s="1"/>
  <c r="D19" i="85"/>
  <c r="E19" i="85" s="1"/>
  <c r="G19" i="85" s="1"/>
  <c r="D19" i="129"/>
  <c r="E19" i="129" s="1"/>
  <c r="H19" i="129" s="1"/>
  <c r="I19" i="129" s="1"/>
  <c r="J19" i="129" s="1"/>
  <c r="L19" i="129" s="1"/>
  <c r="D19" i="131"/>
  <c r="E19" i="131" s="1"/>
  <c r="H19" i="131" s="1"/>
  <c r="I19" i="131" s="1"/>
  <c r="J19" i="131" s="1"/>
  <c r="L19" i="131" s="1"/>
  <c r="D19" i="114"/>
  <c r="E19" i="114" s="1"/>
  <c r="H19" i="114" s="1"/>
  <c r="D19" i="116"/>
  <c r="E19" i="116" s="1"/>
  <c r="H19" i="116" s="1"/>
  <c r="D19" i="118"/>
  <c r="E19" i="118" s="1"/>
  <c r="H19" i="118" s="1"/>
  <c r="D19" i="120"/>
  <c r="E19" i="120" s="1"/>
  <c r="H19" i="120" s="1"/>
  <c r="D19" i="99"/>
  <c r="E19" i="99" s="1"/>
  <c r="H19" i="99" s="1"/>
  <c r="D19" i="83"/>
  <c r="E19" i="83" s="1"/>
  <c r="H19" i="83" s="1"/>
  <c r="K19" i="83" s="1"/>
  <c r="O19" i="83" s="1"/>
  <c r="D19" i="67"/>
  <c r="E19" i="67" s="1"/>
  <c r="F19" i="67" s="1"/>
  <c r="G19" i="67" s="1"/>
  <c r="D46" i="86"/>
  <c r="E46" i="86" s="1"/>
  <c r="G46" i="86" s="1"/>
  <c r="D46" i="88"/>
  <c r="E46" i="88" s="1"/>
  <c r="G46" i="88" s="1"/>
  <c r="D46" i="91"/>
  <c r="E46" i="91" s="1"/>
  <c r="G46" i="91" s="1"/>
  <c r="D46" i="85"/>
  <c r="E46" i="85" s="1"/>
  <c r="G46" i="85" s="1"/>
  <c r="D46" i="127"/>
  <c r="E46" i="127" s="1"/>
  <c r="H46" i="127" s="1"/>
  <c r="I46" i="127" s="1"/>
  <c r="J46" i="127" s="1"/>
  <c r="L46" i="127" s="1"/>
  <c r="D46" i="131"/>
  <c r="E46" i="131" s="1"/>
  <c r="H46" i="131" s="1"/>
  <c r="I46" i="131" s="1"/>
  <c r="J46" i="131" s="1"/>
  <c r="L46" i="131" s="1"/>
  <c r="D46" i="114"/>
  <c r="E46" i="114" s="1"/>
  <c r="H46" i="114" s="1"/>
  <c r="D46" i="116"/>
  <c r="E46" i="116" s="1"/>
  <c r="H46" i="116" s="1"/>
  <c r="D46" i="118"/>
  <c r="E46" i="118" s="1"/>
  <c r="H46" i="118" s="1"/>
  <c r="D46" i="120"/>
  <c r="E46" i="120" s="1"/>
  <c r="H46" i="120" s="1"/>
  <c r="D46" i="99"/>
  <c r="E46" i="99" s="1"/>
  <c r="H46" i="99" s="1"/>
  <c r="D46" i="129"/>
  <c r="E46" i="129" s="1"/>
  <c r="H46" i="129" s="1"/>
  <c r="I46" i="129" s="1"/>
  <c r="J46" i="129" s="1"/>
  <c r="L46" i="129" s="1"/>
  <c r="D46" i="84"/>
  <c r="E46" i="84" s="1"/>
  <c r="H46" i="84" s="1"/>
  <c r="F46" i="90"/>
  <c r="G46" i="90" s="1"/>
  <c r="I46" i="90" s="1"/>
  <c r="D46" i="87"/>
  <c r="E46" i="87" s="1"/>
  <c r="G46" i="87" s="1"/>
  <c r="D46" i="89"/>
  <c r="E46" i="89" s="1"/>
  <c r="G46" i="89" s="1"/>
  <c r="D46" i="92"/>
  <c r="E46" i="92" s="1"/>
  <c r="G46" i="92" s="1"/>
  <c r="D46" i="126"/>
  <c r="E46" i="126" s="1"/>
  <c r="H46" i="126" s="1"/>
  <c r="I46" i="126" s="1"/>
  <c r="J46" i="126" s="1"/>
  <c r="L46" i="126" s="1"/>
  <c r="D46" i="130"/>
  <c r="E46" i="130" s="1"/>
  <c r="H46" i="130" s="1"/>
  <c r="I46" i="130" s="1"/>
  <c r="J46" i="130" s="1"/>
  <c r="L46" i="130" s="1"/>
  <c r="D46" i="125"/>
  <c r="E46" i="125" s="1"/>
  <c r="H46" i="125" s="1"/>
  <c r="I46" i="125" s="1"/>
  <c r="J46" i="125" s="1"/>
  <c r="L46" i="125" s="1"/>
  <c r="D46" i="115"/>
  <c r="E46" i="115" s="1"/>
  <c r="H46" i="115" s="1"/>
  <c r="D46" i="117"/>
  <c r="E46" i="117" s="1"/>
  <c r="H46" i="117" s="1"/>
  <c r="D46" i="119"/>
  <c r="E46" i="119" s="1"/>
  <c r="H46" i="119" s="1"/>
  <c r="D46" i="113"/>
  <c r="E46" i="113" s="1"/>
  <c r="H46" i="113" s="1"/>
  <c r="D46" i="128"/>
  <c r="E46" i="128" s="1"/>
  <c r="H46" i="128" s="1"/>
  <c r="I46" i="128" s="1"/>
  <c r="J46" i="128" s="1"/>
  <c r="L46" i="128" s="1"/>
  <c r="D46" i="98"/>
  <c r="E46" i="98" s="1"/>
  <c r="H46" i="98" s="1"/>
  <c r="D46" i="83"/>
  <c r="E46" i="83" s="1"/>
  <c r="H46" i="83" s="1"/>
  <c r="K46" i="83" s="1"/>
  <c r="O46" i="83" s="1"/>
  <c r="D46" i="67"/>
  <c r="E46" i="67" s="1"/>
  <c r="F46" i="67" s="1"/>
  <c r="G46" i="67" s="1"/>
  <c r="D40" i="86"/>
  <c r="E40" i="86" s="1"/>
  <c r="G40" i="86" s="1"/>
  <c r="D40" i="88"/>
  <c r="E40" i="88" s="1"/>
  <c r="G40" i="88" s="1"/>
  <c r="D40" i="91"/>
  <c r="E40" i="91" s="1"/>
  <c r="G40" i="91" s="1"/>
  <c r="D40" i="85"/>
  <c r="E40" i="85" s="1"/>
  <c r="G40" i="85" s="1"/>
  <c r="D40" i="127"/>
  <c r="E40" i="127" s="1"/>
  <c r="H40" i="127" s="1"/>
  <c r="I40" i="127" s="1"/>
  <c r="J40" i="127" s="1"/>
  <c r="L40" i="127" s="1"/>
  <c r="D40" i="129"/>
  <c r="E40" i="129" s="1"/>
  <c r="H40" i="129" s="1"/>
  <c r="I40" i="129" s="1"/>
  <c r="J40" i="129" s="1"/>
  <c r="L40" i="129" s="1"/>
  <c r="D40" i="131"/>
  <c r="E40" i="131" s="1"/>
  <c r="H40" i="131" s="1"/>
  <c r="I40" i="131" s="1"/>
  <c r="J40" i="131" s="1"/>
  <c r="L40" i="131" s="1"/>
  <c r="D40" i="114"/>
  <c r="E40" i="114" s="1"/>
  <c r="H40" i="114" s="1"/>
  <c r="D40" i="116"/>
  <c r="E40" i="116" s="1"/>
  <c r="H40" i="116" s="1"/>
  <c r="D40" i="118"/>
  <c r="E40" i="118" s="1"/>
  <c r="H40" i="118" s="1"/>
  <c r="D40" i="120"/>
  <c r="E40" i="120" s="1"/>
  <c r="H40" i="120" s="1"/>
  <c r="D40" i="99"/>
  <c r="E40" i="99" s="1"/>
  <c r="H40" i="99" s="1"/>
  <c r="D40" i="84"/>
  <c r="E40" i="84" s="1"/>
  <c r="H40" i="84" s="1"/>
  <c r="F40" i="90"/>
  <c r="G40" i="90" s="1"/>
  <c r="I40" i="90" s="1"/>
  <c r="D40" i="87"/>
  <c r="E40" i="87" s="1"/>
  <c r="G40" i="87" s="1"/>
  <c r="D40" i="89"/>
  <c r="E40" i="89" s="1"/>
  <c r="G40" i="89" s="1"/>
  <c r="D40" i="92"/>
  <c r="E40" i="92" s="1"/>
  <c r="G40" i="92" s="1"/>
  <c r="D40" i="126"/>
  <c r="E40" i="126" s="1"/>
  <c r="H40" i="126" s="1"/>
  <c r="I40" i="126" s="1"/>
  <c r="J40" i="126" s="1"/>
  <c r="L40" i="126" s="1"/>
  <c r="D40" i="128"/>
  <c r="E40" i="128" s="1"/>
  <c r="H40" i="128" s="1"/>
  <c r="I40" i="128" s="1"/>
  <c r="J40" i="128" s="1"/>
  <c r="L40" i="128" s="1"/>
  <c r="D40" i="130"/>
  <c r="E40" i="130" s="1"/>
  <c r="H40" i="130" s="1"/>
  <c r="I40" i="130" s="1"/>
  <c r="J40" i="130" s="1"/>
  <c r="L40" i="130" s="1"/>
  <c r="D40" i="125"/>
  <c r="E40" i="125" s="1"/>
  <c r="H40" i="125" s="1"/>
  <c r="I40" i="125" s="1"/>
  <c r="J40" i="125" s="1"/>
  <c r="L40" i="125" s="1"/>
  <c r="D40" i="115"/>
  <c r="E40" i="115" s="1"/>
  <c r="H40" i="115" s="1"/>
  <c r="D40" i="117"/>
  <c r="E40" i="117" s="1"/>
  <c r="H40" i="117" s="1"/>
  <c r="D40" i="119"/>
  <c r="E40" i="119" s="1"/>
  <c r="H40" i="119" s="1"/>
  <c r="D40" i="113"/>
  <c r="E40" i="113" s="1"/>
  <c r="H40" i="113" s="1"/>
  <c r="D40" i="98"/>
  <c r="E40" i="98" s="1"/>
  <c r="H40" i="98" s="1"/>
  <c r="D40" i="83"/>
  <c r="E40" i="83" s="1"/>
  <c r="H40" i="83" s="1"/>
  <c r="K40" i="83" s="1"/>
  <c r="O40" i="83" s="1"/>
  <c r="D40" i="67"/>
  <c r="E40" i="67" s="1"/>
  <c r="F40" i="67" s="1"/>
  <c r="G40" i="67" s="1"/>
  <c r="D51" i="87"/>
  <c r="E51" i="87" s="1"/>
  <c r="G51" i="87" s="1"/>
  <c r="D51" i="89"/>
  <c r="E51" i="89" s="1"/>
  <c r="G51" i="89" s="1"/>
  <c r="D51" i="92"/>
  <c r="E51" i="92" s="1"/>
  <c r="G51" i="92" s="1"/>
  <c r="D51" i="126"/>
  <c r="E51" i="126" s="1"/>
  <c r="H51" i="126" s="1"/>
  <c r="I51" i="126" s="1"/>
  <c r="J51" i="126" s="1"/>
  <c r="L51" i="126" s="1"/>
  <c r="D51" i="128"/>
  <c r="E51" i="128" s="1"/>
  <c r="H51" i="128" s="1"/>
  <c r="I51" i="128" s="1"/>
  <c r="J51" i="128" s="1"/>
  <c r="L51" i="128" s="1"/>
  <c r="D51" i="85"/>
  <c r="E51" i="85" s="1"/>
  <c r="G51" i="85" s="1"/>
  <c r="D51" i="84"/>
  <c r="E51" i="84" s="1"/>
  <c r="H51" i="84" s="1"/>
  <c r="D51" i="131"/>
  <c r="E51" i="131" s="1"/>
  <c r="H51" i="131" s="1"/>
  <c r="I51" i="131" s="1"/>
  <c r="J51" i="131" s="1"/>
  <c r="L51" i="131" s="1"/>
  <c r="D51" i="114"/>
  <c r="E51" i="114" s="1"/>
  <c r="H51" i="114" s="1"/>
  <c r="D51" i="116"/>
  <c r="E51" i="116" s="1"/>
  <c r="H51" i="116" s="1"/>
  <c r="D51" i="118"/>
  <c r="E51" i="118" s="1"/>
  <c r="H51" i="118" s="1"/>
  <c r="D51" i="120"/>
  <c r="E51" i="120" s="1"/>
  <c r="H51" i="120" s="1"/>
  <c r="D51" i="99"/>
  <c r="E51" i="99" s="1"/>
  <c r="H51" i="99" s="1"/>
  <c r="D51" i="86"/>
  <c r="E51" i="86" s="1"/>
  <c r="G51" i="86" s="1"/>
  <c r="D51" i="88"/>
  <c r="E51" i="88" s="1"/>
  <c r="G51" i="88" s="1"/>
  <c r="D51" i="91"/>
  <c r="E51" i="91" s="1"/>
  <c r="G51" i="91" s="1"/>
  <c r="F51" i="90"/>
  <c r="G51" i="90" s="1"/>
  <c r="I51" i="90" s="1"/>
  <c r="D51" i="127"/>
  <c r="E51" i="127" s="1"/>
  <c r="H51" i="127" s="1"/>
  <c r="I51" i="127" s="1"/>
  <c r="J51" i="127" s="1"/>
  <c r="L51" i="127" s="1"/>
  <c r="D51" i="129"/>
  <c r="E51" i="129" s="1"/>
  <c r="H51" i="129" s="1"/>
  <c r="I51" i="129" s="1"/>
  <c r="J51" i="129" s="1"/>
  <c r="L51" i="129" s="1"/>
  <c r="D51" i="98"/>
  <c r="E51" i="98" s="1"/>
  <c r="H51" i="98" s="1"/>
  <c r="D51" i="130"/>
  <c r="E51" i="130" s="1"/>
  <c r="H51" i="130" s="1"/>
  <c r="I51" i="130" s="1"/>
  <c r="J51" i="130" s="1"/>
  <c r="L51" i="130" s="1"/>
  <c r="D51" i="125"/>
  <c r="E51" i="125" s="1"/>
  <c r="H51" i="125" s="1"/>
  <c r="I51" i="125" s="1"/>
  <c r="J51" i="125" s="1"/>
  <c r="L51" i="125" s="1"/>
  <c r="D51" i="115"/>
  <c r="E51" i="115" s="1"/>
  <c r="H51" i="115" s="1"/>
  <c r="D51" i="117"/>
  <c r="E51" i="117" s="1"/>
  <c r="H51" i="117" s="1"/>
  <c r="D51" i="119"/>
  <c r="E51" i="119" s="1"/>
  <c r="H51" i="119" s="1"/>
  <c r="D51" i="113"/>
  <c r="E51" i="113" s="1"/>
  <c r="H51" i="113" s="1"/>
  <c r="D51" i="83"/>
  <c r="E51" i="83" s="1"/>
  <c r="H51" i="83" s="1"/>
  <c r="K51" i="83" s="1"/>
  <c r="O51" i="83" s="1"/>
  <c r="D51" i="67"/>
  <c r="E51" i="67" s="1"/>
  <c r="F51" i="67" s="1"/>
  <c r="G51" i="67" s="1"/>
  <c r="F14" i="90"/>
  <c r="G14" i="90" s="1"/>
  <c r="I14" i="90" s="1"/>
  <c r="D14" i="87"/>
  <c r="E14" i="87" s="1"/>
  <c r="G14" i="87" s="1"/>
  <c r="D14" i="89"/>
  <c r="E14" i="89" s="1"/>
  <c r="G14" i="89" s="1"/>
  <c r="D14" i="92"/>
  <c r="E14" i="92" s="1"/>
  <c r="G14" i="92" s="1"/>
  <c r="D14" i="126"/>
  <c r="E14" i="126" s="1"/>
  <c r="H14" i="126" s="1"/>
  <c r="I14" i="126" s="1"/>
  <c r="J14" i="126" s="1"/>
  <c r="L14" i="126" s="1"/>
  <c r="D14" i="129"/>
  <c r="E14" i="129" s="1"/>
  <c r="H14" i="129" s="1"/>
  <c r="I14" i="129" s="1"/>
  <c r="J14" i="129" s="1"/>
  <c r="L14" i="129" s="1"/>
  <c r="D14" i="131"/>
  <c r="E14" i="131" s="1"/>
  <c r="H14" i="131" s="1"/>
  <c r="I14" i="131" s="1"/>
  <c r="J14" i="131" s="1"/>
  <c r="L14" i="131" s="1"/>
  <c r="D14" i="114"/>
  <c r="E14" i="114" s="1"/>
  <c r="H14" i="114" s="1"/>
  <c r="D14" i="116"/>
  <c r="E14" i="116" s="1"/>
  <c r="H14" i="116" s="1"/>
  <c r="D14" i="118"/>
  <c r="E14" i="118" s="1"/>
  <c r="H14" i="118" s="1"/>
  <c r="D14" i="120"/>
  <c r="E14" i="120" s="1"/>
  <c r="H14" i="120" s="1"/>
  <c r="D14" i="99"/>
  <c r="E14" i="99" s="1"/>
  <c r="H14" i="99" s="1"/>
  <c r="D14" i="98"/>
  <c r="E14" i="98" s="1"/>
  <c r="H14" i="98" s="1"/>
  <c r="D14" i="83"/>
  <c r="E14" i="83" s="1"/>
  <c r="H14" i="83" s="1"/>
  <c r="K14" i="83" s="1"/>
  <c r="O14" i="83" s="1"/>
  <c r="D14" i="86"/>
  <c r="E14" i="86" s="1"/>
  <c r="G14" i="86" s="1"/>
  <c r="D14" i="88"/>
  <c r="E14" i="88" s="1"/>
  <c r="G14" i="88" s="1"/>
  <c r="D14" i="91"/>
  <c r="E14" i="91" s="1"/>
  <c r="G14" i="91" s="1"/>
  <c r="D14" i="85"/>
  <c r="E14" i="85" s="1"/>
  <c r="G14" i="85" s="1"/>
  <c r="D14" i="127"/>
  <c r="E14" i="127" s="1"/>
  <c r="H14" i="127" s="1"/>
  <c r="I14" i="127" s="1"/>
  <c r="J14" i="127" s="1"/>
  <c r="L14" i="127" s="1"/>
  <c r="D14" i="130"/>
  <c r="E14" i="130" s="1"/>
  <c r="H14" i="130" s="1"/>
  <c r="I14" i="130" s="1"/>
  <c r="J14" i="130" s="1"/>
  <c r="L14" i="130" s="1"/>
  <c r="D14" i="125"/>
  <c r="E14" i="125" s="1"/>
  <c r="H14" i="125" s="1"/>
  <c r="I14" i="125" s="1"/>
  <c r="J14" i="125" s="1"/>
  <c r="L14" i="125" s="1"/>
  <c r="D14" i="115"/>
  <c r="E14" i="115" s="1"/>
  <c r="H14" i="115" s="1"/>
  <c r="D14" i="117"/>
  <c r="E14" i="117" s="1"/>
  <c r="H14" i="117" s="1"/>
  <c r="D14" i="119"/>
  <c r="E14" i="119" s="1"/>
  <c r="H14" i="119" s="1"/>
  <c r="D14" i="113"/>
  <c r="E14" i="113" s="1"/>
  <c r="H14" i="113" s="1"/>
  <c r="D14" i="128"/>
  <c r="E14" i="128" s="1"/>
  <c r="H14" i="128" s="1"/>
  <c r="I14" i="128" s="1"/>
  <c r="J14" i="128" s="1"/>
  <c r="L14" i="128" s="1"/>
  <c r="D14" i="84"/>
  <c r="E14" i="84" s="1"/>
  <c r="H14" i="84" s="1"/>
  <c r="D14" i="67"/>
  <c r="E14" i="67" s="1"/>
  <c r="F14" i="67" s="1"/>
  <c r="G14" i="67" s="1"/>
  <c r="D47" i="86"/>
  <c r="E47" i="86" s="1"/>
  <c r="G47" i="86" s="1"/>
  <c r="D47" i="88"/>
  <c r="E47" i="88" s="1"/>
  <c r="G47" i="88" s="1"/>
  <c r="D47" i="91"/>
  <c r="E47" i="91" s="1"/>
  <c r="G47" i="91" s="1"/>
  <c r="F47" i="90"/>
  <c r="G47" i="90" s="1"/>
  <c r="I47" i="90" s="1"/>
  <c r="D47" i="127"/>
  <c r="E47" i="127" s="1"/>
  <c r="H47" i="127" s="1"/>
  <c r="I47" i="127" s="1"/>
  <c r="J47" i="127" s="1"/>
  <c r="L47" i="127" s="1"/>
  <c r="D47" i="129"/>
  <c r="E47" i="129" s="1"/>
  <c r="H47" i="129" s="1"/>
  <c r="I47" i="129" s="1"/>
  <c r="J47" i="129" s="1"/>
  <c r="L47" i="129" s="1"/>
  <c r="D47" i="98"/>
  <c r="E47" i="98" s="1"/>
  <c r="H47" i="98" s="1"/>
  <c r="D47" i="130"/>
  <c r="E47" i="130" s="1"/>
  <c r="H47" i="130" s="1"/>
  <c r="I47" i="130" s="1"/>
  <c r="J47" i="130" s="1"/>
  <c r="L47" i="130" s="1"/>
  <c r="D47" i="125"/>
  <c r="E47" i="125" s="1"/>
  <c r="H47" i="125" s="1"/>
  <c r="I47" i="125" s="1"/>
  <c r="J47" i="125" s="1"/>
  <c r="L47" i="125" s="1"/>
  <c r="D47" i="115"/>
  <c r="E47" i="115" s="1"/>
  <c r="H47" i="115" s="1"/>
  <c r="D47" i="117"/>
  <c r="E47" i="117" s="1"/>
  <c r="H47" i="117" s="1"/>
  <c r="D47" i="119"/>
  <c r="E47" i="119" s="1"/>
  <c r="H47" i="119" s="1"/>
  <c r="D47" i="113"/>
  <c r="E47" i="113" s="1"/>
  <c r="H47" i="113" s="1"/>
  <c r="D47" i="83"/>
  <c r="E47" i="83" s="1"/>
  <c r="H47" i="83" s="1"/>
  <c r="K47" i="83" s="1"/>
  <c r="O47" i="83" s="1"/>
  <c r="D47" i="87"/>
  <c r="E47" i="87" s="1"/>
  <c r="G47" i="87" s="1"/>
  <c r="D47" i="89"/>
  <c r="E47" i="89" s="1"/>
  <c r="G47" i="89" s="1"/>
  <c r="D47" i="92"/>
  <c r="E47" i="92" s="1"/>
  <c r="G47" i="92" s="1"/>
  <c r="D47" i="126"/>
  <c r="E47" i="126" s="1"/>
  <c r="H47" i="126" s="1"/>
  <c r="I47" i="126" s="1"/>
  <c r="J47" i="126" s="1"/>
  <c r="L47" i="126" s="1"/>
  <c r="D47" i="128"/>
  <c r="E47" i="128" s="1"/>
  <c r="H47" i="128" s="1"/>
  <c r="I47" i="128" s="1"/>
  <c r="J47" i="128" s="1"/>
  <c r="L47" i="128" s="1"/>
  <c r="D47" i="85"/>
  <c r="E47" i="85" s="1"/>
  <c r="G47" i="85" s="1"/>
  <c r="D47" i="131"/>
  <c r="E47" i="131" s="1"/>
  <c r="H47" i="131" s="1"/>
  <c r="I47" i="131" s="1"/>
  <c r="J47" i="131" s="1"/>
  <c r="L47" i="131" s="1"/>
  <c r="D47" i="116"/>
  <c r="E47" i="116" s="1"/>
  <c r="H47" i="116" s="1"/>
  <c r="D47" i="120"/>
  <c r="E47" i="120" s="1"/>
  <c r="H47" i="120" s="1"/>
  <c r="D47" i="84"/>
  <c r="E47" i="84" s="1"/>
  <c r="H47" i="84" s="1"/>
  <c r="D47" i="114"/>
  <c r="E47" i="114" s="1"/>
  <c r="H47" i="114" s="1"/>
  <c r="D47" i="118"/>
  <c r="E47" i="118" s="1"/>
  <c r="H47" i="118" s="1"/>
  <c r="D47" i="99"/>
  <c r="E47" i="99" s="1"/>
  <c r="H47" i="99" s="1"/>
  <c r="D47" i="67"/>
  <c r="E47" i="67" s="1"/>
  <c r="F47" i="67" s="1"/>
  <c r="G47" i="67" s="1"/>
  <c r="F24" i="90"/>
  <c r="G24" i="90" s="1"/>
  <c r="I24" i="90" s="1"/>
  <c r="D24" i="87"/>
  <c r="E24" i="87" s="1"/>
  <c r="G24" i="87" s="1"/>
  <c r="D24" i="89"/>
  <c r="E24" i="89" s="1"/>
  <c r="G24" i="89" s="1"/>
  <c r="D24" i="92"/>
  <c r="E24" i="92" s="1"/>
  <c r="G24" i="92" s="1"/>
  <c r="D24" i="126"/>
  <c r="E24" i="126" s="1"/>
  <c r="H24" i="126" s="1"/>
  <c r="I24" i="126" s="1"/>
  <c r="J24" i="126" s="1"/>
  <c r="L24" i="126" s="1"/>
  <c r="D24" i="128"/>
  <c r="E24" i="128" s="1"/>
  <c r="H24" i="128" s="1"/>
  <c r="I24" i="128" s="1"/>
  <c r="J24" i="128" s="1"/>
  <c r="L24" i="128" s="1"/>
  <c r="D24" i="130"/>
  <c r="E24" i="130" s="1"/>
  <c r="H24" i="130" s="1"/>
  <c r="I24" i="130" s="1"/>
  <c r="J24" i="130" s="1"/>
  <c r="L24" i="130" s="1"/>
  <c r="D24" i="125"/>
  <c r="E24" i="125" s="1"/>
  <c r="H24" i="125" s="1"/>
  <c r="I24" i="125" s="1"/>
  <c r="J24" i="125" s="1"/>
  <c r="L24" i="125" s="1"/>
  <c r="D24" i="115"/>
  <c r="E24" i="115" s="1"/>
  <c r="H24" i="115" s="1"/>
  <c r="D24" i="117"/>
  <c r="E24" i="117" s="1"/>
  <c r="H24" i="117" s="1"/>
  <c r="D24" i="119"/>
  <c r="E24" i="119" s="1"/>
  <c r="H24" i="119" s="1"/>
  <c r="D24" i="113"/>
  <c r="E24" i="113" s="1"/>
  <c r="H24" i="113" s="1"/>
  <c r="D24" i="98"/>
  <c r="E24" i="98" s="1"/>
  <c r="H24" i="98" s="1"/>
  <c r="D24" i="83"/>
  <c r="E24" i="83" s="1"/>
  <c r="H24" i="83" s="1"/>
  <c r="K24" i="83" s="1"/>
  <c r="O24" i="83" s="1"/>
  <c r="D24" i="86"/>
  <c r="E24" i="86" s="1"/>
  <c r="G24" i="86" s="1"/>
  <c r="D24" i="88"/>
  <c r="E24" i="88" s="1"/>
  <c r="G24" i="88" s="1"/>
  <c r="D24" i="91"/>
  <c r="E24" i="91" s="1"/>
  <c r="G24" i="91" s="1"/>
  <c r="D24" i="85"/>
  <c r="E24" i="85" s="1"/>
  <c r="G24" i="85" s="1"/>
  <c r="D24" i="127"/>
  <c r="E24" i="127" s="1"/>
  <c r="H24" i="127" s="1"/>
  <c r="I24" i="127" s="1"/>
  <c r="J24" i="127" s="1"/>
  <c r="L24" i="127" s="1"/>
  <c r="D24" i="129"/>
  <c r="E24" i="129" s="1"/>
  <c r="H24" i="129" s="1"/>
  <c r="I24" i="129" s="1"/>
  <c r="J24" i="129" s="1"/>
  <c r="L24" i="129" s="1"/>
  <c r="D24" i="131"/>
  <c r="E24" i="131" s="1"/>
  <c r="H24" i="131" s="1"/>
  <c r="I24" i="131" s="1"/>
  <c r="J24" i="131" s="1"/>
  <c r="L24" i="131" s="1"/>
  <c r="D24" i="114"/>
  <c r="E24" i="114" s="1"/>
  <c r="H24" i="114" s="1"/>
  <c r="D24" i="116"/>
  <c r="E24" i="116" s="1"/>
  <c r="H24" i="116" s="1"/>
  <c r="D24" i="118"/>
  <c r="E24" i="118" s="1"/>
  <c r="H24" i="118" s="1"/>
  <c r="D24" i="120"/>
  <c r="E24" i="120" s="1"/>
  <c r="H24" i="120" s="1"/>
  <c r="D24" i="99"/>
  <c r="E24" i="99" s="1"/>
  <c r="H24" i="99" s="1"/>
  <c r="D24" i="84"/>
  <c r="E24" i="84" s="1"/>
  <c r="H24" i="84" s="1"/>
  <c r="D24" i="67"/>
  <c r="E24" i="67" s="1"/>
  <c r="F24" i="67" s="1"/>
  <c r="G24" i="67" s="1"/>
  <c r="D37" i="87"/>
  <c r="E37" i="87" s="1"/>
  <c r="G37" i="87" s="1"/>
  <c r="D37" i="89"/>
  <c r="E37" i="89" s="1"/>
  <c r="G37" i="89" s="1"/>
  <c r="F37" i="90"/>
  <c r="G37" i="90" s="1"/>
  <c r="I37" i="90" s="1"/>
  <c r="D37" i="127"/>
  <c r="E37" i="127" s="1"/>
  <c r="H37" i="127" s="1"/>
  <c r="I37" i="127" s="1"/>
  <c r="J37" i="127" s="1"/>
  <c r="L37" i="127" s="1"/>
  <c r="D37" i="129"/>
  <c r="E37" i="129" s="1"/>
  <c r="H37" i="129" s="1"/>
  <c r="I37" i="129" s="1"/>
  <c r="J37" i="129" s="1"/>
  <c r="L37" i="129" s="1"/>
  <c r="D37" i="85"/>
  <c r="E37" i="85" s="1"/>
  <c r="G37" i="85" s="1"/>
  <c r="D37" i="130"/>
  <c r="E37" i="130" s="1"/>
  <c r="H37" i="130" s="1"/>
  <c r="I37" i="130" s="1"/>
  <c r="J37" i="130" s="1"/>
  <c r="L37" i="130" s="1"/>
  <c r="D37" i="125"/>
  <c r="E37" i="125" s="1"/>
  <c r="H37" i="125" s="1"/>
  <c r="I37" i="125" s="1"/>
  <c r="J37" i="125" s="1"/>
  <c r="L37" i="125" s="1"/>
  <c r="D37" i="115"/>
  <c r="E37" i="115" s="1"/>
  <c r="H37" i="115" s="1"/>
  <c r="D37" i="117"/>
  <c r="E37" i="117" s="1"/>
  <c r="H37" i="117" s="1"/>
  <c r="D37" i="119"/>
  <c r="E37" i="119" s="1"/>
  <c r="H37" i="119" s="1"/>
  <c r="D37" i="113"/>
  <c r="E37" i="113" s="1"/>
  <c r="H37" i="113" s="1"/>
  <c r="D37" i="84"/>
  <c r="E37" i="84" s="1"/>
  <c r="H37" i="84" s="1"/>
  <c r="D37" i="86"/>
  <c r="E37" i="86" s="1"/>
  <c r="G37" i="86" s="1"/>
  <c r="D37" i="88"/>
  <c r="E37" i="88" s="1"/>
  <c r="G37" i="88" s="1"/>
  <c r="D37" i="91"/>
  <c r="E37" i="91" s="1"/>
  <c r="G37" i="91" s="1"/>
  <c r="D37" i="126"/>
  <c r="E37" i="126" s="1"/>
  <c r="H37" i="126" s="1"/>
  <c r="I37" i="126" s="1"/>
  <c r="J37" i="126" s="1"/>
  <c r="L37" i="126" s="1"/>
  <c r="D37" i="128"/>
  <c r="E37" i="128" s="1"/>
  <c r="H37" i="128" s="1"/>
  <c r="I37" i="128" s="1"/>
  <c r="J37" i="128" s="1"/>
  <c r="L37" i="128" s="1"/>
  <c r="D37" i="92"/>
  <c r="E37" i="92" s="1"/>
  <c r="G37" i="92" s="1"/>
  <c r="D37" i="98"/>
  <c r="E37" i="98" s="1"/>
  <c r="H37" i="98" s="1"/>
  <c r="D37" i="131"/>
  <c r="E37" i="131" s="1"/>
  <c r="H37" i="131" s="1"/>
  <c r="I37" i="131" s="1"/>
  <c r="J37" i="131" s="1"/>
  <c r="L37" i="131" s="1"/>
  <c r="D37" i="114"/>
  <c r="E37" i="114" s="1"/>
  <c r="H37" i="114" s="1"/>
  <c r="D37" i="116"/>
  <c r="E37" i="116" s="1"/>
  <c r="H37" i="116" s="1"/>
  <c r="D37" i="118"/>
  <c r="E37" i="118" s="1"/>
  <c r="H37" i="118" s="1"/>
  <c r="D37" i="120"/>
  <c r="E37" i="120" s="1"/>
  <c r="H37" i="120" s="1"/>
  <c r="D37" i="99"/>
  <c r="E37" i="99" s="1"/>
  <c r="H37" i="99" s="1"/>
  <c r="D37" i="83"/>
  <c r="E37" i="83" s="1"/>
  <c r="H37" i="83" s="1"/>
  <c r="K37" i="83" s="1"/>
  <c r="O37" i="83" s="1"/>
  <c r="D37" i="67"/>
  <c r="E37" i="67" s="1"/>
  <c r="F37" i="67" s="1"/>
  <c r="G37" i="67" s="1"/>
  <c r="F22" i="90"/>
  <c r="G22" i="90" s="1"/>
  <c r="I22" i="90" s="1"/>
  <c r="D22" i="87"/>
  <c r="E22" i="87" s="1"/>
  <c r="G22" i="87" s="1"/>
  <c r="D22" i="89"/>
  <c r="E22" i="89" s="1"/>
  <c r="G22" i="89" s="1"/>
  <c r="D22" i="92"/>
  <c r="E22" i="92" s="1"/>
  <c r="G22" i="92" s="1"/>
  <c r="D22" i="126"/>
  <c r="E22" i="126" s="1"/>
  <c r="H22" i="126" s="1"/>
  <c r="I22" i="126" s="1"/>
  <c r="J22" i="126" s="1"/>
  <c r="L22" i="126" s="1"/>
  <c r="D22" i="130"/>
  <c r="E22" i="130" s="1"/>
  <c r="H22" i="130" s="1"/>
  <c r="I22" i="130" s="1"/>
  <c r="J22" i="130" s="1"/>
  <c r="L22" i="130" s="1"/>
  <c r="D22" i="125"/>
  <c r="E22" i="125" s="1"/>
  <c r="H22" i="125" s="1"/>
  <c r="I22" i="125" s="1"/>
  <c r="J22" i="125" s="1"/>
  <c r="L22" i="125" s="1"/>
  <c r="D22" i="115"/>
  <c r="E22" i="115" s="1"/>
  <c r="H22" i="115" s="1"/>
  <c r="D22" i="117"/>
  <c r="E22" i="117" s="1"/>
  <c r="H22" i="117" s="1"/>
  <c r="D22" i="119"/>
  <c r="E22" i="119" s="1"/>
  <c r="H22" i="119" s="1"/>
  <c r="D22" i="113"/>
  <c r="E22" i="113" s="1"/>
  <c r="H22" i="113" s="1"/>
  <c r="D22" i="128"/>
  <c r="E22" i="128" s="1"/>
  <c r="H22" i="128" s="1"/>
  <c r="I22" i="128" s="1"/>
  <c r="J22" i="128" s="1"/>
  <c r="L22" i="128" s="1"/>
  <c r="D22" i="98"/>
  <c r="E22" i="98" s="1"/>
  <c r="H22" i="98" s="1"/>
  <c r="D22" i="83"/>
  <c r="E22" i="83" s="1"/>
  <c r="H22" i="83" s="1"/>
  <c r="K22" i="83" s="1"/>
  <c r="O22" i="83" s="1"/>
  <c r="D22" i="86"/>
  <c r="E22" i="86" s="1"/>
  <c r="G22" i="86" s="1"/>
  <c r="D22" i="88"/>
  <c r="E22" i="88" s="1"/>
  <c r="G22" i="88" s="1"/>
  <c r="D22" i="91"/>
  <c r="E22" i="91" s="1"/>
  <c r="G22" i="91" s="1"/>
  <c r="D22" i="85"/>
  <c r="E22" i="85" s="1"/>
  <c r="G22" i="85" s="1"/>
  <c r="D22" i="127"/>
  <c r="E22" i="127" s="1"/>
  <c r="H22" i="127" s="1"/>
  <c r="I22" i="127" s="1"/>
  <c r="J22" i="127" s="1"/>
  <c r="L22" i="127" s="1"/>
  <c r="D22" i="131"/>
  <c r="E22" i="131" s="1"/>
  <c r="H22" i="131" s="1"/>
  <c r="I22" i="131" s="1"/>
  <c r="J22" i="131" s="1"/>
  <c r="L22" i="131" s="1"/>
  <c r="D22" i="114"/>
  <c r="E22" i="114" s="1"/>
  <c r="H22" i="114" s="1"/>
  <c r="D22" i="116"/>
  <c r="E22" i="116" s="1"/>
  <c r="H22" i="116" s="1"/>
  <c r="D22" i="118"/>
  <c r="E22" i="118" s="1"/>
  <c r="H22" i="118" s="1"/>
  <c r="D22" i="120"/>
  <c r="E22" i="120" s="1"/>
  <c r="H22" i="120" s="1"/>
  <c r="D22" i="99"/>
  <c r="E22" i="99" s="1"/>
  <c r="H22" i="99" s="1"/>
  <c r="D22" i="129"/>
  <c r="E22" i="129" s="1"/>
  <c r="H22" i="129" s="1"/>
  <c r="I22" i="129" s="1"/>
  <c r="J22" i="129" s="1"/>
  <c r="L22" i="129" s="1"/>
  <c r="D22" i="84"/>
  <c r="E22" i="84" s="1"/>
  <c r="H22" i="84" s="1"/>
  <c r="D22" i="67"/>
  <c r="E22" i="67" s="1"/>
  <c r="F22" i="67" s="1"/>
  <c r="G22" i="67" s="1"/>
  <c r="D74" i="86"/>
  <c r="E74" i="86" s="1"/>
  <c r="G74" i="86" s="1"/>
  <c r="D74" i="88"/>
  <c r="E74" i="88" s="1"/>
  <c r="G74" i="88" s="1"/>
  <c r="D74" i="91"/>
  <c r="E74" i="91" s="1"/>
  <c r="G74" i="91" s="1"/>
  <c r="D74" i="85"/>
  <c r="E74" i="85" s="1"/>
  <c r="G74" i="85" s="1"/>
  <c r="D74" i="127"/>
  <c r="E74" i="127" s="1"/>
  <c r="H74" i="127" s="1"/>
  <c r="I74" i="127" s="1"/>
  <c r="J74" i="127" s="1"/>
  <c r="L74" i="127" s="1"/>
  <c r="D74" i="130"/>
  <c r="E74" i="130" s="1"/>
  <c r="H74" i="130" s="1"/>
  <c r="I74" i="130" s="1"/>
  <c r="J74" i="130" s="1"/>
  <c r="L74" i="130" s="1"/>
  <c r="D74" i="125"/>
  <c r="E74" i="125" s="1"/>
  <c r="H74" i="125" s="1"/>
  <c r="I74" i="125" s="1"/>
  <c r="J74" i="125" s="1"/>
  <c r="L74" i="125" s="1"/>
  <c r="D74" i="115"/>
  <c r="E74" i="115" s="1"/>
  <c r="H74" i="115" s="1"/>
  <c r="D74" i="117"/>
  <c r="E74" i="117" s="1"/>
  <c r="H74" i="117" s="1"/>
  <c r="D74" i="119"/>
  <c r="E74" i="119" s="1"/>
  <c r="H74" i="119" s="1"/>
  <c r="D74" i="113"/>
  <c r="E74" i="113" s="1"/>
  <c r="H74" i="113" s="1"/>
  <c r="D74" i="129"/>
  <c r="E74" i="129" s="1"/>
  <c r="H74" i="129" s="1"/>
  <c r="I74" i="129" s="1"/>
  <c r="J74" i="129" s="1"/>
  <c r="L74" i="129" s="1"/>
  <c r="D74" i="84"/>
  <c r="E74" i="84" s="1"/>
  <c r="H74" i="84" s="1"/>
  <c r="F74" i="90"/>
  <c r="G74" i="90" s="1"/>
  <c r="I74" i="90" s="1"/>
  <c r="D74" i="87"/>
  <c r="E74" i="87" s="1"/>
  <c r="G74" i="87" s="1"/>
  <c r="D74" i="89"/>
  <c r="E74" i="89" s="1"/>
  <c r="G74" i="89" s="1"/>
  <c r="D74" i="92"/>
  <c r="E74" i="92" s="1"/>
  <c r="G74" i="92" s="1"/>
  <c r="D74" i="126"/>
  <c r="E74" i="126" s="1"/>
  <c r="H74" i="126" s="1"/>
  <c r="I74" i="126" s="1"/>
  <c r="J74" i="126" s="1"/>
  <c r="L74" i="126" s="1"/>
  <c r="D74" i="128"/>
  <c r="E74" i="128" s="1"/>
  <c r="H74" i="128" s="1"/>
  <c r="I74" i="128" s="1"/>
  <c r="J74" i="128" s="1"/>
  <c r="L74" i="128" s="1"/>
  <c r="D74" i="131"/>
  <c r="E74" i="131" s="1"/>
  <c r="H74" i="131" s="1"/>
  <c r="I74" i="131" s="1"/>
  <c r="J74" i="131" s="1"/>
  <c r="L74" i="131" s="1"/>
  <c r="D74" i="114"/>
  <c r="E74" i="114" s="1"/>
  <c r="H74" i="114" s="1"/>
  <c r="D74" i="116"/>
  <c r="E74" i="116" s="1"/>
  <c r="H74" i="116" s="1"/>
  <c r="D74" i="118"/>
  <c r="E74" i="118" s="1"/>
  <c r="H74" i="118" s="1"/>
  <c r="D74" i="120"/>
  <c r="E74" i="120" s="1"/>
  <c r="H74" i="120" s="1"/>
  <c r="D74" i="99"/>
  <c r="E74" i="99" s="1"/>
  <c r="H74" i="99" s="1"/>
  <c r="D74" i="98"/>
  <c r="E74" i="98" s="1"/>
  <c r="H74" i="98" s="1"/>
  <c r="D74" i="83"/>
  <c r="E74" i="83" s="1"/>
  <c r="H74" i="83" s="1"/>
  <c r="K74" i="83" s="1"/>
  <c r="O74" i="83" s="1"/>
  <c r="D74" i="67"/>
  <c r="E74" i="67" s="1"/>
  <c r="F74" i="67" s="1"/>
  <c r="G74" i="67" s="1"/>
  <c r="D27" i="87"/>
  <c r="E27" i="87" s="1"/>
  <c r="G27" i="87" s="1"/>
  <c r="D27" i="89"/>
  <c r="E27" i="89" s="1"/>
  <c r="G27" i="89" s="1"/>
  <c r="F27" i="90"/>
  <c r="G27" i="90" s="1"/>
  <c r="I27" i="90" s="1"/>
  <c r="D27" i="127"/>
  <c r="E27" i="127" s="1"/>
  <c r="H27" i="127" s="1"/>
  <c r="I27" i="127" s="1"/>
  <c r="J27" i="127" s="1"/>
  <c r="L27" i="127" s="1"/>
  <c r="D27" i="129"/>
  <c r="E27" i="129" s="1"/>
  <c r="H27" i="129" s="1"/>
  <c r="I27" i="129" s="1"/>
  <c r="J27" i="129" s="1"/>
  <c r="L27" i="129" s="1"/>
  <c r="D27" i="85"/>
  <c r="E27" i="85" s="1"/>
  <c r="G27" i="85" s="1"/>
  <c r="D27" i="130"/>
  <c r="E27" i="130" s="1"/>
  <c r="H27" i="130" s="1"/>
  <c r="I27" i="130" s="1"/>
  <c r="J27" i="130" s="1"/>
  <c r="L27" i="130" s="1"/>
  <c r="D27" i="125"/>
  <c r="E27" i="125" s="1"/>
  <c r="H27" i="125" s="1"/>
  <c r="I27" i="125" s="1"/>
  <c r="J27" i="125" s="1"/>
  <c r="L27" i="125" s="1"/>
  <c r="D27" i="115"/>
  <c r="E27" i="115" s="1"/>
  <c r="H27" i="115" s="1"/>
  <c r="D27" i="117"/>
  <c r="E27" i="117" s="1"/>
  <c r="H27" i="117" s="1"/>
  <c r="D27" i="119"/>
  <c r="E27" i="119" s="1"/>
  <c r="H27" i="119" s="1"/>
  <c r="D27" i="113"/>
  <c r="E27" i="113" s="1"/>
  <c r="H27" i="113" s="1"/>
  <c r="D27" i="84"/>
  <c r="E27" i="84" s="1"/>
  <c r="H27" i="84" s="1"/>
  <c r="D27" i="86"/>
  <c r="E27" i="86" s="1"/>
  <c r="G27" i="86" s="1"/>
  <c r="D27" i="88"/>
  <c r="E27" i="88" s="1"/>
  <c r="G27" i="88" s="1"/>
  <c r="D27" i="91"/>
  <c r="E27" i="91" s="1"/>
  <c r="G27" i="91" s="1"/>
  <c r="D27" i="126"/>
  <c r="E27" i="126" s="1"/>
  <c r="H27" i="126" s="1"/>
  <c r="I27" i="126" s="1"/>
  <c r="J27" i="126" s="1"/>
  <c r="L27" i="126" s="1"/>
  <c r="D27" i="128"/>
  <c r="E27" i="128" s="1"/>
  <c r="H27" i="128" s="1"/>
  <c r="I27" i="128" s="1"/>
  <c r="J27" i="128" s="1"/>
  <c r="L27" i="128" s="1"/>
  <c r="D27" i="92"/>
  <c r="E27" i="92" s="1"/>
  <c r="G27" i="92" s="1"/>
  <c r="D27" i="98"/>
  <c r="E27" i="98" s="1"/>
  <c r="H27" i="98" s="1"/>
  <c r="D27" i="131"/>
  <c r="E27" i="131" s="1"/>
  <c r="H27" i="131" s="1"/>
  <c r="I27" i="131" s="1"/>
  <c r="J27" i="131" s="1"/>
  <c r="L27" i="131" s="1"/>
  <c r="D27" i="114"/>
  <c r="E27" i="114" s="1"/>
  <c r="H27" i="114" s="1"/>
  <c r="D27" i="116"/>
  <c r="E27" i="116" s="1"/>
  <c r="H27" i="116" s="1"/>
  <c r="D27" i="118"/>
  <c r="E27" i="118" s="1"/>
  <c r="H27" i="118" s="1"/>
  <c r="D27" i="120"/>
  <c r="E27" i="120" s="1"/>
  <c r="H27" i="120" s="1"/>
  <c r="D27" i="99"/>
  <c r="E27" i="99" s="1"/>
  <c r="H27" i="99" s="1"/>
  <c r="D27" i="83"/>
  <c r="E27" i="83" s="1"/>
  <c r="H27" i="83" s="1"/>
  <c r="K27" i="83" s="1"/>
  <c r="O27" i="83" s="1"/>
  <c r="D27" i="67"/>
  <c r="E27" i="67" s="1"/>
  <c r="F27" i="67" s="1"/>
  <c r="G27" i="67" s="1"/>
  <c r="D31" i="87"/>
  <c r="E31" i="87" s="1"/>
  <c r="G31" i="87" s="1"/>
  <c r="D31" i="89"/>
  <c r="E31" i="89" s="1"/>
  <c r="G31" i="89" s="1"/>
  <c r="F31" i="90"/>
  <c r="G31" i="90" s="1"/>
  <c r="I31" i="90" s="1"/>
  <c r="D31" i="127"/>
  <c r="E31" i="127" s="1"/>
  <c r="H31" i="127" s="1"/>
  <c r="I31" i="127" s="1"/>
  <c r="J31" i="127" s="1"/>
  <c r="L31" i="127" s="1"/>
  <c r="D31" i="129"/>
  <c r="E31" i="129" s="1"/>
  <c r="H31" i="129" s="1"/>
  <c r="I31" i="129" s="1"/>
  <c r="J31" i="129" s="1"/>
  <c r="L31" i="129" s="1"/>
  <c r="D31" i="85"/>
  <c r="E31" i="85" s="1"/>
  <c r="G31" i="85" s="1"/>
  <c r="D31" i="130"/>
  <c r="E31" i="130" s="1"/>
  <c r="H31" i="130" s="1"/>
  <c r="I31" i="130" s="1"/>
  <c r="J31" i="130" s="1"/>
  <c r="L31" i="130" s="1"/>
  <c r="D31" i="125"/>
  <c r="E31" i="125" s="1"/>
  <c r="H31" i="125" s="1"/>
  <c r="I31" i="125" s="1"/>
  <c r="J31" i="125" s="1"/>
  <c r="L31" i="125" s="1"/>
  <c r="D31" i="115"/>
  <c r="E31" i="115" s="1"/>
  <c r="H31" i="115" s="1"/>
  <c r="D31" i="117"/>
  <c r="E31" i="117" s="1"/>
  <c r="H31" i="117" s="1"/>
  <c r="D31" i="119"/>
  <c r="E31" i="119" s="1"/>
  <c r="H31" i="119" s="1"/>
  <c r="D31" i="113"/>
  <c r="E31" i="113" s="1"/>
  <c r="H31" i="113" s="1"/>
  <c r="D31" i="84"/>
  <c r="E31" i="84" s="1"/>
  <c r="H31" i="84" s="1"/>
  <c r="D31" i="86"/>
  <c r="E31" i="86" s="1"/>
  <c r="G31" i="86" s="1"/>
  <c r="D31" i="88"/>
  <c r="E31" i="88" s="1"/>
  <c r="G31" i="88" s="1"/>
  <c r="D31" i="91"/>
  <c r="E31" i="91" s="1"/>
  <c r="G31" i="91" s="1"/>
  <c r="D31" i="126"/>
  <c r="E31" i="126" s="1"/>
  <c r="H31" i="126" s="1"/>
  <c r="I31" i="126" s="1"/>
  <c r="J31" i="126" s="1"/>
  <c r="L31" i="126" s="1"/>
  <c r="D31" i="128"/>
  <c r="E31" i="128" s="1"/>
  <c r="H31" i="128" s="1"/>
  <c r="I31" i="128" s="1"/>
  <c r="J31" i="128" s="1"/>
  <c r="L31" i="128" s="1"/>
  <c r="D31" i="92"/>
  <c r="E31" i="92" s="1"/>
  <c r="G31" i="92" s="1"/>
  <c r="D31" i="98"/>
  <c r="E31" i="98" s="1"/>
  <c r="H31" i="98" s="1"/>
  <c r="D31" i="131"/>
  <c r="E31" i="131" s="1"/>
  <c r="H31" i="131" s="1"/>
  <c r="I31" i="131" s="1"/>
  <c r="J31" i="131" s="1"/>
  <c r="L31" i="131" s="1"/>
  <c r="D31" i="114"/>
  <c r="E31" i="114" s="1"/>
  <c r="H31" i="114" s="1"/>
  <c r="D31" i="116"/>
  <c r="E31" i="116" s="1"/>
  <c r="H31" i="116" s="1"/>
  <c r="D31" i="118"/>
  <c r="E31" i="118" s="1"/>
  <c r="H31" i="118" s="1"/>
  <c r="D31" i="120"/>
  <c r="E31" i="120" s="1"/>
  <c r="H31" i="120" s="1"/>
  <c r="D31" i="99"/>
  <c r="E31" i="99" s="1"/>
  <c r="H31" i="99" s="1"/>
  <c r="D31" i="83"/>
  <c r="E31" i="83" s="1"/>
  <c r="H31" i="83" s="1"/>
  <c r="K31" i="83" s="1"/>
  <c r="O31" i="83" s="1"/>
  <c r="D31" i="67"/>
  <c r="E31" i="67" s="1"/>
  <c r="F31" i="67" s="1"/>
  <c r="G31" i="67" s="1"/>
  <c r="F38" i="90"/>
  <c r="G38" i="90" s="1"/>
  <c r="I38" i="90" s="1"/>
  <c r="D38" i="87"/>
  <c r="E38" i="87" s="1"/>
  <c r="G38" i="87" s="1"/>
  <c r="D38" i="89"/>
  <c r="E38" i="89" s="1"/>
  <c r="G38" i="89" s="1"/>
  <c r="D38" i="92"/>
  <c r="E38" i="92" s="1"/>
  <c r="G38" i="92" s="1"/>
  <c r="D38" i="126"/>
  <c r="E38" i="126" s="1"/>
  <c r="H38" i="126" s="1"/>
  <c r="I38" i="126" s="1"/>
  <c r="J38" i="126" s="1"/>
  <c r="L38" i="126" s="1"/>
  <c r="D38" i="130"/>
  <c r="E38" i="130" s="1"/>
  <c r="H38" i="130" s="1"/>
  <c r="I38" i="130" s="1"/>
  <c r="J38" i="130" s="1"/>
  <c r="L38" i="130" s="1"/>
  <c r="D38" i="125"/>
  <c r="E38" i="125" s="1"/>
  <c r="H38" i="125" s="1"/>
  <c r="I38" i="125" s="1"/>
  <c r="J38" i="125" s="1"/>
  <c r="L38" i="125" s="1"/>
  <c r="D38" i="115"/>
  <c r="E38" i="115" s="1"/>
  <c r="H38" i="115" s="1"/>
  <c r="D38" i="117"/>
  <c r="E38" i="117" s="1"/>
  <c r="H38" i="117" s="1"/>
  <c r="D38" i="119"/>
  <c r="E38" i="119" s="1"/>
  <c r="H38" i="119" s="1"/>
  <c r="D38" i="113"/>
  <c r="E38" i="113" s="1"/>
  <c r="H38" i="113" s="1"/>
  <c r="D38" i="128"/>
  <c r="E38" i="128" s="1"/>
  <c r="H38" i="128" s="1"/>
  <c r="I38" i="128" s="1"/>
  <c r="J38" i="128" s="1"/>
  <c r="L38" i="128" s="1"/>
  <c r="D38" i="98"/>
  <c r="E38" i="98" s="1"/>
  <c r="H38" i="98" s="1"/>
  <c r="D38" i="83"/>
  <c r="E38" i="83" s="1"/>
  <c r="H38" i="83" s="1"/>
  <c r="K38" i="83" s="1"/>
  <c r="O38" i="83" s="1"/>
  <c r="D38" i="86"/>
  <c r="E38" i="86" s="1"/>
  <c r="G38" i="86" s="1"/>
  <c r="D38" i="88"/>
  <c r="E38" i="88" s="1"/>
  <c r="G38" i="88" s="1"/>
  <c r="D38" i="91"/>
  <c r="E38" i="91" s="1"/>
  <c r="G38" i="91" s="1"/>
  <c r="D38" i="85"/>
  <c r="E38" i="85" s="1"/>
  <c r="G38" i="85" s="1"/>
  <c r="D38" i="127"/>
  <c r="E38" i="127" s="1"/>
  <c r="H38" i="127" s="1"/>
  <c r="I38" i="127" s="1"/>
  <c r="J38" i="127" s="1"/>
  <c r="L38" i="127" s="1"/>
  <c r="D38" i="131"/>
  <c r="E38" i="131" s="1"/>
  <c r="H38" i="131" s="1"/>
  <c r="I38" i="131" s="1"/>
  <c r="J38" i="131" s="1"/>
  <c r="L38" i="131" s="1"/>
  <c r="D38" i="114"/>
  <c r="E38" i="114" s="1"/>
  <c r="H38" i="114" s="1"/>
  <c r="D38" i="116"/>
  <c r="E38" i="116" s="1"/>
  <c r="H38" i="116" s="1"/>
  <c r="D38" i="118"/>
  <c r="E38" i="118" s="1"/>
  <c r="H38" i="118" s="1"/>
  <c r="D38" i="120"/>
  <c r="E38" i="120" s="1"/>
  <c r="H38" i="120" s="1"/>
  <c r="D38" i="99"/>
  <c r="E38" i="99" s="1"/>
  <c r="H38" i="99" s="1"/>
  <c r="D38" i="129"/>
  <c r="E38" i="129" s="1"/>
  <c r="H38" i="129" s="1"/>
  <c r="I38" i="129" s="1"/>
  <c r="J38" i="129" s="1"/>
  <c r="L38" i="129" s="1"/>
  <c r="D38" i="84"/>
  <c r="E38" i="84" s="1"/>
  <c r="H38" i="84" s="1"/>
  <c r="D38" i="67"/>
  <c r="E38" i="67" s="1"/>
  <c r="F38" i="67" s="1"/>
  <c r="G38" i="67" s="1"/>
  <c r="D41" i="87"/>
  <c r="E41" i="87" s="1"/>
  <c r="G41" i="87" s="1"/>
  <c r="D41" i="89"/>
  <c r="E41" i="89" s="1"/>
  <c r="G41" i="89" s="1"/>
  <c r="F41" i="90"/>
  <c r="G41" i="90" s="1"/>
  <c r="I41" i="90" s="1"/>
  <c r="D41" i="127"/>
  <c r="E41" i="127" s="1"/>
  <c r="H41" i="127" s="1"/>
  <c r="I41" i="127" s="1"/>
  <c r="J41" i="127" s="1"/>
  <c r="L41" i="127" s="1"/>
  <c r="D41" i="129"/>
  <c r="E41" i="129" s="1"/>
  <c r="H41" i="129" s="1"/>
  <c r="I41" i="129" s="1"/>
  <c r="J41" i="129" s="1"/>
  <c r="L41" i="129" s="1"/>
  <c r="D41" i="85"/>
  <c r="E41" i="85" s="1"/>
  <c r="G41" i="85" s="1"/>
  <c r="D41" i="84"/>
  <c r="E41" i="84" s="1"/>
  <c r="H41" i="84" s="1"/>
  <c r="D41" i="131"/>
  <c r="E41" i="131" s="1"/>
  <c r="H41" i="131" s="1"/>
  <c r="I41" i="131" s="1"/>
  <c r="J41" i="131" s="1"/>
  <c r="L41" i="131" s="1"/>
  <c r="D41" i="114"/>
  <c r="E41" i="114" s="1"/>
  <c r="H41" i="114" s="1"/>
  <c r="D41" i="116"/>
  <c r="E41" i="116" s="1"/>
  <c r="H41" i="116" s="1"/>
  <c r="D41" i="118"/>
  <c r="E41" i="118" s="1"/>
  <c r="H41" i="118" s="1"/>
  <c r="D41" i="120"/>
  <c r="E41" i="120" s="1"/>
  <c r="H41" i="120" s="1"/>
  <c r="D41" i="99"/>
  <c r="E41" i="99" s="1"/>
  <c r="H41" i="99" s="1"/>
  <c r="D41" i="86"/>
  <c r="E41" i="86" s="1"/>
  <c r="G41" i="86" s="1"/>
  <c r="D41" i="88"/>
  <c r="E41" i="88" s="1"/>
  <c r="G41" i="88" s="1"/>
  <c r="D41" i="91"/>
  <c r="E41" i="91" s="1"/>
  <c r="G41" i="91" s="1"/>
  <c r="D41" i="126"/>
  <c r="E41" i="126" s="1"/>
  <c r="H41" i="126" s="1"/>
  <c r="I41" i="126" s="1"/>
  <c r="J41" i="126" s="1"/>
  <c r="L41" i="126" s="1"/>
  <c r="D41" i="128"/>
  <c r="E41" i="128" s="1"/>
  <c r="H41" i="128" s="1"/>
  <c r="I41" i="128" s="1"/>
  <c r="J41" i="128" s="1"/>
  <c r="L41" i="128" s="1"/>
  <c r="D41" i="92"/>
  <c r="E41" i="92" s="1"/>
  <c r="G41" i="92" s="1"/>
  <c r="D41" i="98"/>
  <c r="E41" i="98" s="1"/>
  <c r="H41" i="98" s="1"/>
  <c r="D41" i="130"/>
  <c r="E41" i="130" s="1"/>
  <c r="H41" i="130" s="1"/>
  <c r="I41" i="130" s="1"/>
  <c r="J41" i="130" s="1"/>
  <c r="L41" i="130" s="1"/>
  <c r="D41" i="125"/>
  <c r="E41" i="125" s="1"/>
  <c r="H41" i="125" s="1"/>
  <c r="I41" i="125" s="1"/>
  <c r="J41" i="125" s="1"/>
  <c r="L41" i="125" s="1"/>
  <c r="D41" i="115"/>
  <c r="E41" i="115" s="1"/>
  <c r="H41" i="115" s="1"/>
  <c r="D41" i="117"/>
  <c r="E41" i="117" s="1"/>
  <c r="H41" i="117" s="1"/>
  <c r="D41" i="119"/>
  <c r="E41" i="119" s="1"/>
  <c r="H41" i="119" s="1"/>
  <c r="D41" i="113"/>
  <c r="E41" i="113" s="1"/>
  <c r="H41" i="113" s="1"/>
  <c r="D41" i="83"/>
  <c r="E41" i="83" s="1"/>
  <c r="H41" i="83" s="1"/>
  <c r="K41" i="83" s="1"/>
  <c r="O41" i="83" s="1"/>
  <c r="D41" i="67"/>
  <c r="E41" i="67" s="1"/>
  <c r="F41" i="67" s="1"/>
  <c r="G41" i="67" s="1"/>
  <c r="F68" i="90"/>
  <c r="G68" i="90" s="1"/>
  <c r="I68" i="90" s="1"/>
  <c r="D68" i="87"/>
  <c r="E68" i="87" s="1"/>
  <c r="G68" i="87" s="1"/>
  <c r="D68" i="89"/>
  <c r="E68" i="89" s="1"/>
  <c r="G68" i="89" s="1"/>
  <c r="D68" i="92"/>
  <c r="E68" i="92" s="1"/>
  <c r="G68" i="92" s="1"/>
  <c r="D68" i="88"/>
  <c r="E68" i="88" s="1"/>
  <c r="G68" i="88" s="1"/>
  <c r="D68" i="85"/>
  <c r="E68" i="85" s="1"/>
  <c r="G68" i="85" s="1"/>
  <c r="D68" i="127"/>
  <c r="E68" i="127" s="1"/>
  <c r="H68" i="127" s="1"/>
  <c r="I68" i="127" s="1"/>
  <c r="J68" i="127" s="1"/>
  <c r="L68" i="127" s="1"/>
  <c r="D68" i="129"/>
  <c r="E68" i="129" s="1"/>
  <c r="H68" i="129" s="1"/>
  <c r="I68" i="129" s="1"/>
  <c r="J68" i="129" s="1"/>
  <c r="L68" i="129" s="1"/>
  <c r="D68" i="131"/>
  <c r="E68" i="131" s="1"/>
  <c r="H68" i="131" s="1"/>
  <c r="I68" i="131" s="1"/>
  <c r="J68" i="131" s="1"/>
  <c r="L68" i="131" s="1"/>
  <c r="D68" i="114"/>
  <c r="E68" i="114" s="1"/>
  <c r="H68" i="114" s="1"/>
  <c r="D68" i="116"/>
  <c r="E68" i="116" s="1"/>
  <c r="H68" i="116" s="1"/>
  <c r="D68" i="118"/>
  <c r="E68" i="118" s="1"/>
  <c r="H68" i="118" s="1"/>
  <c r="D68" i="120"/>
  <c r="E68" i="120" s="1"/>
  <c r="H68" i="120" s="1"/>
  <c r="D68" i="99"/>
  <c r="E68" i="99" s="1"/>
  <c r="H68" i="99" s="1"/>
  <c r="D68" i="84"/>
  <c r="E68" i="84" s="1"/>
  <c r="H68" i="84" s="1"/>
  <c r="D68" i="86"/>
  <c r="E68" i="86" s="1"/>
  <c r="G68" i="86" s="1"/>
  <c r="D68" i="91"/>
  <c r="E68" i="91" s="1"/>
  <c r="G68" i="91" s="1"/>
  <c r="D68" i="126"/>
  <c r="E68" i="126" s="1"/>
  <c r="H68" i="126" s="1"/>
  <c r="I68" i="126" s="1"/>
  <c r="J68" i="126" s="1"/>
  <c r="L68" i="126" s="1"/>
  <c r="D68" i="128"/>
  <c r="E68" i="128" s="1"/>
  <c r="H68" i="128" s="1"/>
  <c r="I68" i="128" s="1"/>
  <c r="J68" i="128" s="1"/>
  <c r="L68" i="128" s="1"/>
  <c r="D68" i="130"/>
  <c r="E68" i="130" s="1"/>
  <c r="H68" i="130" s="1"/>
  <c r="I68" i="130" s="1"/>
  <c r="J68" i="130" s="1"/>
  <c r="L68" i="130" s="1"/>
  <c r="D68" i="125"/>
  <c r="E68" i="125" s="1"/>
  <c r="H68" i="125" s="1"/>
  <c r="I68" i="125" s="1"/>
  <c r="J68" i="125" s="1"/>
  <c r="L68" i="125" s="1"/>
  <c r="D68" i="115"/>
  <c r="E68" i="115" s="1"/>
  <c r="H68" i="115" s="1"/>
  <c r="D68" i="117"/>
  <c r="E68" i="117" s="1"/>
  <c r="H68" i="117" s="1"/>
  <c r="D68" i="119"/>
  <c r="E68" i="119" s="1"/>
  <c r="H68" i="119" s="1"/>
  <c r="D68" i="113"/>
  <c r="E68" i="113" s="1"/>
  <c r="H68" i="113" s="1"/>
  <c r="D68" i="98"/>
  <c r="E68" i="98" s="1"/>
  <c r="H68" i="98" s="1"/>
  <c r="D68" i="83"/>
  <c r="E68" i="83" s="1"/>
  <c r="H68" i="83" s="1"/>
  <c r="K68" i="83" s="1"/>
  <c r="O68" i="83" s="1"/>
  <c r="D68" i="67"/>
  <c r="E68" i="67" s="1"/>
  <c r="F68" i="67" s="1"/>
  <c r="G68" i="67" s="1"/>
  <c r="D53" i="87"/>
  <c r="E53" i="87" s="1"/>
  <c r="G53" i="87" s="1"/>
  <c r="D53" i="89"/>
  <c r="E53" i="89" s="1"/>
  <c r="G53" i="89" s="1"/>
  <c r="D53" i="92"/>
  <c r="E53" i="92" s="1"/>
  <c r="G53" i="92" s="1"/>
  <c r="D53" i="126"/>
  <c r="E53" i="126" s="1"/>
  <c r="H53" i="126" s="1"/>
  <c r="I53" i="126" s="1"/>
  <c r="J53" i="126" s="1"/>
  <c r="L53" i="126" s="1"/>
  <c r="D53" i="128"/>
  <c r="E53" i="128" s="1"/>
  <c r="H53" i="128" s="1"/>
  <c r="I53" i="128" s="1"/>
  <c r="J53" i="128" s="1"/>
  <c r="L53" i="128" s="1"/>
  <c r="D53" i="85"/>
  <c r="E53" i="85" s="1"/>
  <c r="G53" i="85" s="1"/>
  <c r="D53" i="84"/>
  <c r="E53" i="84" s="1"/>
  <c r="H53" i="84" s="1"/>
  <c r="D53" i="131"/>
  <c r="E53" i="131" s="1"/>
  <c r="H53" i="131" s="1"/>
  <c r="I53" i="131" s="1"/>
  <c r="J53" i="131" s="1"/>
  <c r="L53" i="131" s="1"/>
  <c r="D53" i="114"/>
  <c r="E53" i="114" s="1"/>
  <c r="H53" i="114" s="1"/>
  <c r="D53" i="116"/>
  <c r="E53" i="116" s="1"/>
  <c r="H53" i="116" s="1"/>
  <c r="D53" i="118"/>
  <c r="E53" i="118" s="1"/>
  <c r="H53" i="118" s="1"/>
  <c r="D53" i="120"/>
  <c r="E53" i="120" s="1"/>
  <c r="H53" i="120" s="1"/>
  <c r="D53" i="99"/>
  <c r="E53" i="99" s="1"/>
  <c r="H53" i="99" s="1"/>
  <c r="D53" i="86"/>
  <c r="E53" i="86" s="1"/>
  <c r="G53" i="86" s="1"/>
  <c r="D53" i="88"/>
  <c r="E53" i="88" s="1"/>
  <c r="G53" i="88" s="1"/>
  <c r="D53" i="91"/>
  <c r="E53" i="91" s="1"/>
  <c r="G53" i="91" s="1"/>
  <c r="F53" i="90"/>
  <c r="G53" i="90" s="1"/>
  <c r="I53" i="90" s="1"/>
  <c r="D53" i="127"/>
  <c r="E53" i="127" s="1"/>
  <c r="H53" i="127" s="1"/>
  <c r="I53" i="127" s="1"/>
  <c r="J53" i="127" s="1"/>
  <c r="L53" i="127" s="1"/>
  <c r="D53" i="129"/>
  <c r="E53" i="129" s="1"/>
  <c r="H53" i="129" s="1"/>
  <c r="I53" i="129" s="1"/>
  <c r="J53" i="129" s="1"/>
  <c r="L53" i="129" s="1"/>
  <c r="D53" i="98"/>
  <c r="E53" i="98" s="1"/>
  <c r="H53" i="98" s="1"/>
  <c r="D53" i="130"/>
  <c r="E53" i="130" s="1"/>
  <c r="H53" i="130" s="1"/>
  <c r="I53" i="130" s="1"/>
  <c r="J53" i="130" s="1"/>
  <c r="L53" i="130" s="1"/>
  <c r="D53" i="125"/>
  <c r="E53" i="125" s="1"/>
  <c r="H53" i="125" s="1"/>
  <c r="I53" i="125" s="1"/>
  <c r="J53" i="125" s="1"/>
  <c r="L53" i="125" s="1"/>
  <c r="D53" i="115"/>
  <c r="E53" i="115" s="1"/>
  <c r="H53" i="115" s="1"/>
  <c r="D53" i="117"/>
  <c r="E53" i="117" s="1"/>
  <c r="H53" i="117" s="1"/>
  <c r="D53" i="119"/>
  <c r="E53" i="119" s="1"/>
  <c r="H53" i="119" s="1"/>
  <c r="D53" i="113"/>
  <c r="E53" i="113" s="1"/>
  <c r="H53" i="113" s="1"/>
  <c r="D53" i="83"/>
  <c r="E53" i="83" s="1"/>
  <c r="H53" i="83" s="1"/>
  <c r="K53" i="83" s="1"/>
  <c r="O53" i="83" s="1"/>
  <c r="D53" i="67"/>
  <c r="E53" i="67" s="1"/>
  <c r="F53" i="67" s="1"/>
  <c r="G53" i="67" s="1"/>
  <c r="D55" i="86"/>
  <c r="E55" i="86" s="1"/>
  <c r="G55" i="86" s="1"/>
  <c r="D55" i="88"/>
  <c r="E55" i="88" s="1"/>
  <c r="G55" i="88" s="1"/>
  <c r="D55" i="91"/>
  <c r="E55" i="91" s="1"/>
  <c r="G55" i="91" s="1"/>
  <c r="F55" i="90"/>
  <c r="G55" i="90" s="1"/>
  <c r="I55" i="90" s="1"/>
  <c r="D55" i="127"/>
  <c r="E55" i="127" s="1"/>
  <c r="H55" i="127" s="1"/>
  <c r="I55" i="127" s="1"/>
  <c r="J55" i="127" s="1"/>
  <c r="L55" i="127" s="1"/>
  <c r="D55" i="129"/>
  <c r="E55" i="129" s="1"/>
  <c r="H55" i="129" s="1"/>
  <c r="I55" i="129" s="1"/>
  <c r="J55" i="129" s="1"/>
  <c r="L55" i="129" s="1"/>
  <c r="D55" i="98"/>
  <c r="E55" i="98" s="1"/>
  <c r="H55" i="98" s="1"/>
  <c r="D55" i="130"/>
  <c r="E55" i="130" s="1"/>
  <c r="H55" i="130" s="1"/>
  <c r="I55" i="130" s="1"/>
  <c r="J55" i="130" s="1"/>
  <c r="L55" i="130" s="1"/>
  <c r="D55" i="125"/>
  <c r="E55" i="125" s="1"/>
  <c r="H55" i="125" s="1"/>
  <c r="I55" i="125" s="1"/>
  <c r="J55" i="125" s="1"/>
  <c r="L55" i="125" s="1"/>
  <c r="D55" i="115"/>
  <c r="E55" i="115" s="1"/>
  <c r="H55" i="115" s="1"/>
  <c r="D55" i="117"/>
  <c r="E55" i="117" s="1"/>
  <c r="H55" i="117" s="1"/>
  <c r="D55" i="119"/>
  <c r="E55" i="119" s="1"/>
  <c r="H55" i="119" s="1"/>
  <c r="D55" i="113"/>
  <c r="E55" i="113" s="1"/>
  <c r="H55" i="113" s="1"/>
  <c r="D55" i="83"/>
  <c r="E55" i="83" s="1"/>
  <c r="H55" i="83" s="1"/>
  <c r="K55" i="83" s="1"/>
  <c r="O55" i="83" s="1"/>
  <c r="D55" i="87"/>
  <c r="E55" i="87" s="1"/>
  <c r="G55" i="87" s="1"/>
  <c r="D55" i="89"/>
  <c r="E55" i="89" s="1"/>
  <c r="G55" i="89" s="1"/>
  <c r="D55" i="92"/>
  <c r="E55" i="92" s="1"/>
  <c r="G55" i="92" s="1"/>
  <c r="D55" i="126"/>
  <c r="E55" i="126" s="1"/>
  <c r="H55" i="126" s="1"/>
  <c r="I55" i="126" s="1"/>
  <c r="J55" i="126" s="1"/>
  <c r="L55" i="126" s="1"/>
  <c r="D55" i="128"/>
  <c r="E55" i="128" s="1"/>
  <c r="H55" i="128" s="1"/>
  <c r="I55" i="128" s="1"/>
  <c r="J55" i="128" s="1"/>
  <c r="L55" i="128" s="1"/>
  <c r="D55" i="85"/>
  <c r="E55" i="85" s="1"/>
  <c r="G55" i="85" s="1"/>
  <c r="D55" i="84"/>
  <c r="E55" i="84" s="1"/>
  <c r="H55" i="84" s="1"/>
  <c r="D55" i="131"/>
  <c r="E55" i="131" s="1"/>
  <c r="H55" i="131" s="1"/>
  <c r="I55" i="131" s="1"/>
  <c r="J55" i="131" s="1"/>
  <c r="L55" i="131" s="1"/>
  <c r="D55" i="114"/>
  <c r="E55" i="114" s="1"/>
  <c r="H55" i="114" s="1"/>
  <c r="D55" i="116"/>
  <c r="E55" i="116" s="1"/>
  <c r="H55" i="116" s="1"/>
  <c r="D55" i="118"/>
  <c r="E55" i="118" s="1"/>
  <c r="H55" i="118" s="1"/>
  <c r="D55" i="120"/>
  <c r="E55" i="120" s="1"/>
  <c r="H55" i="120" s="1"/>
  <c r="D55" i="99"/>
  <c r="E55" i="99" s="1"/>
  <c r="H55" i="99" s="1"/>
  <c r="D55" i="67"/>
  <c r="E55" i="67" s="1"/>
  <c r="F55" i="67" s="1"/>
  <c r="G55" i="67" s="1"/>
  <c r="F56" i="90"/>
  <c r="G56" i="90" s="1"/>
  <c r="I56" i="90" s="1"/>
  <c r="D56" i="87"/>
  <c r="E56" i="87" s="1"/>
  <c r="G56" i="87" s="1"/>
  <c r="D56" i="89"/>
  <c r="E56" i="89" s="1"/>
  <c r="G56" i="89" s="1"/>
  <c r="D56" i="92"/>
  <c r="E56" i="92" s="1"/>
  <c r="G56" i="92" s="1"/>
  <c r="D56" i="126"/>
  <c r="E56" i="126" s="1"/>
  <c r="H56" i="126" s="1"/>
  <c r="I56" i="126" s="1"/>
  <c r="J56" i="126" s="1"/>
  <c r="L56" i="126" s="1"/>
  <c r="D56" i="128"/>
  <c r="E56" i="128" s="1"/>
  <c r="H56" i="128" s="1"/>
  <c r="I56" i="128" s="1"/>
  <c r="J56" i="128" s="1"/>
  <c r="L56" i="128" s="1"/>
  <c r="D56" i="130"/>
  <c r="E56" i="130" s="1"/>
  <c r="H56" i="130" s="1"/>
  <c r="I56" i="130" s="1"/>
  <c r="J56" i="130" s="1"/>
  <c r="L56" i="130" s="1"/>
  <c r="D56" i="125"/>
  <c r="E56" i="125" s="1"/>
  <c r="H56" i="125" s="1"/>
  <c r="I56" i="125" s="1"/>
  <c r="J56" i="125" s="1"/>
  <c r="L56" i="125" s="1"/>
  <c r="D56" i="115"/>
  <c r="E56" i="115" s="1"/>
  <c r="H56" i="115" s="1"/>
  <c r="D56" i="117"/>
  <c r="E56" i="117" s="1"/>
  <c r="H56" i="117" s="1"/>
  <c r="D56" i="119"/>
  <c r="E56" i="119" s="1"/>
  <c r="H56" i="119" s="1"/>
  <c r="D56" i="113"/>
  <c r="E56" i="113" s="1"/>
  <c r="H56" i="113" s="1"/>
  <c r="D56" i="98"/>
  <c r="E56" i="98" s="1"/>
  <c r="H56" i="98" s="1"/>
  <c r="D56" i="83"/>
  <c r="E56" i="83" s="1"/>
  <c r="H56" i="83" s="1"/>
  <c r="K56" i="83" s="1"/>
  <c r="O56" i="83" s="1"/>
  <c r="D56" i="86"/>
  <c r="E56" i="86" s="1"/>
  <c r="G56" i="86" s="1"/>
  <c r="D56" i="88"/>
  <c r="E56" i="88" s="1"/>
  <c r="G56" i="88" s="1"/>
  <c r="D56" i="91"/>
  <c r="E56" i="91" s="1"/>
  <c r="G56" i="91" s="1"/>
  <c r="D56" i="85"/>
  <c r="E56" i="85" s="1"/>
  <c r="G56" i="85" s="1"/>
  <c r="D56" i="127"/>
  <c r="E56" i="127" s="1"/>
  <c r="H56" i="127" s="1"/>
  <c r="I56" i="127" s="1"/>
  <c r="J56" i="127" s="1"/>
  <c r="L56" i="127" s="1"/>
  <c r="D56" i="129"/>
  <c r="E56" i="129" s="1"/>
  <c r="H56" i="129" s="1"/>
  <c r="I56" i="129" s="1"/>
  <c r="J56" i="129" s="1"/>
  <c r="L56" i="129" s="1"/>
  <c r="D56" i="131"/>
  <c r="E56" i="131" s="1"/>
  <c r="H56" i="131" s="1"/>
  <c r="I56" i="131" s="1"/>
  <c r="J56" i="131" s="1"/>
  <c r="L56" i="131" s="1"/>
  <c r="D56" i="114"/>
  <c r="E56" i="114" s="1"/>
  <c r="H56" i="114" s="1"/>
  <c r="D56" i="116"/>
  <c r="E56" i="116" s="1"/>
  <c r="H56" i="116" s="1"/>
  <c r="D56" i="118"/>
  <c r="E56" i="118" s="1"/>
  <c r="H56" i="118" s="1"/>
  <c r="D56" i="120"/>
  <c r="E56" i="120" s="1"/>
  <c r="H56" i="120" s="1"/>
  <c r="D56" i="99"/>
  <c r="E56" i="99" s="1"/>
  <c r="H56" i="99" s="1"/>
  <c r="D56" i="84"/>
  <c r="E56" i="84" s="1"/>
  <c r="H56" i="84" s="1"/>
  <c r="D56" i="67"/>
  <c r="E56" i="67" s="1"/>
  <c r="F56" i="67" s="1"/>
  <c r="G56" i="67" s="1"/>
  <c r="D75" i="86"/>
  <c r="E75" i="86" s="1"/>
  <c r="G75" i="86" s="1"/>
  <c r="D75" i="88"/>
  <c r="E75" i="88" s="1"/>
  <c r="G75" i="88" s="1"/>
  <c r="D75" i="91"/>
  <c r="E75" i="91" s="1"/>
  <c r="G75" i="91" s="1"/>
  <c r="F75" i="90"/>
  <c r="G75" i="90" s="1"/>
  <c r="I75" i="90" s="1"/>
  <c r="D75" i="127"/>
  <c r="E75" i="127" s="1"/>
  <c r="H75" i="127" s="1"/>
  <c r="I75" i="127" s="1"/>
  <c r="J75" i="127" s="1"/>
  <c r="L75" i="127" s="1"/>
  <c r="D75" i="129"/>
  <c r="E75" i="129" s="1"/>
  <c r="H75" i="129" s="1"/>
  <c r="I75" i="129" s="1"/>
  <c r="J75" i="129" s="1"/>
  <c r="L75" i="129" s="1"/>
  <c r="D75" i="98"/>
  <c r="E75" i="98" s="1"/>
  <c r="H75" i="98" s="1"/>
  <c r="D75" i="130"/>
  <c r="E75" i="130" s="1"/>
  <c r="H75" i="130" s="1"/>
  <c r="I75" i="130" s="1"/>
  <c r="J75" i="130" s="1"/>
  <c r="L75" i="130" s="1"/>
  <c r="D75" i="125"/>
  <c r="E75" i="125" s="1"/>
  <c r="H75" i="125" s="1"/>
  <c r="I75" i="125" s="1"/>
  <c r="J75" i="125" s="1"/>
  <c r="L75" i="125" s="1"/>
  <c r="D75" i="115"/>
  <c r="E75" i="115" s="1"/>
  <c r="H75" i="115" s="1"/>
  <c r="D75" i="117"/>
  <c r="E75" i="117" s="1"/>
  <c r="H75" i="117" s="1"/>
  <c r="D75" i="119"/>
  <c r="E75" i="119" s="1"/>
  <c r="H75" i="119" s="1"/>
  <c r="D75" i="113"/>
  <c r="E75" i="113" s="1"/>
  <c r="H75" i="113" s="1"/>
  <c r="D75" i="83"/>
  <c r="E75" i="83" s="1"/>
  <c r="H75" i="83" s="1"/>
  <c r="K75" i="83" s="1"/>
  <c r="O75" i="83" s="1"/>
  <c r="D75" i="87"/>
  <c r="E75" i="87" s="1"/>
  <c r="G75" i="87" s="1"/>
  <c r="D75" i="89"/>
  <c r="E75" i="89" s="1"/>
  <c r="G75" i="89" s="1"/>
  <c r="D75" i="92"/>
  <c r="E75" i="92" s="1"/>
  <c r="G75" i="92" s="1"/>
  <c r="D75" i="126"/>
  <c r="E75" i="126" s="1"/>
  <c r="H75" i="126" s="1"/>
  <c r="I75" i="126" s="1"/>
  <c r="J75" i="126" s="1"/>
  <c r="L75" i="126" s="1"/>
  <c r="D75" i="128"/>
  <c r="E75" i="128" s="1"/>
  <c r="H75" i="128" s="1"/>
  <c r="I75" i="128" s="1"/>
  <c r="J75" i="128" s="1"/>
  <c r="L75" i="128" s="1"/>
  <c r="D75" i="85"/>
  <c r="E75" i="85" s="1"/>
  <c r="G75" i="85" s="1"/>
  <c r="D75" i="84"/>
  <c r="E75" i="84" s="1"/>
  <c r="H75" i="84" s="1"/>
  <c r="D75" i="131"/>
  <c r="E75" i="131" s="1"/>
  <c r="H75" i="131" s="1"/>
  <c r="I75" i="131" s="1"/>
  <c r="J75" i="131" s="1"/>
  <c r="L75" i="131" s="1"/>
  <c r="D75" i="114"/>
  <c r="E75" i="114" s="1"/>
  <c r="H75" i="114" s="1"/>
  <c r="D75" i="116"/>
  <c r="E75" i="116" s="1"/>
  <c r="H75" i="116" s="1"/>
  <c r="D75" i="118"/>
  <c r="E75" i="118" s="1"/>
  <c r="H75" i="118" s="1"/>
  <c r="D75" i="120"/>
  <c r="E75" i="120" s="1"/>
  <c r="H75" i="120" s="1"/>
  <c r="D75" i="99"/>
  <c r="E75" i="99" s="1"/>
  <c r="H75" i="99" s="1"/>
  <c r="D75" i="67"/>
  <c r="E75" i="67" s="1"/>
  <c r="F75" i="67" s="1"/>
  <c r="G75" i="67" s="1"/>
  <c r="D69" i="86"/>
  <c r="E69" i="86" s="1"/>
  <c r="G69" i="86" s="1"/>
  <c r="D69" i="88"/>
  <c r="E69" i="88" s="1"/>
  <c r="G69" i="88" s="1"/>
  <c r="D69" i="91"/>
  <c r="E69" i="91" s="1"/>
  <c r="G69" i="91" s="1"/>
  <c r="F69" i="90"/>
  <c r="G69" i="90" s="1"/>
  <c r="I69" i="90" s="1"/>
  <c r="D69" i="127"/>
  <c r="E69" i="127" s="1"/>
  <c r="H69" i="127" s="1"/>
  <c r="I69" i="127" s="1"/>
  <c r="J69" i="127" s="1"/>
  <c r="L69" i="127" s="1"/>
  <c r="D69" i="129"/>
  <c r="E69" i="129" s="1"/>
  <c r="H69" i="129" s="1"/>
  <c r="I69" i="129" s="1"/>
  <c r="J69" i="129" s="1"/>
  <c r="L69" i="129" s="1"/>
  <c r="D69" i="98"/>
  <c r="E69" i="98" s="1"/>
  <c r="H69" i="98" s="1"/>
  <c r="D69" i="130"/>
  <c r="E69" i="130" s="1"/>
  <c r="H69" i="130" s="1"/>
  <c r="I69" i="130" s="1"/>
  <c r="J69" i="130" s="1"/>
  <c r="L69" i="130" s="1"/>
  <c r="D69" i="125"/>
  <c r="E69" i="125" s="1"/>
  <c r="H69" i="125" s="1"/>
  <c r="I69" i="125" s="1"/>
  <c r="J69" i="125" s="1"/>
  <c r="L69" i="125" s="1"/>
  <c r="D69" i="115"/>
  <c r="E69" i="115" s="1"/>
  <c r="H69" i="115" s="1"/>
  <c r="D69" i="117"/>
  <c r="E69" i="117" s="1"/>
  <c r="H69" i="117" s="1"/>
  <c r="D69" i="119"/>
  <c r="E69" i="119" s="1"/>
  <c r="H69" i="119" s="1"/>
  <c r="D69" i="113"/>
  <c r="E69" i="113" s="1"/>
  <c r="H69" i="113" s="1"/>
  <c r="D69" i="83"/>
  <c r="E69" i="83" s="1"/>
  <c r="H69" i="83" s="1"/>
  <c r="K69" i="83" s="1"/>
  <c r="O69" i="83" s="1"/>
  <c r="D69" i="87"/>
  <c r="E69" i="87" s="1"/>
  <c r="G69" i="87" s="1"/>
  <c r="D69" i="89"/>
  <c r="E69" i="89" s="1"/>
  <c r="G69" i="89" s="1"/>
  <c r="D69" i="92"/>
  <c r="E69" i="92" s="1"/>
  <c r="G69" i="92" s="1"/>
  <c r="D69" i="126"/>
  <c r="E69" i="126" s="1"/>
  <c r="H69" i="126" s="1"/>
  <c r="I69" i="126" s="1"/>
  <c r="J69" i="126" s="1"/>
  <c r="L69" i="126" s="1"/>
  <c r="D69" i="128"/>
  <c r="E69" i="128" s="1"/>
  <c r="H69" i="128" s="1"/>
  <c r="I69" i="128" s="1"/>
  <c r="J69" i="128" s="1"/>
  <c r="L69" i="128" s="1"/>
  <c r="D69" i="85"/>
  <c r="E69" i="85" s="1"/>
  <c r="G69" i="85" s="1"/>
  <c r="D69" i="84"/>
  <c r="E69" i="84" s="1"/>
  <c r="H69" i="84" s="1"/>
  <c r="D69" i="131"/>
  <c r="E69" i="131" s="1"/>
  <c r="H69" i="131" s="1"/>
  <c r="I69" i="131" s="1"/>
  <c r="J69" i="131" s="1"/>
  <c r="L69" i="131" s="1"/>
  <c r="D69" i="114"/>
  <c r="E69" i="114" s="1"/>
  <c r="H69" i="114" s="1"/>
  <c r="D69" i="116"/>
  <c r="E69" i="116" s="1"/>
  <c r="H69" i="116" s="1"/>
  <c r="D69" i="118"/>
  <c r="E69" i="118" s="1"/>
  <c r="H69" i="118" s="1"/>
  <c r="D69" i="120"/>
  <c r="E69" i="120" s="1"/>
  <c r="H69" i="120" s="1"/>
  <c r="D69" i="99"/>
  <c r="E69" i="99" s="1"/>
  <c r="H69" i="99" s="1"/>
  <c r="D69" i="67"/>
  <c r="E69" i="67" s="1"/>
  <c r="F69" i="67" s="1"/>
  <c r="G69" i="67" s="1"/>
  <c r="F72" i="90"/>
  <c r="G72" i="90" s="1"/>
  <c r="I72" i="90" s="1"/>
  <c r="D72" i="87"/>
  <c r="E72" i="87" s="1"/>
  <c r="G72" i="87" s="1"/>
  <c r="D72" i="89"/>
  <c r="E72" i="89" s="1"/>
  <c r="G72" i="89" s="1"/>
  <c r="D72" i="92"/>
  <c r="E72" i="92" s="1"/>
  <c r="G72" i="92" s="1"/>
  <c r="D72" i="126"/>
  <c r="E72" i="126" s="1"/>
  <c r="H72" i="126" s="1"/>
  <c r="I72" i="126" s="1"/>
  <c r="J72" i="126" s="1"/>
  <c r="L72" i="126" s="1"/>
  <c r="D72" i="128"/>
  <c r="E72" i="128" s="1"/>
  <c r="H72" i="128" s="1"/>
  <c r="I72" i="128" s="1"/>
  <c r="J72" i="128" s="1"/>
  <c r="L72" i="128" s="1"/>
  <c r="D72" i="130"/>
  <c r="E72" i="130" s="1"/>
  <c r="H72" i="130" s="1"/>
  <c r="I72" i="130" s="1"/>
  <c r="J72" i="130" s="1"/>
  <c r="L72" i="130" s="1"/>
  <c r="D72" i="125"/>
  <c r="E72" i="125" s="1"/>
  <c r="H72" i="125" s="1"/>
  <c r="I72" i="125" s="1"/>
  <c r="J72" i="125" s="1"/>
  <c r="L72" i="125" s="1"/>
  <c r="D72" i="115"/>
  <c r="E72" i="115" s="1"/>
  <c r="H72" i="115" s="1"/>
  <c r="D72" i="117"/>
  <c r="E72" i="117" s="1"/>
  <c r="H72" i="117" s="1"/>
  <c r="D72" i="119"/>
  <c r="E72" i="119" s="1"/>
  <c r="H72" i="119" s="1"/>
  <c r="D72" i="113"/>
  <c r="E72" i="113" s="1"/>
  <c r="H72" i="113" s="1"/>
  <c r="D72" i="98"/>
  <c r="E72" i="98" s="1"/>
  <c r="H72" i="98" s="1"/>
  <c r="D72" i="83"/>
  <c r="E72" i="83" s="1"/>
  <c r="H72" i="83" s="1"/>
  <c r="K72" i="83" s="1"/>
  <c r="O72" i="83" s="1"/>
  <c r="D72" i="86"/>
  <c r="E72" i="86" s="1"/>
  <c r="G72" i="86" s="1"/>
  <c r="D72" i="88"/>
  <c r="E72" i="88" s="1"/>
  <c r="G72" i="88" s="1"/>
  <c r="D72" i="91"/>
  <c r="E72" i="91" s="1"/>
  <c r="G72" i="91" s="1"/>
  <c r="D72" i="85"/>
  <c r="E72" i="85" s="1"/>
  <c r="G72" i="85" s="1"/>
  <c r="D72" i="127"/>
  <c r="E72" i="127" s="1"/>
  <c r="H72" i="127" s="1"/>
  <c r="I72" i="127" s="1"/>
  <c r="J72" i="127" s="1"/>
  <c r="L72" i="127" s="1"/>
  <c r="D72" i="129"/>
  <c r="E72" i="129" s="1"/>
  <c r="H72" i="129" s="1"/>
  <c r="I72" i="129" s="1"/>
  <c r="J72" i="129" s="1"/>
  <c r="L72" i="129" s="1"/>
  <c r="D72" i="131"/>
  <c r="E72" i="131" s="1"/>
  <c r="H72" i="131" s="1"/>
  <c r="I72" i="131" s="1"/>
  <c r="J72" i="131" s="1"/>
  <c r="L72" i="131" s="1"/>
  <c r="D72" i="114"/>
  <c r="E72" i="114" s="1"/>
  <c r="H72" i="114" s="1"/>
  <c r="D72" i="116"/>
  <c r="E72" i="116" s="1"/>
  <c r="H72" i="116" s="1"/>
  <c r="D72" i="118"/>
  <c r="E72" i="118" s="1"/>
  <c r="H72" i="118" s="1"/>
  <c r="D72" i="120"/>
  <c r="E72" i="120" s="1"/>
  <c r="H72" i="120" s="1"/>
  <c r="D72" i="99"/>
  <c r="E72" i="99" s="1"/>
  <c r="H72" i="99" s="1"/>
  <c r="D72" i="84"/>
  <c r="E72" i="84" s="1"/>
  <c r="H72" i="84" s="1"/>
  <c r="D72" i="67"/>
  <c r="E72" i="67" s="1"/>
  <c r="F72" i="67" s="1"/>
  <c r="G72" i="67" s="1"/>
  <c r="D73" i="87"/>
  <c r="E73" i="87" s="1"/>
  <c r="G73" i="87" s="1"/>
  <c r="D73" i="89"/>
  <c r="E73" i="89" s="1"/>
  <c r="G73" i="89" s="1"/>
  <c r="D73" i="92"/>
  <c r="E73" i="92" s="1"/>
  <c r="G73" i="92" s="1"/>
  <c r="D73" i="126"/>
  <c r="E73" i="126" s="1"/>
  <c r="H73" i="126" s="1"/>
  <c r="I73" i="126" s="1"/>
  <c r="J73" i="126" s="1"/>
  <c r="L73" i="126" s="1"/>
  <c r="D73" i="128"/>
  <c r="E73" i="128" s="1"/>
  <c r="H73" i="128" s="1"/>
  <c r="I73" i="128" s="1"/>
  <c r="J73" i="128" s="1"/>
  <c r="L73" i="128" s="1"/>
  <c r="D73" i="85"/>
  <c r="E73" i="85" s="1"/>
  <c r="G73" i="85" s="1"/>
  <c r="D73" i="84"/>
  <c r="E73" i="84" s="1"/>
  <c r="H73" i="84" s="1"/>
  <c r="D73" i="131"/>
  <c r="E73" i="131" s="1"/>
  <c r="H73" i="131" s="1"/>
  <c r="I73" i="131" s="1"/>
  <c r="J73" i="131" s="1"/>
  <c r="L73" i="131" s="1"/>
  <c r="D73" i="114"/>
  <c r="E73" i="114" s="1"/>
  <c r="H73" i="114" s="1"/>
  <c r="D73" i="116"/>
  <c r="E73" i="116" s="1"/>
  <c r="H73" i="116" s="1"/>
  <c r="D73" i="118"/>
  <c r="E73" i="118" s="1"/>
  <c r="H73" i="118" s="1"/>
  <c r="D73" i="120"/>
  <c r="E73" i="120" s="1"/>
  <c r="H73" i="120" s="1"/>
  <c r="D73" i="99"/>
  <c r="E73" i="99" s="1"/>
  <c r="H73" i="99" s="1"/>
  <c r="M73" i="99" s="1"/>
  <c r="D73" i="86"/>
  <c r="E73" i="86" s="1"/>
  <c r="G73" i="86" s="1"/>
  <c r="D73" i="88"/>
  <c r="E73" i="88" s="1"/>
  <c r="G73" i="88" s="1"/>
  <c r="D73" i="91"/>
  <c r="E73" i="91" s="1"/>
  <c r="G73" i="91" s="1"/>
  <c r="F73" i="90"/>
  <c r="G73" i="90" s="1"/>
  <c r="I73" i="90" s="1"/>
  <c r="D73" i="127"/>
  <c r="E73" i="127" s="1"/>
  <c r="H73" i="127" s="1"/>
  <c r="I73" i="127" s="1"/>
  <c r="J73" i="127" s="1"/>
  <c r="L73" i="127" s="1"/>
  <c r="D73" i="129"/>
  <c r="E73" i="129" s="1"/>
  <c r="H73" i="129" s="1"/>
  <c r="I73" i="129" s="1"/>
  <c r="J73" i="129" s="1"/>
  <c r="L73" i="129" s="1"/>
  <c r="D73" i="98"/>
  <c r="E73" i="98" s="1"/>
  <c r="H73" i="98" s="1"/>
  <c r="D73" i="130"/>
  <c r="E73" i="130" s="1"/>
  <c r="H73" i="130" s="1"/>
  <c r="I73" i="130" s="1"/>
  <c r="J73" i="130" s="1"/>
  <c r="L73" i="130" s="1"/>
  <c r="D73" i="125"/>
  <c r="E73" i="125" s="1"/>
  <c r="H73" i="125" s="1"/>
  <c r="I73" i="125" s="1"/>
  <c r="J73" i="125" s="1"/>
  <c r="L73" i="125" s="1"/>
  <c r="D73" i="115"/>
  <c r="E73" i="115" s="1"/>
  <c r="H73" i="115" s="1"/>
  <c r="D73" i="117"/>
  <c r="E73" i="117" s="1"/>
  <c r="H73" i="117" s="1"/>
  <c r="D73" i="119"/>
  <c r="E73" i="119" s="1"/>
  <c r="H73" i="119" s="1"/>
  <c r="D73" i="113"/>
  <c r="E73" i="113" s="1"/>
  <c r="H73" i="113" s="1"/>
  <c r="D73" i="83"/>
  <c r="E73" i="83" s="1"/>
  <c r="H73" i="83" s="1"/>
  <c r="K73" i="83" s="1"/>
  <c r="O73" i="83" s="1"/>
  <c r="D73" i="67"/>
  <c r="E73" i="67" s="1"/>
  <c r="F73" i="67" s="1"/>
  <c r="G73" i="67" s="1"/>
  <c r="D32" i="86"/>
  <c r="E32" i="86" s="1"/>
  <c r="G32" i="86" s="1"/>
  <c r="D32" i="88"/>
  <c r="E32" i="88" s="1"/>
  <c r="G32" i="88" s="1"/>
  <c r="D32" i="91"/>
  <c r="E32" i="91" s="1"/>
  <c r="G32" i="91" s="1"/>
  <c r="D32" i="85"/>
  <c r="E32" i="85" s="1"/>
  <c r="G32" i="85" s="1"/>
  <c r="D32" i="127"/>
  <c r="E32" i="127" s="1"/>
  <c r="H32" i="127" s="1"/>
  <c r="I32" i="127" s="1"/>
  <c r="J32" i="127" s="1"/>
  <c r="L32" i="127" s="1"/>
  <c r="D32" i="129"/>
  <c r="E32" i="129" s="1"/>
  <c r="H32" i="129" s="1"/>
  <c r="I32" i="129" s="1"/>
  <c r="J32" i="129" s="1"/>
  <c r="L32" i="129" s="1"/>
  <c r="D32" i="131"/>
  <c r="E32" i="131" s="1"/>
  <c r="H32" i="131" s="1"/>
  <c r="I32" i="131" s="1"/>
  <c r="J32" i="131" s="1"/>
  <c r="L32" i="131" s="1"/>
  <c r="D32" i="114"/>
  <c r="E32" i="114" s="1"/>
  <c r="H32" i="114" s="1"/>
  <c r="D32" i="116"/>
  <c r="E32" i="116" s="1"/>
  <c r="H32" i="116" s="1"/>
  <c r="D32" i="118"/>
  <c r="E32" i="118" s="1"/>
  <c r="H32" i="118" s="1"/>
  <c r="D32" i="120"/>
  <c r="E32" i="120" s="1"/>
  <c r="H32" i="120" s="1"/>
  <c r="D32" i="99"/>
  <c r="E32" i="99" s="1"/>
  <c r="H32" i="99" s="1"/>
  <c r="D32" i="84"/>
  <c r="E32" i="84" s="1"/>
  <c r="H32" i="84" s="1"/>
  <c r="F32" i="90"/>
  <c r="G32" i="90" s="1"/>
  <c r="I32" i="90" s="1"/>
  <c r="D32" i="87"/>
  <c r="E32" i="87" s="1"/>
  <c r="G32" i="87" s="1"/>
  <c r="D32" i="89"/>
  <c r="E32" i="89" s="1"/>
  <c r="G32" i="89" s="1"/>
  <c r="D32" i="92"/>
  <c r="E32" i="92" s="1"/>
  <c r="G32" i="92" s="1"/>
  <c r="D32" i="126"/>
  <c r="E32" i="126" s="1"/>
  <c r="H32" i="126" s="1"/>
  <c r="I32" i="126" s="1"/>
  <c r="J32" i="126" s="1"/>
  <c r="L32" i="126" s="1"/>
  <c r="D32" i="128"/>
  <c r="E32" i="128" s="1"/>
  <c r="H32" i="128" s="1"/>
  <c r="I32" i="128" s="1"/>
  <c r="J32" i="128" s="1"/>
  <c r="L32" i="128" s="1"/>
  <c r="D32" i="130"/>
  <c r="E32" i="130" s="1"/>
  <c r="H32" i="130" s="1"/>
  <c r="I32" i="130" s="1"/>
  <c r="J32" i="130" s="1"/>
  <c r="L32" i="130" s="1"/>
  <c r="D32" i="125"/>
  <c r="E32" i="125" s="1"/>
  <c r="H32" i="125" s="1"/>
  <c r="I32" i="125" s="1"/>
  <c r="J32" i="125" s="1"/>
  <c r="L32" i="125" s="1"/>
  <c r="D32" i="115"/>
  <c r="E32" i="115" s="1"/>
  <c r="H32" i="115" s="1"/>
  <c r="D32" i="117"/>
  <c r="E32" i="117" s="1"/>
  <c r="H32" i="117" s="1"/>
  <c r="D32" i="119"/>
  <c r="E32" i="119" s="1"/>
  <c r="H32" i="119" s="1"/>
  <c r="D32" i="113"/>
  <c r="E32" i="113" s="1"/>
  <c r="H32" i="113" s="1"/>
  <c r="D32" i="98"/>
  <c r="E32" i="98" s="1"/>
  <c r="H32" i="98" s="1"/>
  <c r="D32" i="83"/>
  <c r="E32" i="83" s="1"/>
  <c r="H32" i="83" s="1"/>
  <c r="K32" i="83" s="1"/>
  <c r="O32" i="83" s="1"/>
  <c r="D32" i="67"/>
  <c r="E32" i="67" s="1"/>
  <c r="F32" i="67" s="1"/>
  <c r="G32" i="67" s="1"/>
  <c r="F10" i="90"/>
  <c r="G10" i="90" s="1"/>
  <c r="I10" i="90" s="1"/>
  <c r="D10" i="87"/>
  <c r="E10" i="87" s="1"/>
  <c r="G10" i="87" s="1"/>
  <c r="D10" i="89"/>
  <c r="E10" i="89" s="1"/>
  <c r="G10" i="89" s="1"/>
  <c r="D10" i="92"/>
  <c r="E10" i="92" s="1"/>
  <c r="G10" i="92" s="1"/>
  <c r="D10" i="126"/>
  <c r="E10" i="126" s="1"/>
  <c r="H10" i="126" s="1"/>
  <c r="I10" i="126" s="1"/>
  <c r="J10" i="126" s="1"/>
  <c r="L10" i="126" s="1"/>
  <c r="D10" i="129"/>
  <c r="E10" i="129" s="1"/>
  <c r="H10" i="129" s="1"/>
  <c r="I10" i="129" s="1"/>
  <c r="J10" i="129" s="1"/>
  <c r="L10" i="129" s="1"/>
  <c r="D10" i="131"/>
  <c r="E10" i="131" s="1"/>
  <c r="H10" i="131" s="1"/>
  <c r="I10" i="131" s="1"/>
  <c r="J10" i="131" s="1"/>
  <c r="L10" i="131" s="1"/>
  <c r="D10" i="114"/>
  <c r="E10" i="114" s="1"/>
  <c r="H10" i="114" s="1"/>
  <c r="D10" i="116"/>
  <c r="E10" i="116" s="1"/>
  <c r="H10" i="116" s="1"/>
  <c r="D10" i="118"/>
  <c r="E10" i="118" s="1"/>
  <c r="H10" i="118" s="1"/>
  <c r="D10" i="120"/>
  <c r="E10" i="120" s="1"/>
  <c r="H10" i="120" s="1"/>
  <c r="D10" i="99"/>
  <c r="E10" i="99" s="1"/>
  <c r="H10" i="99" s="1"/>
  <c r="D10" i="98"/>
  <c r="E10" i="98" s="1"/>
  <c r="H10" i="98" s="1"/>
  <c r="D10" i="83"/>
  <c r="E10" i="83" s="1"/>
  <c r="H10" i="83" s="1"/>
  <c r="K10" i="83" s="1"/>
  <c r="O10" i="83" s="1"/>
  <c r="D10" i="86"/>
  <c r="E10" i="86" s="1"/>
  <c r="G10" i="86" s="1"/>
  <c r="D10" i="88"/>
  <c r="E10" i="88" s="1"/>
  <c r="G10" i="88" s="1"/>
  <c r="D10" i="91"/>
  <c r="E10" i="91" s="1"/>
  <c r="G10" i="91" s="1"/>
  <c r="D10" i="85"/>
  <c r="E10" i="85" s="1"/>
  <c r="G10" i="85" s="1"/>
  <c r="D10" i="127"/>
  <c r="E10" i="127" s="1"/>
  <c r="H10" i="127" s="1"/>
  <c r="I10" i="127" s="1"/>
  <c r="J10" i="127" s="1"/>
  <c r="L10" i="127" s="1"/>
  <c r="D10" i="130"/>
  <c r="E10" i="130" s="1"/>
  <c r="H10" i="130" s="1"/>
  <c r="I10" i="130" s="1"/>
  <c r="J10" i="130" s="1"/>
  <c r="L10" i="130" s="1"/>
  <c r="D10" i="125"/>
  <c r="E10" i="125" s="1"/>
  <c r="H10" i="125" s="1"/>
  <c r="I10" i="125" s="1"/>
  <c r="J10" i="125" s="1"/>
  <c r="L10" i="125" s="1"/>
  <c r="D10" i="115"/>
  <c r="E10" i="115" s="1"/>
  <c r="H10" i="115" s="1"/>
  <c r="D10" i="117"/>
  <c r="E10" i="117" s="1"/>
  <c r="H10" i="117" s="1"/>
  <c r="D10" i="119"/>
  <c r="E10" i="119" s="1"/>
  <c r="H10" i="119" s="1"/>
  <c r="D10" i="113"/>
  <c r="E10" i="113" s="1"/>
  <c r="H10" i="113" s="1"/>
  <c r="D10" i="128"/>
  <c r="E10" i="128" s="1"/>
  <c r="H10" i="128" s="1"/>
  <c r="I10" i="128" s="1"/>
  <c r="J10" i="128" s="1"/>
  <c r="L10" i="128" s="1"/>
  <c r="D10" i="84"/>
  <c r="E10" i="84" s="1"/>
  <c r="H10" i="84" s="1"/>
  <c r="D10" i="67"/>
  <c r="E10" i="67" s="1"/>
  <c r="F10" i="67" s="1"/>
  <c r="G10" i="67" s="1"/>
  <c r="D35" i="87"/>
  <c r="E35" i="87" s="1"/>
  <c r="G35" i="87" s="1"/>
  <c r="D35" i="89"/>
  <c r="E35" i="89" s="1"/>
  <c r="G35" i="89" s="1"/>
  <c r="F35" i="90"/>
  <c r="G35" i="90" s="1"/>
  <c r="I35" i="90" s="1"/>
  <c r="D35" i="127"/>
  <c r="E35" i="127" s="1"/>
  <c r="H35" i="127" s="1"/>
  <c r="I35" i="127" s="1"/>
  <c r="J35" i="127" s="1"/>
  <c r="L35" i="127" s="1"/>
  <c r="D35" i="129"/>
  <c r="E35" i="129" s="1"/>
  <c r="H35" i="129" s="1"/>
  <c r="I35" i="129" s="1"/>
  <c r="J35" i="129" s="1"/>
  <c r="L35" i="129" s="1"/>
  <c r="D35" i="85"/>
  <c r="E35" i="85" s="1"/>
  <c r="G35" i="85" s="1"/>
  <c r="D35" i="130"/>
  <c r="E35" i="130" s="1"/>
  <c r="H35" i="130" s="1"/>
  <c r="I35" i="130" s="1"/>
  <c r="J35" i="130" s="1"/>
  <c r="L35" i="130" s="1"/>
  <c r="D35" i="125"/>
  <c r="E35" i="125" s="1"/>
  <c r="H35" i="125" s="1"/>
  <c r="I35" i="125" s="1"/>
  <c r="J35" i="125" s="1"/>
  <c r="L35" i="125" s="1"/>
  <c r="D35" i="115"/>
  <c r="E35" i="115" s="1"/>
  <c r="H35" i="115" s="1"/>
  <c r="D35" i="117"/>
  <c r="E35" i="117" s="1"/>
  <c r="H35" i="117" s="1"/>
  <c r="D35" i="119"/>
  <c r="E35" i="119" s="1"/>
  <c r="H35" i="119" s="1"/>
  <c r="D35" i="113"/>
  <c r="E35" i="113" s="1"/>
  <c r="H35" i="113" s="1"/>
  <c r="D35" i="84"/>
  <c r="E35" i="84" s="1"/>
  <c r="H35" i="84" s="1"/>
  <c r="D35" i="86"/>
  <c r="E35" i="86" s="1"/>
  <c r="G35" i="86" s="1"/>
  <c r="D35" i="88"/>
  <c r="E35" i="88" s="1"/>
  <c r="G35" i="88" s="1"/>
  <c r="D35" i="91"/>
  <c r="E35" i="91" s="1"/>
  <c r="G35" i="91" s="1"/>
  <c r="D35" i="126"/>
  <c r="E35" i="126" s="1"/>
  <c r="H35" i="126" s="1"/>
  <c r="I35" i="126" s="1"/>
  <c r="J35" i="126" s="1"/>
  <c r="L35" i="126" s="1"/>
  <c r="D35" i="128"/>
  <c r="E35" i="128" s="1"/>
  <c r="H35" i="128" s="1"/>
  <c r="I35" i="128" s="1"/>
  <c r="J35" i="128" s="1"/>
  <c r="L35" i="128" s="1"/>
  <c r="D35" i="92"/>
  <c r="E35" i="92" s="1"/>
  <c r="G35" i="92" s="1"/>
  <c r="D35" i="98"/>
  <c r="E35" i="98" s="1"/>
  <c r="H35" i="98" s="1"/>
  <c r="D35" i="131"/>
  <c r="E35" i="131" s="1"/>
  <c r="H35" i="131" s="1"/>
  <c r="I35" i="131" s="1"/>
  <c r="J35" i="131" s="1"/>
  <c r="L35" i="131" s="1"/>
  <c r="D35" i="114"/>
  <c r="E35" i="114" s="1"/>
  <c r="H35" i="114" s="1"/>
  <c r="D35" i="116"/>
  <c r="E35" i="116" s="1"/>
  <c r="H35" i="116" s="1"/>
  <c r="D35" i="118"/>
  <c r="E35" i="118" s="1"/>
  <c r="H35" i="118" s="1"/>
  <c r="D35" i="120"/>
  <c r="E35" i="120" s="1"/>
  <c r="H35" i="120" s="1"/>
  <c r="D35" i="99"/>
  <c r="E35" i="99" s="1"/>
  <c r="H35" i="99" s="1"/>
  <c r="D35" i="83"/>
  <c r="E35" i="83" s="1"/>
  <c r="H35" i="83" s="1"/>
  <c r="K35" i="83" s="1"/>
  <c r="O35" i="83" s="1"/>
  <c r="D35" i="67"/>
  <c r="E35" i="67" s="1"/>
  <c r="F35" i="67" s="1"/>
  <c r="G35" i="67" s="1"/>
  <c r="D65" i="86"/>
  <c r="E65" i="86" s="1"/>
  <c r="G65" i="86" s="1"/>
  <c r="D65" i="88"/>
  <c r="E65" i="88" s="1"/>
  <c r="G65" i="88" s="1"/>
  <c r="D65" i="91"/>
  <c r="E65" i="91" s="1"/>
  <c r="G65" i="91" s="1"/>
  <c r="F65" i="90"/>
  <c r="G65" i="90" s="1"/>
  <c r="I65" i="90" s="1"/>
  <c r="D65" i="127"/>
  <c r="E65" i="127" s="1"/>
  <c r="H65" i="127" s="1"/>
  <c r="I65" i="127" s="1"/>
  <c r="J65" i="127" s="1"/>
  <c r="L65" i="127" s="1"/>
  <c r="D65" i="129"/>
  <c r="E65" i="129" s="1"/>
  <c r="H65" i="129" s="1"/>
  <c r="I65" i="129" s="1"/>
  <c r="J65" i="129" s="1"/>
  <c r="L65" i="129" s="1"/>
  <c r="D65" i="98"/>
  <c r="E65" i="98" s="1"/>
  <c r="H65" i="98" s="1"/>
  <c r="D65" i="130"/>
  <c r="E65" i="130" s="1"/>
  <c r="H65" i="130" s="1"/>
  <c r="I65" i="130" s="1"/>
  <c r="J65" i="130" s="1"/>
  <c r="L65" i="130" s="1"/>
  <c r="D65" i="125"/>
  <c r="E65" i="125" s="1"/>
  <c r="H65" i="125" s="1"/>
  <c r="I65" i="125" s="1"/>
  <c r="J65" i="125" s="1"/>
  <c r="L65" i="125" s="1"/>
  <c r="D65" i="115"/>
  <c r="E65" i="115" s="1"/>
  <c r="H65" i="115" s="1"/>
  <c r="D65" i="117"/>
  <c r="E65" i="117" s="1"/>
  <c r="H65" i="117" s="1"/>
  <c r="D65" i="119"/>
  <c r="E65" i="119" s="1"/>
  <c r="H65" i="119" s="1"/>
  <c r="D65" i="113"/>
  <c r="E65" i="113" s="1"/>
  <c r="H65" i="113" s="1"/>
  <c r="D65" i="83"/>
  <c r="E65" i="83" s="1"/>
  <c r="H65" i="83" s="1"/>
  <c r="K65" i="83" s="1"/>
  <c r="O65" i="83" s="1"/>
  <c r="D65" i="87"/>
  <c r="E65" i="87" s="1"/>
  <c r="G65" i="87" s="1"/>
  <c r="D65" i="89"/>
  <c r="E65" i="89" s="1"/>
  <c r="G65" i="89" s="1"/>
  <c r="D65" i="92"/>
  <c r="E65" i="92" s="1"/>
  <c r="G65" i="92" s="1"/>
  <c r="D65" i="126"/>
  <c r="E65" i="126" s="1"/>
  <c r="H65" i="126" s="1"/>
  <c r="I65" i="126" s="1"/>
  <c r="J65" i="126" s="1"/>
  <c r="L65" i="126" s="1"/>
  <c r="D65" i="128"/>
  <c r="E65" i="128" s="1"/>
  <c r="H65" i="128" s="1"/>
  <c r="I65" i="128" s="1"/>
  <c r="J65" i="128" s="1"/>
  <c r="L65" i="128" s="1"/>
  <c r="D65" i="85"/>
  <c r="E65" i="85" s="1"/>
  <c r="G65" i="85" s="1"/>
  <c r="D65" i="84"/>
  <c r="E65" i="84" s="1"/>
  <c r="H65" i="84" s="1"/>
  <c r="D65" i="131"/>
  <c r="E65" i="131" s="1"/>
  <c r="H65" i="131" s="1"/>
  <c r="I65" i="131" s="1"/>
  <c r="J65" i="131" s="1"/>
  <c r="L65" i="131" s="1"/>
  <c r="D65" i="114"/>
  <c r="E65" i="114" s="1"/>
  <c r="H65" i="114" s="1"/>
  <c r="D65" i="116"/>
  <c r="E65" i="116" s="1"/>
  <c r="H65" i="116" s="1"/>
  <c r="D65" i="118"/>
  <c r="E65" i="118" s="1"/>
  <c r="H65" i="118" s="1"/>
  <c r="D65" i="120"/>
  <c r="E65" i="120" s="1"/>
  <c r="H65" i="120" s="1"/>
  <c r="D65" i="99"/>
  <c r="E65" i="99" s="1"/>
  <c r="H65" i="99" s="1"/>
  <c r="D65" i="67"/>
  <c r="E65" i="67" s="1"/>
  <c r="F65" i="67" s="1"/>
  <c r="G65" i="67" s="1"/>
  <c r="F62" i="90"/>
  <c r="G62" i="90" s="1"/>
  <c r="I62" i="90" s="1"/>
  <c r="D62" i="87"/>
  <c r="E62" i="87" s="1"/>
  <c r="G62" i="87" s="1"/>
  <c r="D62" i="89"/>
  <c r="E62" i="89" s="1"/>
  <c r="G62" i="89" s="1"/>
  <c r="D62" i="92"/>
  <c r="E62" i="92" s="1"/>
  <c r="G62" i="92" s="1"/>
  <c r="D62" i="126"/>
  <c r="E62" i="126" s="1"/>
  <c r="H62" i="126" s="1"/>
  <c r="I62" i="126" s="1"/>
  <c r="J62" i="126" s="1"/>
  <c r="L62" i="126" s="1"/>
  <c r="D62" i="128"/>
  <c r="E62" i="128" s="1"/>
  <c r="H62" i="128" s="1"/>
  <c r="I62" i="128" s="1"/>
  <c r="J62" i="128" s="1"/>
  <c r="L62" i="128" s="1"/>
  <c r="D62" i="131"/>
  <c r="E62" i="131" s="1"/>
  <c r="H62" i="131" s="1"/>
  <c r="I62" i="131" s="1"/>
  <c r="J62" i="131" s="1"/>
  <c r="L62" i="131" s="1"/>
  <c r="D62" i="114"/>
  <c r="E62" i="114" s="1"/>
  <c r="H62" i="114" s="1"/>
  <c r="D62" i="116"/>
  <c r="E62" i="116" s="1"/>
  <c r="H62" i="116" s="1"/>
  <c r="D62" i="118"/>
  <c r="E62" i="118" s="1"/>
  <c r="H62" i="118" s="1"/>
  <c r="D62" i="120"/>
  <c r="E62" i="120" s="1"/>
  <c r="H62" i="120" s="1"/>
  <c r="D62" i="99"/>
  <c r="E62" i="99" s="1"/>
  <c r="H62" i="99" s="1"/>
  <c r="D62" i="98"/>
  <c r="E62" i="98" s="1"/>
  <c r="H62" i="98" s="1"/>
  <c r="D62" i="83"/>
  <c r="E62" i="83" s="1"/>
  <c r="H62" i="83" s="1"/>
  <c r="K62" i="83" s="1"/>
  <c r="O62" i="83" s="1"/>
  <c r="D62" i="86"/>
  <c r="E62" i="86" s="1"/>
  <c r="G62" i="86" s="1"/>
  <c r="D62" i="88"/>
  <c r="E62" i="88" s="1"/>
  <c r="G62" i="88" s="1"/>
  <c r="D62" i="91"/>
  <c r="E62" i="91" s="1"/>
  <c r="G62" i="91" s="1"/>
  <c r="D62" i="85"/>
  <c r="E62" i="85" s="1"/>
  <c r="G62" i="85" s="1"/>
  <c r="D62" i="127"/>
  <c r="E62" i="127" s="1"/>
  <c r="H62" i="127" s="1"/>
  <c r="I62" i="127" s="1"/>
  <c r="J62" i="127" s="1"/>
  <c r="L62" i="127" s="1"/>
  <c r="D62" i="130"/>
  <c r="E62" i="130" s="1"/>
  <c r="H62" i="130" s="1"/>
  <c r="I62" i="130" s="1"/>
  <c r="J62" i="130" s="1"/>
  <c r="L62" i="130" s="1"/>
  <c r="D62" i="125"/>
  <c r="E62" i="125" s="1"/>
  <c r="H62" i="125" s="1"/>
  <c r="I62" i="125" s="1"/>
  <c r="J62" i="125" s="1"/>
  <c r="L62" i="125" s="1"/>
  <c r="D62" i="115"/>
  <c r="E62" i="115" s="1"/>
  <c r="H62" i="115" s="1"/>
  <c r="D62" i="117"/>
  <c r="E62" i="117" s="1"/>
  <c r="H62" i="117" s="1"/>
  <c r="D62" i="119"/>
  <c r="E62" i="119" s="1"/>
  <c r="H62" i="119" s="1"/>
  <c r="D62" i="113"/>
  <c r="E62" i="113" s="1"/>
  <c r="H62" i="113" s="1"/>
  <c r="D62" i="129"/>
  <c r="E62" i="129" s="1"/>
  <c r="H62" i="129" s="1"/>
  <c r="I62" i="129" s="1"/>
  <c r="J62" i="129" s="1"/>
  <c r="L62" i="129" s="1"/>
  <c r="D62" i="84"/>
  <c r="E62" i="84" s="1"/>
  <c r="H62" i="84" s="1"/>
  <c r="D62" i="67"/>
  <c r="E62" i="67" s="1"/>
  <c r="F62" i="67" s="1"/>
  <c r="G62" i="67" s="1"/>
  <c r="D23" i="86"/>
  <c r="E23" i="86" s="1"/>
  <c r="G23" i="86" s="1"/>
  <c r="D23" i="88"/>
  <c r="E23" i="88" s="1"/>
  <c r="G23" i="88" s="1"/>
  <c r="D23" i="91"/>
  <c r="E23" i="91" s="1"/>
  <c r="G23" i="91" s="1"/>
  <c r="D23" i="126"/>
  <c r="E23" i="126" s="1"/>
  <c r="H23" i="126" s="1"/>
  <c r="I23" i="126" s="1"/>
  <c r="J23" i="126" s="1"/>
  <c r="L23" i="126" s="1"/>
  <c r="D23" i="128"/>
  <c r="E23" i="128" s="1"/>
  <c r="H23" i="128" s="1"/>
  <c r="I23" i="128" s="1"/>
  <c r="J23" i="128" s="1"/>
  <c r="L23" i="128" s="1"/>
  <c r="D23" i="92"/>
  <c r="E23" i="92" s="1"/>
  <c r="G23" i="92" s="1"/>
  <c r="D16" i="46"/>
  <c r="E16" i="46" s="1"/>
  <c r="H16" i="46" s="1"/>
  <c r="L16" i="46" s="1"/>
  <c r="D12" i="46"/>
  <c r="E12" i="46" s="1"/>
  <c r="H12" i="46" s="1"/>
  <c r="L12" i="46" s="1"/>
  <c r="D23" i="98"/>
  <c r="E23" i="98" s="1"/>
  <c r="H23" i="98" s="1"/>
  <c r="D23" i="131"/>
  <c r="E23" i="131" s="1"/>
  <c r="H23" i="131" s="1"/>
  <c r="I23" i="131" s="1"/>
  <c r="J23" i="131" s="1"/>
  <c r="L23" i="131" s="1"/>
  <c r="D23" i="114"/>
  <c r="E23" i="114" s="1"/>
  <c r="H23" i="114" s="1"/>
  <c r="D23" i="116"/>
  <c r="E23" i="116" s="1"/>
  <c r="H23" i="116" s="1"/>
  <c r="D23" i="118"/>
  <c r="E23" i="118" s="1"/>
  <c r="H23" i="118" s="1"/>
  <c r="D23" i="120"/>
  <c r="E23" i="120" s="1"/>
  <c r="H23" i="120" s="1"/>
  <c r="D17" i="46"/>
  <c r="E17" i="46" s="1"/>
  <c r="H17" i="46" s="1"/>
  <c r="D13" i="46"/>
  <c r="E13" i="46" s="1"/>
  <c r="H13" i="46" s="1"/>
  <c r="L13" i="46" s="1"/>
  <c r="D7" i="46"/>
  <c r="E7" i="46" s="1"/>
  <c r="H7" i="46" s="1"/>
  <c r="D23" i="84"/>
  <c r="E23" i="84" s="1"/>
  <c r="H23" i="84" s="1"/>
  <c r="D23" i="87"/>
  <c r="E23" i="87" s="1"/>
  <c r="G23" i="87" s="1"/>
  <c r="D23" i="89"/>
  <c r="E23" i="89" s="1"/>
  <c r="G23" i="89" s="1"/>
  <c r="F23" i="90"/>
  <c r="G23" i="90" s="1"/>
  <c r="I23" i="90" s="1"/>
  <c r="D23" i="127"/>
  <c r="E23" i="127" s="1"/>
  <c r="H23" i="127" s="1"/>
  <c r="I23" i="127" s="1"/>
  <c r="J23" i="127" s="1"/>
  <c r="L23" i="127" s="1"/>
  <c r="D23" i="129"/>
  <c r="E23" i="129" s="1"/>
  <c r="H23" i="129" s="1"/>
  <c r="I23" i="129" s="1"/>
  <c r="J23" i="129" s="1"/>
  <c r="L23" i="129" s="1"/>
  <c r="D23" i="85"/>
  <c r="E23" i="85" s="1"/>
  <c r="G23" i="85" s="1"/>
  <c r="D14" i="46"/>
  <c r="E14" i="46" s="1"/>
  <c r="H14" i="46" s="1"/>
  <c r="L14" i="46" s="1"/>
  <c r="D10" i="46"/>
  <c r="E10" i="46" s="1"/>
  <c r="D23" i="130"/>
  <c r="E23" i="130" s="1"/>
  <c r="H23" i="130" s="1"/>
  <c r="I23" i="130" s="1"/>
  <c r="J23" i="130" s="1"/>
  <c r="L23" i="130" s="1"/>
  <c r="D23" i="125"/>
  <c r="E23" i="125" s="1"/>
  <c r="H23" i="125" s="1"/>
  <c r="I23" i="125" s="1"/>
  <c r="J23" i="125" s="1"/>
  <c r="L23" i="125" s="1"/>
  <c r="D23" i="115"/>
  <c r="E23" i="115" s="1"/>
  <c r="H23" i="115" s="1"/>
  <c r="D23" i="117"/>
  <c r="E23" i="117" s="1"/>
  <c r="H23" i="117" s="1"/>
  <c r="D23" i="119"/>
  <c r="E23" i="119" s="1"/>
  <c r="H23" i="119" s="1"/>
  <c r="D23" i="113"/>
  <c r="E23" i="113" s="1"/>
  <c r="H23" i="113" s="1"/>
  <c r="D15" i="46"/>
  <c r="E15" i="46" s="1"/>
  <c r="H15" i="46" s="1"/>
  <c r="L15" i="46" s="1"/>
  <c r="D11" i="46"/>
  <c r="E11" i="46" s="1"/>
  <c r="H11" i="46" s="1"/>
  <c r="L11" i="46" s="1"/>
  <c r="D23" i="99"/>
  <c r="E23" i="99" s="1"/>
  <c r="H23" i="99" s="1"/>
  <c r="D23" i="83"/>
  <c r="E23" i="83" s="1"/>
  <c r="H23" i="83" s="1"/>
  <c r="K23" i="83" s="1"/>
  <c r="O23" i="83" s="1"/>
  <c r="D23" i="67"/>
  <c r="E23" i="67" s="1"/>
  <c r="F23" i="67" s="1"/>
  <c r="G23" i="67" s="1"/>
  <c r="D49" i="87"/>
  <c r="E49" i="87" s="1"/>
  <c r="G49" i="87" s="1"/>
  <c r="D49" i="89"/>
  <c r="E49" i="89" s="1"/>
  <c r="G49" i="89" s="1"/>
  <c r="D49" i="92"/>
  <c r="E49" i="92" s="1"/>
  <c r="G49" i="92" s="1"/>
  <c r="D49" i="126"/>
  <c r="E49" i="126" s="1"/>
  <c r="H49" i="126" s="1"/>
  <c r="I49" i="126" s="1"/>
  <c r="J49" i="126" s="1"/>
  <c r="L49" i="126" s="1"/>
  <c r="D49" i="128"/>
  <c r="E49" i="128" s="1"/>
  <c r="H49" i="128" s="1"/>
  <c r="I49" i="128" s="1"/>
  <c r="J49" i="128" s="1"/>
  <c r="L49" i="128" s="1"/>
  <c r="D49" i="85"/>
  <c r="E49" i="85" s="1"/>
  <c r="G49" i="85" s="1"/>
  <c r="D49" i="84"/>
  <c r="E49" i="84" s="1"/>
  <c r="H49" i="84" s="1"/>
  <c r="D49" i="131"/>
  <c r="E49" i="131" s="1"/>
  <c r="H49" i="131" s="1"/>
  <c r="I49" i="131" s="1"/>
  <c r="J49" i="131" s="1"/>
  <c r="L49" i="131" s="1"/>
  <c r="D49" i="114"/>
  <c r="E49" i="114" s="1"/>
  <c r="H49" i="114" s="1"/>
  <c r="D49" i="116"/>
  <c r="E49" i="116" s="1"/>
  <c r="H49" i="116" s="1"/>
  <c r="D49" i="118"/>
  <c r="E49" i="118" s="1"/>
  <c r="H49" i="118" s="1"/>
  <c r="D49" i="120"/>
  <c r="E49" i="120" s="1"/>
  <c r="H49" i="120" s="1"/>
  <c r="D49" i="99"/>
  <c r="E49" i="99" s="1"/>
  <c r="H49" i="99" s="1"/>
  <c r="D49" i="86"/>
  <c r="E49" i="86" s="1"/>
  <c r="G49" i="86" s="1"/>
  <c r="D49" i="88"/>
  <c r="E49" i="88" s="1"/>
  <c r="G49" i="88" s="1"/>
  <c r="D49" i="91"/>
  <c r="E49" i="91" s="1"/>
  <c r="G49" i="91" s="1"/>
  <c r="F49" i="90"/>
  <c r="G49" i="90" s="1"/>
  <c r="I49" i="90" s="1"/>
  <c r="D49" i="127"/>
  <c r="E49" i="127" s="1"/>
  <c r="H49" i="127" s="1"/>
  <c r="I49" i="127" s="1"/>
  <c r="J49" i="127" s="1"/>
  <c r="L49" i="127" s="1"/>
  <c r="D49" i="129"/>
  <c r="E49" i="129" s="1"/>
  <c r="H49" i="129" s="1"/>
  <c r="I49" i="129" s="1"/>
  <c r="J49" i="129" s="1"/>
  <c r="L49" i="129" s="1"/>
  <c r="D49" i="98"/>
  <c r="E49" i="98" s="1"/>
  <c r="H49" i="98" s="1"/>
  <c r="D49" i="130"/>
  <c r="E49" i="130" s="1"/>
  <c r="H49" i="130" s="1"/>
  <c r="I49" i="130" s="1"/>
  <c r="J49" i="130" s="1"/>
  <c r="L49" i="130" s="1"/>
  <c r="D49" i="125"/>
  <c r="E49" i="125" s="1"/>
  <c r="H49" i="125" s="1"/>
  <c r="I49" i="125" s="1"/>
  <c r="J49" i="125" s="1"/>
  <c r="L49" i="125" s="1"/>
  <c r="D49" i="115"/>
  <c r="E49" i="115" s="1"/>
  <c r="H49" i="115" s="1"/>
  <c r="D49" i="117"/>
  <c r="E49" i="117" s="1"/>
  <c r="H49" i="117" s="1"/>
  <c r="D49" i="119"/>
  <c r="E49" i="119" s="1"/>
  <c r="H49" i="119" s="1"/>
  <c r="D49" i="113"/>
  <c r="E49" i="113" s="1"/>
  <c r="H49" i="113" s="1"/>
  <c r="D49" i="83"/>
  <c r="E49" i="83" s="1"/>
  <c r="H49" i="83" s="1"/>
  <c r="K49" i="83" s="1"/>
  <c r="O49" i="83" s="1"/>
  <c r="D49" i="67"/>
  <c r="E49" i="67" s="1"/>
  <c r="F49" i="67" s="1"/>
  <c r="G49" i="67" s="1"/>
  <c r="D33" i="86"/>
  <c r="E33" i="86" s="1"/>
  <c r="G33" i="86" s="1"/>
  <c r="D33" i="88"/>
  <c r="E33" i="88" s="1"/>
  <c r="G33" i="88" s="1"/>
  <c r="D33" i="91"/>
  <c r="E33" i="91" s="1"/>
  <c r="G33" i="91" s="1"/>
  <c r="D33" i="126"/>
  <c r="E33" i="126" s="1"/>
  <c r="H33" i="126" s="1"/>
  <c r="I33" i="126" s="1"/>
  <c r="J33" i="126" s="1"/>
  <c r="L33" i="126" s="1"/>
  <c r="D33" i="128"/>
  <c r="E33" i="128" s="1"/>
  <c r="H33" i="128" s="1"/>
  <c r="I33" i="128" s="1"/>
  <c r="J33" i="128" s="1"/>
  <c r="L33" i="128" s="1"/>
  <c r="D33" i="92"/>
  <c r="E33" i="92" s="1"/>
  <c r="G33" i="92" s="1"/>
  <c r="D33" i="98"/>
  <c r="E33" i="98" s="1"/>
  <c r="H33" i="98" s="1"/>
  <c r="D33" i="131"/>
  <c r="E33" i="131" s="1"/>
  <c r="H33" i="131" s="1"/>
  <c r="I33" i="131" s="1"/>
  <c r="J33" i="131" s="1"/>
  <c r="L33" i="131" s="1"/>
  <c r="D33" i="114"/>
  <c r="E33" i="114" s="1"/>
  <c r="H33" i="114" s="1"/>
  <c r="D33" i="116"/>
  <c r="E33" i="116" s="1"/>
  <c r="H33" i="116" s="1"/>
  <c r="D33" i="118"/>
  <c r="E33" i="118" s="1"/>
  <c r="H33" i="118" s="1"/>
  <c r="D33" i="120"/>
  <c r="E33" i="120" s="1"/>
  <c r="H33" i="120" s="1"/>
  <c r="D33" i="99"/>
  <c r="E33" i="99" s="1"/>
  <c r="H33" i="99" s="1"/>
  <c r="D33" i="83"/>
  <c r="E33" i="83" s="1"/>
  <c r="H33" i="83" s="1"/>
  <c r="K33" i="83" s="1"/>
  <c r="O33" i="83" s="1"/>
  <c r="D33" i="87"/>
  <c r="E33" i="87" s="1"/>
  <c r="G33" i="87" s="1"/>
  <c r="D33" i="89"/>
  <c r="E33" i="89" s="1"/>
  <c r="G33" i="89" s="1"/>
  <c r="F33" i="90"/>
  <c r="G33" i="90" s="1"/>
  <c r="I33" i="90" s="1"/>
  <c r="D33" i="127"/>
  <c r="E33" i="127" s="1"/>
  <c r="H33" i="127" s="1"/>
  <c r="I33" i="127" s="1"/>
  <c r="J33" i="127" s="1"/>
  <c r="L33" i="127" s="1"/>
  <c r="D33" i="129"/>
  <c r="E33" i="129" s="1"/>
  <c r="H33" i="129" s="1"/>
  <c r="I33" i="129" s="1"/>
  <c r="J33" i="129" s="1"/>
  <c r="L33" i="129" s="1"/>
  <c r="D33" i="85"/>
  <c r="E33" i="85" s="1"/>
  <c r="G33" i="85" s="1"/>
  <c r="D33" i="130"/>
  <c r="E33" i="130" s="1"/>
  <c r="H33" i="130" s="1"/>
  <c r="I33" i="130" s="1"/>
  <c r="J33" i="130" s="1"/>
  <c r="L33" i="130" s="1"/>
  <c r="D33" i="125"/>
  <c r="E33" i="125" s="1"/>
  <c r="H33" i="125" s="1"/>
  <c r="I33" i="125" s="1"/>
  <c r="J33" i="125" s="1"/>
  <c r="L33" i="125" s="1"/>
  <c r="D33" i="115"/>
  <c r="E33" i="115" s="1"/>
  <c r="H33" i="115" s="1"/>
  <c r="D33" i="117"/>
  <c r="E33" i="117" s="1"/>
  <c r="H33" i="117" s="1"/>
  <c r="D33" i="119"/>
  <c r="E33" i="119" s="1"/>
  <c r="H33" i="119" s="1"/>
  <c r="D33" i="113"/>
  <c r="E33" i="113" s="1"/>
  <c r="H33" i="113" s="1"/>
  <c r="D33" i="84"/>
  <c r="E33" i="84" s="1"/>
  <c r="H33" i="84" s="1"/>
  <c r="D33" i="67"/>
  <c r="E33" i="67" s="1"/>
  <c r="F33" i="67" s="1"/>
  <c r="G33" i="67" s="1"/>
  <c r="D36" i="86"/>
  <c r="E36" i="86" s="1"/>
  <c r="G36" i="86" s="1"/>
  <c r="D36" i="88"/>
  <c r="E36" i="88" s="1"/>
  <c r="G36" i="88" s="1"/>
  <c r="D36" i="91"/>
  <c r="E36" i="91" s="1"/>
  <c r="G36" i="91" s="1"/>
  <c r="D36" i="85"/>
  <c r="E36" i="85" s="1"/>
  <c r="G36" i="85" s="1"/>
  <c r="D36" i="127"/>
  <c r="E36" i="127" s="1"/>
  <c r="H36" i="127" s="1"/>
  <c r="I36" i="127" s="1"/>
  <c r="J36" i="127" s="1"/>
  <c r="L36" i="127" s="1"/>
  <c r="D36" i="129"/>
  <c r="E36" i="129" s="1"/>
  <c r="H36" i="129" s="1"/>
  <c r="I36" i="129" s="1"/>
  <c r="J36" i="129" s="1"/>
  <c r="L36" i="129" s="1"/>
  <c r="D36" i="131"/>
  <c r="E36" i="131" s="1"/>
  <c r="H36" i="131" s="1"/>
  <c r="I36" i="131" s="1"/>
  <c r="J36" i="131" s="1"/>
  <c r="L36" i="131" s="1"/>
  <c r="D36" i="114"/>
  <c r="E36" i="114" s="1"/>
  <c r="H36" i="114" s="1"/>
  <c r="D36" i="116"/>
  <c r="E36" i="116" s="1"/>
  <c r="H36" i="116" s="1"/>
  <c r="D36" i="118"/>
  <c r="E36" i="118" s="1"/>
  <c r="H36" i="118" s="1"/>
  <c r="D36" i="120"/>
  <c r="E36" i="120" s="1"/>
  <c r="H36" i="120" s="1"/>
  <c r="D36" i="99"/>
  <c r="E36" i="99" s="1"/>
  <c r="H36" i="99" s="1"/>
  <c r="D36" i="84"/>
  <c r="E36" i="84" s="1"/>
  <c r="H36" i="84" s="1"/>
  <c r="F36" i="90"/>
  <c r="G36" i="90" s="1"/>
  <c r="I36" i="90" s="1"/>
  <c r="D36" i="87"/>
  <c r="E36" i="87" s="1"/>
  <c r="G36" i="87" s="1"/>
  <c r="D36" i="89"/>
  <c r="E36" i="89" s="1"/>
  <c r="G36" i="89" s="1"/>
  <c r="D36" i="92"/>
  <c r="E36" i="92" s="1"/>
  <c r="G36" i="92" s="1"/>
  <c r="D36" i="126"/>
  <c r="E36" i="126" s="1"/>
  <c r="H36" i="126" s="1"/>
  <c r="I36" i="126" s="1"/>
  <c r="J36" i="126" s="1"/>
  <c r="L36" i="126" s="1"/>
  <c r="D36" i="128"/>
  <c r="E36" i="128" s="1"/>
  <c r="H36" i="128" s="1"/>
  <c r="I36" i="128" s="1"/>
  <c r="J36" i="128" s="1"/>
  <c r="L36" i="128" s="1"/>
  <c r="D36" i="130"/>
  <c r="E36" i="130" s="1"/>
  <c r="H36" i="130" s="1"/>
  <c r="I36" i="130" s="1"/>
  <c r="J36" i="130" s="1"/>
  <c r="L36" i="130" s="1"/>
  <c r="D36" i="125"/>
  <c r="E36" i="125" s="1"/>
  <c r="H36" i="125" s="1"/>
  <c r="I36" i="125" s="1"/>
  <c r="J36" i="125" s="1"/>
  <c r="L36" i="125" s="1"/>
  <c r="D36" i="115"/>
  <c r="E36" i="115" s="1"/>
  <c r="H36" i="115" s="1"/>
  <c r="D36" i="117"/>
  <c r="E36" i="117" s="1"/>
  <c r="H36" i="117" s="1"/>
  <c r="D36" i="119"/>
  <c r="E36" i="119" s="1"/>
  <c r="H36" i="119" s="1"/>
  <c r="D36" i="113"/>
  <c r="E36" i="113" s="1"/>
  <c r="H36" i="113" s="1"/>
  <c r="D36" i="98"/>
  <c r="E36" i="98" s="1"/>
  <c r="H36" i="98" s="1"/>
  <c r="D36" i="83"/>
  <c r="E36" i="83" s="1"/>
  <c r="H36" i="83" s="1"/>
  <c r="K36" i="83" s="1"/>
  <c r="O36" i="83" s="1"/>
  <c r="D36" i="67"/>
  <c r="E36" i="67" s="1"/>
  <c r="F36" i="67" s="1"/>
  <c r="G36" i="67" s="1"/>
  <c r="F30" i="90"/>
  <c r="G30" i="90" s="1"/>
  <c r="I30" i="90" s="1"/>
  <c r="D30" i="87"/>
  <c r="E30" i="87" s="1"/>
  <c r="G30" i="87" s="1"/>
  <c r="D30" i="89"/>
  <c r="E30" i="89" s="1"/>
  <c r="G30" i="89" s="1"/>
  <c r="D30" i="92"/>
  <c r="E30" i="92" s="1"/>
  <c r="G30" i="92" s="1"/>
  <c r="D30" i="126"/>
  <c r="E30" i="126" s="1"/>
  <c r="H30" i="126" s="1"/>
  <c r="I30" i="126" s="1"/>
  <c r="J30" i="126" s="1"/>
  <c r="L30" i="126" s="1"/>
  <c r="D30" i="130"/>
  <c r="E30" i="130" s="1"/>
  <c r="H30" i="130" s="1"/>
  <c r="I30" i="130" s="1"/>
  <c r="J30" i="130" s="1"/>
  <c r="L30" i="130" s="1"/>
  <c r="D30" i="125"/>
  <c r="E30" i="125" s="1"/>
  <c r="H30" i="125" s="1"/>
  <c r="I30" i="125" s="1"/>
  <c r="J30" i="125" s="1"/>
  <c r="L30" i="125" s="1"/>
  <c r="D30" i="115"/>
  <c r="E30" i="115" s="1"/>
  <c r="H30" i="115" s="1"/>
  <c r="D30" i="117"/>
  <c r="E30" i="117" s="1"/>
  <c r="H30" i="117" s="1"/>
  <c r="D30" i="119"/>
  <c r="E30" i="119" s="1"/>
  <c r="H30" i="119" s="1"/>
  <c r="D30" i="113"/>
  <c r="E30" i="113" s="1"/>
  <c r="H30" i="113" s="1"/>
  <c r="D30" i="128"/>
  <c r="E30" i="128" s="1"/>
  <c r="H30" i="128" s="1"/>
  <c r="I30" i="128" s="1"/>
  <c r="J30" i="128" s="1"/>
  <c r="L30" i="128" s="1"/>
  <c r="D30" i="98"/>
  <c r="E30" i="98" s="1"/>
  <c r="H30" i="98" s="1"/>
  <c r="D30" i="83"/>
  <c r="E30" i="83" s="1"/>
  <c r="H30" i="83" s="1"/>
  <c r="K30" i="83" s="1"/>
  <c r="O30" i="83" s="1"/>
  <c r="D30" i="86"/>
  <c r="E30" i="86" s="1"/>
  <c r="G30" i="86" s="1"/>
  <c r="D30" i="88"/>
  <c r="E30" i="88" s="1"/>
  <c r="G30" i="88" s="1"/>
  <c r="D30" i="91"/>
  <c r="E30" i="91" s="1"/>
  <c r="G30" i="91" s="1"/>
  <c r="D30" i="85"/>
  <c r="E30" i="85" s="1"/>
  <c r="G30" i="85" s="1"/>
  <c r="D30" i="127"/>
  <c r="E30" i="127" s="1"/>
  <c r="H30" i="127" s="1"/>
  <c r="I30" i="127" s="1"/>
  <c r="J30" i="127" s="1"/>
  <c r="L30" i="127" s="1"/>
  <c r="D30" i="131"/>
  <c r="E30" i="131" s="1"/>
  <c r="H30" i="131" s="1"/>
  <c r="I30" i="131" s="1"/>
  <c r="J30" i="131" s="1"/>
  <c r="L30" i="131" s="1"/>
  <c r="D30" i="114"/>
  <c r="E30" i="114" s="1"/>
  <c r="H30" i="114" s="1"/>
  <c r="D30" i="116"/>
  <c r="E30" i="116" s="1"/>
  <c r="H30" i="116" s="1"/>
  <c r="D30" i="118"/>
  <c r="E30" i="118" s="1"/>
  <c r="H30" i="118" s="1"/>
  <c r="D30" i="120"/>
  <c r="E30" i="120" s="1"/>
  <c r="H30" i="120" s="1"/>
  <c r="D30" i="99"/>
  <c r="E30" i="99" s="1"/>
  <c r="H30" i="99" s="1"/>
  <c r="D30" i="129"/>
  <c r="E30" i="129" s="1"/>
  <c r="H30" i="129" s="1"/>
  <c r="I30" i="129" s="1"/>
  <c r="J30" i="129" s="1"/>
  <c r="L30" i="129" s="1"/>
  <c r="D30" i="84"/>
  <c r="E30" i="84" s="1"/>
  <c r="H30" i="84" s="1"/>
  <c r="D30" i="67"/>
  <c r="E30" i="67" s="1"/>
  <c r="F30" i="67" s="1"/>
  <c r="G30" i="67" s="1"/>
  <c r="F20" i="90"/>
  <c r="G20" i="90" s="1"/>
  <c r="I20" i="90" s="1"/>
  <c r="D20" i="87"/>
  <c r="E20" i="87" s="1"/>
  <c r="G20" i="87" s="1"/>
  <c r="D20" i="89"/>
  <c r="E20" i="89" s="1"/>
  <c r="G20" i="89" s="1"/>
  <c r="D20" i="92"/>
  <c r="E20" i="92" s="1"/>
  <c r="G20" i="92" s="1"/>
  <c r="D20" i="126"/>
  <c r="E20" i="126" s="1"/>
  <c r="H20" i="126" s="1"/>
  <c r="I20" i="126" s="1"/>
  <c r="J20" i="126" s="1"/>
  <c r="L20" i="126" s="1"/>
  <c r="D20" i="128"/>
  <c r="E20" i="128" s="1"/>
  <c r="H20" i="128" s="1"/>
  <c r="I20" i="128" s="1"/>
  <c r="J20" i="128" s="1"/>
  <c r="L20" i="128" s="1"/>
  <c r="D20" i="130"/>
  <c r="E20" i="130" s="1"/>
  <c r="H20" i="130" s="1"/>
  <c r="I20" i="130" s="1"/>
  <c r="J20" i="130" s="1"/>
  <c r="L20" i="130" s="1"/>
  <c r="D20" i="125"/>
  <c r="E20" i="125" s="1"/>
  <c r="H20" i="125" s="1"/>
  <c r="I20" i="125" s="1"/>
  <c r="J20" i="125" s="1"/>
  <c r="L20" i="125" s="1"/>
  <c r="D20" i="115"/>
  <c r="E20" i="115" s="1"/>
  <c r="H20" i="115" s="1"/>
  <c r="D20" i="117"/>
  <c r="E20" i="117" s="1"/>
  <c r="H20" i="117" s="1"/>
  <c r="D20" i="119"/>
  <c r="E20" i="119" s="1"/>
  <c r="H20" i="119" s="1"/>
  <c r="D20" i="113"/>
  <c r="E20" i="113" s="1"/>
  <c r="H20" i="113" s="1"/>
  <c r="D20" i="98"/>
  <c r="E20" i="98" s="1"/>
  <c r="H20" i="98" s="1"/>
  <c r="D20" i="83"/>
  <c r="E20" i="83" s="1"/>
  <c r="H20" i="83" s="1"/>
  <c r="K20" i="83" s="1"/>
  <c r="O20" i="83" s="1"/>
  <c r="D20" i="86"/>
  <c r="E20" i="86" s="1"/>
  <c r="G20" i="86" s="1"/>
  <c r="D20" i="88"/>
  <c r="E20" i="88" s="1"/>
  <c r="G20" i="88" s="1"/>
  <c r="D20" i="91"/>
  <c r="E20" i="91" s="1"/>
  <c r="G20" i="91" s="1"/>
  <c r="D20" i="85"/>
  <c r="E20" i="85" s="1"/>
  <c r="G20" i="85" s="1"/>
  <c r="D20" i="127"/>
  <c r="E20" i="127" s="1"/>
  <c r="H20" i="127" s="1"/>
  <c r="I20" i="127" s="1"/>
  <c r="J20" i="127" s="1"/>
  <c r="L20" i="127" s="1"/>
  <c r="D20" i="129"/>
  <c r="E20" i="129" s="1"/>
  <c r="H20" i="129" s="1"/>
  <c r="I20" i="129" s="1"/>
  <c r="J20" i="129" s="1"/>
  <c r="L20" i="129" s="1"/>
  <c r="D20" i="131"/>
  <c r="E20" i="131" s="1"/>
  <c r="H20" i="131" s="1"/>
  <c r="I20" i="131" s="1"/>
  <c r="J20" i="131" s="1"/>
  <c r="L20" i="131" s="1"/>
  <c r="D20" i="114"/>
  <c r="E20" i="114" s="1"/>
  <c r="H20" i="114" s="1"/>
  <c r="D20" i="116"/>
  <c r="E20" i="116" s="1"/>
  <c r="H20" i="116" s="1"/>
  <c r="D20" i="118"/>
  <c r="E20" i="118" s="1"/>
  <c r="H20" i="118" s="1"/>
  <c r="D20" i="120"/>
  <c r="E20" i="120" s="1"/>
  <c r="H20" i="120" s="1"/>
  <c r="D20" i="99"/>
  <c r="E20" i="99" s="1"/>
  <c r="H20" i="99" s="1"/>
  <c r="D20" i="84"/>
  <c r="E20" i="84" s="1"/>
  <c r="H20" i="84" s="1"/>
  <c r="D20" i="67"/>
  <c r="E20" i="67" s="1"/>
  <c r="F20" i="67" s="1"/>
  <c r="G20" i="67" s="1"/>
  <c r="D59" i="87"/>
  <c r="E59" i="87" s="1"/>
  <c r="G59" i="87" s="1"/>
  <c r="D59" i="89"/>
  <c r="E59" i="89" s="1"/>
  <c r="G59" i="89" s="1"/>
  <c r="D59" i="92"/>
  <c r="E59" i="92" s="1"/>
  <c r="G59" i="92" s="1"/>
  <c r="D59" i="126"/>
  <c r="E59" i="126" s="1"/>
  <c r="H59" i="126" s="1"/>
  <c r="I59" i="126" s="1"/>
  <c r="J59" i="126" s="1"/>
  <c r="L59" i="126" s="1"/>
  <c r="D59" i="128"/>
  <c r="E59" i="128" s="1"/>
  <c r="H59" i="128" s="1"/>
  <c r="I59" i="128" s="1"/>
  <c r="J59" i="128" s="1"/>
  <c r="L59" i="128" s="1"/>
  <c r="D59" i="85"/>
  <c r="E59" i="85" s="1"/>
  <c r="G59" i="85" s="1"/>
  <c r="D59" i="84"/>
  <c r="E59" i="84" s="1"/>
  <c r="H59" i="84" s="1"/>
  <c r="D59" i="131"/>
  <c r="E59" i="131" s="1"/>
  <c r="H59" i="131" s="1"/>
  <c r="I59" i="131" s="1"/>
  <c r="J59" i="131" s="1"/>
  <c r="L59" i="131" s="1"/>
  <c r="D59" i="114"/>
  <c r="E59" i="114" s="1"/>
  <c r="H59" i="114" s="1"/>
  <c r="D59" i="116"/>
  <c r="E59" i="116" s="1"/>
  <c r="H59" i="116" s="1"/>
  <c r="D59" i="118"/>
  <c r="E59" i="118" s="1"/>
  <c r="H59" i="118" s="1"/>
  <c r="D59" i="120"/>
  <c r="E59" i="120" s="1"/>
  <c r="H59" i="120" s="1"/>
  <c r="D59" i="99"/>
  <c r="E59" i="99" s="1"/>
  <c r="H59" i="99" s="1"/>
  <c r="D59" i="86"/>
  <c r="E59" i="86" s="1"/>
  <c r="G59" i="86" s="1"/>
  <c r="D59" i="88"/>
  <c r="E59" i="88" s="1"/>
  <c r="G59" i="88" s="1"/>
  <c r="D59" i="91"/>
  <c r="E59" i="91" s="1"/>
  <c r="G59" i="91" s="1"/>
  <c r="F59" i="90"/>
  <c r="G59" i="90" s="1"/>
  <c r="I59" i="90" s="1"/>
  <c r="D59" i="127"/>
  <c r="E59" i="127" s="1"/>
  <c r="H59" i="127" s="1"/>
  <c r="I59" i="127" s="1"/>
  <c r="J59" i="127" s="1"/>
  <c r="L59" i="127" s="1"/>
  <c r="D59" i="129"/>
  <c r="E59" i="129" s="1"/>
  <c r="H59" i="129" s="1"/>
  <c r="I59" i="129" s="1"/>
  <c r="J59" i="129" s="1"/>
  <c r="L59" i="129" s="1"/>
  <c r="D59" i="98"/>
  <c r="E59" i="98" s="1"/>
  <c r="H59" i="98" s="1"/>
  <c r="D59" i="130"/>
  <c r="E59" i="130" s="1"/>
  <c r="H59" i="130" s="1"/>
  <c r="I59" i="130" s="1"/>
  <c r="J59" i="130" s="1"/>
  <c r="L59" i="130" s="1"/>
  <c r="D59" i="125"/>
  <c r="E59" i="125" s="1"/>
  <c r="H59" i="125" s="1"/>
  <c r="I59" i="125" s="1"/>
  <c r="J59" i="125" s="1"/>
  <c r="L59" i="125" s="1"/>
  <c r="D59" i="115"/>
  <c r="E59" i="115" s="1"/>
  <c r="H59" i="115" s="1"/>
  <c r="D59" i="117"/>
  <c r="E59" i="117" s="1"/>
  <c r="H59" i="117" s="1"/>
  <c r="D59" i="119"/>
  <c r="E59" i="119" s="1"/>
  <c r="H59" i="119" s="1"/>
  <c r="D59" i="113"/>
  <c r="E59" i="113" s="1"/>
  <c r="H59" i="113" s="1"/>
  <c r="D59" i="83"/>
  <c r="E59" i="83" s="1"/>
  <c r="H59" i="83" s="1"/>
  <c r="K59" i="83" s="1"/>
  <c r="O59" i="83" s="1"/>
  <c r="D59" i="67"/>
  <c r="E59" i="67" s="1"/>
  <c r="F59" i="67" s="1"/>
  <c r="G59" i="67" s="1"/>
  <c r="D64" i="86"/>
  <c r="E64" i="86" s="1"/>
  <c r="G64" i="86" s="1"/>
  <c r="D64" i="88"/>
  <c r="E64" i="88" s="1"/>
  <c r="G64" i="88" s="1"/>
  <c r="D64" i="91"/>
  <c r="E64" i="91" s="1"/>
  <c r="G64" i="91" s="1"/>
  <c r="D64" i="85"/>
  <c r="E64" i="85" s="1"/>
  <c r="G64" i="85" s="1"/>
  <c r="D64" i="127"/>
  <c r="E64" i="127" s="1"/>
  <c r="H64" i="127" s="1"/>
  <c r="I64" i="127" s="1"/>
  <c r="J64" i="127" s="1"/>
  <c r="L64" i="127" s="1"/>
  <c r="D64" i="129"/>
  <c r="E64" i="129" s="1"/>
  <c r="H64" i="129" s="1"/>
  <c r="I64" i="129" s="1"/>
  <c r="J64" i="129" s="1"/>
  <c r="L64" i="129" s="1"/>
  <c r="D64" i="131"/>
  <c r="E64" i="131" s="1"/>
  <c r="H64" i="131" s="1"/>
  <c r="I64" i="131" s="1"/>
  <c r="J64" i="131" s="1"/>
  <c r="L64" i="131" s="1"/>
  <c r="D64" i="114"/>
  <c r="E64" i="114" s="1"/>
  <c r="H64" i="114" s="1"/>
  <c r="D64" i="116"/>
  <c r="E64" i="116" s="1"/>
  <c r="H64" i="116" s="1"/>
  <c r="D64" i="118"/>
  <c r="E64" i="118" s="1"/>
  <c r="H64" i="118" s="1"/>
  <c r="D64" i="120"/>
  <c r="E64" i="120" s="1"/>
  <c r="H64" i="120" s="1"/>
  <c r="D64" i="99"/>
  <c r="E64" i="99" s="1"/>
  <c r="H64" i="99" s="1"/>
  <c r="D64" i="84"/>
  <c r="E64" i="84" s="1"/>
  <c r="H64" i="84" s="1"/>
  <c r="F64" i="90"/>
  <c r="G64" i="90" s="1"/>
  <c r="I64" i="90" s="1"/>
  <c r="D64" i="87"/>
  <c r="E64" i="87" s="1"/>
  <c r="G64" i="87" s="1"/>
  <c r="D64" i="89"/>
  <c r="E64" i="89" s="1"/>
  <c r="G64" i="89" s="1"/>
  <c r="D64" i="92"/>
  <c r="E64" i="92" s="1"/>
  <c r="G64" i="92" s="1"/>
  <c r="D64" i="126"/>
  <c r="E64" i="126" s="1"/>
  <c r="H64" i="126" s="1"/>
  <c r="I64" i="126" s="1"/>
  <c r="J64" i="126" s="1"/>
  <c r="L64" i="126" s="1"/>
  <c r="D64" i="128"/>
  <c r="E64" i="128" s="1"/>
  <c r="H64" i="128" s="1"/>
  <c r="I64" i="128" s="1"/>
  <c r="J64" i="128" s="1"/>
  <c r="L64" i="128" s="1"/>
  <c r="D64" i="130"/>
  <c r="E64" i="130" s="1"/>
  <c r="H64" i="130" s="1"/>
  <c r="I64" i="130" s="1"/>
  <c r="J64" i="130" s="1"/>
  <c r="L64" i="130" s="1"/>
  <c r="D64" i="125"/>
  <c r="E64" i="125" s="1"/>
  <c r="H64" i="125" s="1"/>
  <c r="I64" i="125" s="1"/>
  <c r="J64" i="125" s="1"/>
  <c r="L64" i="125" s="1"/>
  <c r="D64" i="115"/>
  <c r="E64" i="115" s="1"/>
  <c r="H64" i="115" s="1"/>
  <c r="D64" i="117"/>
  <c r="E64" i="117" s="1"/>
  <c r="H64" i="117" s="1"/>
  <c r="D64" i="119"/>
  <c r="E64" i="119" s="1"/>
  <c r="H64" i="119" s="1"/>
  <c r="D64" i="113"/>
  <c r="E64" i="113" s="1"/>
  <c r="H64" i="113" s="1"/>
  <c r="D64" i="98"/>
  <c r="E64" i="98" s="1"/>
  <c r="H64" i="98" s="1"/>
  <c r="D64" i="83"/>
  <c r="E64" i="83" s="1"/>
  <c r="H64" i="83" s="1"/>
  <c r="K64" i="83" s="1"/>
  <c r="O64" i="83" s="1"/>
  <c r="D64" i="67"/>
  <c r="E64" i="67" s="1"/>
  <c r="F64" i="67" s="1"/>
  <c r="G64" i="67" s="1"/>
  <c r="F52" i="90"/>
  <c r="G52" i="90" s="1"/>
  <c r="I52" i="90" s="1"/>
  <c r="D52" i="87"/>
  <c r="E52" i="87" s="1"/>
  <c r="G52" i="87" s="1"/>
  <c r="D52" i="89"/>
  <c r="E52" i="89" s="1"/>
  <c r="G52" i="89" s="1"/>
  <c r="D52" i="92"/>
  <c r="E52" i="92" s="1"/>
  <c r="G52" i="92" s="1"/>
  <c r="D52" i="126"/>
  <c r="E52" i="126" s="1"/>
  <c r="H52" i="126" s="1"/>
  <c r="I52" i="126" s="1"/>
  <c r="J52" i="126" s="1"/>
  <c r="L52" i="126" s="1"/>
  <c r="D52" i="128"/>
  <c r="E52" i="128" s="1"/>
  <c r="H52" i="128" s="1"/>
  <c r="I52" i="128" s="1"/>
  <c r="J52" i="128" s="1"/>
  <c r="L52" i="128" s="1"/>
  <c r="D52" i="130"/>
  <c r="E52" i="130" s="1"/>
  <c r="H52" i="130" s="1"/>
  <c r="I52" i="130" s="1"/>
  <c r="J52" i="130" s="1"/>
  <c r="L52" i="130" s="1"/>
  <c r="D52" i="125"/>
  <c r="E52" i="125" s="1"/>
  <c r="H52" i="125" s="1"/>
  <c r="I52" i="125" s="1"/>
  <c r="J52" i="125" s="1"/>
  <c r="L52" i="125" s="1"/>
  <c r="D52" i="115"/>
  <c r="E52" i="115" s="1"/>
  <c r="H52" i="115" s="1"/>
  <c r="D52" i="117"/>
  <c r="E52" i="117" s="1"/>
  <c r="H52" i="117" s="1"/>
  <c r="D52" i="119"/>
  <c r="E52" i="119" s="1"/>
  <c r="H52" i="119" s="1"/>
  <c r="D52" i="113"/>
  <c r="E52" i="113" s="1"/>
  <c r="H52" i="113" s="1"/>
  <c r="D52" i="99"/>
  <c r="E52" i="99" s="1"/>
  <c r="H52" i="99" s="1"/>
  <c r="D52" i="98"/>
  <c r="E52" i="98" s="1"/>
  <c r="H52" i="98" s="1"/>
  <c r="D52" i="83"/>
  <c r="E52" i="83" s="1"/>
  <c r="H52" i="83" s="1"/>
  <c r="K52" i="83" s="1"/>
  <c r="O52" i="83" s="1"/>
  <c r="D52" i="86"/>
  <c r="E52" i="86" s="1"/>
  <c r="G52" i="86" s="1"/>
  <c r="D52" i="88"/>
  <c r="E52" i="88" s="1"/>
  <c r="G52" i="88" s="1"/>
  <c r="D52" i="91"/>
  <c r="E52" i="91" s="1"/>
  <c r="G52" i="91" s="1"/>
  <c r="D52" i="85"/>
  <c r="E52" i="85" s="1"/>
  <c r="G52" i="85" s="1"/>
  <c r="D52" i="127"/>
  <c r="E52" i="127" s="1"/>
  <c r="H52" i="127" s="1"/>
  <c r="I52" i="127" s="1"/>
  <c r="J52" i="127" s="1"/>
  <c r="L52" i="127" s="1"/>
  <c r="D52" i="129"/>
  <c r="E52" i="129" s="1"/>
  <c r="H52" i="129" s="1"/>
  <c r="I52" i="129" s="1"/>
  <c r="J52" i="129" s="1"/>
  <c r="L52" i="129" s="1"/>
  <c r="D52" i="131"/>
  <c r="E52" i="131" s="1"/>
  <c r="H52" i="131" s="1"/>
  <c r="I52" i="131" s="1"/>
  <c r="J52" i="131" s="1"/>
  <c r="L52" i="131" s="1"/>
  <c r="D52" i="114"/>
  <c r="E52" i="114" s="1"/>
  <c r="H52" i="114" s="1"/>
  <c r="D52" i="116"/>
  <c r="E52" i="116" s="1"/>
  <c r="H52" i="116" s="1"/>
  <c r="D52" i="118"/>
  <c r="E52" i="118" s="1"/>
  <c r="H52" i="118" s="1"/>
  <c r="D52" i="120"/>
  <c r="E52" i="120" s="1"/>
  <c r="H52" i="120" s="1"/>
  <c r="D35" i="46"/>
  <c r="E35" i="46" s="1"/>
  <c r="H35" i="46" s="1"/>
  <c r="D33" i="46"/>
  <c r="E33" i="46" s="1"/>
  <c r="D52" i="84"/>
  <c r="E52" i="84" s="1"/>
  <c r="H52" i="84" s="1"/>
  <c r="D52" i="67"/>
  <c r="E52" i="67" s="1"/>
  <c r="F52" i="67" s="1"/>
  <c r="G52" i="67" s="1"/>
  <c r="D67" i="87"/>
  <c r="E67" i="87" s="1"/>
  <c r="G67" i="87" s="1"/>
  <c r="D67" i="89"/>
  <c r="E67" i="89" s="1"/>
  <c r="G67" i="89" s="1"/>
  <c r="D67" i="92"/>
  <c r="E67" i="92" s="1"/>
  <c r="G67" i="92" s="1"/>
  <c r="D67" i="126"/>
  <c r="E67" i="126" s="1"/>
  <c r="H67" i="126" s="1"/>
  <c r="I67" i="126" s="1"/>
  <c r="J67" i="126" s="1"/>
  <c r="L67" i="126" s="1"/>
  <c r="D67" i="128"/>
  <c r="E67" i="128" s="1"/>
  <c r="H67" i="128" s="1"/>
  <c r="I67" i="128" s="1"/>
  <c r="J67" i="128" s="1"/>
  <c r="L67" i="128" s="1"/>
  <c r="D67" i="85"/>
  <c r="E67" i="85" s="1"/>
  <c r="G67" i="85" s="1"/>
  <c r="D67" i="84"/>
  <c r="E67" i="84" s="1"/>
  <c r="H67" i="84" s="1"/>
  <c r="D67" i="131"/>
  <c r="E67" i="131" s="1"/>
  <c r="H67" i="131" s="1"/>
  <c r="I67" i="131" s="1"/>
  <c r="J67" i="131" s="1"/>
  <c r="L67" i="131" s="1"/>
  <c r="D67" i="114"/>
  <c r="E67" i="114" s="1"/>
  <c r="H67" i="114" s="1"/>
  <c r="D67" i="116"/>
  <c r="E67" i="116" s="1"/>
  <c r="H67" i="116" s="1"/>
  <c r="D67" i="118"/>
  <c r="E67" i="118" s="1"/>
  <c r="H67" i="118" s="1"/>
  <c r="D67" i="120"/>
  <c r="E67" i="120" s="1"/>
  <c r="H67" i="120" s="1"/>
  <c r="D67" i="99"/>
  <c r="E67" i="99" s="1"/>
  <c r="H67" i="99" s="1"/>
  <c r="D67" i="86"/>
  <c r="E67" i="86" s="1"/>
  <c r="G67" i="86" s="1"/>
  <c r="D67" i="88"/>
  <c r="E67" i="88" s="1"/>
  <c r="G67" i="88" s="1"/>
  <c r="D67" i="91"/>
  <c r="E67" i="91" s="1"/>
  <c r="G67" i="91" s="1"/>
  <c r="F67" i="90"/>
  <c r="G67" i="90" s="1"/>
  <c r="I67" i="90" s="1"/>
  <c r="D67" i="127"/>
  <c r="E67" i="127" s="1"/>
  <c r="H67" i="127" s="1"/>
  <c r="I67" i="127" s="1"/>
  <c r="J67" i="127" s="1"/>
  <c r="L67" i="127" s="1"/>
  <c r="D67" i="129"/>
  <c r="E67" i="129" s="1"/>
  <c r="H67" i="129" s="1"/>
  <c r="I67" i="129" s="1"/>
  <c r="J67" i="129" s="1"/>
  <c r="L67" i="129" s="1"/>
  <c r="D67" i="98"/>
  <c r="E67" i="98" s="1"/>
  <c r="H67" i="98" s="1"/>
  <c r="D67" i="130"/>
  <c r="E67" i="130" s="1"/>
  <c r="H67" i="130" s="1"/>
  <c r="I67" i="130" s="1"/>
  <c r="J67" i="130" s="1"/>
  <c r="L67" i="130" s="1"/>
  <c r="D67" i="125"/>
  <c r="E67" i="125" s="1"/>
  <c r="H67" i="125" s="1"/>
  <c r="I67" i="125" s="1"/>
  <c r="J67" i="125" s="1"/>
  <c r="L67" i="125" s="1"/>
  <c r="D67" i="115"/>
  <c r="E67" i="115" s="1"/>
  <c r="H67" i="115" s="1"/>
  <c r="D67" i="117"/>
  <c r="E67" i="117" s="1"/>
  <c r="H67" i="117" s="1"/>
  <c r="D67" i="119"/>
  <c r="E67" i="119" s="1"/>
  <c r="H67" i="119" s="1"/>
  <c r="D67" i="113"/>
  <c r="E67" i="113" s="1"/>
  <c r="H67" i="113" s="1"/>
  <c r="D67" i="83"/>
  <c r="E67" i="83" s="1"/>
  <c r="H67" i="83" s="1"/>
  <c r="K67" i="83" s="1"/>
  <c r="O67" i="83" s="1"/>
  <c r="D67" i="67"/>
  <c r="E67" i="67" s="1"/>
  <c r="F67" i="67" s="1"/>
  <c r="G67" i="67" s="1"/>
  <c r="F26" i="90"/>
  <c r="G26" i="90" s="1"/>
  <c r="I26" i="90" s="1"/>
  <c r="D26" i="87"/>
  <c r="E26" i="87" s="1"/>
  <c r="G26" i="87" s="1"/>
  <c r="D26" i="89"/>
  <c r="E26" i="89" s="1"/>
  <c r="G26" i="89" s="1"/>
  <c r="D26" i="92"/>
  <c r="E26" i="92" s="1"/>
  <c r="G26" i="92" s="1"/>
  <c r="D26" i="126"/>
  <c r="E26" i="126" s="1"/>
  <c r="H26" i="126" s="1"/>
  <c r="I26" i="126" s="1"/>
  <c r="J26" i="126" s="1"/>
  <c r="L26" i="126" s="1"/>
  <c r="D26" i="130"/>
  <c r="E26" i="130" s="1"/>
  <c r="H26" i="130" s="1"/>
  <c r="I26" i="130" s="1"/>
  <c r="J26" i="130" s="1"/>
  <c r="L26" i="130" s="1"/>
  <c r="D26" i="125"/>
  <c r="E26" i="125" s="1"/>
  <c r="H26" i="125" s="1"/>
  <c r="I26" i="125" s="1"/>
  <c r="J26" i="125" s="1"/>
  <c r="L26" i="125" s="1"/>
  <c r="D26" i="115"/>
  <c r="E26" i="115" s="1"/>
  <c r="H26" i="115" s="1"/>
  <c r="D26" i="117"/>
  <c r="E26" i="117" s="1"/>
  <c r="H26" i="117" s="1"/>
  <c r="D26" i="119"/>
  <c r="E26" i="119" s="1"/>
  <c r="H26" i="119" s="1"/>
  <c r="D26" i="113"/>
  <c r="E26" i="113" s="1"/>
  <c r="H26" i="113" s="1"/>
  <c r="D26" i="128"/>
  <c r="E26" i="128" s="1"/>
  <c r="H26" i="128" s="1"/>
  <c r="I26" i="128" s="1"/>
  <c r="J26" i="128" s="1"/>
  <c r="L26" i="128" s="1"/>
  <c r="D26" i="98"/>
  <c r="E26" i="98" s="1"/>
  <c r="H26" i="98" s="1"/>
  <c r="D26" i="83"/>
  <c r="E26" i="83" s="1"/>
  <c r="H26" i="83" s="1"/>
  <c r="K26" i="83" s="1"/>
  <c r="O26" i="83" s="1"/>
  <c r="D26" i="86"/>
  <c r="E26" i="86" s="1"/>
  <c r="G26" i="86" s="1"/>
  <c r="D26" i="88"/>
  <c r="E26" i="88" s="1"/>
  <c r="G26" i="88" s="1"/>
  <c r="D26" i="91"/>
  <c r="E26" i="91" s="1"/>
  <c r="G26" i="91" s="1"/>
  <c r="D26" i="85"/>
  <c r="E26" i="85" s="1"/>
  <c r="G26" i="85" s="1"/>
  <c r="D26" i="127"/>
  <c r="E26" i="127" s="1"/>
  <c r="H26" i="127" s="1"/>
  <c r="I26" i="127" s="1"/>
  <c r="J26" i="127" s="1"/>
  <c r="L26" i="127" s="1"/>
  <c r="D26" i="131"/>
  <c r="E26" i="131" s="1"/>
  <c r="H26" i="131" s="1"/>
  <c r="I26" i="131" s="1"/>
  <c r="J26" i="131" s="1"/>
  <c r="L26" i="131" s="1"/>
  <c r="D26" i="114"/>
  <c r="E26" i="114" s="1"/>
  <c r="H26" i="114" s="1"/>
  <c r="D26" i="116"/>
  <c r="E26" i="116" s="1"/>
  <c r="H26" i="116" s="1"/>
  <c r="D26" i="118"/>
  <c r="E26" i="118" s="1"/>
  <c r="H26" i="118" s="1"/>
  <c r="D26" i="120"/>
  <c r="E26" i="120" s="1"/>
  <c r="H26" i="120" s="1"/>
  <c r="D26" i="99"/>
  <c r="E26" i="99" s="1"/>
  <c r="H26" i="99" s="1"/>
  <c r="D26" i="129"/>
  <c r="E26" i="129" s="1"/>
  <c r="H26" i="129" s="1"/>
  <c r="I26" i="129" s="1"/>
  <c r="J26" i="129" s="1"/>
  <c r="L26" i="129" s="1"/>
  <c r="D26" i="84"/>
  <c r="E26" i="84" s="1"/>
  <c r="H26" i="84" s="1"/>
  <c r="D26" i="67"/>
  <c r="E26" i="67" s="1"/>
  <c r="F26" i="67" s="1"/>
  <c r="G26" i="67" s="1"/>
  <c r="D12" i="86"/>
  <c r="E12" i="86" s="1"/>
  <c r="G12" i="86" s="1"/>
  <c r="D12" i="88"/>
  <c r="E12" i="88" s="1"/>
  <c r="G12" i="88" s="1"/>
  <c r="D12" i="91"/>
  <c r="E12" i="91" s="1"/>
  <c r="G12" i="91" s="1"/>
  <c r="D12" i="85"/>
  <c r="E12" i="85" s="1"/>
  <c r="G12" i="85" s="1"/>
  <c r="D12" i="127"/>
  <c r="E12" i="127" s="1"/>
  <c r="H12" i="127" s="1"/>
  <c r="I12" i="127" s="1"/>
  <c r="J12" i="127" s="1"/>
  <c r="L12" i="127" s="1"/>
  <c r="D12" i="129"/>
  <c r="E12" i="129" s="1"/>
  <c r="H12" i="129" s="1"/>
  <c r="I12" i="129" s="1"/>
  <c r="J12" i="129" s="1"/>
  <c r="L12" i="129" s="1"/>
  <c r="D12" i="131"/>
  <c r="E12" i="131" s="1"/>
  <c r="H12" i="131" s="1"/>
  <c r="I12" i="131" s="1"/>
  <c r="J12" i="131" s="1"/>
  <c r="L12" i="131" s="1"/>
  <c r="D12" i="114"/>
  <c r="E12" i="114" s="1"/>
  <c r="H12" i="114" s="1"/>
  <c r="D12" i="116"/>
  <c r="E12" i="116" s="1"/>
  <c r="H12" i="116" s="1"/>
  <c r="D12" i="118"/>
  <c r="E12" i="118" s="1"/>
  <c r="H12" i="118" s="1"/>
  <c r="D12" i="120"/>
  <c r="E12" i="120" s="1"/>
  <c r="H12" i="120" s="1"/>
  <c r="D12" i="99"/>
  <c r="E12" i="99" s="1"/>
  <c r="H12" i="99" s="1"/>
  <c r="D12" i="84"/>
  <c r="E12" i="84" s="1"/>
  <c r="H12" i="84" s="1"/>
  <c r="F12" i="90"/>
  <c r="G12" i="90" s="1"/>
  <c r="I12" i="90" s="1"/>
  <c r="D12" i="89"/>
  <c r="E12" i="89" s="1"/>
  <c r="G12" i="89" s="1"/>
  <c r="D12" i="128"/>
  <c r="E12" i="128" s="1"/>
  <c r="H12" i="128" s="1"/>
  <c r="I12" i="128" s="1"/>
  <c r="J12" i="128" s="1"/>
  <c r="L12" i="128" s="1"/>
  <c r="D12" i="125"/>
  <c r="E12" i="125" s="1"/>
  <c r="H12" i="125" s="1"/>
  <c r="I12" i="125" s="1"/>
  <c r="J12" i="125" s="1"/>
  <c r="L12" i="125" s="1"/>
  <c r="D12" i="117"/>
  <c r="E12" i="117" s="1"/>
  <c r="H12" i="117" s="1"/>
  <c r="D12" i="113"/>
  <c r="E12" i="113" s="1"/>
  <c r="H12" i="113" s="1"/>
  <c r="D12" i="83"/>
  <c r="E12" i="83" s="1"/>
  <c r="H12" i="83" s="1"/>
  <c r="K12" i="83" s="1"/>
  <c r="O12" i="83" s="1"/>
  <c r="D12" i="87"/>
  <c r="E12" i="87" s="1"/>
  <c r="G12" i="87" s="1"/>
  <c r="D12" i="92"/>
  <c r="E12" i="92" s="1"/>
  <c r="G12" i="92" s="1"/>
  <c r="D12" i="126"/>
  <c r="E12" i="126" s="1"/>
  <c r="H12" i="126" s="1"/>
  <c r="I12" i="126" s="1"/>
  <c r="J12" i="126" s="1"/>
  <c r="L12" i="126" s="1"/>
  <c r="D12" i="130"/>
  <c r="E12" i="130" s="1"/>
  <c r="H12" i="130" s="1"/>
  <c r="I12" i="130" s="1"/>
  <c r="J12" i="130" s="1"/>
  <c r="L12" i="130" s="1"/>
  <c r="D12" i="115"/>
  <c r="E12" i="115" s="1"/>
  <c r="H12" i="115" s="1"/>
  <c r="D12" i="119"/>
  <c r="E12" i="119" s="1"/>
  <c r="H12" i="119" s="1"/>
  <c r="D12" i="98"/>
  <c r="E12" i="98" s="1"/>
  <c r="H12" i="98" s="1"/>
  <c r="D12" i="67"/>
  <c r="E12" i="67" s="1"/>
  <c r="F12" i="67" s="1"/>
  <c r="G12" i="67" s="1"/>
  <c r="F66" i="90"/>
  <c r="G66" i="90" s="1"/>
  <c r="I66" i="90" s="1"/>
  <c r="D66" i="87"/>
  <c r="E66" i="87" s="1"/>
  <c r="G66" i="87" s="1"/>
  <c r="D66" i="89"/>
  <c r="E66" i="89" s="1"/>
  <c r="G66" i="89" s="1"/>
  <c r="D66" i="92"/>
  <c r="E66" i="92" s="1"/>
  <c r="G66" i="92" s="1"/>
  <c r="D66" i="126"/>
  <c r="E66" i="126" s="1"/>
  <c r="H66" i="126" s="1"/>
  <c r="I66" i="126" s="1"/>
  <c r="J66" i="126" s="1"/>
  <c r="L66" i="126" s="1"/>
  <c r="D66" i="128"/>
  <c r="E66" i="128" s="1"/>
  <c r="H66" i="128" s="1"/>
  <c r="I66" i="128" s="1"/>
  <c r="J66" i="128" s="1"/>
  <c r="L66" i="128" s="1"/>
  <c r="D66" i="131"/>
  <c r="E66" i="131" s="1"/>
  <c r="H66" i="131" s="1"/>
  <c r="I66" i="131" s="1"/>
  <c r="J66" i="131" s="1"/>
  <c r="L66" i="131" s="1"/>
  <c r="D66" i="114"/>
  <c r="E66" i="114" s="1"/>
  <c r="H66" i="114" s="1"/>
  <c r="D66" i="116"/>
  <c r="E66" i="116" s="1"/>
  <c r="H66" i="116" s="1"/>
  <c r="D66" i="118"/>
  <c r="E66" i="118" s="1"/>
  <c r="H66" i="118" s="1"/>
  <c r="D66" i="120"/>
  <c r="E66" i="120" s="1"/>
  <c r="H66" i="120" s="1"/>
  <c r="D66" i="99"/>
  <c r="E66" i="99" s="1"/>
  <c r="H66" i="99" s="1"/>
  <c r="D66" i="98"/>
  <c r="E66" i="98" s="1"/>
  <c r="H66" i="98" s="1"/>
  <c r="D66" i="83"/>
  <c r="E66" i="83" s="1"/>
  <c r="H66" i="83" s="1"/>
  <c r="K66" i="83" s="1"/>
  <c r="O66" i="83" s="1"/>
  <c r="D66" i="86"/>
  <c r="E66" i="86" s="1"/>
  <c r="G66" i="86" s="1"/>
  <c r="D66" i="88"/>
  <c r="E66" i="88" s="1"/>
  <c r="G66" i="88" s="1"/>
  <c r="D66" i="91"/>
  <c r="E66" i="91" s="1"/>
  <c r="G66" i="91" s="1"/>
  <c r="D66" i="85"/>
  <c r="E66" i="85" s="1"/>
  <c r="G66" i="85" s="1"/>
  <c r="D66" i="127"/>
  <c r="E66" i="127" s="1"/>
  <c r="H66" i="127" s="1"/>
  <c r="I66" i="127" s="1"/>
  <c r="J66" i="127" s="1"/>
  <c r="L66" i="127" s="1"/>
  <c r="D66" i="130"/>
  <c r="E66" i="130" s="1"/>
  <c r="H66" i="130" s="1"/>
  <c r="I66" i="130" s="1"/>
  <c r="J66" i="130" s="1"/>
  <c r="L66" i="130" s="1"/>
  <c r="D66" i="125"/>
  <c r="E66" i="125" s="1"/>
  <c r="H66" i="125" s="1"/>
  <c r="I66" i="125" s="1"/>
  <c r="J66" i="125" s="1"/>
  <c r="L66" i="125" s="1"/>
  <c r="D66" i="115"/>
  <c r="E66" i="115" s="1"/>
  <c r="H66" i="115" s="1"/>
  <c r="D66" i="117"/>
  <c r="E66" i="117" s="1"/>
  <c r="H66" i="117" s="1"/>
  <c r="D66" i="119"/>
  <c r="E66" i="119" s="1"/>
  <c r="H66" i="119" s="1"/>
  <c r="D66" i="113"/>
  <c r="E66" i="113" s="1"/>
  <c r="H66" i="113" s="1"/>
  <c r="D66" i="129"/>
  <c r="E66" i="129" s="1"/>
  <c r="H66" i="129" s="1"/>
  <c r="I66" i="129" s="1"/>
  <c r="J66" i="129" s="1"/>
  <c r="L66" i="129" s="1"/>
  <c r="D66" i="84"/>
  <c r="E66" i="84" s="1"/>
  <c r="H66" i="84" s="1"/>
  <c r="D66" i="67"/>
  <c r="E66" i="67" s="1"/>
  <c r="F66" i="67" s="1"/>
  <c r="G66" i="67" s="1"/>
  <c r="D44" i="86"/>
  <c r="E44" i="86" s="1"/>
  <c r="G44" i="86" s="1"/>
  <c r="D44" i="88"/>
  <c r="E44" i="88" s="1"/>
  <c r="G44" i="88" s="1"/>
  <c r="D44" i="91"/>
  <c r="E44" i="91" s="1"/>
  <c r="G44" i="91" s="1"/>
  <c r="D44" i="85"/>
  <c r="E44" i="85" s="1"/>
  <c r="G44" i="85" s="1"/>
  <c r="D44" i="127"/>
  <c r="E44" i="127" s="1"/>
  <c r="H44" i="127" s="1"/>
  <c r="I44" i="127" s="1"/>
  <c r="J44" i="127" s="1"/>
  <c r="L44" i="127" s="1"/>
  <c r="D44" i="129"/>
  <c r="E44" i="129" s="1"/>
  <c r="H44" i="129" s="1"/>
  <c r="I44" i="129" s="1"/>
  <c r="J44" i="129" s="1"/>
  <c r="L44" i="129" s="1"/>
  <c r="D44" i="131"/>
  <c r="E44" i="131" s="1"/>
  <c r="H44" i="131" s="1"/>
  <c r="I44" i="131" s="1"/>
  <c r="J44" i="131" s="1"/>
  <c r="L44" i="131" s="1"/>
  <c r="D44" i="114"/>
  <c r="E44" i="114" s="1"/>
  <c r="H44" i="114" s="1"/>
  <c r="D44" i="116"/>
  <c r="E44" i="116" s="1"/>
  <c r="H44" i="116" s="1"/>
  <c r="D44" i="118"/>
  <c r="E44" i="118" s="1"/>
  <c r="H44" i="118" s="1"/>
  <c r="D44" i="120"/>
  <c r="E44" i="120" s="1"/>
  <c r="H44" i="120" s="1"/>
  <c r="D44" i="99"/>
  <c r="E44" i="99" s="1"/>
  <c r="H44" i="99" s="1"/>
  <c r="D44" i="84"/>
  <c r="E44" i="84" s="1"/>
  <c r="H44" i="84" s="1"/>
  <c r="F44" i="90"/>
  <c r="G44" i="90" s="1"/>
  <c r="I44" i="90" s="1"/>
  <c r="D44" i="87"/>
  <c r="E44" i="87" s="1"/>
  <c r="G44" i="87" s="1"/>
  <c r="D44" i="89"/>
  <c r="E44" i="89" s="1"/>
  <c r="G44" i="89" s="1"/>
  <c r="D44" i="92"/>
  <c r="E44" i="92" s="1"/>
  <c r="G44" i="92" s="1"/>
  <c r="D44" i="126"/>
  <c r="E44" i="126" s="1"/>
  <c r="H44" i="126" s="1"/>
  <c r="I44" i="126" s="1"/>
  <c r="J44" i="126" s="1"/>
  <c r="L44" i="126" s="1"/>
  <c r="D44" i="128"/>
  <c r="E44" i="128" s="1"/>
  <c r="H44" i="128" s="1"/>
  <c r="I44" i="128" s="1"/>
  <c r="J44" i="128" s="1"/>
  <c r="L44" i="128" s="1"/>
  <c r="D44" i="130"/>
  <c r="E44" i="130" s="1"/>
  <c r="H44" i="130" s="1"/>
  <c r="I44" i="130" s="1"/>
  <c r="J44" i="130" s="1"/>
  <c r="L44" i="130" s="1"/>
  <c r="D44" i="125"/>
  <c r="E44" i="125" s="1"/>
  <c r="H44" i="125" s="1"/>
  <c r="I44" i="125" s="1"/>
  <c r="J44" i="125" s="1"/>
  <c r="L44" i="125" s="1"/>
  <c r="D44" i="115"/>
  <c r="E44" i="115" s="1"/>
  <c r="H44" i="115" s="1"/>
  <c r="D44" i="117"/>
  <c r="E44" i="117" s="1"/>
  <c r="H44" i="117" s="1"/>
  <c r="D44" i="119"/>
  <c r="E44" i="119" s="1"/>
  <c r="H44" i="119" s="1"/>
  <c r="D44" i="113"/>
  <c r="E44" i="113" s="1"/>
  <c r="H44" i="113" s="1"/>
  <c r="D44" i="98"/>
  <c r="E44" i="98" s="1"/>
  <c r="H44" i="98" s="1"/>
  <c r="D44" i="83"/>
  <c r="E44" i="83" s="1"/>
  <c r="H44" i="83" s="1"/>
  <c r="K44" i="83" s="1"/>
  <c r="O44" i="83" s="1"/>
  <c r="D44" i="67"/>
  <c r="E44" i="67" s="1"/>
  <c r="F44" i="67" s="1"/>
  <c r="G44" i="67" s="1"/>
  <c r="D16" i="86"/>
  <c r="E16" i="86" s="1"/>
  <c r="G16" i="86" s="1"/>
  <c r="D16" i="88"/>
  <c r="E16" i="88" s="1"/>
  <c r="G16" i="88" s="1"/>
  <c r="D16" i="91"/>
  <c r="E16" i="91" s="1"/>
  <c r="G16" i="91" s="1"/>
  <c r="D16" i="85"/>
  <c r="E16" i="85" s="1"/>
  <c r="G16" i="85" s="1"/>
  <c r="D16" i="127"/>
  <c r="E16" i="127" s="1"/>
  <c r="H16" i="127" s="1"/>
  <c r="I16" i="127" s="1"/>
  <c r="J16" i="127" s="1"/>
  <c r="L16" i="127" s="1"/>
  <c r="D16" i="129"/>
  <c r="E16" i="129" s="1"/>
  <c r="H16" i="129" s="1"/>
  <c r="I16" i="129" s="1"/>
  <c r="J16" i="129" s="1"/>
  <c r="L16" i="129" s="1"/>
  <c r="D16" i="131"/>
  <c r="E16" i="131" s="1"/>
  <c r="H16" i="131" s="1"/>
  <c r="I16" i="131" s="1"/>
  <c r="J16" i="131" s="1"/>
  <c r="L16" i="131" s="1"/>
  <c r="D16" i="114"/>
  <c r="E16" i="114" s="1"/>
  <c r="H16" i="114" s="1"/>
  <c r="D16" i="116"/>
  <c r="E16" i="116" s="1"/>
  <c r="H16" i="116" s="1"/>
  <c r="D16" i="118"/>
  <c r="E16" i="118" s="1"/>
  <c r="H16" i="118" s="1"/>
  <c r="D16" i="120"/>
  <c r="E16" i="120" s="1"/>
  <c r="H16" i="120" s="1"/>
  <c r="D16" i="99"/>
  <c r="E16" i="99" s="1"/>
  <c r="H16" i="99" s="1"/>
  <c r="D16" i="84"/>
  <c r="E16" i="84" s="1"/>
  <c r="H16" i="84" s="1"/>
  <c r="F16" i="90"/>
  <c r="G16" i="90" s="1"/>
  <c r="I16" i="90" s="1"/>
  <c r="D16" i="87"/>
  <c r="E16" i="87" s="1"/>
  <c r="G16" i="87" s="1"/>
  <c r="D16" i="89"/>
  <c r="E16" i="89" s="1"/>
  <c r="G16" i="89" s="1"/>
  <c r="D16" i="92"/>
  <c r="E16" i="92" s="1"/>
  <c r="G16" i="92" s="1"/>
  <c r="D16" i="126"/>
  <c r="E16" i="126" s="1"/>
  <c r="H16" i="126" s="1"/>
  <c r="I16" i="126" s="1"/>
  <c r="J16" i="126" s="1"/>
  <c r="L16" i="126" s="1"/>
  <c r="D16" i="128"/>
  <c r="E16" i="128" s="1"/>
  <c r="H16" i="128" s="1"/>
  <c r="I16" i="128" s="1"/>
  <c r="J16" i="128" s="1"/>
  <c r="L16" i="128" s="1"/>
  <c r="D16" i="130"/>
  <c r="E16" i="130" s="1"/>
  <c r="H16" i="130" s="1"/>
  <c r="I16" i="130" s="1"/>
  <c r="J16" i="130" s="1"/>
  <c r="L16" i="130" s="1"/>
  <c r="D16" i="125"/>
  <c r="E16" i="125" s="1"/>
  <c r="H16" i="125" s="1"/>
  <c r="I16" i="125" s="1"/>
  <c r="J16" i="125" s="1"/>
  <c r="L16" i="125" s="1"/>
  <c r="D16" i="115"/>
  <c r="E16" i="115" s="1"/>
  <c r="H16" i="115" s="1"/>
  <c r="D16" i="117"/>
  <c r="E16" i="117" s="1"/>
  <c r="H16" i="117" s="1"/>
  <c r="D16" i="119"/>
  <c r="E16" i="119" s="1"/>
  <c r="H16" i="119" s="1"/>
  <c r="D16" i="113"/>
  <c r="E16" i="113" s="1"/>
  <c r="H16" i="113" s="1"/>
  <c r="D16" i="98"/>
  <c r="E16" i="98" s="1"/>
  <c r="H16" i="98" s="1"/>
  <c r="D16" i="83"/>
  <c r="E16" i="83" s="1"/>
  <c r="H16" i="83" s="1"/>
  <c r="K16" i="83" s="1"/>
  <c r="O16" i="83" s="1"/>
  <c r="D16" i="67"/>
  <c r="E16" i="67" s="1"/>
  <c r="F16" i="67" s="1"/>
  <c r="G16" i="67" s="1"/>
  <c r="D45" i="87"/>
  <c r="E45" i="87" s="1"/>
  <c r="G45" i="87" s="1"/>
  <c r="D45" i="89"/>
  <c r="E45" i="89" s="1"/>
  <c r="G45" i="89" s="1"/>
  <c r="F45" i="90"/>
  <c r="G45" i="90" s="1"/>
  <c r="I45" i="90" s="1"/>
  <c r="D45" i="127"/>
  <c r="E45" i="127" s="1"/>
  <c r="H45" i="127" s="1"/>
  <c r="I45" i="127" s="1"/>
  <c r="J45" i="127" s="1"/>
  <c r="L45" i="127" s="1"/>
  <c r="D45" i="129"/>
  <c r="E45" i="129" s="1"/>
  <c r="H45" i="129" s="1"/>
  <c r="I45" i="129" s="1"/>
  <c r="J45" i="129" s="1"/>
  <c r="L45" i="129" s="1"/>
  <c r="D45" i="85"/>
  <c r="E45" i="85" s="1"/>
  <c r="G45" i="85" s="1"/>
  <c r="D45" i="98"/>
  <c r="E45" i="98" s="1"/>
  <c r="H45" i="98" s="1"/>
  <c r="D45" i="130"/>
  <c r="E45" i="130" s="1"/>
  <c r="H45" i="130" s="1"/>
  <c r="I45" i="130" s="1"/>
  <c r="J45" i="130" s="1"/>
  <c r="L45" i="130" s="1"/>
  <c r="D45" i="125"/>
  <c r="E45" i="125" s="1"/>
  <c r="H45" i="125" s="1"/>
  <c r="I45" i="125" s="1"/>
  <c r="J45" i="125" s="1"/>
  <c r="L45" i="125" s="1"/>
  <c r="D45" i="115"/>
  <c r="E45" i="115" s="1"/>
  <c r="H45" i="115" s="1"/>
  <c r="D45" i="117"/>
  <c r="E45" i="117" s="1"/>
  <c r="H45" i="117" s="1"/>
  <c r="D45" i="119"/>
  <c r="E45" i="119" s="1"/>
  <c r="H45" i="119" s="1"/>
  <c r="D45" i="113"/>
  <c r="E45" i="113" s="1"/>
  <c r="H45" i="113" s="1"/>
  <c r="D45" i="99"/>
  <c r="E45" i="99" s="1"/>
  <c r="H45" i="99" s="1"/>
  <c r="D45" i="86"/>
  <c r="E45" i="86" s="1"/>
  <c r="G45" i="86" s="1"/>
  <c r="D45" i="88"/>
  <c r="E45" i="88" s="1"/>
  <c r="G45" i="88" s="1"/>
  <c r="D45" i="91"/>
  <c r="E45" i="91" s="1"/>
  <c r="G45" i="91" s="1"/>
  <c r="D45" i="126"/>
  <c r="E45" i="126" s="1"/>
  <c r="H45" i="126" s="1"/>
  <c r="I45" i="126" s="1"/>
  <c r="J45" i="126" s="1"/>
  <c r="L45" i="126" s="1"/>
  <c r="D45" i="128"/>
  <c r="E45" i="128" s="1"/>
  <c r="H45" i="128" s="1"/>
  <c r="I45" i="128" s="1"/>
  <c r="J45" i="128" s="1"/>
  <c r="L45" i="128" s="1"/>
  <c r="D45" i="92"/>
  <c r="E45" i="92" s="1"/>
  <c r="G45" i="92" s="1"/>
  <c r="D21" i="46"/>
  <c r="E21" i="46" s="1"/>
  <c r="D45" i="84"/>
  <c r="E45" i="84" s="1"/>
  <c r="H45" i="84" s="1"/>
  <c r="D45" i="131"/>
  <c r="E45" i="131" s="1"/>
  <c r="H45" i="131" s="1"/>
  <c r="I45" i="131" s="1"/>
  <c r="J45" i="131" s="1"/>
  <c r="L45" i="131" s="1"/>
  <c r="D45" i="114"/>
  <c r="E45" i="114" s="1"/>
  <c r="H45" i="114" s="1"/>
  <c r="D45" i="116"/>
  <c r="E45" i="116" s="1"/>
  <c r="H45" i="116" s="1"/>
  <c r="D45" i="118"/>
  <c r="E45" i="118" s="1"/>
  <c r="H45" i="118" s="1"/>
  <c r="D45" i="120"/>
  <c r="E45" i="120" s="1"/>
  <c r="H45" i="120" s="1"/>
  <c r="D23" i="46"/>
  <c r="E23" i="46" s="1"/>
  <c r="H23" i="46" s="1"/>
  <c r="D45" i="83"/>
  <c r="E45" i="83" s="1"/>
  <c r="H45" i="83" s="1"/>
  <c r="K45" i="83" s="1"/>
  <c r="O45" i="83" s="1"/>
  <c r="D45" i="67"/>
  <c r="E45" i="67" s="1"/>
  <c r="F45" i="67" s="1"/>
  <c r="G45" i="67" s="1"/>
  <c r="D11" i="86"/>
  <c r="E11" i="86" s="1"/>
  <c r="G11" i="86" s="1"/>
  <c r="D11" i="88"/>
  <c r="E11" i="88" s="1"/>
  <c r="G11" i="88" s="1"/>
  <c r="D11" i="91"/>
  <c r="E11" i="91" s="1"/>
  <c r="G11" i="91" s="1"/>
  <c r="D11" i="126"/>
  <c r="E11" i="126" s="1"/>
  <c r="H11" i="126" s="1"/>
  <c r="I11" i="126" s="1"/>
  <c r="J11" i="126" s="1"/>
  <c r="L11" i="126" s="1"/>
  <c r="D11" i="128"/>
  <c r="E11" i="128" s="1"/>
  <c r="H11" i="128" s="1"/>
  <c r="I11" i="128" s="1"/>
  <c r="J11" i="128" s="1"/>
  <c r="L11" i="128" s="1"/>
  <c r="D11" i="85"/>
  <c r="E11" i="85" s="1"/>
  <c r="G11" i="85" s="1"/>
  <c r="D11" i="129"/>
  <c r="E11" i="129" s="1"/>
  <c r="H11" i="129" s="1"/>
  <c r="I11" i="129" s="1"/>
  <c r="J11" i="129" s="1"/>
  <c r="L11" i="129" s="1"/>
  <c r="D11" i="131"/>
  <c r="E11" i="131" s="1"/>
  <c r="H11" i="131" s="1"/>
  <c r="I11" i="131" s="1"/>
  <c r="J11" i="131" s="1"/>
  <c r="L11" i="131" s="1"/>
  <c r="D11" i="114"/>
  <c r="E11" i="114" s="1"/>
  <c r="H11" i="114" s="1"/>
  <c r="D11" i="116"/>
  <c r="E11" i="116" s="1"/>
  <c r="H11" i="116" s="1"/>
  <c r="D11" i="118"/>
  <c r="E11" i="118" s="1"/>
  <c r="H11" i="118" s="1"/>
  <c r="D11" i="120"/>
  <c r="E11" i="120" s="1"/>
  <c r="H11" i="120" s="1"/>
  <c r="D11" i="99"/>
  <c r="E11" i="99" s="1"/>
  <c r="H11" i="99" s="1"/>
  <c r="D11" i="83"/>
  <c r="E11" i="83" s="1"/>
  <c r="H11" i="83" s="1"/>
  <c r="K11" i="83" s="1"/>
  <c r="O11" i="83" s="1"/>
  <c r="D11" i="87"/>
  <c r="E11" i="87" s="1"/>
  <c r="G11" i="87" s="1"/>
  <c r="D11" i="89"/>
  <c r="E11" i="89" s="1"/>
  <c r="G11" i="89" s="1"/>
  <c r="F11" i="90"/>
  <c r="G11" i="90" s="1"/>
  <c r="I11" i="90" s="1"/>
  <c r="D11" i="127"/>
  <c r="E11" i="127" s="1"/>
  <c r="H11" i="127" s="1"/>
  <c r="I11" i="127" s="1"/>
  <c r="J11" i="127" s="1"/>
  <c r="L11" i="127" s="1"/>
  <c r="D11" i="92"/>
  <c r="E11" i="92" s="1"/>
  <c r="G11" i="92" s="1"/>
  <c r="D11" i="98"/>
  <c r="E11" i="98" s="1"/>
  <c r="H11" i="98" s="1"/>
  <c r="D11" i="130"/>
  <c r="E11" i="130" s="1"/>
  <c r="H11" i="130" s="1"/>
  <c r="I11" i="130" s="1"/>
  <c r="J11" i="130" s="1"/>
  <c r="L11" i="130" s="1"/>
  <c r="D11" i="125"/>
  <c r="E11" i="125" s="1"/>
  <c r="H11" i="125" s="1"/>
  <c r="I11" i="125" s="1"/>
  <c r="J11" i="125" s="1"/>
  <c r="L11" i="125" s="1"/>
  <c r="D11" i="115"/>
  <c r="E11" i="115" s="1"/>
  <c r="H11" i="115" s="1"/>
  <c r="D11" i="117"/>
  <c r="E11" i="117" s="1"/>
  <c r="H11" i="117" s="1"/>
  <c r="D11" i="119"/>
  <c r="E11" i="119" s="1"/>
  <c r="H11" i="119" s="1"/>
  <c r="D11" i="113"/>
  <c r="E11" i="113" s="1"/>
  <c r="H11" i="113" s="1"/>
  <c r="D11" i="84"/>
  <c r="E11" i="84" s="1"/>
  <c r="H11" i="84" s="1"/>
  <c r="D11" i="67"/>
  <c r="E11" i="67" s="1"/>
  <c r="F11" i="67" s="1"/>
  <c r="G11" i="67" s="1"/>
  <c r="D28" i="86"/>
  <c r="E28" i="86" s="1"/>
  <c r="G28" i="86" s="1"/>
  <c r="D28" i="88"/>
  <c r="E28" i="88" s="1"/>
  <c r="G28" i="88" s="1"/>
  <c r="D28" i="91"/>
  <c r="E28" i="91" s="1"/>
  <c r="G28" i="91" s="1"/>
  <c r="D28" i="85"/>
  <c r="E28" i="85" s="1"/>
  <c r="G28" i="85" s="1"/>
  <c r="D28" i="127"/>
  <c r="E28" i="127" s="1"/>
  <c r="H28" i="127" s="1"/>
  <c r="I28" i="127" s="1"/>
  <c r="J28" i="127" s="1"/>
  <c r="L28" i="127" s="1"/>
  <c r="D28" i="129"/>
  <c r="E28" i="129" s="1"/>
  <c r="H28" i="129" s="1"/>
  <c r="I28" i="129" s="1"/>
  <c r="J28" i="129" s="1"/>
  <c r="L28" i="129" s="1"/>
  <c r="D28" i="131"/>
  <c r="E28" i="131" s="1"/>
  <c r="H28" i="131" s="1"/>
  <c r="I28" i="131" s="1"/>
  <c r="J28" i="131" s="1"/>
  <c r="L28" i="131" s="1"/>
  <c r="D28" i="114"/>
  <c r="E28" i="114" s="1"/>
  <c r="H28" i="114" s="1"/>
  <c r="D28" i="116"/>
  <c r="E28" i="116" s="1"/>
  <c r="H28" i="116" s="1"/>
  <c r="D28" i="118"/>
  <c r="E28" i="118" s="1"/>
  <c r="H28" i="118" s="1"/>
  <c r="D28" i="120"/>
  <c r="E28" i="120" s="1"/>
  <c r="H28" i="120" s="1"/>
  <c r="D28" i="99"/>
  <c r="E28" i="99" s="1"/>
  <c r="H28" i="99" s="1"/>
  <c r="D28" i="84"/>
  <c r="E28" i="84" s="1"/>
  <c r="H28" i="84" s="1"/>
  <c r="F28" i="90"/>
  <c r="G28" i="90" s="1"/>
  <c r="I28" i="90" s="1"/>
  <c r="D28" i="87"/>
  <c r="E28" i="87" s="1"/>
  <c r="G28" i="87" s="1"/>
  <c r="D28" i="89"/>
  <c r="E28" i="89" s="1"/>
  <c r="G28" i="89" s="1"/>
  <c r="D28" i="92"/>
  <c r="E28" i="92" s="1"/>
  <c r="G28" i="92" s="1"/>
  <c r="D28" i="126"/>
  <c r="E28" i="126" s="1"/>
  <c r="H28" i="126" s="1"/>
  <c r="I28" i="126" s="1"/>
  <c r="J28" i="126" s="1"/>
  <c r="L28" i="126" s="1"/>
  <c r="D28" i="128"/>
  <c r="E28" i="128" s="1"/>
  <c r="H28" i="128" s="1"/>
  <c r="I28" i="128" s="1"/>
  <c r="J28" i="128" s="1"/>
  <c r="L28" i="128" s="1"/>
  <c r="D28" i="130"/>
  <c r="E28" i="130" s="1"/>
  <c r="H28" i="130" s="1"/>
  <c r="I28" i="130" s="1"/>
  <c r="J28" i="130" s="1"/>
  <c r="L28" i="130" s="1"/>
  <c r="D28" i="125"/>
  <c r="E28" i="125" s="1"/>
  <c r="H28" i="125" s="1"/>
  <c r="I28" i="125" s="1"/>
  <c r="J28" i="125" s="1"/>
  <c r="L28" i="125" s="1"/>
  <c r="D28" i="115"/>
  <c r="E28" i="115" s="1"/>
  <c r="H28" i="115" s="1"/>
  <c r="D28" i="117"/>
  <c r="E28" i="117" s="1"/>
  <c r="H28" i="117" s="1"/>
  <c r="D28" i="119"/>
  <c r="E28" i="119" s="1"/>
  <c r="H28" i="119" s="1"/>
  <c r="D28" i="113"/>
  <c r="E28" i="113" s="1"/>
  <c r="H28" i="113" s="1"/>
  <c r="D28" i="98"/>
  <c r="E28" i="98" s="1"/>
  <c r="H28" i="98" s="1"/>
  <c r="D28" i="83"/>
  <c r="E28" i="83" s="1"/>
  <c r="H28" i="83" s="1"/>
  <c r="K28" i="83" s="1"/>
  <c r="O28" i="83" s="1"/>
  <c r="D28" i="67"/>
  <c r="E28" i="67" s="1"/>
  <c r="F28" i="67" s="1"/>
  <c r="G28" i="67" s="1"/>
  <c r="D9" i="86"/>
  <c r="E9" i="86" s="1"/>
  <c r="G9" i="86" s="1"/>
  <c r="D9" i="88"/>
  <c r="E9" i="88" s="1"/>
  <c r="G9" i="88" s="1"/>
  <c r="D9" i="91"/>
  <c r="E9" i="91" s="1"/>
  <c r="G9" i="91" s="1"/>
  <c r="D9" i="126"/>
  <c r="E9" i="126" s="1"/>
  <c r="H9" i="126" s="1"/>
  <c r="I9" i="126" s="1"/>
  <c r="J9" i="126" s="1"/>
  <c r="L9" i="126" s="1"/>
  <c r="D9" i="128"/>
  <c r="E9" i="128" s="1"/>
  <c r="H9" i="128" s="1"/>
  <c r="I9" i="128" s="1"/>
  <c r="J9" i="128" s="1"/>
  <c r="L9" i="128" s="1"/>
  <c r="D9" i="85"/>
  <c r="E9" i="85" s="1"/>
  <c r="G9" i="85" s="1"/>
  <c r="D9" i="129"/>
  <c r="E9" i="129" s="1"/>
  <c r="H9" i="129" s="1"/>
  <c r="I9" i="129" s="1"/>
  <c r="J9" i="129" s="1"/>
  <c r="L9" i="129" s="1"/>
  <c r="D9" i="131"/>
  <c r="E9" i="131" s="1"/>
  <c r="H9" i="131" s="1"/>
  <c r="I9" i="131" s="1"/>
  <c r="J9" i="131" s="1"/>
  <c r="L9" i="131" s="1"/>
  <c r="D9" i="114"/>
  <c r="E9" i="114" s="1"/>
  <c r="H9" i="114" s="1"/>
  <c r="D9" i="116"/>
  <c r="E9" i="116" s="1"/>
  <c r="H9" i="116" s="1"/>
  <c r="D9" i="118"/>
  <c r="E9" i="118" s="1"/>
  <c r="H9" i="118" s="1"/>
  <c r="D9" i="120"/>
  <c r="E9" i="120" s="1"/>
  <c r="H9" i="120" s="1"/>
  <c r="D9" i="99"/>
  <c r="E9" i="99" s="1"/>
  <c r="H9" i="99" s="1"/>
  <c r="D9" i="83"/>
  <c r="E9" i="83" s="1"/>
  <c r="H9" i="83" s="1"/>
  <c r="K9" i="83" s="1"/>
  <c r="O9" i="83" s="1"/>
  <c r="D9" i="87"/>
  <c r="E9" i="87" s="1"/>
  <c r="G9" i="87" s="1"/>
  <c r="D9" i="89"/>
  <c r="E9" i="89" s="1"/>
  <c r="G9" i="89" s="1"/>
  <c r="F9" i="90"/>
  <c r="G9" i="90" s="1"/>
  <c r="I9" i="90" s="1"/>
  <c r="D9" i="127"/>
  <c r="E9" i="127" s="1"/>
  <c r="H9" i="127" s="1"/>
  <c r="I9" i="127" s="1"/>
  <c r="J9" i="127" s="1"/>
  <c r="L9" i="127" s="1"/>
  <c r="D9" i="92"/>
  <c r="E9" i="92" s="1"/>
  <c r="G9" i="92" s="1"/>
  <c r="D9" i="98"/>
  <c r="E9" i="98" s="1"/>
  <c r="H9" i="98" s="1"/>
  <c r="D9" i="130"/>
  <c r="E9" i="130" s="1"/>
  <c r="H9" i="130" s="1"/>
  <c r="I9" i="130" s="1"/>
  <c r="J9" i="130" s="1"/>
  <c r="L9" i="130" s="1"/>
  <c r="D9" i="125"/>
  <c r="E9" i="125" s="1"/>
  <c r="H9" i="125" s="1"/>
  <c r="I9" i="125" s="1"/>
  <c r="J9" i="125" s="1"/>
  <c r="L9" i="125" s="1"/>
  <c r="D9" i="115"/>
  <c r="E9" i="115" s="1"/>
  <c r="H9" i="115" s="1"/>
  <c r="D9" i="117"/>
  <c r="E9" i="117" s="1"/>
  <c r="H9" i="117" s="1"/>
  <c r="D9" i="119"/>
  <c r="E9" i="119" s="1"/>
  <c r="H9" i="119" s="1"/>
  <c r="D9" i="113"/>
  <c r="E9" i="113" s="1"/>
  <c r="H9" i="113" s="1"/>
  <c r="D9" i="84"/>
  <c r="E9" i="84" s="1"/>
  <c r="H9" i="84" s="1"/>
  <c r="D9" i="67"/>
  <c r="E9" i="67" s="1"/>
  <c r="F9" i="67" s="1"/>
  <c r="G9" i="67" s="1"/>
  <c r="D15" i="87"/>
  <c r="E15" i="87" s="1"/>
  <c r="G15" i="87" s="1"/>
  <c r="D15" i="89"/>
  <c r="E15" i="89" s="1"/>
  <c r="G15" i="89" s="1"/>
  <c r="F15" i="90"/>
  <c r="G15" i="90" s="1"/>
  <c r="I15" i="90" s="1"/>
  <c r="D15" i="127"/>
  <c r="E15" i="127" s="1"/>
  <c r="H15" i="127" s="1"/>
  <c r="I15" i="127" s="1"/>
  <c r="J15" i="127" s="1"/>
  <c r="L15" i="127" s="1"/>
  <c r="D15" i="92"/>
  <c r="E15" i="92" s="1"/>
  <c r="G15" i="92" s="1"/>
  <c r="D29" i="46"/>
  <c r="E29" i="46" s="1"/>
  <c r="H29" i="46" s="1"/>
  <c r="D15" i="98"/>
  <c r="E15" i="98" s="1"/>
  <c r="H15" i="98" s="1"/>
  <c r="D15" i="130"/>
  <c r="E15" i="130" s="1"/>
  <c r="H15" i="130" s="1"/>
  <c r="I15" i="130" s="1"/>
  <c r="J15" i="130" s="1"/>
  <c r="L15" i="130" s="1"/>
  <c r="D15" i="125"/>
  <c r="E15" i="125" s="1"/>
  <c r="H15" i="125" s="1"/>
  <c r="I15" i="125" s="1"/>
  <c r="J15" i="125" s="1"/>
  <c r="L15" i="125" s="1"/>
  <c r="D15" i="115"/>
  <c r="E15" i="115" s="1"/>
  <c r="H15" i="115" s="1"/>
  <c r="D15" i="117"/>
  <c r="E15" i="117" s="1"/>
  <c r="H15" i="117" s="1"/>
  <c r="D15" i="119"/>
  <c r="E15" i="119" s="1"/>
  <c r="H15" i="119" s="1"/>
  <c r="D15" i="113"/>
  <c r="E15" i="113" s="1"/>
  <c r="H15" i="113" s="1"/>
  <c r="D15" i="99"/>
  <c r="E15" i="99" s="1"/>
  <c r="H15" i="99" s="1"/>
  <c r="D15" i="83"/>
  <c r="E15" i="83" s="1"/>
  <c r="H15" i="83" s="1"/>
  <c r="K15" i="83" s="1"/>
  <c r="O15" i="83" s="1"/>
  <c r="D15" i="86"/>
  <c r="E15" i="86" s="1"/>
  <c r="G15" i="86" s="1"/>
  <c r="D15" i="88"/>
  <c r="E15" i="88" s="1"/>
  <c r="G15" i="88" s="1"/>
  <c r="D15" i="91"/>
  <c r="E15" i="91" s="1"/>
  <c r="G15" i="91" s="1"/>
  <c r="D15" i="126"/>
  <c r="E15" i="126" s="1"/>
  <c r="H15" i="126" s="1"/>
  <c r="I15" i="126" s="1"/>
  <c r="J15" i="126" s="1"/>
  <c r="L15" i="126" s="1"/>
  <c r="D15" i="128"/>
  <c r="E15" i="128" s="1"/>
  <c r="H15" i="128" s="1"/>
  <c r="I15" i="128" s="1"/>
  <c r="J15" i="128" s="1"/>
  <c r="L15" i="128" s="1"/>
  <c r="D15" i="85"/>
  <c r="E15" i="85" s="1"/>
  <c r="G15" i="85" s="1"/>
  <c r="D26" i="46"/>
  <c r="E26" i="46" s="1"/>
  <c r="H26" i="46" s="1"/>
  <c r="D15" i="129"/>
  <c r="E15" i="129" s="1"/>
  <c r="H15" i="129" s="1"/>
  <c r="I15" i="129" s="1"/>
  <c r="J15" i="129" s="1"/>
  <c r="L15" i="129" s="1"/>
  <c r="D15" i="131"/>
  <c r="E15" i="131" s="1"/>
  <c r="H15" i="131" s="1"/>
  <c r="I15" i="131" s="1"/>
  <c r="J15" i="131" s="1"/>
  <c r="L15" i="131" s="1"/>
  <c r="D15" i="114"/>
  <c r="E15" i="114" s="1"/>
  <c r="H15" i="114" s="1"/>
  <c r="D15" i="116"/>
  <c r="E15" i="116" s="1"/>
  <c r="H15" i="116" s="1"/>
  <c r="D15" i="118"/>
  <c r="E15" i="118" s="1"/>
  <c r="H15" i="118" s="1"/>
  <c r="D15" i="120"/>
  <c r="E15" i="120" s="1"/>
  <c r="H15" i="120" s="1"/>
  <c r="D28" i="46"/>
  <c r="E28" i="46" s="1"/>
  <c r="D15" i="84"/>
  <c r="E15" i="84" s="1"/>
  <c r="H15" i="84" s="1"/>
  <c r="D15" i="67"/>
  <c r="E15" i="67" s="1"/>
  <c r="F15" i="67" s="1"/>
  <c r="G15" i="67" s="1"/>
  <c r="F54" i="90"/>
  <c r="G54" i="90" s="1"/>
  <c r="I54" i="90" s="1"/>
  <c r="D54" i="87"/>
  <c r="E54" i="87" s="1"/>
  <c r="G54" i="87" s="1"/>
  <c r="D54" i="89"/>
  <c r="E54" i="89" s="1"/>
  <c r="G54" i="89" s="1"/>
  <c r="D54" i="92"/>
  <c r="E54" i="92" s="1"/>
  <c r="G54" i="92" s="1"/>
  <c r="D54" i="126"/>
  <c r="E54" i="126" s="1"/>
  <c r="H54" i="126" s="1"/>
  <c r="I54" i="126" s="1"/>
  <c r="J54" i="126" s="1"/>
  <c r="L54" i="126" s="1"/>
  <c r="D54" i="130"/>
  <c r="E54" i="130" s="1"/>
  <c r="H54" i="130" s="1"/>
  <c r="I54" i="130" s="1"/>
  <c r="J54" i="130" s="1"/>
  <c r="L54" i="130" s="1"/>
  <c r="D54" i="125"/>
  <c r="E54" i="125" s="1"/>
  <c r="H54" i="125" s="1"/>
  <c r="I54" i="125" s="1"/>
  <c r="J54" i="125" s="1"/>
  <c r="L54" i="125" s="1"/>
  <c r="D54" i="115"/>
  <c r="E54" i="115" s="1"/>
  <c r="H54" i="115" s="1"/>
  <c r="D54" i="117"/>
  <c r="E54" i="117" s="1"/>
  <c r="H54" i="117" s="1"/>
  <c r="D54" i="119"/>
  <c r="E54" i="119" s="1"/>
  <c r="H54" i="119" s="1"/>
  <c r="D54" i="113"/>
  <c r="E54" i="113" s="1"/>
  <c r="H54" i="113" s="1"/>
  <c r="D54" i="128"/>
  <c r="E54" i="128" s="1"/>
  <c r="H54" i="128" s="1"/>
  <c r="I54" i="128" s="1"/>
  <c r="J54" i="128" s="1"/>
  <c r="L54" i="128" s="1"/>
  <c r="D54" i="98"/>
  <c r="E54" i="98" s="1"/>
  <c r="H54" i="98" s="1"/>
  <c r="D54" i="83"/>
  <c r="E54" i="83" s="1"/>
  <c r="H54" i="83" s="1"/>
  <c r="K54" i="83" s="1"/>
  <c r="O54" i="83" s="1"/>
  <c r="D54" i="86"/>
  <c r="E54" i="86" s="1"/>
  <c r="G54" i="86" s="1"/>
  <c r="D54" i="88"/>
  <c r="E54" i="88" s="1"/>
  <c r="G54" i="88" s="1"/>
  <c r="D54" i="91"/>
  <c r="E54" i="91" s="1"/>
  <c r="G54" i="91" s="1"/>
  <c r="D54" i="85"/>
  <c r="E54" i="85" s="1"/>
  <c r="G54" i="85" s="1"/>
  <c r="D54" i="127"/>
  <c r="E54" i="127" s="1"/>
  <c r="H54" i="127" s="1"/>
  <c r="I54" i="127" s="1"/>
  <c r="J54" i="127" s="1"/>
  <c r="L54" i="127" s="1"/>
  <c r="D54" i="131"/>
  <c r="E54" i="131" s="1"/>
  <c r="H54" i="131" s="1"/>
  <c r="I54" i="131" s="1"/>
  <c r="J54" i="131" s="1"/>
  <c r="L54" i="131" s="1"/>
  <c r="D54" i="114"/>
  <c r="E54" i="114" s="1"/>
  <c r="H54" i="114" s="1"/>
  <c r="D54" i="116"/>
  <c r="E54" i="116" s="1"/>
  <c r="H54" i="116" s="1"/>
  <c r="D54" i="118"/>
  <c r="E54" i="118" s="1"/>
  <c r="H54" i="118" s="1"/>
  <c r="D54" i="120"/>
  <c r="E54" i="120" s="1"/>
  <c r="H54" i="120" s="1"/>
  <c r="D54" i="99"/>
  <c r="E54" i="99" s="1"/>
  <c r="H54" i="99" s="1"/>
  <c r="D54" i="129"/>
  <c r="E54" i="129" s="1"/>
  <c r="H54" i="129" s="1"/>
  <c r="I54" i="129" s="1"/>
  <c r="J54" i="129" s="1"/>
  <c r="L54" i="129" s="1"/>
  <c r="D54" i="84"/>
  <c r="E54" i="84" s="1"/>
  <c r="H54" i="84" s="1"/>
  <c r="D54" i="67"/>
  <c r="E54" i="67" s="1"/>
  <c r="F54" i="67" s="1"/>
  <c r="G54" i="67" s="1"/>
  <c r="CE50" i="1"/>
  <c r="CI50" i="1"/>
  <c r="C48" i="33"/>
  <c r="BX50" i="1"/>
  <c r="CI44" i="1"/>
  <c r="C42" i="33"/>
  <c r="CE44" i="1"/>
  <c r="BY44" i="1" s="1"/>
  <c r="BX44" i="1"/>
  <c r="D61" i="86"/>
  <c r="E61" i="86" s="1"/>
  <c r="G61" i="86" s="1"/>
  <c r="D61" i="88"/>
  <c r="E61" i="88" s="1"/>
  <c r="G61" i="88" s="1"/>
  <c r="D61" i="91"/>
  <c r="E61" i="91" s="1"/>
  <c r="G61" i="91" s="1"/>
  <c r="F61" i="90"/>
  <c r="G61" i="90" s="1"/>
  <c r="I61" i="90" s="1"/>
  <c r="D61" i="127"/>
  <c r="E61" i="127" s="1"/>
  <c r="H61" i="127" s="1"/>
  <c r="I61" i="127" s="1"/>
  <c r="J61" i="127" s="1"/>
  <c r="L61" i="127" s="1"/>
  <c r="D61" i="129"/>
  <c r="E61" i="129" s="1"/>
  <c r="H61" i="129" s="1"/>
  <c r="I61" i="129" s="1"/>
  <c r="J61" i="129" s="1"/>
  <c r="L61" i="129" s="1"/>
  <c r="D61" i="98"/>
  <c r="E61" i="98" s="1"/>
  <c r="H61" i="98" s="1"/>
  <c r="D61" i="130"/>
  <c r="E61" i="130" s="1"/>
  <c r="H61" i="130" s="1"/>
  <c r="I61" i="130" s="1"/>
  <c r="J61" i="130" s="1"/>
  <c r="L61" i="130" s="1"/>
  <c r="D61" i="125"/>
  <c r="E61" i="125" s="1"/>
  <c r="H61" i="125" s="1"/>
  <c r="I61" i="125" s="1"/>
  <c r="J61" i="125" s="1"/>
  <c r="L61" i="125" s="1"/>
  <c r="D61" i="115"/>
  <c r="E61" i="115" s="1"/>
  <c r="H61" i="115" s="1"/>
  <c r="D61" i="117"/>
  <c r="E61" i="117" s="1"/>
  <c r="H61" i="117" s="1"/>
  <c r="D61" i="119"/>
  <c r="E61" i="119" s="1"/>
  <c r="H61" i="119" s="1"/>
  <c r="D61" i="113"/>
  <c r="E61" i="113" s="1"/>
  <c r="H61" i="113" s="1"/>
  <c r="D61" i="83"/>
  <c r="E61" i="83" s="1"/>
  <c r="H61" i="83" s="1"/>
  <c r="K61" i="83" s="1"/>
  <c r="O61" i="83" s="1"/>
  <c r="D61" i="67"/>
  <c r="E61" i="67" s="1"/>
  <c r="F61" i="67" s="1"/>
  <c r="G61" i="67" s="1"/>
  <c r="D61" i="87"/>
  <c r="E61" i="87" s="1"/>
  <c r="G61" i="87" s="1"/>
  <c r="D61" i="89"/>
  <c r="E61" i="89" s="1"/>
  <c r="G61" i="89" s="1"/>
  <c r="D61" i="92"/>
  <c r="E61" i="92" s="1"/>
  <c r="G61" i="92" s="1"/>
  <c r="D61" i="126"/>
  <c r="E61" i="126" s="1"/>
  <c r="H61" i="126" s="1"/>
  <c r="I61" i="126" s="1"/>
  <c r="J61" i="126" s="1"/>
  <c r="L61" i="126" s="1"/>
  <c r="D61" i="128"/>
  <c r="E61" i="128" s="1"/>
  <c r="H61" i="128" s="1"/>
  <c r="I61" i="128" s="1"/>
  <c r="J61" i="128" s="1"/>
  <c r="L61" i="128" s="1"/>
  <c r="D61" i="85"/>
  <c r="E61" i="85" s="1"/>
  <c r="G61" i="85" s="1"/>
  <c r="D61" i="84"/>
  <c r="E61" i="84" s="1"/>
  <c r="H61" i="84" s="1"/>
  <c r="D61" i="131"/>
  <c r="E61" i="131" s="1"/>
  <c r="H61" i="131" s="1"/>
  <c r="I61" i="131" s="1"/>
  <c r="J61" i="131" s="1"/>
  <c r="L61" i="131" s="1"/>
  <c r="D61" i="114"/>
  <c r="E61" i="114" s="1"/>
  <c r="H61" i="114" s="1"/>
  <c r="D61" i="116"/>
  <c r="E61" i="116" s="1"/>
  <c r="H61" i="116" s="1"/>
  <c r="D61" i="118"/>
  <c r="E61" i="118" s="1"/>
  <c r="H61" i="118" s="1"/>
  <c r="D61" i="120"/>
  <c r="E61" i="120" s="1"/>
  <c r="H61" i="120" s="1"/>
  <c r="D61" i="99"/>
  <c r="E61" i="99" s="1"/>
  <c r="H61" i="99" s="1"/>
  <c r="F18" i="90"/>
  <c r="G18" i="90" s="1"/>
  <c r="I18" i="90" s="1"/>
  <c r="D18" i="87"/>
  <c r="E18" i="87" s="1"/>
  <c r="G18" i="87" s="1"/>
  <c r="D18" i="89"/>
  <c r="E18" i="89" s="1"/>
  <c r="G18" i="89" s="1"/>
  <c r="D18" i="92"/>
  <c r="E18" i="92" s="1"/>
  <c r="G18" i="92" s="1"/>
  <c r="D18" i="126"/>
  <c r="E18" i="126" s="1"/>
  <c r="H18" i="126" s="1"/>
  <c r="I18" i="126" s="1"/>
  <c r="J18" i="126" s="1"/>
  <c r="L18" i="126" s="1"/>
  <c r="D18" i="129"/>
  <c r="E18" i="129" s="1"/>
  <c r="H18" i="129" s="1"/>
  <c r="I18" i="129" s="1"/>
  <c r="J18" i="129" s="1"/>
  <c r="L18" i="129" s="1"/>
  <c r="D18" i="131"/>
  <c r="E18" i="131" s="1"/>
  <c r="H18" i="131" s="1"/>
  <c r="I18" i="131" s="1"/>
  <c r="J18" i="131" s="1"/>
  <c r="L18" i="131" s="1"/>
  <c r="D18" i="114"/>
  <c r="E18" i="114" s="1"/>
  <c r="H18" i="114" s="1"/>
  <c r="D18" i="116"/>
  <c r="E18" i="116" s="1"/>
  <c r="H18" i="116" s="1"/>
  <c r="D18" i="118"/>
  <c r="E18" i="118" s="1"/>
  <c r="H18" i="118" s="1"/>
  <c r="D18" i="120"/>
  <c r="E18" i="120" s="1"/>
  <c r="H18" i="120" s="1"/>
  <c r="D18" i="99"/>
  <c r="E18" i="99" s="1"/>
  <c r="H18" i="99" s="1"/>
  <c r="D18" i="98"/>
  <c r="E18" i="98" s="1"/>
  <c r="H18" i="98" s="1"/>
  <c r="D18" i="83"/>
  <c r="E18" i="83" s="1"/>
  <c r="H18" i="83" s="1"/>
  <c r="K18" i="83" s="1"/>
  <c r="O18" i="83" s="1"/>
  <c r="D18" i="86"/>
  <c r="E18" i="86" s="1"/>
  <c r="G18" i="86" s="1"/>
  <c r="D18" i="88"/>
  <c r="E18" i="88" s="1"/>
  <c r="G18" i="88" s="1"/>
  <c r="D18" i="91"/>
  <c r="E18" i="91" s="1"/>
  <c r="G18" i="91" s="1"/>
  <c r="D18" i="85"/>
  <c r="E18" i="85" s="1"/>
  <c r="G18" i="85" s="1"/>
  <c r="D18" i="127"/>
  <c r="E18" i="127" s="1"/>
  <c r="H18" i="127" s="1"/>
  <c r="I18" i="127" s="1"/>
  <c r="J18" i="127" s="1"/>
  <c r="L18" i="127" s="1"/>
  <c r="D18" i="130"/>
  <c r="E18" i="130" s="1"/>
  <c r="H18" i="130" s="1"/>
  <c r="I18" i="130" s="1"/>
  <c r="J18" i="130" s="1"/>
  <c r="L18" i="130" s="1"/>
  <c r="D18" i="125"/>
  <c r="E18" i="125" s="1"/>
  <c r="H18" i="125" s="1"/>
  <c r="I18" i="125" s="1"/>
  <c r="J18" i="125" s="1"/>
  <c r="L18" i="125" s="1"/>
  <c r="D18" i="115"/>
  <c r="E18" i="115" s="1"/>
  <c r="H18" i="115" s="1"/>
  <c r="D18" i="117"/>
  <c r="E18" i="117" s="1"/>
  <c r="H18" i="117" s="1"/>
  <c r="D18" i="119"/>
  <c r="E18" i="119" s="1"/>
  <c r="H18" i="119" s="1"/>
  <c r="D18" i="113"/>
  <c r="E18" i="113" s="1"/>
  <c r="H18" i="113" s="1"/>
  <c r="D18" i="128"/>
  <c r="E18" i="128" s="1"/>
  <c r="H18" i="128" s="1"/>
  <c r="I18" i="128" s="1"/>
  <c r="J18" i="128" s="1"/>
  <c r="L18" i="128" s="1"/>
  <c r="D18" i="84"/>
  <c r="E18" i="84" s="1"/>
  <c r="H18" i="84" s="1"/>
  <c r="D18" i="67"/>
  <c r="E18" i="67" s="1"/>
  <c r="F18" i="67" s="1"/>
  <c r="G18" i="67" s="1"/>
  <c r="D60" i="86"/>
  <c r="E60" i="86" s="1"/>
  <c r="G60" i="86" s="1"/>
  <c r="D60" i="88"/>
  <c r="E60" i="88" s="1"/>
  <c r="G60" i="88" s="1"/>
  <c r="D60" i="91"/>
  <c r="E60" i="91" s="1"/>
  <c r="G60" i="91" s="1"/>
  <c r="D60" i="85"/>
  <c r="E60" i="85" s="1"/>
  <c r="G60" i="85" s="1"/>
  <c r="D60" i="127"/>
  <c r="E60" i="127" s="1"/>
  <c r="H60" i="127" s="1"/>
  <c r="I60" i="127" s="1"/>
  <c r="J60" i="127" s="1"/>
  <c r="L60" i="127" s="1"/>
  <c r="D60" i="129"/>
  <c r="E60" i="129" s="1"/>
  <c r="H60" i="129" s="1"/>
  <c r="I60" i="129" s="1"/>
  <c r="J60" i="129" s="1"/>
  <c r="L60" i="129" s="1"/>
  <c r="D60" i="131"/>
  <c r="E60" i="131" s="1"/>
  <c r="H60" i="131" s="1"/>
  <c r="I60" i="131" s="1"/>
  <c r="J60" i="131" s="1"/>
  <c r="L60" i="131" s="1"/>
  <c r="D60" i="114"/>
  <c r="E60" i="114" s="1"/>
  <c r="H60" i="114" s="1"/>
  <c r="D60" i="116"/>
  <c r="E60" i="116" s="1"/>
  <c r="H60" i="116" s="1"/>
  <c r="D60" i="118"/>
  <c r="E60" i="118" s="1"/>
  <c r="H60" i="118" s="1"/>
  <c r="D60" i="120"/>
  <c r="E60" i="120" s="1"/>
  <c r="H60" i="120" s="1"/>
  <c r="D60" i="99"/>
  <c r="E60" i="99" s="1"/>
  <c r="H60" i="99" s="1"/>
  <c r="D60" i="84"/>
  <c r="E60" i="84" s="1"/>
  <c r="H60" i="84" s="1"/>
  <c r="F60" i="90"/>
  <c r="G60" i="90" s="1"/>
  <c r="I60" i="90" s="1"/>
  <c r="D60" i="87"/>
  <c r="E60" i="87" s="1"/>
  <c r="G60" i="87" s="1"/>
  <c r="D60" i="89"/>
  <c r="E60" i="89" s="1"/>
  <c r="G60" i="89" s="1"/>
  <c r="D60" i="92"/>
  <c r="E60" i="92" s="1"/>
  <c r="G60" i="92" s="1"/>
  <c r="D60" i="126"/>
  <c r="E60" i="126" s="1"/>
  <c r="H60" i="126" s="1"/>
  <c r="I60" i="126" s="1"/>
  <c r="J60" i="126" s="1"/>
  <c r="L60" i="126" s="1"/>
  <c r="D60" i="128"/>
  <c r="E60" i="128" s="1"/>
  <c r="H60" i="128" s="1"/>
  <c r="I60" i="128" s="1"/>
  <c r="J60" i="128" s="1"/>
  <c r="L60" i="128" s="1"/>
  <c r="D60" i="130"/>
  <c r="E60" i="130" s="1"/>
  <c r="H60" i="130" s="1"/>
  <c r="I60" i="130" s="1"/>
  <c r="J60" i="130" s="1"/>
  <c r="L60" i="130" s="1"/>
  <c r="D60" i="125"/>
  <c r="E60" i="125" s="1"/>
  <c r="H60" i="125" s="1"/>
  <c r="I60" i="125" s="1"/>
  <c r="J60" i="125" s="1"/>
  <c r="L60" i="125" s="1"/>
  <c r="D60" i="115"/>
  <c r="E60" i="115" s="1"/>
  <c r="H60" i="115" s="1"/>
  <c r="D60" i="117"/>
  <c r="E60" i="117" s="1"/>
  <c r="H60" i="117" s="1"/>
  <c r="D60" i="119"/>
  <c r="E60" i="119" s="1"/>
  <c r="H60" i="119" s="1"/>
  <c r="D60" i="113"/>
  <c r="E60" i="113" s="1"/>
  <c r="H60" i="113" s="1"/>
  <c r="D60" i="98"/>
  <c r="E60" i="98" s="1"/>
  <c r="H60" i="98" s="1"/>
  <c r="D60" i="83"/>
  <c r="E60" i="83" s="1"/>
  <c r="H60" i="83" s="1"/>
  <c r="K60" i="83" s="1"/>
  <c r="O60" i="83" s="1"/>
  <c r="D60" i="67"/>
  <c r="E60" i="67" s="1"/>
  <c r="F60" i="67" s="1"/>
  <c r="G60" i="67" s="1"/>
  <c r="D21" i="87"/>
  <c r="E21" i="87" s="1"/>
  <c r="G21" i="87" s="1"/>
  <c r="D21" i="89"/>
  <c r="E21" i="89" s="1"/>
  <c r="G21" i="89" s="1"/>
  <c r="F21" i="90"/>
  <c r="G21" i="90" s="1"/>
  <c r="I21" i="90" s="1"/>
  <c r="D21" i="127"/>
  <c r="E21" i="127" s="1"/>
  <c r="H21" i="127" s="1"/>
  <c r="I21" i="127" s="1"/>
  <c r="J21" i="127" s="1"/>
  <c r="L21" i="127" s="1"/>
  <c r="D21" i="129"/>
  <c r="E21" i="129" s="1"/>
  <c r="H21" i="129" s="1"/>
  <c r="I21" i="129" s="1"/>
  <c r="J21" i="129" s="1"/>
  <c r="L21" i="129" s="1"/>
  <c r="D21" i="85"/>
  <c r="E21" i="85" s="1"/>
  <c r="G21" i="85" s="1"/>
  <c r="D21" i="130"/>
  <c r="E21" i="130" s="1"/>
  <c r="H21" i="130" s="1"/>
  <c r="I21" i="130" s="1"/>
  <c r="J21" i="130" s="1"/>
  <c r="L21" i="130" s="1"/>
  <c r="D21" i="125"/>
  <c r="E21" i="125" s="1"/>
  <c r="H21" i="125" s="1"/>
  <c r="I21" i="125" s="1"/>
  <c r="J21" i="125" s="1"/>
  <c r="L21" i="125" s="1"/>
  <c r="D21" i="115"/>
  <c r="E21" i="115" s="1"/>
  <c r="H21" i="115" s="1"/>
  <c r="D21" i="117"/>
  <c r="E21" i="117" s="1"/>
  <c r="H21" i="117" s="1"/>
  <c r="D21" i="119"/>
  <c r="E21" i="119" s="1"/>
  <c r="H21" i="119" s="1"/>
  <c r="D21" i="113"/>
  <c r="E21" i="113" s="1"/>
  <c r="H21" i="113" s="1"/>
  <c r="D21" i="84"/>
  <c r="E21" i="84" s="1"/>
  <c r="H21" i="84" s="1"/>
  <c r="D21" i="86"/>
  <c r="E21" i="86" s="1"/>
  <c r="G21" i="86" s="1"/>
  <c r="D21" i="88"/>
  <c r="E21" i="88" s="1"/>
  <c r="G21" i="88" s="1"/>
  <c r="D21" i="91"/>
  <c r="E21" i="91" s="1"/>
  <c r="G21" i="91" s="1"/>
  <c r="D21" i="126"/>
  <c r="E21" i="126" s="1"/>
  <c r="H21" i="126" s="1"/>
  <c r="I21" i="126" s="1"/>
  <c r="J21" i="126" s="1"/>
  <c r="L21" i="126" s="1"/>
  <c r="D21" i="128"/>
  <c r="E21" i="128" s="1"/>
  <c r="H21" i="128" s="1"/>
  <c r="I21" i="128" s="1"/>
  <c r="J21" i="128" s="1"/>
  <c r="L21" i="128" s="1"/>
  <c r="D21" i="92"/>
  <c r="E21" i="92" s="1"/>
  <c r="G21" i="92" s="1"/>
  <c r="D21" i="98"/>
  <c r="E21" i="98" s="1"/>
  <c r="H21" i="98" s="1"/>
  <c r="D21" i="131"/>
  <c r="E21" i="131" s="1"/>
  <c r="H21" i="131" s="1"/>
  <c r="I21" i="131" s="1"/>
  <c r="J21" i="131" s="1"/>
  <c r="L21" i="131" s="1"/>
  <c r="D21" i="114"/>
  <c r="E21" i="114" s="1"/>
  <c r="H21" i="114" s="1"/>
  <c r="D21" i="116"/>
  <c r="E21" i="116" s="1"/>
  <c r="H21" i="116" s="1"/>
  <c r="D21" i="118"/>
  <c r="E21" i="118" s="1"/>
  <c r="H21" i="118" s="1"/>
  <c r="D21" i="120"/>
  <c r="E21" i="120" s="1"/>
  <c r="H21" i="120" s="1"/>
  <c r="D21" i="99"/>
  <c r="E21" i="99" s="1"/>
  <c r="H21" i="99" s="1"/>
  <c r="D21" i="83"/>
  <c r="E21" i="83" s="1"/>
  <c r="H21" i="83" s="1"/>
  <c r="K21" i="83" s="1"/>
  <c r="O21" i="83" s="1"/>
  <c r="D21" i="67"/>
  <c r="E21" i="67" s="1"/>
  <c r="F21" i="67" s="1"/>
  <c r="G21" i="67" s="1"/>
  <c r="F58" i="90"/>
  <c r="G58" i="90" s="1"/>
  <c r="I58" i="90" s="1"/>
  <c r="D58" i="87"/>
  <c r="E58" i="87" s="1"/>
  <c r="G58" i="87" s="1"/>
  <c r="D58" i="89"/>
  <c r="E58" i="89" s="1"/>
  <c r="G58" i="89" s="1"/>
  <c r="D58" i="92"/>
  <c r="E58" i="92" s="1"/>
  <c r="G58" i="92" s="1"/>
  <c r="D58" i="126"/>
  <c r="E58" i="126" s="1"/>
  <c r="H58" i="126" s="1"/>
  <c r="I58" i="126" s="1"/>
  <c r="J58" i="126" s="1"/>
  <c r="L58" i="126" s="1"/>
  <c r="D58" i="130"/>
  <c r="E58" i="130" s="1"/>
  <c r="H58" i="130" s="1"/>
  <c r="I58" i="130" s="1"/>
  <c r="J58" i="130" s="1"/>
  <c r="L58" i="130" s="1"/>
  <c r="D58" i="125"/>
  <c r="E58" i="125" s="1"/>
  <c r="H58" i="125" s="1"/>
  <c r="I58" i="125" s="1"/>
  <c r="J58" i="125" s="1"/>
  <c r="L58" i="125" s="1"/>
  <c r="D58" i="115"/>
  <c r="E58" i="115" s="1"/>
  <c r="H58" i="115" s="1"/>
  <c r="D58" i="117"/>
  <c r="E58" i="117" s="1"/>
  <c r="H58" i="117" s="1"/>
  <c r="D58" i="119"/>
  <c r="E58" i="119" s="1"/>
  <c r="H58" i="119" s="1"/>
  <c r="D58" i="113"/>
  <c r="E58" i="113" s="1"/>
  <c r="H58" i="113" s="1"/>
  <c r="D58" i="128"/>
  <c r="E58" i="128" s="1"/>
  <c r="H58" i="128" s="1"/>
  <c r="I58" i="128" s="1"/>
  <c r="J58" i="128" s="1"/>
  <c r="L58" i="128" s="1"/>
  <c r="D58" i="98"/>
  <c r="E58" i="98" s="1"/>
  <c r="H58" i="98" s="1"/>
  <c r="D58" i="83"/>
  <c r="E58" i="83" s="1"/>
  <c r="H58" i="83" s="1"/>
  <c r="K58" i="83" s="1"/>
  <c r="O58" i="83" s="1"/>
  <c r="D58" i="86"/>
  <c r="E58" i="86" s="1"/>
  <c r="G58" i="86" s="1"/>
  <c r="D58" i="88"/>
  <c r="E58" i="88" s="1"/>
  <c r="G58" i="88" s="1"/>
  <c r="D58" i="91"/>
  <c r="E58" i="91" s="1"/>
  <c r="G58" i="91" s="1"/>
  <c r="D58" i="85"/>
  <c r="E58" i="85" s="1"/>
  <c r="G58" i="85" s="1"/>
  <c r="D58" i="127"/>
  <c r="E58" i="127" s="1"/>
  <c r="H58" i="127" s="1"/>
  <c r="I58" i="127" s="1"/>
  <c r="J58" i="127" s="1"/>
  <c r="L58" i="127" s="1"/>
  <c r="D58" i="131"/>
  <c r="E58" i="131" s="1"/>
  <c r="H58" i="131" s="1"/>
  <c r="I58" i="131" s="1"/>
  <c r="J58" i="131" s="1"/>
  <c r="L58" i="131" s="1"/>
  <c r="D58" i="114"/>
  <c r="E58" i="114" s="1"/>
  <c r="H58" i="114" s="1"/>
  <c r="D58" i="116"/>
  <c r="E58" i="116" s="1"/>
  <c r="H58" i="116" s="1"/>
  <c r="D58" i="118"/>
  <c r="E58" i="118" s="1"/>
  <c r="H58" i="118" s="1"/>
  <c r="D58" i="120"/>
  <c r="E58" i="120" s="1"/>
  <c r="H58" i="120" s="1"/>
  <c r="D58" i="99"/>
  <c r="E58" i="99" s="1"/>
  <c r="H58" i="99" s="1"/>
  <c r="D58" i="129"/>
  <c r="E58" i="129" s="1"/>
  <c r="H58" i="129" s="1"/>
  <c r="I58" i="129" s="1"/>
  <c r="J58" i="129" s="1"/>
  <c r="L58" i="129" s="1"/>
  <c r="D58" i="84"/>
  <c r="E58" i="84" s="1"/>
  <c r="H58" i="84" s="1"/>
  <c r="D58" i="67"/>
  <c r="E58" i="67" s="1"/>
  <c r="F58" i="67" s="1"/>
  <c r="G58" i="67" s="1"/>
  <c r="D57" i="86"/>
  <c r="E57" i="86" s="1"/>
  <c r="G57" i="86" s="1"/>
  <c r="D57" i="88"/>
  <c r="E57" i="88" s="1"/>
  <c r="G57" i="88" s="1"/>
  <c r="D57" i="91"/>
  <c r="E57" i="91" s="1"/>
  <c r="G57" i="91" s="1"/>
  <c r="F57" i="90"/>
  <c r="G57" i="90" s="1"/>
  <c r="I57" i="90" s="1"/>
  <c r="D57" i="127"/>
  <c r="E57" i="127" s="1"/>
  <c r="H57" i="127" s="1"/>
  <c r="I57" i="127" s="1"/>
  <c r="J57" i="127" s="1"/>
  <c r="L57" i="127" s="1"/>
  <c r="D57" i="129"/>
  <c r="E57" i="129" s="1"/>
  <c r="H57" i="129" s="1"/>
  <c r="I57" i="129" s="1"/>
  <c r="J57" i="129" s="1"/>
  <c r="L57" i="129" s="1"/>
  <c r="D57" i="98"/>
  <c r="E57" i="98" s="1"/>
  <c r="H57" i="98" s="1"/>
  <c r="D57" i="130"/>
  <c r="E57" i="130" s="1"/>
  <c r="H57" i="130" s="1"/>
  <c r="I57" i="130" s="1"/>
  <c r="J57" i="130" s="1"/>
  <c r="L57" i="130" s="1"/>
  <c r="D57" i="125"/>
  <c r="E57" i="125" s="1"/>
  <c r="H57" i="125" s="1"/>
  <c r="I57" i="125" s="1"/>
  <c r="J57" i="125" s="1"/>
  <c r="L57" i="125" s="1"/>
  <c r="D57" i="115"/>
  <c r="E57" i="115" s="1"/>
  <c r="H57" i="115" s="1"/>
  <c r="D57" i="117"/>
  <c r="E57" i="117" s="1"/>
  <c r="H57" i="117" s="1"/>
  <c r="D57" i="119"/>
  <c r="E57" i="119" s="1"/>
  <c r="H57" i="119" s="1"/>
  <c r="D57" i="113"/>
  <c r="E57" i="113" s="1"/>
  <c r="H57" i="113" s="1"/>
  <c r="D57" i="83"/>
  <c r="E57" i="83" s="1"/>
  <c r="H57" i="83" s="1"/>
  <c r="K57" i="83" s="1"/>
  <c r="O57" i="83" s="1"/>
  <c r="D57" i="87"/>
  <c r="E57" i="87" s="1"/>
  <c r="G57" i="87" s="1"/>
  <c r="D57" i="89"/>
  <c r="E57" i="89" s="1"/>
  <c r="G57" i="89" s="1"/>
  <c r="D57" i="92"/>
  <c r="E57" i="92" s="1"/>
  <c r="G57" i="92" s="1"/>
  <c r="D57" i="126"/>
  <c r="E57" i="126" s="1"/>
  <c r="H57" i="126" s="1"/>
  <c r="I57" i="126" s="1"/>
  <c r="J57" i="126" s="1"/>
  <c r="L57" i="126" s="1"/>
  <c r="D57" i="128"/>
  <c r="E57" i="128" s="1"/>
  <c r="H57" i="128" s="1"/>
  <c r="I57" i="128" s="1"/>
  <c r="J57" i="128" s="1"/>
  <c r="L57" i="128" s="1"/>
  <c r="D57" i="85"/>
  <c r="E57" i="85" s="1"/>
  <c r="G57" i="85" s="1"/>
  <c r="D57" i="84"/>
  <c r="E57" i="84" s="1"/>
  <c r="H57" i="84" s="1"/>
  <c r="D57" i="131"/>
  <c r="E57" i="131" s="1"/>
  <c r="H57" i="131" s="1"/>
  <c r="I57" i="131" s="1"/>
  <c r="J57" i="131" s="1"/>
  <c r="L57" i="131" s="1"/>
  <c r="D57" i="114"/>
  <c r="E57" i="114" s="1"/>
  <c r="H57" i="114" s="1"/>
  <c r="D57" i="116"/>
  <c r="E57" i="116" s="1"/>
  <c r="H57" i="116" s="1"/>
  <c r="D57" i="118"/>
  <c r="E57" i="118" s="1"/>
  <c r="H57" i="118" s="1"/>
  <c r="D57" i="120"/>
  <c r="E57" i="120" s="1"/>
  <c r="H57" i="120" s="1"/>
  <c r="D57" i="99"/>
  <c r="E57" i="99" s="1"/>
  <c r="H57" i="99" s="1"/>
  <c r="D57" i="67"/>
  <c r="E57" i="67" s="1"/>
  <c r="F57" i="67" s="1"/>
  <c r="G57" i="67" s="1"/>
  <c r="D25" i="86"/>
  <c r="E25" i="86" s="1"/>
  <c r="G25" i="86" s="1"/>
  <c r="D25" i="88"/>
  <c r="E25" i="88" s="1"/>
  <c r="G25" i="88" s="1"/>
  <c r="D25" i="91"/>
  <c r="E25" i="91" s="1"/>
  <c r="G25" i="91" s="1"/>
  <c r="D25" i="126"/>
  <c r="E25" i="126" s="1"/>
  <c r="H25" i="126" s="1"/>
  <c r="I25" i="126" s="1"/>
  <c r="J25" i="126" s="1"/>
  <c r="L25" i="126" s="1"/>
  <c r="D25" i="128"/>
  <c r="E25" i="128" s="1"/>
  <c r="H25" i="128" s="1"/>
  <c r="I25" i="128" s="1"/>
  <c r="J25" i="128" s="1"/>
  <c r="L25" i="128" s="1"/>
  <c r="D25" i="92"/>
  <c r="E25" i="92" s="1"/>
  <c r="G25" i="92" s="1"/>
  <c r="D25" i="98"/>
  <c r="E25" i="98" s="1"/>
  <c r="H25" i="98" s="1"/>
  <c r="D25" i="131"/>
  <c r="E25" i="131" s="1"/>
  <c r="H25" i="131" s="1"/>
  <c r="I25" i="131" s="1"/>
  <c r="J25" i="131" s="1"/>
  <c r="L25" i="131" s="1"/>
  <c r="D25" i="114"/>
  <c r="E25" i="114" s="1"/>
  <c r="H25" i="114" s="1"/>
  <c r="D25" i="116"/>
  <c r="E25" i="116" s="1"/>
  <c r="H25" i="116" s="1"/>
  <c r="D25" i="118"/>
  <c r="E25" i="118" s="1"/>
  <c r="H25" i="118" s="1"/>
  <c r="D25" i="120"/>
  <c r="E25" i="120" s="1"/>
  <c r="H25" i="120" s="1"/>
  <c r="D25" i="99"/>
  <c r="E25" i="99" s="1"/>
  <c r="H25" i="99" s="1"/>
  <c r="D25" i="83"/>
  <c r="E25" i="83" s="1"/>
  <c r="H25" i="83" s="1"/>
  <c r="K25" i="83" s="1"/>
  <c r="O25" i="83" s="1"/>
  <c r="D25" i="87"/>
  <c r="E25" i="87" s="1"/>
  <c r="G25" i="87" s="1"/>
  <c r="D25" i="89"/>
  <c r="E25" i="89" s="1"/>
  <c r="G25" i="89" s="1"/>
  <c r="F25" i="90"/>
  <c r="G25" i="90" s="1"/>
  <c r="I25" i="90" s="1"/>
  <c r="D25" i="127"/>
  <c r="E25" i="127" s="1"/>
  <c r="H25" i="127" s="1"/>
  <c r="I25" i="127" s="1"/>
  <c r="J25" i="127" s="1"/>
  <c r="L25" i="127" s="1"/>
  <c r="D25" i="129"/>
  <c r="E25" i="129" s="1"/>
  <c r="H25" i="129" s="1"/>
  <c r="I25" i="129" s="1"/>
  <c r="J25" i="129" s="1"/>
  <c r="L25" i="129" s="1"/>
  <c r="D25" i="85"/>
  <c r="E25" i="85" s="1"/>
  <c r="G25" i="85" s="1"/>
  <c r="D25" i="130"/>
  <c r="E25" i="130" s="1"/>
  <c r="H25" i="130" s="1"/>
  <c r="I25" i="130" s="1"/>
  <c r="J25" i="130" s="1"/>
  <c r="L25" i="130" s="1"/>
  <c r="D25" i="125"/>
  <c r="E25" i="125" s="1"/>
  <c r="H25" i="125" s="1"/>
  <c r="I25" i="125" s="1"/>
  <c r="J25" i="125" s="1"/>
  <c r="L25" i="125" s="1"/>
  <c r="D25" i="115"/>
  <c r="E25" i="115" s="1"/>
  <c r="H25" i="115" s="1"/>
  <c r="D25" i="117"/>
  <c r="E25" i="117" s="1"/>
  <c r="H25" i="117" s="1"/>
  <c r="D25" i="119"/>
  <c r="E25" i="119" s="1"/>
  <c r="H25" i="119" s="1"/>
  <c r="D25" i="113"/>
  <c r="E25" i="113" s="1"/>
  <c r="H25" i="113" s="1"/>
  <c r="D25" i="84"/>
  <c r="E25" i="84" s="1"/>
  <c r="H25" i="84" s="1"/>
  <c r="D25" i="67"/>
  <c r="E25" i="67" s="1"/>
  <c r="F25" i="67" s="1"/>
  <c r="G25" i="67" s="1"/>
  <c r="D29" i="87"/>
  <c r="E29" i="87" s="1"/>
  <c r="G29" i="87" s="1"/>
  <c r="D29" i="89"/>
  <c r="E29" i="89" s="1"/>
  <c r="G29" i="89" s="1"/>
  <c r="F29" i="90"/>
  <c r="G29" i="90" s="1"/>
  <c r="I29" i="90" s="1"/>
  <c r="D29" i="127"/>
  <c r="E29" i="127" s="1"/>
  <c r="H29" i="127" s="1"/>
  <c r="I29" i="127" s="1"/>
  <c r="J29" i="127" s="1"/>
  <c r="L29" i="127" s="1"/>
  <c r="D29" i="129"/>
  <c r="E29" i="129" s="1"/>
  <c r="H29" i="129" s="1"/>
  <c r="I29" i="129" s="1"/>
  <c r="J29" i="129" s="1"/>
  <c r="L29" i="129" s="1"/>
  <c r="D29" i="85"/>
  <c r="E29" i="85" s="1"/>
  <c r="G29" i="85" s="1"/>
  <c r="D29" i="130"/>
  <c r="E29" i="130" s="1"/>
  <c r="H29" i="130" s="1"/>
  <c r="I29" i="130" s="1"/>
  <c r="J29" i="130" s="1"/>
  <c r="L29" i="130" s="1"/>
  <c r="D29" i="125"/>
  <c r="E29" i="125" s="1"/>
  <c r="H29" i="125" s="1"/>
  <c r="I29" i="125" s="1"/>
  <c r="J29" i="125" s="1"/>
  <c r="L29" i="125" s="1"/>
  <c r="D29" i="115"/>
  <c r="E29" i="115" s="1"/>
  <c r="H29" i="115" s="1"/>
  <c r="D29" i="117"/>
  <c r="E29" i="117" s="1"/>
  <c r="H29" i="117" s="1"/>
  <c r="D29" i="119"/>
  <c r="E29" i="119" s="1"/>
  <c r="H29" i="119" s="1"/>
  <c r="D29" i="113"/>
  <c r="E29" i="113" s="1"/>
  <c r="H29" i="113" s="1"/>
  <c r="D29" i="84"/>
  <c r="E29" i="84" s="1"/>
  <c r="H29" i="84" s="1"/>
  <c r="D29" i="86"/>
  <c r="E29" i="86" s="1"/>
  <c r="G29" i="86" s="1"/>
  <c r="D29" i="88"/>
  <c r="E29" i="88" s="1"/>
  <c r="G29" i="88" s="1"/>
  <c r="D29" i="91"/>
  <c r="E29" i="91" s="1"/>
  <c r="G29" i="91" s="1"/>
  <c r="D29" i="126"/>
  <c r="E29" i="126" s="1"/>
  <c r="H29" i="126" s="1"/>
  <c r="I29" i="126" s="1"/>
  <c r="J29" i="126" s="1"/>
  <c r="L29" i="126" s="1"/>
  <c r="D29" i="128"/>
  <c r="E29" i="128" s="1"/>
  <c r="H29" i="128" s="1"/>
  <c r="I29" i="128" s="1"/>
  <c r="J29" i="128" s="1"/>
  <c r="L29" i="128" s="1"/>
  <c r="D29" i="92"/>
  <c r="E29" i="92" s="1"/>
  <c r="G29" i="92" s="1"/>
  <c r="D29" i="98"/>
  <c r="E29" i="98" s="1"/>
  <c r="H29" i="98" s="1"/>
  <c r="D29" i="131"/>
  <c r="E29" i="131" s="1"/>
  <c r="H29" i="131" s="1"/>
  <c r="I29" i="131" s="1"/>
  <c r="J29" i="131" s="1"/>
  <c r="L29" i="131" s="1"/>
  <c r="D29" i="114"/>
  <c r="E29" i="114" s="1"/>
  <c r="H29" i="114" s="1"/>
  <c r="D29" i="116"/>
  <c r="E29" i="116" s="1"/>
  <c r="H29" i="116" s="1"/>
  <c r="D29" i="118"/>
  <c r="E29" i="118" s="1"/>
  <c r="H29" i="118" s="1"/>
  <c r="D29" i="120"/>
  <c r="E29" i="120" s="1"/>
  <c r="H29" i="120" s="1"/>
  <c r="D29" i="99"/>
  <c r="E29" i="99" s="1"/>
  <c r="H29" i="99" s="1"/>
  <c r="D29" i="83"/>
  <c r="E29" i="83" s="1"/>
  <c r="H29" i="83" s="1"/>
  <c r="K29" i="83" s="1"/>
  <c r="O29" i="83" s="1"/>
  <c r="D29" i="67"/>
  <c r="E29" i="67" s="1"/>
  <c r="F29" i="67" s="1"/>
  <c r="G29" i="67" s="1"/>
  <c r="D63" i="86"/>
  <c r="E63" i="86" s="1"/>
  <c r="G63" i="86" s="1"/>
  <c r="D63" i="88"/>
  <c r="E63" i="88" s="1"/>
  <c r="G63" i="88" s="1"/>
  <c r="D63" i="91"/>
  <c r="E63" i="91" s="1"/>
  <c r="G63" i="91" s="1"/>
  <c r="F63" i="90"/>
  <c r="G63" i="90" s="1"/>
  <c r="I63" i="90" s="1"/>
  <c r="D63" i="127"/>
  <c r="E63" i="127" s="1"/>
  <c r="H63" i="127" s="1"/>
  <c r="I63" i="127" s="1"/>
  <c r="J63" i="127" s="1"/>
  <c r="L63" i="127" s="1"/>
  <c r="D63" i="129"/>
  <c r="E63" i="129" s="1"/>
  <c r="H63" i="129" s="1"/>
  <c r="I63" i="129" s="1"/>
  <c r="J63" i="129" s="1"/>
  <c r="L63" i="129" s="1"/>
  <c r="D63" i="98"/>
  <c r="E63" i="98" s="1"/>
  <c r="H63" i="98" s="1"/>
  <c r="D63" i="130"/>
  <c r="E63" i="130" s="1"/>
  <c r="H63" i="130" s="1"/>
  <c r="I63" i="130" s="1"/>
  <c r="J63" i="130" s="1"/>
  <c r="L63" i="130" s="1"/>
  <c r="D63" i="125"/>
  <c r="E63" i="125" s="1"/>
  <c r="H63" i="125" s="1"/>
  <c r="I63" i="125" s="1"/>
  <c r="J63" i="125" s="1"/>
  <c r="L63" i="125" s="1"/>
  <c r="D63" i="115"/>
  <c r="E63" i="115" s="1"/>
  <c r="H63" i="115" s="1"/>
  <c r="D63" i="117"/>
  <c r="E63" i="117" s="1"/>
  <c r="H63" i="117" s="1"/>
  <c r="D63" i="119"/>
  <c r="E63" i="119" s="1"/>
  <c r="H63" i="119" s="1"/>
  <c r="D63" i="113"/>
  <c r="E63" i="113" s="1"/>
  <c r="H63" i="113" s="1"/>
  <c r="D63" i="83"/>
  <c r="E63" i="83" s="1"/>
  <c r="H63" i="83" s="1"/>
  <c r="K63" i="83" s="1"/>
  <c r="O63" i="83" s="1"/>
  <c r="D63" i="67"/>
  <c r="E63" i="67" s="1"/>
  <c r="F63" i="67" s="1"/>
  <c r="G63" i="67" s="1"/>
  <c r="D63" i="87"/>
  <c r="E63" i="87" s="1"/>
  <c r="G63" i="87" s="1"/>
  <c r="D63" i="89"/>
  <c r="E63" i="89" s="1"/>
  <c r="G63" i="89" s="1"/>
  <c r="D63" i="92"/>
  <c r="E63" i="92" s="1"/>
  <c r="G63" i="92" s="1"/>
  <c r="D63" i="126"/>
  <c r="E63" i="126" s="1"/>
  <c r="H63" i="126" s="1"/>
  <c r="I63" i="126" s="1"/>
  <c r="J63" i="126" s="1"/>
  <c r="L63" i="126" s="1"/>
  <c r="D63" i="128"/>
  <c r="E63" i="128" s="1"/>
  <c r="H63" i="128" s="1"/>
  <c r="I63" i="128" s="1"/>
  <c r="J63" i="128" s="1"/>
  <c r="L63" i="128" s="1"/>
  <c r="D63" i="85"/>
  <c r="E63" i="85" s="1"/>
  <c r="G63" i="85" s="1"/>
  <c r="D63" i="84"/>
  <c r="E63" i="84" s="1"/>
  <c r="H63" i="84" s="1"/>
  <c r="D63" i="131"/>
  <c r="E63" i="131" s="1"/>
  <c r="H63" i="131" s="1"/>
  <c r="I63" i="131" s="1"/>
  <c r="J63" i="131" s="1"/>
  <c r="L63" i="131" s="1"/>
  <c r="D63" i="114"/>
  <c r="E63" i="114" s="1"/>
  <c r="H63" i="114" s="1"/>
  <c r="D63" i="116"/>
  <c r="E63" i="116" s="1"/>
  <c r="H63" i="116" s="1"/>
  <c r="D63" i="118"/>
  <c r="E63" i="118" s="1"/>
  <c r="H63" i="118" s="1"/>
  <c r="D63" i="120"/>
  <c r="E63" i="120" s="1"/>
  <c r="H63" i="120" s="1"/>
  <c r="D63" i="99"/>
  <c r="E63" i="99" s="1"/>
  <c r="H63" i="99" s="1"/>
  <c r="D39" i="87"/>
  <c r="E39" i="87" s="1"/>
  <c r="G39" i="87" s="1"/>
  <c r="D39" i="89"/>
  <c r="E39" i="89" s="1"/>
  <c r="G39" i="89" s="1"/>
  <c r="F39" i="90"/>
  <c r="G39" i="90" s="1"/>
  <c r="I39" i="90" s="1"/>
  <c r="D39" i="127"/>
  <c r="E39" i="127" s="1"/>
  <c r="H39" i="127" s="1"/>
  <c r="I39" i="127" s="1"/>
  <c r="J39" i="127" s="1"/>
  <c r="L39" i="127" s="1"/>
  <c r="D39" i="129"/>
  <c r="E39" i="129" s="1"/>
  <c r="H39" i="129" s="1"/>
  <c r="I39" i="129" s="1"/>
  <c r="J39" i="129" s="1"/>
  <c r="L39" i="129" s="1"/>
  <c r="D39" i="85"/>
  <c r="E39" i="85" s="1"/>
  <c r="G39" i="85" s="1"/>
  <c r="D39" i="130"/>
  <c r="E39" i="130" s="1"/>
  <c r="H39" i="130" s="1"/>
  <c r="I39" i="130" s="1"/>
  <c r="J39" i="130" s="1"/>
  <c r="L39" i="130" s="1"/>
  <c r="D39" i="125"/>
  <c r="E39" i="125" s="1"/>
  <c r="H39" i="125" s="1"/>
  <c r="I39" i="125" s="1"/>
  <c r="J39" i="125" s="1"/>
  <c r="L39" i="125" s="1"/>
  <c r="D39" i="115"/>
  <c r="E39" i="115" s="1"/>
  <c r="H39" i="115" s="1"/>
  <c r="D39" i="117"/>
  <c r="E39" i="117" s="1"/>
  <c r="H39" i="117" s="1"/>
  <c r="D39" i="119"/>
  <c r="E39" i="119" s="1"/>
  <c r="H39" i="119" s="1"/>
  <c r="D39" i="113"/>
  <c r="E39" i="113" s="1"/>
  <c r="H39" i="113" s="1"/>
  <c r="D39" i="84"/>
  <c r="E39" i="84" s="1"/>
  <c r="H39" i="84" s="1"/>
  <c r="D39" i="86"/>
  <c r="E39" i="86" s="1"/>
  <c r="G39" i="86" s="1"/>
  <c r="D39" i="88"/>
  <c r="E39" i="88" s="1"/>
  <c r="G39" i="88" s="1"/>
  <c r="D39" i="91"/>
  <c r="E39" i="91" s="1"/>
  <c r="G39" i="91" s="1"/>
  <c r="D39" i="126"/>
  <c r="E39" i="126" s="1"/>
  <c r="H39" i="126" s="1"/>
  <c r="I39" i="126" s="1"/>
  <c r="J39" i="126" s="1"/>
  <c r="L39" i="126" s="1"/>
  <c r="D39" i="128"/>
  <c r="E39" i="128" s="1"/>
  <c r="H39" i="128" s="1"/>
  <c r="I39" i="128" s="1"/>
  <c r="J39" i="128" s="1"/>
  <c r="L39" i="128" s="1"/>
  <c r="D39" i="92"/>
  <c r="E39" i="92" s="1"/>
  <c r="G39" i="92" s="1"/>
  <c r="D39" i="98"/>
  <c r="E39" i="98" s="1"/>
  <c r="H39" i="98" s="1"/>
  <c r="D39" i="131"/>
  <c r="E39" i="131" s="1"/>
  <c r="H39" i="131" s="1"/>
  <c r="I39" i="131" s="1"/>
  <c r="J39" i="131" s="1"/>
  <c r="L39" i="131" s="1"/>
  <c r="D39" i="114"/>
  <c r="E39" i="114" s="1"/>
  <c r="H39" i="114" s="1"/>
  <c r="D39" i="116"/>
  <c r="E39" i="116" s="1"/>
  <c r="H39" i="116" s="1"/>
  <c r="D39" i="118"/>
  <c r="E39" i="118" s="1"/>
  <c r="H39" i="118" s="1"/>
  <c r="D39" i="120"/>
  <c r="E39" i="120" s="1"/>
  <c r="H39" i="120" s="1"/>
  <c r="D39" i="99"/>
  <c r="E39" i="99" s="1"/>
  <c r="H39" i="99" s="1"/>
  <c r="D39" i="83"/>
  <c r="E39" i="83" s="1"/>
  <c r="H39" i="83" s="1"/>
  <c r="K39" i="83" s="1"/>
  <c r="O39" i="83" s="1"/>
  <c r="D39" i="67"/>
  <c r="E39" i="67" s="1"/>
  <c r="F39" i="67" s="1"/>
  <c r="G39" i="67" s="1"/>
  <c r="F50" i="90"/>
  <c r="G50" i="90" s="1"/>
  <c r="I50" i="90" s="1"/>
  <c r="D50" i="87"/>
  <c r="E50" i="87" s="1"/>
  <c r="G50" i="87" s="1"/>
  <c r="D50" i="89"/>
  <c r="E50" i="89" s="1"/>
  <c r="G50" i="89" s="1"/>
  <c r="D50" i="92"/>
  <c r="E50" i="92" s="1"/>
  <c r="G50" i="92" s="1"/>
  <c r="D50" i="126"/>
  <c r="E50" i="126" s="1"/>
  <c r="H50" i="126" s="1"/>
  <c r="I50" i="126" s="1"/>
  <c r="J50" i="126" s="1"/>
  <c r="L50" i="126" s="1"/>
  <c r="D50" i="130"/>
  <c r="E50" i="130" s="1"/>
  <c r="H50" i="130" s="1"/>
  <c r="I50" i="130" s="1"/>
  <c r="J50" i="130" s="1"/>
  <c r="L50" i="130" s="1"/>
  <c r="D50" i="125"/>
  <c r="E50" i="125" s="1"/>
  <c r="H50" i="125" s="1"/>
  <c r="I50" i="125" s="1"/>
  <c r="J50" i="125" s="1"/>
  <c r="L50" i="125" s="1"/>
  <c r="D50" i="115"/>
  <c r="E50" i="115" s="1"/>
  <c r="H50" i="115" s="1"/>
  <c r="D50" i="117"/>
  <c r="E50" i="117" s="1"/>
  <c r="H50" i="117" s="1"/>
  <c r="D50" i="119"/>
  <c r="E50" i="119" s="1"/>
  <c r="H50" i="119" s="1"/>
  <c r="D50" i="113"/>
  <c r="E50" i="113" s="1"/>
  <c r="H50" i="113" s="1"/>
  <c r="D50" i="128"/>
  <c r="E50" i="128" s="1"/>
  <c r="H50" i="128" s="1"/>
  <c r="I50" i="128" s="1"/>
  <c r="J50" i="128" s="1"/>
  <c r="L50" i="128" s="1"/>
  <c r="D50" i="98"/>
  <c r="E50" i="98" s="1"/>
  <c r="H50" i="98" s="1"/>
  <c r="D50" i="83"/>
  <c r="E50" i="83" s="1"/>
  <c r="H50" i="83" s="1"/>
  <c r="K50" i="83" s="1"/>
  <c r="O50" i="83" s="1"/>
  <c r="D50" i="86"/>
  <c r="E50" i="86" s="1"/>
  <c r="G50" i="86" s="1"/>
  <c r="D50" i="88"/>
  <c r="E50" i="88" s="1"/>
  <c r="G50" i="88" s="1"/>
  <c r="D50" i="91"/>
  <c r="E50" i="91" s="1"/>
  <c r="G50" i="91" s="1"/>
  <c r="D50" i="85"/>
  <c r="E50" i="85" s="1"/>
  <c r="G50" i="85" s="1"/>
  <c r="D50" i="127"/>
  <c r="E50" i="127" s="1"/>
  <c r="H50" i="127" s="1"/>
  <c r="I50" i="127" s="1"/>
  <c r="J50" i="127" s="1"/>
  <c r="L50" i="127" s="1"/>
  <c r="D50" i="131"/>
  <c r="E50" i="131" s="1"/>
  <c r="H50" i="131" s="1"/>
  <c r="I50" i="131" s="1"/>
  <c r="J50" i="131" s="1"/>
  <c r="L50" i="131" s="1"/>
  <c r="D50" i="114"/>
  <c r="E50" i="114" s="1"/>
  <c r="H50" i="114" s="1"/>
  <c r="D50" i="116"/>
  <c r="E50" i="116" s="1"/>
  <c r="H50" i="116" s="1"/>
  <c r="D50" i="118"/>
  <c r="E50" i="118" s="1"/>
  <c r="H50" i="118" s="1"/>
  <c r="D50" i="120"/>
  <c r="E50" i="120" s="1"/>
  <c r="H50" i="120" s="1"/>
  <c r="D50" i="99"/>
  <c r="E50" i="99" s="1"/>
  <c r="H50" i="99" s="1"/>
  <c r="D50" i="129"/>
  <c r="E50" i="129" s="1"/>
  <c r="H50" i="129" s="1"/>
  <c r="I50" i="129" s="1"/>
  <c r="J50" i="129" s="1"/>
  <c r="L50" i="129" s="1"/>
  <c r="D50" i="84"/>
  <c r="E50" i="84" s="1"/>
  <c r="H50" i="84" s="1"/>
  <c r="D50" i="67"/>
  <c r="E50" i="67" s="1"/>
  <c r="F50" i="67" s="1"/>
  <c r="G50" i="67" s="1"/>
  <c r="D13" i="86"/>
  <c r="E13" i="86" s="1"/>
  <c r="G13" i="86" s="1"/>
  <c r="D13" i="88"/>
  <c r="E13" i="88" s="1"/>
  <c r="G13" i="88" s="1"/>
  <c r="D13" i="91"/>
  <c r="E13" i="91" s="1"/>
  <c r="G13" i="91" s="1"/>
  <c r="D13" i="126"/>
  <c r="E13" i="126" s="1"/>
  <c r="H13" i="126" s="1"/>
  <c r="I13" i="126" s="1"/>
  <c r="J13" i="126" s="1"/>
  <c r="L13" i="126" s="1"/>
  <c r="D13" i="128"/>
  <c r="E13" i="128" s="1"/>
  <c r="H13" i="128" s="1"/>
  <c r="I13" i="128" s="1"/>
  <c r="J13" i="128" s="1"/>
  <c r="L13" i="128" s="1"/>
  <c r="D13" i="85"/>
  <c r="E13" i="85" s="1"/>
  <c r="G13" i="85" s="1"/>
  <c r="D13" i="129"/>
  <c r="E13" i="129" s="1"/>
  <c r="H13" i="129" s="1"/>
  <c r="I13" i="129" s="1"/>
  <c r="J13" i="129" s="1"/>
  <c r="L13" i="129" s="1"/>
  <c r="D13" i="131"/>
  <c r="E13" i="131" s="1"/>
  <c r="H13" i="131" s="1"/>
  <c r="I13" i="131" s="1"/>
  <c r="J13" i="131" s="1"/>
  <c r="L13" i="131" s="1"/>
  <c r="D13" i="114"/>
  <c r="E13" i="114" s="1"/>
  <c r="H13" i="114" s="1"/>
  <c r="D13" i="116"/>
  <c r="E13" i="116" s="1"/>
  <c r="H13" i="116" s="1"/>
  <c r="D13" i="118"/>
  <c r="E13" i="118" s="1"/>
  <c r="H13" i="118" s="1"/>
  <c r="D13" i="120"/>
  <c r="E13" i="120" s="1"/>
  <c r="H13" i="120" s="1"/>
  <c r="D13" i="99"/>
  <c r="E13" i="99" s="1"/>
  <c r="H13" i="99" s="1"/>
  <c r="D13" i="83"/>
  <c r="E13" i="83" s="1"/>
  <c r="H13" i="83" s="1"/>
  <c r="K13" i="83" s="1"/>
  <c r="O13" i="83" s="1"/>
  <c r="D13" i="87"/>
  <c r="E13" i="87" s="1"/>
  <c r="G13" i="87" s="1"/>
  <c r="D13" i="89"/>
  <c r="E13" i="89" s="1"/>
  <c r="G13" i="89" s="1"/>
  <c r="F13" i="90"/>
  <c r="G13" i="90" s="1"/>
  <c r="I13" i="90" s="1"/>
  <c r="D13" i="127"/>
  <c r="E13" i="127" s="1"/>
  <c r="H13" i="127" s="1"/>
  <c r="I13" i="127" s="1"/>
  <c r="J13" i="127" s="1"/>
  <c r="L13" i="127" s="1"/>
  <c r="D13" i="92"/>
  <c r="E13" i="92" s="1"/>
  <c r="G13" i="92" s="1"/>
  <c r="D13" i="98"/>
  <c r="E13" i="98" s="1"/>
  <c r="H13" i="98" s="1"/>
  <c r="D13" i="130"/>
  <c r="E13" i="130" s="1"/>
  <c r="H13" i="130" s="1"/>
  <c r="I13" i="130" s="1"/>
  <c r="J13" i="130" s="1"/>
  <c r="L13" i="130" s="1"/>
  <c r="D13" i="125"/>
  <c r="E13" i="125" s="1"/>
  <c r="H13" i="125" s="1"/>
  <c r="I13" i="125" s="1"/>
  <c r="J13" i="125" s="1"/>
  <c r="L13" i="125" s="1"/>
  <c r="D13" i="115"/>
  <c r="E13" i="115" s="1"/>
  <c r="H13" i="115" s="1"/>
  <c r="D13" i="117"/>
  <c r="E13" i="117" s="1"/>
  <c r="H13" i="117" s="1"/>
  <c r="D13" i="119"/>
  <c r="E13" i="119" s="1"/>
  <c r="H13" i="119" s="1"/>
  <c r="D13" i="113"/>
  <c r="E13" i="113" s="1"/>
  <c r="H13" i="113" s="1"/>
  <c r="D13" i="84"/>
  <c r="E13" i="84" s="1"/>
  <c r="H13" i="84" s="1"/>
  <c r="D13" i="67"/>
  <c r="E13" i="67" s="1"/>
  <c r="F13" i="67" s="1"/>
  <c r="G13" i="67" s="1"/>
  <c r="D17" i="67"/>
  <c r="E17" i="67" s="1"/>
  <c r="F17" i="67" s="1"/>
  <c r="G17" i="67" s="1"/>
  <c r="D17" i="86"/>
  <c r="E17" i="86" s="1"/>
  <c r="G17" i="86" s="1"/>
  <c r="D17" i="88"/>
  <c r="E17" i="88" s="1"/>
  <c r="G17" i="88" s="1"/>
  <c r="D17" i="91"/>
  <c r="E17" i="91" s="1"/>
  <c r="G17" i="91" s="1"/>
  <c r="D17" i="126"/>
  <c r="E17" i="126" s="1"/>
  <c r="H17" i="126" s="1"/>
  <c r="I17" i="126" s="1"/>
  <c r="J17" i="126" s="1"/>
  <c r="L17" i="126" s="1"/>
  <c r="D17" i="128"/>
  <c r="E17" i="128" s="1"/>
  <c r="H17" i="128" s="1"/>
  <c r="I17" i="128" s="1"/>
  <c r="J17" i="128" s="1"/>
  <c r="L17" i="128" s="1"/>
  <c r="D17" i="85"/>
  <c r="E17" i="85" s="1"/>
  <c r="G17" i="85" s="1"/>
  <c r="D17" i="129"/>
  <c r="E17" i="129" s="1"/>
  <c r="H17" i="129" s="1"/>
  <c r="I17" i="129" s="1"/>
  <c r="J17" i="129" s="1"/>
  <c r="L17" i="129" s="1"/>
  <c r="D17" i="131"/>
  <c r="E17" i="131" s="1"/>
  <c r="H17" i="131" s="1"/>
  <c r="I17" i="131" s="1"/>
  <c r="J17" i="131" s="1"/>
  <c r="L17" i="131" s="1"/>
  <c r="D17" i="114"/>
  <c r="E17" i="114" s="1"/>
  <c r="H17" i="114" s="1"/>
  <c r="D17" i="116"/>
  <c r="E17" i="116" s="1"/>
  <c r="H17" i="116" s="1"/>
  <c r="D17" i="118"/>
  <c r="E17" i="118" s="1"/>
  <c r="H17" i="118" s="1"/>
  <c r="D17" i="120"/>
  <c r="E17" i="120" s="1"/>
  <c r="H17" i="120" s="1"/>
  <c r="D17" i="99"/>
  <c r="E17" i="99" s="1"/>
  <c r="H17" i="99" s="1"/>
  <c r="D17" i="83"/>
  <c r="E17" i="83" s="1"/>
  <c r="H17" i="83" s="1"/>
  <c r="K17" i="83" s="1"/>
  <c r="O17" i="83" s="1"/>
  <c r="D17" i="87"/>
  <c r="E17" i="87" s="1"/>
  <c r="G17" i="87" s="1"/>
  <c r="D17" i="89"/>
  <c r="E17" i="89" s="1"/>
  <c r="G17" i="89" s="1"/>
  <c r="F17" i="90"/>
  <c r="G17" i="90" s="1"/>
  <c r="I17" i="90" s="1"/>
  <c r="D17" i="127"/>
  <c r="E17" i="127" s="1"/>
  <c r="H17" i="127" s="1"/>
  <c r="I17" i="127" s="1"/>
  <c r="J17" i="127" s="1"/>
  <c r="L17" i="127" s="1"/>
  <c r="D17" i="92"/>
  <c r="E17" i="92" s="1"/>
  <c r="G17" i="92" s="1"/>
  <c r="D17" i="98"/>
  <c r="E17" i="98" s="1"/>
  <c r="H17" i="98" s="1"/>
  <c r="D17" i="130"/>
  <c r="E17" i="130" s="1"/>
  <c r="H17" i="130" s="1"/>
  <c r="I17" i="130" s="1"/>
  <c r="J17" i="130" s="1"/>
  <c r="L17" i="130" s="1"/>
  <c r="D17" i="125"/>
  <c r="E17" i="125" s="1"/>
  <c r="H17" i="125" s="1"/>
  <c r="I17" i="125" s="1"/>
  <c r="J17" i="125" s="1"/>
  <c r="L17" i="125" s="1"/>
  <c r="D17" i="115"/>
  <c r="E17" i="115" s="1"/>
  <c r="H17" i="115" s="1"/>
  <c r="D17" i="117"/>
  <c r="E17" i="117" s="1"/>
  <c r="H17" i="117" s="1"/>
  <c r="D17" i="119"/>
  <c r="E17" i="119" s="1"/>
  <c r="H17" i="119" s="1"/>
  <c r="D17" i="113"/>
  <c r="E17" i="113" s="1"/>
  <c r="H17" i="113" s="1"/>
  <c r="D17" i="84"/>
  <c r="E17" i="84" s="1"/>
  <c r="H17" i="84" s="1"/>
  <c r="J48" i="67"/>
  <c r="K48" i="67" s="1"/>
  <c r="W48" i="67" s="1"/>
  <c r="T48" i="67"/>
  <c r="AC48" i="33"/>
  <c r="M48" i="98"/>
  <c r="I48" i="98"/>
  <c r="N48" i="98" s="1"/>
  <c r="P48" i="33"/>
  <c r="I48" i="119"/>
  <c r="J48" i="119" s="1"/>
  <c r="L48" i="119" s="1"/>
  <c r="L48" i="33"/>
  <c r="I48" i="115"/>
  <c r="J48" i="115" s="1"/>
  <c r="L48" i="115" s="1"/>
  <c r="M48" i="130"/>
  <c r="V48" i="130" s="1"/>
  <c r="U48" i="130"/>
  <c r="M48" i="126"/>
  <c r="V48" i="126" s="1"/>
  <c r="U48" i="126"/>
  <c r="Z48" i="33"/>
  <c r="H48" i="92"/>
  <c r="I48" i="92" s="1"/>
  <c r="K48" i="92" s="1"/>
  <c r="H48" i="87"/>
  <c r="I48" i="87" s="1"/>
  <c r="K48" i="87" s="1"/>
  <c r="N48" i="87" s="1"/>
  <c r="V48" i="87" s="1"/>
  <c r="V48" i="33"/>
  <c r="AE48" i="33"/>
  <c r="I48" i="84"/>
  <c r="N48" i="84" s="1"/>
  <c r="M48" i="84"/>
  <c r="Q48" i="33"/>
  <c r="I48" i="120"/>
  <c r="J48" i="120" s="1"/>
  <c r="L48" i="120" s="1"/>
  <c r="I48" i="116"/>
  <c r="J48" i="116" s="1"/>
  <c r="L48" i="116" s="1"/>
  <c r="M48" i="33"/>
  <c r="M48" i="131"/>
  <c r="V48" i="131" s="1"/>
  <c r="U48" i="131"/>
  <c r="U48" i="127"/>
  <c r="M48" i="127"/>
  <c r="V48" i="127" s="1"/>
  <c r="H48" i="85"/>
  <c r="I48" i="85" s="1"/>
  <c r="K48" i="85" s="1"/>
  <c r="T48" i="33"/>
  <c r="H48" i="88"/>
  <c r="I48" i="88" s="1"/>
  <c r="K48" i="88" s="1"/>
  <c r="W48" i="33"/>
  <c r="T71" i="67"/>
  <c r="J71" i="67"/>
  <c r="K71" i="67" s="1"/>
  <c r="W71" i="67" s="1"/>
  <c r="J71" i="33"/>
  <c r="I71" i="113"/>
  <c r="J71" i="113" s="1"/>
  <c r="L71" i="113" s="1"/>
  <c r="O71" i="113" s="1"/>
  <c r="I71" i="117"/>
  <c r="J71" i="117" s="1"/>
  <c r="L71" i="117" s="1"/>
  <c r="O71" i="117" s="1"/>
  <c r="W71" i="117" s="1"/>
  <c r="N71" i="33"/>
  <c r="U71" i="125"/>
  <c r="M71" i="125"/>
  <c r="V71" i="125" s="1"/>
  <c r="AC71" i="33"/>
  <c r="M71" i="98"/>
  <c r="I71" i="98"/>
  <c r="N71" i="98" s="1"/>
  <c r="M71" i="127"/>
  <c r="V71" i="127" s="1"/>
  <c r="U71" i="127"/>
  <c r="J71" i="90"/>
  <c r="K71" i="90" s="1"/>
  <c r="M71" i="90" s="1"/>
  <c r="AA71" i="33"/>
  <c r="H71" i="88"/>
  <c r="I71" i="88" s="1"/>
  <c r="K71" i="88" s="1"/>
  <c r="W71" i="33"/>
  <c r="AB71" i="33"/>
  <c r="I71" i="99"/>
  <c r="N71" i="99" s="1"/>
  <c r="M71" i="99"/>
  <c r="I71" i="118"/>
  <c r="J71" i="118" s="1"/>
  <c r="L71" i="118" s="1"/>
  <c r="O71" i="33"/>
  <c r="I71" i="114"/>
  <c r="J71" i="114" s="1"/>
  <c r="L71" i="114" s="1"/>
  <c r="K71" i="33"/>
  <c r="AE71" i="33"/>
  <c r="I71" i="84"/>
  <c r="N71" i="84" s="1"/>
  <c r="M71" i="84"/>
  <c r="U71" i="128"/>
  <c r="M71" i="128"/>
  <c r="V71" i="128" s="1"/>
  <c r="E68" i="80"/>
  <c r="H68" i="80" s="1"/>
  <c r="J68" i="80" s="1"/>
  <c r="K68" i="80" s="1"/>
  <c r="M68" i="80" s="1"/>
  <c r="X71" i="33"/>
  <c r="H71" i="89"/>
  <c r="I71" i="89" s="1"/>
  <c r="K71" i="89" s="1"/>
  <c r="T42" i="67"/>
  <c r="J42" i="67"/>
  <c r="K42" i="67" s="1"/>
  <c r="W42" i="67" s="1"/>
  <c r="M42" i="129"/>
  <c r="V42" i="129" s="1"/>
  <c r="U42" i="129"/>
  <c r="J42" i="33"/>
  <c r="I42" i="113"/>
  <c r="J42" i="113" s="1"/>
  <c r="L42" i="113" s="1"/>
  <c r="O42" i="113" s="1"/>
  <c r="N42" i="33"/>
  <c r="I42" i="117"/>
  <c r="J42" i="117" s="1"/>
  <c r="L42" i="117" s="1"/>
  <c r="O42" i="117" s="1"/>
  <c r="W42" i="117" s="1"/>
  <c r="U42" i="125"/>
  <c r="M42" i="125"/>
  <c r="V42" i="125" s="1"/>
  <c r="M42" i="126"/>
  <c r="V42" i="126" s="1"/>
  <c r="U42" i="126"/>
  <c r="H42" i="92"/>
  <c r="I42" i="92" s="1"/>
  <c r="K42" i="92" s="1"/>
  <c r="Z42" i="33"/>
  <c r="V42" i="33"/>
  <c r="H42" i="87"/>
  <c r="I42" i="87" s="1"/>
  <c r="K42" i="87" s="1"/>
  <c r="N42" i="87" s="1"/>
  <c r="V42" i="87" s="1"/>
  <c r="AD42" i="33"/>
  <c r="I42" i="83"/>
  <c r="P42" i="83" s="1"/>
  <c r="U42" i="128"/>
  <c r="M42" i="128"/>
  <c r="V42" i="128" s="1"/>
  <c r="I42" i="120"/>
  <c r="J42" i="120" s="1"/>
  <c r="L42" i="120" s="1"/>
  <c r="Q42" i="33"/>
  <c r="I42" i="116"/>
  <c r="J42" i="116" s="1"/>
  <c r="L42" i="116" s="1"/>
  <c r="M42" i="33"/>
  <c r="U42" i="131"/>
  <c r="M42" i="131"/>
  <c r="V42" i="131" s="1"/>
  <c r="E39" i="76"/>
  <c r="H39" i="76" s="1"/>
  <c r="J39" i="76" s="1"/>
  <c r="K39" i="76" s="1"/>
  <c r="M39" i="76" s="1"/>
  <c r="Y42" i="33"/>
  <c r="H42" i="91"/>
  <c r="I42" i="91" s="1"/>
  <c r="K42" i="91" s="1"/>
  <c r="U42" i="33"/>
  <c r="H42" i="86"/>
  <c r="I42" i="86" s="1"/>
  <c r="K42" i="86" s="1"/>
  <c r="AD70" i="33"/>
  <c r="I70" i="83"/>
  <c r="P70" i="83" s="1"/>
  <c r="M70" i="99"/>
  <c r="I70" i="99"/>
  <c r="N70" i="99" s="1"/>
  <c r="AB70" i="33"/>
  <c r="O70" i="33"/>
  <c r="I70" i="118"/>
  <c r="J70" i="118" s="1"/>
  <c r="L70" i="118" s="1"/>
  <c r="I70" i="114"/>
  <c r="J70" i="114" s="1"/>
  <c r="L70" i="114" s="1"/>
  <c r="K70" i="33"/>
  <c r="M70" i="128"/>
  <c r="V70" i="128" s="1"/>
  <c r="U70" i="128"/>
  <c r="E67" i="80"/>
  <c r="H67" i="80" s="1"/>
  <c r="J67" i="80" s="1"/>
  <c r="K67" i="80" s="1"/>
  <c r="M67" i="80" s="1"/>
  <c r="X70" i="33"/>
  <c r="H70" i="89"/>
  <c r="I70" i="89" s="1"/>
  <c r="K70" i="89" s="1"/>
  <c r="AA70" i="33"/>
  <c r="J70" i="90"/>
  <c r="K70" i="90" s="1"/>
  <c r="M70" i="90" s="1"/>
  <c r="M70" i="129"/>
  <c r="V70" i="129" s="1"/>
  <c r="U70" i="129"/>
  <c r="I70" i="119"/>
  <c r="J70" i="119" s="1"/>
  <c r="L70" i="119" s="1"/>
  <c r="P70" i="33"/>
  <c r="L70" i="33"/>
  <c r="I70" i="115"/>
  <c r="J70" i="115" s="1"/>
  <c r="L70" i="115" s="1"/>
  <c r="M70" i="130"/>
  <c r="V70" i="130" s="1"/>
  <c r="U70" i="130"/>
  <c r="E67" i="76"/>
  <c r="H67" i="76" s="1"/>
  <c r="J67" i="76" s="1"/>
  <c r="K67" i="76" s="1"/>
  <c r="M67" i="76" s="1"/>
  <c r="Y70" i="33"/>
  <c r="H70" i="91"/>
  <c r="I70" i="91" s="1"/>
  <c r="K70" i="91" s="1"/>
  <c r="H70" i="86"/>
  <c r="I70" i="86" s="1"/>
  <c r="K70" i="86" s="1"/>
  <c r="U70" i="33"/>
  <c r="BX73" i="1"/>
  <c r="C71" i="33"/>
  <c r="CI73" i="1"/>
  <c r="CE73" i="1"/>
  <c r="CI72" i="1"/>
  <c r="CE72" i="1"/>
  <c r="BY72" i="1" s="1"/>
  <c r="BX72" i="1"/>
  <c r="C70" i="33"/>
  <c r="AD48" i="33"/>
  <c r="I48" i="83"/>
  <c r="P48" i="83" s="1"/>
  <c r="J48" i="33"/>
  <c r="I48" i="113"/>
  <c r="J48" i="113" s="1"/>
  <c r="L48" i="113" s="1"/>
  <c r="O48" i="113" s="1"/>
  <c r="I48" i="117"/>
  <c r="J48" i="117" s="1"/>
  <c r="L48" i="117" s="1"/>
  <c r="O48" i="117" s="1"/>
  <c r="W48" i="117" s="1"/>
  <c r="N48" i="33"/>
  <c r="U48" i="125"/>
  <c r="M48" i="125"/>
  <c r="V48" i="125" s="1"/>
  <c r="U48" i="128"/>
  <c r="M48" i="128"/>
  <c r="V48" i="128" s="1"/>
  <c r="E45" i="80"/>
  <c r="H45" i="80" s="1"/>
  <c r="J45" i="80" s="1"/>
  <c r="K45" i="80" s="1"/>
  <c r="M45" i="80" s="1"/>
  <c r="X48" i="33"/>
  <c r="H48" i="89"/>
  <c r="I48" i="89" s="1"/>
  <c r="AA48" i="33"/>
  <c r="J48" i="90"/>
  <c r="K48" i="90" s="1"/>
  <c r="M48" i="90" s="1"/>
  <c r="AB48" i="33"/>
  <c r="I48" i="99"/>
  <c r="N48" i="99" s="1"/>
  <c r="M48" i="99"/>
  <c r="O48" i="33"/>
  <c r="I48" i="118"/>
  <c r="J48" i="118" s="1"/>
  <c r="L48" i="118" s="1"/>
  <c r="I48" i="114"/>
  <c r="J48" i="114" s="1"/>
  <c r="L48" i="114" s="1"/>
  <c r="K48" i="33"/>
  <c r="M48" i="129"/>
  <c r="V48" i="129" s="1"/>
  <c r="U48" i="129"/>
  <c r="E45" i="76"/>
  <c r="H45" i="76" s="1"/>
  <c r="J45" i="76" s="1"/>
  <c r="K45" i="76" s="1"/>
  <c r="M45" i="76" s="1"/>
  <c r="Y48" i="33"/>
  <c r="H48" i="91"/>
  <c r="I48" i="91" s="1"/>
  <c r="K48" i="91" s="1"/>
  <c r="H48" i="86"/>
  <c r="I48" i="86" s="1"/>
  <c r="K48" i="86" s="1"/>
  <c r="U48" i="33"/>
  <c r="AD71" i="33"/>
  <c r="I71" i="83"/>
  <c r="P71" i="83" s="1"/>
  <c r="P71" i="33"/>
  <c r="I71" i="119"/>
  <c r="J71" i="119" s="1"/>
  <c r="L71" i="119" s="1"/>
  <c r="I71" i="115"/>
  <c r="J71" i="115" s="1"/>
  <c r="L71" i="115" s="1"/>
  <c r="L71" i="33"/>
  <c r="M71" i="130"/>
  <c r="V71" i="130" s="1"/>
  <c r="U71" i="130"/>
  <c r="M71" i="129"/>
  <c r="V71" i="129" s="1"/>
  <c r="U71" i="129"/>
  <c r="E68" i="76"/>
  <c r="H68" i="76" s="1"/>
  <c r="J68" i="76" s="1"/>
  <c r="K68" i="76" s="1"/>
  <c r="M68" i="76" s="1"/>
  <c r="H71" i="91"/>
  <c r="I71" i="91" s="1"/>
  <c r="K71" i="91" s="1"/>
  <c r="Y71" i="33"/>
  <c r="U71" i="33"/>
  <c r="H71" i="86"/>
  <c r="I71" i="86" s="1"/>
  <c r="K71" i="86" s="1"/>
  <c r="Q71" i="33"/>
  <c r="I71" i="120"/>
  <c r="J71" i="120" s="1"/>
  <c r="L71" i="120" s="1"/>
  <c r="M71" i="33"/>
  <c r="I71" i="116"/>
  <c r="J71" i="116" s="1"/>
  <c r="L71" i="116" s="1"/>
  <c r="M71" i="131"/>
  <c r="V71" i="131" s="1"/>
  <c r="U71" i="131"/>
  <c r="T71" i="33"/>
  <c r="H71" i="85"/>
  <c r="I71" i="85" s="1"/>
  <c r="K71" i="85" s="1"/>
  <c r="M71" i="126"/>
  <c r="V71" i="126" s="1"/>
  <c r="U71" i="126"/>
  <c r="Z71" i="33"/>
  <c r="H71" i="92"/>
  <c r="I71" i="92" s="1"/>
  <c r="K71" i="92" s="1"/>
  <c r="H71" i="87"/>
  <c r="I71" i="87" s="1"/>
  <c r="K71" i="87" s="1"/>
  <c r="N71" i="87" s="1"/>
  <c r="V71" i="87" s="1"/>
  <c r="V71" i="33"/>
  <c r="AE42" i="33"/>
  <c r="I42" i="84"/>
  <c r="N42" i="84" s="1"/>
  <c r="M42" i="84"/>
  <c r="M42" i="99"/>
  <c r="AB42" i="33"/>
  <c r="I42" i="99"/>
  <c r="N42" i="99" s="1"/>
  <c r="I42" i="119"/>
  <c r="J42" i="119" s="1"/>
  <c r="L42" i="119" s="1"/>
  <c r="P42" i="33"/>
  <c r="I42" i="115"/>
  <c r="J42" i="115" s="1"/>
  <c r="L42" i="115" s="1"/>
  <c r="L42" i="33"/>
  <c r="U42" i="130"/>
  <c r="M42" i="130"/>
  <c r="V42" i="130" s="1"/>
  <c r="E39" i="80"/>
  <c r="H39" i="80" s="1"/>
  <c r="J39" i="80" s="1"/>
  <c r="K39" i="80" s="1"/>
  <c r="M39" i="80" s="1"/>
  <c r="H42" i="89"/>
  <c r="I42" i="89" s="1"/>
  <c r="K42" i="89" s="1"/>
  <c r="X42" i="33"/>
  <c r="AA42" i="33"/>
  <c r="J42" i="90"/>
  <c r="K42" i="90" s="1"/>
  <c r="M42" i="90" s="1"/>
  <c r="M42" i="98"/>
  <c r="I42" i="98"/>
  <c r="N42" i="98" s="1"/>
  <c r="AC42" i="33"/>
  <c r="D67" i="31"/>
  <c r="E67" i="31" s="1"/>
  <c r="H67" i="31" s="1"/>
  <c r="J67" i="31" s="1"/>
  <c r="D66" i="31"/>
  <c r="E66" i="31" s="1"/>
  <c r="H66" i="31" s="1"/>
  <c r="D36" i="31"/>
  <c r="E36" i="31" s="1"/>
  <c r="H36" i="31" s="1"/>
  <c r="J36" i="31" s="1"/>
  <c r="D27" i="31"/>
  <c r="E27" i="31" s="1"/>
  <c r="H27" i="31" s="1"/>
  <c r="D18" i="31"/>
  <c r="E18" i="31" s="1"/>
  <c r="H18" i="31" s="1"/>
  <c r="D55" i="31"/>
  <c r="E55" i="31" s="1"/>
  <c r="H55" i="31" s="1"/>
  <c r="D22" i="31"/>
  <c r="E22" i="31" s="1"/>
  <c r="H22" i="31" s="1"/>
  <c r="D54" i="31"/>
  <c r="E54" i="31" s="1"/>
  <c r="H54" i="31" s="1"/>
  <c r="D15" i="31"/>
  <c r="E15" i="31" s="1"/>
  <c r="H15" i="31" s="1"/>
  <c r="D49" i="31"/>
  <c r="E49" i="31" s="1"/>
  <c r="H49" i="31" s="1"/>
  <c r="D56" i="31"/>
  <c r="E56" i="31" s="1"/>
  <c r="H56" i="31" s="1"/>
  <c r="D29" i="31"/>
  <c r="E29" i="31" s="1"/>
  <c r="H29" i="31" s="1"/>
  <c r="J29" i="31" s="1"/>
  <c r="D19" i="31"/>
  <c r="E19" i="31" s="1"/>
  <c r="H19" i="31" s="1"/>
  <c r="D38" i="31"/>
  <c r="E38" i="31" s="1"/>
  <c r="H38" i="31" s="1"/>
  <c r="D28" i="31"/>
  <c r="E28" i="31" s="1"/>
  <c r="H28" i="31" s="1"/>
  <c r="D30" i="31"/>
  <c r="E30" i="31" s="1"/>
  <c r="H30" i="31" s="1"/>
  <c r="D43" i="31"/>
  <c r="E43" i="31" s="1"/>
  <c r="H43" i="31" s="1"/>
  <c r="D20" i="31"/>
  <c r="E20" i="31" s="1"/>
  <c r="H20" i="31" s="1"/>
  <c r="D57" i="31"/>
  <c r="E57" i="31" s="1"/>
  <c r="H57" i="31" s="1"/>
  <c r="D17" i="31"/>
  <c r="E17" i="31" s="1"/>
  <c r="H17" i="31" s="1"/>
  <c r="D35" i="31"/>
  <c r="E35" i="31" s="1"/>
  <c r="H35" i="31" s="1"/>
  <c r="J35" i="31" s="1"/>
  <c r="D59" i="31"/>
  <c r="E59" i="31" s="1"/>
  <c r="H59" i="31" s="1"/>
  <c r="D58" i="31"/>
  <c r="E58" i="31" s="1"/>
  <c r="H58" i="31" s="1"/>
  <c r="D12" i="31"/>
  <c r="E12" i="31" s="1"/>
  <c r="D33" i="31"/>
  <c r="E33" i="31" s="1"/>
  <c r="H33" i="31" s="1"/>
  <c r="D23" i="31"/>
  <c r="E23" i="31" s="1"/>
  <c r="H23" i="31" s="1"/>
  <c r="D39" i="31"/>
  <c r="E39" i="31" s="1"/>
  <c r="H39" i="31" s="1"/>
  <c r="J39" i="31" s="1"/>
  <c r="D65" i="31"/>
  <c r="E65" i="31" s="1"/>
  <c r="H65" i="31" s="1"/>
  <c r="D64" i="31"/>
  <c r="E64" i="31" s="1"/>
  <c r="H64" i="31" s="1"/>
  <c r="D68" i="31"/>
  <c r="E68" i="31" s="1"/>
  <c r="H68" i="31" s="1"/>
  <c r="J68" i="31" s="1"/>
  <c r="D41" i="31"/>
  <c r="E41" i="31" s="1"/>
  <c r="H41" i="31" s="1"/>
  <c r="D21" i="31"/>
  <c r="E21" i="31" s="1"/>
  <c r="H21" i="31" s="1"/>
  <c r="D51" i="31"/>
  <c r="E51" i="31" s="1"/>
  <c r="H51" i="31" s="1"/>
  <c r="D48" i="31"/>
  <c r="E48" i="31" s="1"/>
  <c r="H48" i="31" s="1"/>
  <c r="D40" i="31"/>
  <c r="E40" i="31" s="1"/>
  <c r="H40" i="31" s="1"/>
  <c r="J40" i="31" s="1"/>
  <c r="D60" i="31"/>
  <c r="E60" i="31" s="1"/>
  <c r="H60" i="31" s="1"/>
  <c r="D37" i="31"/>
  <c r="E37" i="31" s="1"/>
  <c r="H37" i="31" s="1"/>
  <c r="D31" i="31"/>
  <c r="E31" i="31" s="1"/>
  <c r="H31" i="31" s="1"/>
  <c r="J31" i="31" s="1"/>
  <c r="D16" i="31"/>
  <c r="E16" i="31" s="1"/>
  <c r="H16" i="31" s="1"/>
  <c r="D63" i="31"/>
  <c r="E63" i="31" s="1"/>
  <c r="H63" i="31" s="1"/>
  <c r="D62" i="31"/>
  <c r="E62" i="31" s="1"/>
  <c r="H62" i="31" s="1"/>
  <c r="D13" i="31"/>
  <c r="E13" i="31" s="1"/>
  <c r="H13" i="31" s="1"/>
  <c r="D9" i="31"/>
  <c r="E9" i="31" s="1"/>
  <c r="H9" i="31" s="1"/>
  <c r="D26" i="31"/>
  <c r="E26" i="31" s="1"/>
  <c r="H26" i="31" s="1"/>
  <c r="D44" i="31"/>
  <c r="E44" i="31" s="1"/>
  <c r="H44" i="31" s="1"/>
  <c r="J44" i="31" s="1"/>
  <c r="D45" i="31"/>
  <c r="E45" i="31" s="1"/>
  <c r="H45" i="31" s="1"/>
  <c r="D14" i="31"/>
  <c r="E14" i="31" s="1"/>
  <c r="H14" i="31" s="1"/>
  <c r="D61" i="31"/>
  <c r="E61" i="31" s="1"/>
  <c r="H61" i="31" s="1"/>
  <c r="D50" i="31"/>
  <c r="E50" i="31" s="1"/>
  <c r="H50" i="31" s="1"/>
  <c r="D7" i="31"/>
  <c r="E7" i="31" s="1"/>
  <c r="H7" i="31" s="1"/>
  <c r="D46" i="31"/>
  <c r="E46" i="31" s="1"/>
  <c r="H46" i="31" s="1"/>
  <c r="D24" i="31"/>
  <c r="E24" i="31" s="1"/>
  <c r="H24" i="31" s="1"/>
  <c r="D32" i="31"/>
  <c r="E32" i="31" s="1"/>
  <c r="H32" i="31" s="1"/>
  <c r="D53" i="31"/>
  <c r="E53" i="31" s="1"/>
  <c r="H53" i="31" s="1"/>
  <c r="D34" i="31"/>
  <c r="E34" i="31" s="1"/>
  <c r="H34" i="31" s="1"/>
  <c r="D52" i="31"/>
  <c r="E52" i="31" s="1"/>
  <c r="H52" i="31" s="1"/>
  <c r="D42" i="31"/>
  <c r="E42" i="31" s="1"/>
  <c r="H42" i="31" s="1"/>
  <c r="D47" i="31"/>
  <c r="E47" i="31" s="1"/>
  <c r="H47" i="31" s="1"/>
  <c r="D25" i="31"/>
  <c r="E25" i="31" s="1"/>
  <c r="H25" i="31" s="1"/>
  <c r="I42" i="118"/>
  <c r="J42" i="118" s="1"/>
  <c r="L42" i="118" s="1"/>
  <c r="O42" i="33"/>
  <c r="K42" i="33"/>
  <c r="I42" i="114"/>
  <c r="J42" i="114" s="1"/>
  <c r="L42" i="114" s="1"/>
  <c r="U42" i="127"/>
  <c r="M42" i="127"/>
  <c r="V42" i="127" s="1"/>
  <c r="T42" i="33"/>
  <c r="H42" i="85"/>
  <c r="I42" i="85" s="1"/>
  <c r="K42" i="85" s="1"/>
  <c r="H42" i="88"/>
  <c r="I42" i="88" s="1"/>
  <c r="K42" i="88" s="1"/>
  <c r="W42" i="33"/>
  <c r="T70" i="67"/>
  <c r="J70" i="67"/>
  <c r="K70" i="67" s="1"/>
  <c r="W70" i="67" s="1"/>
  <c r="I70" i="98"/>
  <c r="N70" i="98" s="1"/>
  <c r="M70" i="98"/>
  <c r="AC70" i="33"/>
  <c r="I70" i="120"/>
  <c r="J70" i="120" s="1"/>
  <c r="L70" i="120" s="1"/>
  <c r="Q70" i="33"/>
  <c r="I70" i="116"/>
  <c r="J70" i="116" s="1"/>
  <c r="L70" i="116" s="1"/>
  <c r="M70" i="33"/>
  <c r="U70" i="131"/>
  <c r="M70" i="131"/>
  <c r="V70" i="131" s="1"/>
  <c r="M70" i="126"/>
  <c r="V70" i="126" s="1"/>
  <c r="U70" i="126"/>
  <c r="Z70" i="33"/>
  <c r="H70" i="92"/>
  <c r="I70" i="92" s="1"/>
  <c r="K70" i="92" s="1"/>
  <c r="H70" i="87"/>
  <c r="I70" i="87" s="1"/>
  <c r="K70" i="87" s="1"/>
  <c r="N70" i="87" s="1"/>
  <c r="V70" i="87" s="1"/>
  <c r="V70" i="33"/>
  <c r="AE70" i="33"/>
  <c r="I70" i="84"/>
  <c r="N70" i="84" s="1"/>
  <c r="M70" i="84"/>
  <c r="I70" i="113"/>
  <c r="J70" i="113" s="1"/>
  <c r="L70" i="113" s="1"/>
  <c r="O70" i="113" s="1"/>
  <c r="J70" i="33"/>
  <c r="N70" i="33"/>
  <c r="I70" i="117"/>
  <c r="J70" i="117" s="1"/>
  <c r="L70" i="117" s="1"/>
  <c r="O70" i="117" s="1"/>
  <c r="W70" i="117" s="1"/>
  <c r="U70" i="125"/>
  <c r="M70" i="125"/>
  <c r="V70" i="125" s="1"/>
  <c r="M70" i="127"/>
  <c r="V70" i="127" s="1"/>
  <c r="U70" i="127"/>
  <c r="T70" i="33"/>
  <c r="H70" i="85"/>
  <c r="I70" i="85" s="1"/>
  <c r="K70" i="85" s="1"/>
  <c r="H70" i="88"/>
  <c r="I70" i="88" s="1"/>
  <c r="K70" i="88" s="1"/>
  <c r="W70" i="33"/>
  <c r="BW36" i="1"/>
  <c r="BW45" i="1"/>
  <c r="BW21" i="1"/>
  <c r="BW48" i="1"/>
  <c r="BW42" i="1"/>
  <c r="BW53" i="1"/>
  <c r="BW16" i="1"/>
  <c r="BW49" i="1"/>
  <c r="BW26" i="1"/>
  <c r="BW39" i="1"/>
  <c r="BW24" i="1"/>
  <c r="BW76" i="1"/>
  <c r="BW29" i="1"/>
  <c r="BW33" i="1"/>
  <c r="BW40" i="1"/>
  <c r="BW43" i="1"/>
  <c r="BW70" i="1"/>
  <c r="BW55" i="1"/>
  <c r="BW57" i="1"/>
  <c r="BW58" i="1"/>
  <c r="BW77" i="1"/>
  <c r="BW71" i="1"/>
  <c r="BW74" i="1"/>
  <c r="BW75" i="1"/>
  <c r="BW34" i="1"/>
  <c r="BW12" i="1"/>
  <c r="BW37" i="1"/>
  <c r="BW67" i="1"/>
  <c r="BW64" i="1"/>
  <c r="BW25" i="1"/>
  <c r="BW51" i="1"/>
  <c r="BW35" i="1"/>
  <c r="BW38" i="1"/>
  <c r="BW32" i="1"/>
  <c r="BW22" i="1"/>
  <c r="BW61" i="1"/>
  <c r="BW66" i="1"/>
  <c r="BW54" i="1"/>
  <c r="BW69" i="1"/>
  <c r="BW28" i="1"/>
  <c r="BW14" i="1"/>
  <c r="BW68" i="1"/>
  <c r="BW46" i="1"/>
  <c r="BW18" i="1"/>
  <c r="BW47" i="1"/>
  <c r="BW13" i="1"/>
  <c r="BW30" i="1"/>
  <c r="BW11" i="1"/>
  <c r="BW17" i="1"/>
  <c r="BW56" i="1"/>
  <c r="BS10" i="1"/>
  <c r="BT10" i="1" s="1"/>
  <c r="CD52" i="1" l="1"/>
  <c r="BY52" i="1"/>
  <c r="BY15" i="1"/>
  <c r="CD15" i="1"/>
  <c r="CF59" i="1"/>
  <c r="CD27" i="1"/>
  <c r="BY60" i="1"/>
  <c r="CF60" i="1"/>
  <c r="CD59" i="1"/>
  <c r="BY27" i="1"/>
  <c r="BY62" i="1"/>
  <c r="CD62" i="1"/>
  <c r="CD63" i="1"/>
  <c r="CF63" i="1"/>
  <c r="BY63" i="1"/>
  <c r="CD23" i="1"/>
  <c r="CF23" i="1"/>
  <c r="R42" i="33"/>
  <c r="S42" i="33"/>
  <c r="R71" i="33"/>
  <c r="S48" i="33"/>
  <c r="R70" i="33"/>
  <c r="S71" i="33"/>
  <c r="C54" i="33"/>
  <c r="CI56" i="1"/>
  <c r="BX56" i="1"/>
  <c r="CE56" i="1"/>
  <c r="CI11" i="1"/>
  <c r="CE11" i="1"/>
  <c r="BX11" i="1"/>
  <c r="C9" i="33"/>
  <c r="CE13" i="1"/>
  <c r="CI13" i="1"/>
  <c r="C11" i="33"/>
  <c r="BX13" i="1"/>
  <c r="BY13" i="1"/>
  <c r="C16" i="33"/>
  <c r="BX18" i="1"/>
  <c r="CE18" i="1"/>
  <c r="CI18" i="1"/>
  <c r="CE68" i="1"/>
  <c r="CI68" i="1"/>
  <c r="C66" i="33"/>
  <c r="BX68" i="1"/>
  <c r="BX28" i="1"/>
  <c r="C26" i="33"/>
  <c r="CI28" i="1"/>
  <c r="CE28" i="1"/>
  <c r="CI54" i="1"/>
  <c r="CE54" i="1"/>
  <c r="BX54" i="1"/>
  <c r="C52" i="33"/>
  <c r="C59" i="33"/>
  <c r="BX61" i="1"/>
  <c r="CE61" i="1"/>
  <c r="CI61" i="1"/>
  <c r="CI32" i="1"/>
  <c r="C30" i="33"/>
  <c r="CE32" i="1"/>
  <c r="BX32" i="1"/>
  <c r="CE35" i="1"/>
  <c r="BX35" i="1"/>
  <c r="CI35" i="1"/>
  <c r="C33" i="33"/>
  <c r="BY35" i="1"/>
  <c r="CE25" i="1"/>
  <c r="CI25" i="1"/>
  <c r="C23" i="33"/>
  <c r="BX25" i="1"/>
  <c r="C65" i="33"/>
  <c r="BX67" i="1"/>
  <c r="CE67" i="1"/>
  <c r="BY67" i="1" s="1"/>
  <c r="CI67" i="1"/>
  <c r="CE12" i="1"/>
  <c r="BX12" i="1"/>
  <c r="CI12" i="1"/>
  <c r="C10" i="33"/>
  <c r="BX75" i="1"/>
  <c r="CE75" i="1"/>
  <c r="C73" i="33"/>
  <c r="CI75" i="1"/>
  <c r="BX71" i="1"/>
  <c r="CE71" i="1"/>
  <c r="C69" i="33"/>
  <c r="CI71" i="1"/>
  <c r="C56" i="33"/>
  <c r="CI58" i="1"/>
  <c r="BX58" i="1"/>
  <c r="CE58" i="1"/>
  <c r="CE55" i="1"/>
  <c r="CI55" i="1"/>
  <c r="C53" i="33"/>
  <c r="BX55" i="1"/>
  <c r="BX43" i="1"/>
  <c r="CE43" i="1"/>
  <c r="BY43" i="1" s="1"/>
  <c r="C41" i="33"/>
  <c r="CI43" i="1"/>
  <c r="CE33" i="1"/>
  <c r="BX33" i="1"/>
  <c r="CI33" i="1"/>
  <c r="C31" i="33"/>
  <c r="CI76" i="1"/>
  <c r="CE76" i="1"/>
  <c r="BX76" i="1"/>
  <c r="C74" i="33"/>
  <c r="CE39" i="1"/>
  <c r="CI39" i="1"/>
  <c r="C37" i="33"/>
  <c r="BX39" i="1"/>
  <c r="CI49" i="1"/>
  <c r="CE49" i="1"/>
  <c r="BX49" i="1"/>
  <c r="C47" i="33"/>
  <c r="CI53" i="1"/>
  <c r="C51" i="33"/>
  <c r="CE53" i="1"/>
  <c r="BY53" i="1" s="1"/>
  <c r="BX53" i="1"/>
  <c r="CE48" i="1"/>
  <c r="BX48" i="1"/>
  <c r="CI48" i="1"/>
  <c r="C46" i="33"/>
  <c r="CI45" i="1"/>
  <c r="CE45" i="1"/>
  <c r="BX45" i="1"/>
  <c r="C43" i="33"/>
  <c r="L70" i="85"/>
  <c r="U70" i="85" s="1"/>
  <c r="T70" i="85"/>
  <c r="M70" i="117"/>
  <c r="X70" i="117" s="1"/>
  <c r="L70" i="87"/>
  <c r="W70" i="87" s="1"/>
  <c r="M70" i="116"/>
  <c r="V70" i="116" s="1"/>
  <c r="U70" i="116"/>
  <c r="M70" i="120"/>
  <c r="V70" i="120" s="1"/>
  <c r="U70" i="120"/>
  <c r="L42" i="85"/>
  <c r="U42" i="85" s="1"/>
  <c r="T42" i="85"/>
  <c r="U42" i="114"/>
  <c r="M42" i="114"/>
  <c r="V42" i="114" s="1"/>
  <c r="T42" i="89"/>
  <c r="L42" i="89"/>
  <c r="U42" i="89" s="1"/>
  <c r="V39" i="80"/>
  <c r="N39" i="80"/>
  <c r="W39" i="80" s="1"/>
  <c r="M42" i="115"/>
  <c r="V42" i="115" s="1"/>
  <c r="U42" i="115"/>
  <c r="M42" i="119"/>
  <c r="V42" i="119" s="1"/>
  <c r="U42" i="119"/>
  <c r="L71" i="87"/>
  <c r="W71" i="87" s="1"/>
  <c r="L71" i="91"/>
  <c r="U71" i="91" s="1"/>
  <c r="T71" i="91"/>
  <c r="V68" i="76"/>
  <c r="N68" i="76"/>
  <c r="W68" i="76" s="1"/>
  <c r="U71" i="115"/>
  <c r="M71" i="115"/>
  <c r="V71" i="115" s="1"/>
  <c r="L48" i="91"/>
  <c r="U48" i="91" s="1"/>
  <c r="T48" i="91"/>
  <c r="U48" i="118"/>
  <c r="M48" i="118"/>
  <c r="V48" i="118" s="1"/>
  <c r="N45" i="80"/>
  <c r="W45" i="80" s="1"/>
  <c r="V45" i="80"/>
  <c r="M48" i="117"/>
  <c r="X48" i="117" s="1"/>
  <c r="T70" i="91"/>
  <c r="L70" i="91"/>
  <c r="U70" i="91" s="1"/>
  <c r="M70" i="115"/>
  <c r="V70" i="115" s="1"/>
  <c r="U70" i="115"/>
  <c r="X70" i="90"/>
  <c r="N70" i="90"/>
  <c r="Y70" i="90" s="1"/>
  <c r="T70" i="89"/>
  <c r="L70" i="89"/>
  <c r="U70" i="89" s="1"/>
  <c r="U70" i="118"/>
  <c r="M70" i="118"/>
  <c r="V70" i="118" s="1"/>
  <c r="L42" i="86"/>
  <c r="U42" i="86" s="1"/>
  <c r="T42" i="86"/>
  <c r="T42" i="91"/>
  <c r="L42" i="91"/>
  <c r="U42" i="91" s="1"/>
  <c r="L42" i="92"/>
  <c r="U42" i="92" s="1"/>
  <c r="T42" i="92"/>
  <c r="V68" i="80"/>
  <c r="N68" i="80"/>
  <c r="W68" i="80" s="1"/>
  <c r="T71" i="88"/>
  <c r="L71" i="88"/>
  <c r="U71" i="88" s="1"/>
  <c r="X71" i="90"/>
  <c r="N71" i="90"/>
  <c r="Y71" i="90" s="1"/>
  <c r="M71" i="113"/>
  <c r="X71" i="113" s="1"/>
  <c r="W71" i="113"/>
  <c r="M48" i="120"/>
  <c r="V48" i="120" s="1"/>
  <c r="U48" i="120"/>
  <c r="L48" i="87"/>
  <c r="W48" i="87" s="1"/>
  <c r="AE17" i="33"/>
  <c r="M17" i="84"/>
  <c r="I17" i="84"/>
  <c r="N17" i="84" s="1"/>
  <c r="I17" i="119"/>
  <c r="J17" i="119" s="1"/>
  <c r="L17" i="119" s="1"/>
  <c r="P17" i="33"/>
  <c r="L17" i="33"/>
  <c r="I17" i="115"/>
  <c r="J17" i="115" s="1"/>
  <c r="L17" i="115" s="1"/>
  <c r="U17" i="130"/>
  <c r="M17" i="130"/>
  <c r="V17" i="130" s="1"/>
  <c r="Z17" i="33"/>
  <c r="H17" i="92"/>
  <c r="I17" i="92" s="1"/>
  <c r="K17" i="92" s="1"/>
  <c r="E14" i="76"/>
  <c r="H14" i="76" s="1"/>
  <c r="J14" i="76" s="1"/>
  <c r="K14" i="76" s="1"/>
  <c r="M14" i="76" s="1"/>
  <c r="X17" i="33"/>
  <c r="H17" i="89"/>
  <c r="I17" i="89" s="1"/>
  <c r="K17" i="89" s="1"/>
  <c r="AD17" i="33"/>
  <c r="I17" i="83"/>
  <c r="P17" i="83" s="1"/>
  <c r="I17" i="120"/>
  <c r="J17" i="120" s="1"/>
  <c r="L17" i="120" s="1"/>
  <c r="Q17" i="33"/>
  <c r="M17" i="33"/>
  <c r="I17" i="116"/>
  <c r="J17" i="116" s="1"/>
  <c r="L17" i="116" s="1"/>
  <c r="M17" i="131"/>
  <c r="V17" i="131" s="1"/>
  <c r="U17" i="131"/>
  <c r="H17" i="85"/>
  <c r="I17" i="85" s="1"/>
  <c r="K17" i="85" s="1"/>
  <c r="T17" i="33"/>
  <c r="U17" i="126"/>
  <c r="M17" i="126"/>
  <c r="V17" i="126" s="1"/>
  <c r="Y17" i="33"/>
  <c r="H17" i="91"/>
  <c r="I17" i="91" s="1"/>
  <c r="K17" i="91" s="1"/>
  <c r="U17" i="33"/>
  <c r="H17" i="86"/>
  <c r="I17" i="86" s="1"/>
  <c r="K17" i="86" s="1"/>
  <c r="J13" i="67"/>
  <c r="K13" i="67" s="1"/>
  <c r="W13" i="67" s="1"/>
  <c r="T13" i="67"/>
  <c r="I13" i="113"/>
  <c r="J13" i="113" s="1"/>
  <c r="L13" i="113" s="1"/>
  <c r="O13" i="113" s="1"/>
  <c r="J13" i="33"/>
  <c r="I13" i="117"/>
  <c r="J13" i="117" s="1"/>
  <c r="L13" i="117" s="1"/>
  <c r="O13" i="117" s="1"/>
  <c r="W13" i="117" s="1"/>
  <c r="N13" i="33"/>
  <c r="U13" i="125"/>
  <c r="M13" i="125"/>
  <c r="V13" i="125" s="1"/>
  <c r="M13" i="98"/>
  <c r="I13" i="98"/>
  <c r="N13" i="98" s="1"/>
  <c r="AC13" i="33"/>
  <c r="M13" i="127"/>
  <c r="V13" i="127" s="1"/>
  <c r="U13" i="127"/>
  <c r="AA13" i="33"/>
  <c r="J13" i="90"/>
  <c r="K13" i="90" s="1"/>
  <c r="M13" i="90" s="1"/>
  <c r="H13" i="87"/>
  <c r="I13" i="87" s="1"/>
  <c r="K13" i="87" s="1"/>
  <c r="N13" i="87" s="1"/>
  <c r="V13" i="87" s="1"/>
  <c r="V13" i="33"/>
  <c r="AB13" i="33"/>
  <c r="M13" i="99"/>
  <c r="I13" i="99"/>
  <c r="N13" i="99" s="1"/>
  <c r="O13" i="33"/>
  <c r="I13" i="118"/>
  <c r="J13" i="118" s="1"/>
  <c r="L13" i="118" s="1"/>
  <c r="K13" i="33"/>
  <c r="I13" i="114"/>
  <c r="J13" i="114" s="1"/>
  <c r="L13" i="114" s="1"/>
  <c r="M13" i="129"/>
  <c r="V13" i="129" s="1"/>
  <c r="U13" i="129"/>
  <c r="U13" i="128"/>
  <c r="M13" i="128"/>
  <c r="V13" i="128" s="1"/>
  <c r="E10" i="80"/>
  <c r="H10" i="80" s="1"/>
  <c r="J10" i="80" s="1"/>
  <c r="K10" i="80" s="1"/>
  <c r="M10" i="80" s="1"/>
  <c r="W13" i="33"/>
  <c r="H13" i="88"/>
  <c r="I13" i="88" s="1"/>
  <c r="K13" i="88" s="1"/>
  <c r="J50" i="67"/>
  <c r="K50" i="67" s="1"/>
  <c r="W50" i="67" s="1"/>
  <c r="T50" i="67"/>
  <c r="M50" i="129"/>
  <c r="V50" i="129" s="1"/>
  <c r="U50" i="129"/>
  <c r="Q50" i="33"/>
  <c r="I50" i="120"/>
  <c r="J50" i="120" s="1"/>
  <c r="L50" i="120" s="1"/>
  <c r="I50" i="116"/>
  <c r="J50" i="116" s="1"/>
  <c r="L50" i="116" s="1"/>
  <c r="M50" i="33"/>
  <c r="M50" i="131"/>
  <c r="V50" i="131" s="1"/>
  <c r="U50" i="131"/>
  <c r="E47" i="76"/>
  <c r="H47" i="76" s="1"/>
  <c r="J47" i="76" s="1"/>
  <c r="K47" i="76" s="1"/>
  <c r="M47" i="76" s="1"/>
  <c r="H50" i="91"/>
  <c r="I50" i="91" s="1"/>
  <c r="K50" i="91" s="1"/>
  <c r="Y50" i="33"/>
  <c r="U50" i="33"/>
  <c r="H50" i="86"/>
  <c r="I50" i="86" s="1"/>
  <c r="K50" i="86" s="1"/>
  <c r="AC50" i="33"/>
  <c r="M50" i="98"/>
  <c r="I50" i="98"/>
  <c r="N50" i="98" s="1"/>
  <c r="I50" i="113"/>
  <c r="J50" i="113" s="1"/>
  <c r="L50" i="113" s="1"/>
  <c r="O50" i="113" s="1"/>
  <c r="J50" i="33"/>
  <c r="I50" i="117"/>
  <c r="J50" i="117" s="1"/>
  <c r="L50" i="117" s="1"/>
  <c r="O50" i="117" s="1"/>
  <c r="W50" i="117" s="1"/>
  <c r="N50" i="33"/>
  <c r="U50" i="125"/>
  <c r="M50" i="125"/>
  <c r="V50" i="125" s="1"/>
  <c r="M50" i="126"/>
  <c r="V50" i="126" s="1"/>
  <c r="U50" i="126"/>
  <c r="H50" i="92"/>
  <c r="I50" i="92" s="1"/>
  <c r="K50" i="92" s="1"/>
  <c r="Z50" i="33"/>
  <c r="H50" i="87"/>
  <c r="I50" i="87" s="1"/>
  <c r="K50" i="87" s="1"/>
  <c r="N50" i="87" s="1"/>
  <c r="V50" i="87" s="1"/>
  <c r="V50" i="33"/>
  <c r="T39" i="67"/>
  <c r="J39" i="67"/>
  <c r="K39" i="67" s="1"/>
  <c r="W39" i="67" s="1"/>
  <c r="AB39" i="33"/>
  <c r="I39" i="99"/>
  <c r="N39" i="99" s="1"/>
  <c r="M39" i="99"/>
  <c r="O39" i="33"/>
  <c r="I39" i="118"/>
  <c r="J39" i="118" s="1"/>
  <c r="L39" i="118" s="1"/>
  <c r="K39" i="33"/>
  <c r="I39" i="114"/>
  <c r="J39" i="114" s="1"/>
  <c r="L39" i="114" s="1"/>
  <c r="AC39" i="33"/>
  <c r="M39" i="98"/>
  <c r="I39" i="98"/>
  <c r="N39" i="98" s="1"/>
  <c r="U39" i="128"/>
  <c r="M39" i="128"/>
  <c r="V39" i="128" s="1"/>
  <c r="E36" i="80"/>
  <c r="H36" i="80" s="1"/>
  <c r="J36" i="80" s="1"/>
  <c r="K36" i="80" s="1"/>
  <c r="M36" i="80" s="1"/>
  <c r="W39" i="33"/>
  <c r="H39" i="88"/>
  <c r="I39" i="88" s="1"/>
  <c r="K39" i="88" s="1"/>
  <c r="AE39" i="33"/>
  <c r="M39" i="84"/>
  <c r="I39" i="84"/>
  <c r="N39" i="84" s="1"/>
  <c r="P39" i="33"/>
  <c r="I39" i="119"/>
  <c r="J39" i="119" s="1"/>
  <c r="L39" i="119" s="1"/>
  <c r="I39" i="115"/>
  <c r="J39" i="115" s="1"/>
  <c r="L39" i="115" s="1"/>
  <c r="L39" i="33"/>
  <c r="M39" i="130"/>
  <c r="V39" i="130" s="1"/>
  <c r="U39" i="130"/>
  <c r="U39" i="129"/>
  <c r="M39" i="129"/>
  <c r="V39" i="129" s="1"/>
  <c r="E36" i="76"/>
  <c r="H36" i="76" s="1"/>
  <c r="J36" i="76" s="1"/>
  <c r="K36" i="76" s="1"/>
  <c r="M36" i="76" s="1"/>
  <c r="X39" i="33"/>
  <c r="H39" i="89"/>
  <c r="I39" i="89" s="1"/>
  <c r="K39" i="89" s="1"/>
  <c r="M63" i="99"/>
  <c r="AB63" i="33"/>
  <c r="I63" i="99"/>
  <c r="N63" i="99" s="1"/>
  <c r="I63" i="118"/>
  <c r="J63" i="118" s="1"/>
  <c r="L63" i="118" s="1"/>
  <c r="O63" i="33"/>
  <c r="I63" i="114"/>
  <c r="J63" i="114" s="1"/>
  <c r="L63" i="114" s="1"/>
  <c r="K63" i="33"/>
  <c r="AE63" i="33"/>
  <c r="M63" i="84"/>
  <c r="I63" i="84"/>
  <c r="N63" i="84" s="1"/>
  <c r="U63" i="128"/>
  <c r="M63" i="128"/>
  <c r="V63" i="128" s="1"/>
  <c r="E60" i="80"/>
  <c r="H60" i="80" s="1"/>
  <c r="J60" i="80" s="1"/>
  <c r="K60" i="80" s="1"/>
  <c r="M60" i="80" s="1"/>
  <c r="H63" i="89"/>
  <c r="I63" i="89" s="1"/>
  <c r="K63" i="89" s="1"/>
  <c r="X63" i="33"/>
  <c r="J63" i="67"/>
  <c r="K63" i="67" s="1"/>
  <c r="W63" i="67" s="1"/>
  <c r="T63" i="67"/>
  <c r="J63" i="33"/>
  <c r="I63" i="113"/>
  <c r="J63" i="113" s="1"/>
  <c r="L63" i="113" s="1"/>
  <c r="O63" i="113" s="1"/>
  <c r="I63" i="117"/>
  <c r="J63" i="117" s="1"/>
  <c r="L63" i="117" s="1"/>
  <c r="O63" i="117" s="1"/>
  <c r="W63" i="117" s="1"/>
  <c r="N63" i="33"/>
  <c r="M63" i="125"/>
  <c r="V63" i="125" s="1"/>
  <c r="U63" i="125"/>
  <c r="M63" i="98"/>
  <c r="AC63" i="33"/>
  <c r="I63" i="98"/>
  <c r="N63" i="98" s="1"/>
  <c r="U63" i="127"/>
  <c r="M63" i="127"/>
  <c r="V63" i="127" s="1"/>
  <c r="AA63" i="33"/>
  <c r="J63" i="90"/>
  <c r="K63" i="90" s="1"/>
  <c r="M63" i="90" s="1"/>
  <c r="W63" i="33"/>
  <c r="H63" i="88"/>
  <c r="I63" i="88" s="1"/>
  <c r="K63" i="88" s="1"/>
  <c r="T29" i="67"/>
  <c r="J29" i="67"/>
  <c r="K29" i="67" s="1"/>
  <c r="W29" i="67" s="1"/>
  <c r="AB29" i="33"/>
  <c r="I29" i="99"/>
  <c r="N29" i="99" s="1"/>
  <c r="M29" i="99"/>
  <c r="I29" i="118"/>
  <c r="J29" i="118" s="1"/>
  <c r="L29" i="118" s="1"/>
  <c r="O29" i="33"/>
  <c r="I29" i="114"/>
  <c r="J29" i="114" s="1"/>
  <c r="L29" i="114" s="1"/>
  <c r="K29" i="33"/>
  <c r="M29" i="98"/>
  <c r="AC29" i="33"/>
  <c r="I29" i="98"/>
  <c r="N29" i="98" s="1"/>
  <c r="M29" i="128"/>
  <c r="V29" i="128" s="1"/>
  <c r="U29" i="128"/>
  <c r="E26" i="80"/>
  <c r="H26" i="80" s="1"/>
  <c r="J26" i="80" s="1"/>
  <c r="K26" i="80" s="1"/>
  <c r="M26" i="80" s="1"/>
  <c r="H29" i="88"/>
  <c r="I29" i="88" s="1"/>
  <c r="K29" i="88" s="1"/>
  <c r="W29" i="33"/>
  <c r="AE29" i="33"/>
  <c r="M29" i="84"/>
  <c r="I29" i="84"/>
  <c r="N29" i="84" s="1"/>
  <c r="P29" i="33"/>
  <c r="I29" i="119"/>
  <c r="J29" i="119" s="1"/>
  <c r="L29" i="119" s="1"/>
  <c r="I29" i="115"/>
  <c r="J29" i="115" s="1"/>
  <c r="L29" i="115" s="1"/>
  <c r="L29" i="33"/>
  <c r="M29" i="130"/>
  <c r="V29" i="130" s="1"/>
  <c r="U29" i="130"/>
  <c r="U29" i="129"/>
  <c r="M29" i="129"/>
  <c r="V29" i="129" s="1"/>
  <c r="E26" i="76"/>
  <c r="H26" i="76" s="1"/>
  <c r="J26" i="76" s="1"/>
  <c r="K26" i="76" s="1"/>
  <c r="M26" i="76" s="1"/>
  <c r="H29" i="89"/>
  <c r="I29" i="89" s="1"/>
  <c r="K29" i="89" s="1"/>
  <c r="X29" i="33"/>
  <c r="T25" i="67"/>
  <c r="J25" i="67"/>
  <c r="K25" i="67" s="1"/>
  <c r="W25" i="67" s="1"/>
  <c r="J25" i="33"/>
  <c r="I25" i="113"/>
  <c r="J25" i="113" s="1"/>
  <c r="L25" i="113" s="1"/>
  <c r="O25" i="113" s="1"/>
  <c r="I25" i="117"/>
  <c r="J25" i="117" s="1"/>
  <c r="L25" i="117" s="1"/>
  <c r="O25" i="117" s="1"/>
  <c r="W25" i="117" s="1"/>
  <c r="N25" i="33"/>
  <c r="U25" i="125"/>
  <c r="M25" i="125"/>
  <c r="V25" i="125" s="1"/>
  <c r="H25" i="85"/>
  <c r="I25" i="85" s="1"/>
  <c r="K25" i="85" s="1"/>
  <c r="T25" i="33"/>
  <c r="U25" i="127"/>
  <c r="M25" i="127"/>
  <c r="V25" i="127" s="1"/>
  <c r="AA25" i="33"/>
  <c r="J25" i="90"/>
  <c r="K25" i="90" s="1"/>
  <c r="M25" i="90" s="1"/>
  <c r="V25" i="33"/>
  <c r="H25" i="87"/>
  <c r="I25" i="87" s="1"/>
  <c r="K25" i="87" s="1"/>
  <c r="N25" i="87" s="1"/>
  <c r="V25" i="87" s="1"/>
  <c r="M25" i="99"/>
  <c r="AB25" i="33"/>
  <c r="I25" i="99"/>
  <c r="N25" i="99" s="1"/>
  <c r="O25" i="33"/>
  <c r="I25" i="118"/>
  <c r="J25" i="118" s="1"/>
  <c r="L25" i="118" s="1"/>
  <c r="I25" i="114"/>
  <c r="J25" i="114" s="1"/>
  <c r="L25" i="114" s="1"/>
  <c r="K25" i="33"/>
  <c r="AC25" i="33"/>
  <c r="I25" i="98"/>
  <c r="N25" i="98" s="1"/>
  <c r="M25" i="98"/>
  <c r="U25" i="128"/>
  <c r="M25" i="128"/>
  <c r="V25" i="128" s="1"/>
  <c r="E22" i="80"/>
  <c r="H22" i="80" s="1"/>
  <c r="J22" i="80" s="1"/>
  <c r="K22" i="80" s="1"/>
  <c r="M22" i="80" s="1"/>
  <c r="H25" i="88"/>
  <c r="I25" i="88" s="1"/>
  <c r="K25" i="88" s="1"/>
  <c r="W25" i="33"/>
  <c r="T57" i="67"/>
  <c r="J57" i="67"/>
  <c r="K57" i="67" s="1"/>
  <c r="W57" i="67" s="1"/>
  <c r="Q57" i="33"/>
  <c r="I57" i="120"/>
  <c r="J57" i="120" s="1"/>
  <c r="L57" i="120" s="1"/>
  <c r="I57" i="116"/>
  <c r="J57" i="116" s="1"/>
  <c r="L57" i="116" s="1"/>
  <c r="M57" i="33"/>
  <c r="U57" i="131"/>
  <c r="M57" i="131"/>
  <c r="V57" i="131" s="1"/>
  <c r="H57" i="85"/>
  <c r="I57" i="85" s="1"/>
  <c r="K57" i="85" s="1"/>
  <c r="T57" i="33"/>
  <c r="U57" i="126"/>
  <c r="M57" i="126"/>
  <c r="V57" i="126" s="1"/>
  <c r="H57" i="92"/>
  <c r="I57" i="92" s="1"/>
  <c r="K57" i="92" s="1"/>
  <c r="Z57" i="33"/>
  <c r="V57" i="33"/>
  <c r="H57" i="87"/>
  <c r="I57" i="87" s="1"/>
  <c r="K57" i="87" s="1"/>
  <c r="N57" i="87" s="1"/>
  <c r="V57" i="87" s="1"/>
  <c r="I57" i="113"/>
  <c r="J57" i="113" s="1"/>
  <c r="L57" i="113" s="1"/>
  <c r="O57" i="113" s="1"/>
  <c r="J57" i="33"/>
  <c r="I57" i="117"/>
  <c r="J57" i="117" s="1"/>
  <c r="L57" i="117" s="1"/>
  <c r="O57" i="117" s="1"/>
  <c r="W57" i="117" s="1"/>
  <c r="N57" i="33"/>
  <c r="U57" i="125"/>
  <c r="M57" i="125"/>
  <c r="V57" i="125" s="1"/>
  <c r="M57" i="98"/>
  <c r="I57" i="98"/>
  <c r="N57" i="98" s="1"/>
  <c r="AC57" i="33"/>
  <c r="U57" i="127"/>
  <c r="M57" i="127"/>
  <c r="V57" i="127" s="1"/>
  <c r="J57" i="90"/>
  <c r="K57" i="90" s="1"/>
  <c r="M57" i="90" s="1"/>
  <c r="AA57" i="33"/>
  <c r="W57" i="33"/>
  <c r="H57" i="88"/>
  <c r="I57" i="88" s="1"/>
  <c r="K57" i="88" s="1"/>
  <c r="T58" i="67"/>
  <c r="J58" i="67"/>
  <c r="K58" i="67" s="1"/>
  <c r="W58" i="67" s="1"/>
  <c r="U58" i="129"/>
  <c r="M58" i="129"/>
  <c r="V58" i="129" s="1"/>
  <c r="Q58" i="33"/>
  <c r="I58" i="120"/>
  <c r="J58" i="120" s="1"/>
  <c r="L58" i="120" s="1"/>
  <c r="I58" i="116"/>
  <c r="J58" i="116" s="1"/>
  <c r="L58" i="116" s="1"/>
  <c r="M58" i="33"/>
  <c r="M58" i="131"/>
  <c r="V58" i="131" s="1"/>
  <c r="U58" i="131"/>
  <c r="E55" i="76"/>
  <c r="H55" i="76" s="1"/>
  <c r="J55" i="76" s="1"/>
  <c r="K55" i="76" s="1"/>
  <c r="M55" i="76" s="1"/>
  <c r="H58" i="91"/>
  <c r="I58" i="91" s="1"/>
  <c r="K58" i="91" s="1"/>
  <c r="Y58" i="33"/>
  <c r="H58" i="86"/>
  <c r="I58" i="86" s="1"/>
  <c r="K58" i="86" s="1"/>
  <c r="U58" i="33"/>
  <c r="M58" i="98"/>
  <c r="I58" i="98"/>
  <c r="N58" i="98" s="1"/>
  <c r="AC58" i="33"/>
  <c r="J58" i="33"/>
  <c r="I58" i="113"/>
  <c r="J58" i="113" s="1"/>
  <c r="L58" i="113" s="1"/>
  <c r="O58" i="113" s="1"/>
  <c r="N58" i="33"/>
  <c r="I58" i="117"/>
  <c r="J58" i="117" s="1"/>
  <c r="L58" i="117" s="1"/>
  <c r="O58" i="117" s="1"/>
  <c r="W58" i="117" s="1"/>
  <c r="U58" i="125"/>
  <c r="M58" i="125"/>
  <c r="V58" i="125" s="1"/>
  <c r="M58" i="126"/>
  <c r="V58" i="126" s="1"/>
  <c r="U58" i="126"/>
  <c r="Z58" i="33"/>
  <c r="H58" i="92"/>
  <c r="I58" i="92" s="1"/>
  <c r="K58" i="92" s="1"/>
  <c r="H58" i="87"/>
  <c r="I58" i="87" s="1"/>
  <c r="K58" i="87" s="1"/>
  <c r="N58" i="87" s="1"/>
  <c r="V58" i="87" s="1"/>
  <c r="V58" i="33"/>
  <c r="T21" i="67"/>
  <c r="J21" i="67"/>
  <c r="K21" i="67" s="1"/>
  <c r="W21" i="67" s="1"/>
  <c r="I21" i="99"/>
  <c r="N21" i="99" s="1"/>
  <c r="M21" i="99"/>
  <c r="AB21" i="33"/>
  <c r="O21" i="33"/>
  <c r="I21" i="118"/>
  <c r="J21" i="118" s="1"/>
  <c r="L21" i="118" s="1"/>
  <c r="K21" i="33"/>
  <c r="I21" i="114"/>
  <c r="J21" i="114" s="1"/>
  <c r="L21" i="114" s="1"/>
  <c r="AC21" i="33"/>
  <c r="I21" i="98"/>
  <c r="N21" i="98" s="1"/>
  <c r="M21" i="98"/>
  <c r="M21" i="128"/>
  <c r="V21" i="128" s="1"/>
  <c r="U21" i="128"/>
  <c r="E18" i="80"/>
  <c r="H18" i="80" s="1"/>
  <c r="J18" i="80" s="1"/>
  <c r="K18" i="80" s="1"/>
  <c r="M18" i="80" s="1"/>
  <c r="W21" i="33"/>
  <c r="H21" i="88"/>
  <c r="I21" i="88" s="1"/>
  <c r="K21" i="88" s="1"/>
  <c r="AE21" i="33"/>
  <c r="I21" i="84"/>
  <c r="N21" i="84" s="1"/>
  <c r="M21" i="84"/>
  <c r="I21" i="119"/>
  <c r="J21" i="119" s="1"/>
  <c r="L21" i="119" s="1"/>
  <c r="P21" i="33"/>
  <c r="I21" i="115"/>
  <c r="J21" i="115" s="1"/>
  <c r="L21" i="115" s="1"/>
  <c r="L21" i="33"/>
  <c r="M21" i="130"/>
  <c r="V21" i="130" s="1"/>
  <c r="U21" i="130"/>
  <c r="M21" i="129"/>
  <c r="V21" i="129" s="1"/>
  <c r="U21" i="129"/>
  <c r="E18" i="76"/>
  <c r="H18" i="76" s="1"/>
  <c r="J18" i="76" s="1"/>
  <c r="K18" i="76" s="1"/>
  <c r="M18" i="76" s="1"/>
  <c r="X21" i="33"/>
  <c r="H21" i="89"/>
  <c r="I21" i="89" s="1"/>
  <c r="K21" i="89" s="1"/>
  <c r="T60" i="67"/>
  <c r="J60" i="67"/>
  <c r="K60" i="67" s="1"/>
  <c r="W60" i="67" s="1"/>
  <c r="AC60" i="33"/>
  <c r="I60" i="98"/>
  <c r="N60" i="98" s="1"/>
  <c r="M60" i="98"/>
  <c r="P60" i="33"/>
  <c r="I60" i="119"/>
  <c r="J60" i="119" s="1"/>
  <c r="L60" i="119" s="1"/>
  <c r="L60" i="33"/>
  <c r="I60" i="115"/>
  <c r="J60" i="115" s="1"/>
  <c r="L60" i="115" s="1"/>
  <c r="U60" i="130"/>
  <c r="M60" i="130"/>
  <c r="V60" i="130" s="1"/>
  <c r="M60" i="126"/>
  <c r="V60" i="126" s="1"/>
  <c r="U60" i="126"/>
  <c r="H60" i="92"/>
  <c r="I60" i="92" s="1"/>
  <c r="K60" i="92" s="1"/>
  <c r="Z60" i="33"/>
  <c r="H60" i="87"/>
  <c r="I60" i="87" s="1"/>
  <c r="K60" i="87" s="1"/>
  <c r="N60" i="87" s="1"/>
  <c r="V60" i="87" s="1"/>
  <c r="V60" i="33"/>
  <c r="AE60" i="33"/>
  <c r="I60" i="84"/>
  <c r="N60" i="84" s="1"/>
  <c r="M60" i="84"/>
  <c r="Q60" i="33"/>
  <c r="I60" i="120"/>
  <c r="J60" i="120" s="1"/>
  <c r="L60" i="120" s="1"/>
  <c r="M60" i="33"/>
  <c r="I60" i="116"/>
  <c r="J60" i="116" s="1"/>
  <c r="L60" i="116" s="1"/>
  <c r="U60" i="131"/>
  <c r="M60" i="131"/>
  <c r="V60" i="131" s="1"/>
  <c r="U60" i="127"/>
  <c r="M60" i="127"/>
  <c r="V60" i="127" s="1"/>
  <c r="H60" i="85"/>
  <c r="I60" i="85" s="1"/>
  <c r="K60" i="85" s="1"/>
  <c r="T60" i="33"/>
  <c r="W60" i="33"/>
  <c r="H60" i="88"/>
  <c r="I60" i="88" s="1"/>
  <c r="K60" i="88" s="1"/>
  <c r="T18" i="67"/>
  <c r="J18" i="67"/>
  <c r="K18" i="67" s="1"/>
  <c r="W18" i="67" s="1"/>
  <c r="M18" i="128"/>
  <c r="V18" i="128" s="1"/>
  <c r="U18" i="128"/>
  <c r="P18" i="33"/>
  <c r="I18" i="119"/>
  <c r="J18" i="119" s="1"/>
  <c r="L18" i="119" s="1"/>
  <c r="I18" i="115"/>
  <c r="J18" i="115" s="1"/>
  <c r="L18" i="115" s="1"/>
  <c r="L18" i="33"/>
  <c r="U18" i="130"/>
  <c r="M18" i="130"/>
  <c r="V18" i="130" s="1"/>
  <c r="E15" i="76"/>
  <c r="H15" i="76" s="1"/>
  <c r="J15" i="76" s="1"/>
  <c r="K15" i="76" s="1"/>
  <c r="M15" i="76" s="1"/>
  <c r="Y18" i="33"/>
  <c r="H18" i="91"/>
  <c r="I18" i="91" s="1"/>
  <c r="K18" i="91" s="1"/>
  <c r="H18" i="86"/>
  <c r="I18" i="86" s="1"/>
  <c r="K18" i="86" s="1"/>
  <c r="U18" i="33"/>
  <c r="M18" i="98"/>
  <c r="AC18" i="33"/>
  <c r="I18" i="98"/>
  <c r="N18" i="98" s="1"/>
  <c r="Q18" i="33"/>
  <c r="I18" i="120"/>
  <c r="J18" i="120" s="1"/>
  <c r="L18" i="120" s="1"/>
  <c r="M18" i="33"/>
  <c r="I18" i="116"/>
  <c r="J18" i="116" s="1"/>
  <c r="L18" i="116" s="1"/>
  <c r="U18" i="131"/>
  <c r="M18" i="131"/>
  <c r="V18" i="131" s="1"/>
  <c r="U18" i="126"/>
  <c r="M18" i="126"/>
  <c r="V18" i="126" s="1"/>
  <c r="H18" i="92"/>
  <c r="I18" i="92" s="1"/>
  <c r="K18" i="92" s="1"/>
  <c r="Z18" i="33"/>
  <c r="H18" i="87"/>
  <c r="I18" i="87" s="1"/>
  <c r="K18" i="87" s="1"/>
  <c r="N18" i="87" s="1"/>
  <c r="V18" i="87" s="1"/>
  <c r="V18" i="33"/>
  <c r="I61" i="99"/>
  <c r="N61" i="99" s="1"/>
  <c r="AB61" i="33"/>
  <c r="M61" i="99"/>
  <c r="I61" i="118"/>
  <c r="J61" i="118" s="1"/>
  <c r="L61" i="118" s="1"/>
  <c r="O61" i="33"/>
  <c r="I61" i="114"/>
  <c r="J61" i="114" s="1"/>
  <c r="L61" i="114" s="1"/>
  <c r="K61" i="33"/>
  <c r="AE61" i="33"/>
  <c r="M61" i="84"/>
  <c r="I61" i="84"/>
  <c r="N61" i="84" s="1"/>
  <c r="M61" i="128"/>
  <c r="V61" i="128" s="1"/>
  <c r="U61" i="128"/>
  <c r="E58" i="80"/>
  <c r="H58" i="80" s="1"/>
  <c r="J58" i="80" s="1"/>
  <c r="K58" i="80" s="1"/>
  <c r="M58" i="80" s="1"/>
  <c r="X61" i="33"/>
  <c r="H61" i="89"/>
  <c r="I61" i="89" s="1"/>
  <c r="K61" i="89" s="1"/>
  <c r="T61" i="67"/>
  <c r="J61" i="67"/>
  <c r="K61" i="67" s="1"/>
  <c r="W61" i="67" s="1"/>
  <c r="J61" i="33"/>
  <c r="I61" i="113"/>
  <c r="J61" i="113" s="1"/>
  <c r="L61" i="113" s="1"/>
  <c r="O61" i="113" s="1"/>
  <c r="N61" i="33"/>
  <c r="I61" i="117"/>
  <c r="J61" i="117" s="1"/>
  <c r="L61" i="117" s="1"/>
  <c r="O61" i="117" s="1"/>
  <c r="W61" i="117" s="1"/>
  <c r="M61" i="125"/>
  <c r="V61" i="125" s="1"/>
  <c r="U61" i="125"/>
  <c r="I61" i="98"/>
  <c r="N61" i="98" s="1"/>
  <c r="M61" i="98"/>
  <c r="AC61" i="33"/>
  <c r="U61" i="127"/>
  <c r="M61" i="127"/>
  <c r="V61" i="127" s="1"/>
  <c r="J61" i="90"/>
  <c r="K61" i="90" s="1"/>
  <c r="M61" i="90" s="1"/>
  <c r="AA61" i="33"/>
  <c r="H61" i="88"/>
  <c r="I61" i="88" s="1"/>
  <c r="K61" i="88" s="1"/>
  <c r="W61" i="33"/>
  <c r="CD50" i="1"/>
  <c r="BY50" i="1"/>
  <c r="CF50" i="1"/>
  <c r="AE54" i="33"/>
  <c r="M54" i="84"/>
  <c r="I54" i="84"/>
  <c r="N54" i="84" s="1"/>
  <c r="AB54" i="33"/>
  <c r="I54" i="99"/>
  <c r="N54" i="99" s="1"/>
  <c r="M54" i="99"/>
  <c r="O54" i="33"/>
  <c r="I54" i="118"/>
  <c r="J54" i="118" s="1"/>
  <c r="L54" i="118" s="1"/>
  <c r="K54" i="33"/>
  <c r="I54" i="114"/>
  <c r="J54" i="114" s="1"/>
  <c r="L54" i="114" s="1"/>
  <c r="M54" i="127"/>
  <c r="V54" i="127" s="1"/>
  <c r="U54" i="127"/>
  <c r="H54" i="85"/>
  <c r="I54" i="85" s="1"/>
  <c r="K54" i="85" s="1"/>
  <c r="T54" i="33"/>
  <c r="H54" i="88"/>
  <c r="I54" i="88" s="1"/>
  <c r="K54" i="88" s="1"/>
  <c r="W54" i="33"/>
  <c r="AD54" i="33"/>
  <c r="I54" i="83"/>
  <c r="P54" i="83" s="1"/>
  <c r="M54" i="128"/>
  <c r="V54" i="128" s="1"/>
  <c r="U54" i="128"/>
  <c r="P54" i="33"/>
  <c r="I54" i="119"/>
  <c r="J54" i="119" s="1"/>
  <c r="L54" i="119" s="1"/>
  <c r="L54" i="33"/>
  <c r="I54" i="115"/>
  <c r="J54" i="115" s="1"/>
  <c r="L54" i="115" s="1"/>
  <c r="U54" i="130"/>
  <c r="M54" i="130"/>
  <c r="V54" i="130" s="1"/>
  <c r="E51" i="80"/>
  <c r="H51" i="80" s="1"/>
  <c r="J51" i="80" s="1"/>
  <c r="K51" i="80" s="1"/>
  <c r="M51" i="80" s="1"/>
  <c r="H54" i="89"/>
  <c r="I54" i="89" s="1"/>
  <c r="K54" i="89" s="1"/>
  <c r="X54" i="33"/>
  <c r="J54" i="90"/>
  <c r="K54" i="90" s="1"/>
  <c r="M54" i="90" s="1"/>
  <c r="AA54" i="33"/>
  <c r="AE15" i="33"/>
  <c r="M15" i="84"/>
  <c r="I15" i="84"/>
  <c r="N15" i="84" s="1"/>
  <c r="Q15" i="33"/>
  <c r="I15" i="120"/>
  <c r="J15" i="120" s="1"/>
  <c r="L15" i="120" s="1"/>
  <c r="I15" i="116"/>
  <c r="J15" i="116" s="1"/>
  <c r="L15" i="116" s="1"/>
  <c r="M15" i="33"/>
  <c r="U15" i="131"/>
  <c r="M15" i="131"/>
  <c r="V15" i="131" s="1"/>
  <c r="M15" i="128"/>
  <c r="V15" i="128" s="1"/>
  <c r="U15" i="128"/>
  <c r="E12" i="80"/>
  <c r="H12" i="80" s="1"/>
  <c r="J12" i="80" s="1"/>
  <c r="K12" i="80" s="1"/>
  <c r="M12" i="80" s="1"/>
  <c r="W15" i="33"/>
  <c r="H15" i="88"/>
  <c r="I15" i="88" s="1"/>
  <c r="K15" i="88" s="1"/>
  <c r="AD15" i="33"/>
  <c r="I15" i="83"/>
  <c r="P15" i="83" s="1"/>
  <c r="J15" i="33"/>
  <c r="I15" i="113"/>
  <c r="J15" i="113" s="1"/>
  <c r="L15" i="113" s="1"/>
  <c r="O15" i="113" s="1"/>
  <c r="I15" i="117"/>
  <c r="J15" i="117" s="1"/>
  <c r="L15" i="117" s="1"/>
  <c r="O15" i="117" s="1"/>
  <c r="W15" i="117" s="1"/>
  <c r="N15" i="33"/>
  <c r="M15" i="125"/>
  <c r="V15" i="125" s="1"/>
  <c r="U15" i="125"/>
  <c r="M15" i="98"/>
  <c r="AC15" i="33"/>
  <c r="I15" i="98"/>
  <c r="N15" i="98" s="1"/>
  <c r="H15" i="92"/>
  <c r="I15" i="92" s="1"/>
  <c r="K15" i="92" s="1"/>
  <c r="Z15" i="33"/>
  <c r="E12" i="76"/>
  <c r="H12" i="76" s="1"/>
  <c r="J12" i="76" s="1"/>
  <c r="K12" i="76" s="1"/>
  <c r="M12" i="76" s="1"/>
  <c r="H15" i="89"/>
  <c r="I15" i="89" s="1"/>
  <c r="K15" i="89" s="1"/>
  <c r="X15" i="33"/>
  <c r="J9" i="67"/>
  <c r="K9" i="67" s="1"/>
  <c r="W9" i="67" s="1"/>
  <c r="T9" i="67"/>
  <c r="I9" i="113"/>
  <c r="J9" i="113" s="1"/>
  <c r="L9" i="113" s="1"/>
  <c r="O9" i="113" s="1"/>
  <c r="J9" i="33"/>
  <c r="I9" i="117"/>
  <c r="J9" i="117" s="1"/>
  <c r="L9" i="117" s="1"/>
  <c r="O9" i="117" s="1"/>
  <c r="W9" i="117" s="1"/>
  <c r="N9" i="33"/>
  <c r="U9" i="125"/>
  <c r="M9" i="125"/>
  <c r="V9" i="125" s="1"/>
  <c r="M9" i="98"/>
  <c r="AC9" i="33"/>
  <c r="I9" i="98"/>
  <c r="N9" i="98" s="1"/>
  <c r="M9" i="127"/>
  <c r="V9" i="127" s="1"/>
  <c r="U9" i="127"/>
  <c r="J9" i="90"/>
  <c r="K9" i="90" s="1"/>
  <c r="M9" i="90" s="1"/>
  <c r="AA9" i="33"/>
  <c r="V9" i="33"/>
  <c r="H9" i="87"/>
  <c r="I9" i="87" s="1"/>
  <c r="K9" i="87" s="1"/>
  <c r="N9" i="87" s="1"/>
  <c r="V9" i="87" s="1"/>
  <c r="M9" i="99"/>
  <c r="AB9" i="33"/>
  <c r="I9" i="99"/>
  <c r="N9" i="99" s="1"/>
  <c r="I9" i="118"/>
  <c r="J9" i="118" s="1"/>
  <c r="L9" i="118" s="1"/>
  <c r="O9" i="33"/>
  <c r="I9" i="114"/>
  <c r="J9" i="114" s="1"/>
  <c r="L9" i="114" s="1"/>
  <c r="K9" i="33"/>
  <c r="U9" i="129"/>
  <c r="M9" i="129"/>
  <c r="V9" i="129" s="1"/>
  <c r="M9" i="128"/>
  <c r="V9" i="128" s="1"/>
  <c r="U9" i="128"/>
  <c r="E6" i="80"/>
  <c r="H6" i="80" s="1"/>
  <c r="J6" i="80" s="1"/>
  <c r="K6" i="80" s="1"/>
  <c r="M6" i="80" s="1"/>
  <c r="H9" i="88"/>
  <c r="I9" i="88" s="1"/>
  <c r="K9" i="88" s="1"/>
  <c r="W9" i="33"/>
  <c r="T28" i="67"/>
  <c r="J28" i="67"/>
  <c r="K28" i="67" s="1"/>
  <c r="W28" i="67" s="1"/>
  <c r="AC28" i="33"/>
  <c r="I28" i="98"/>
  <c r="N28" i="98" s="1"/>
  <c r="M28" i="98"/>
  <c r="P28" i="33"/>
  <c r="I28" i="119"/>
  <c r="J28" i="119" s="1"/>
  <c r="L28" i="119" s="1"/>
  <c r="I28" i="115"/>
  <c r="J28" i="115" s="1"/>
  <c r="L28" i="115" s="1"/>
  <c r="L28" i="33"/>
  <c r="M28" i="130"/>
  <c r="V28" i="130" s="1"/>
  <c r="U28" i="130"/>
  <c r="M28" i="126"/>
  <c r="V28" i="126" s="1"/>
  <c r="U28" i="126"/>
  <c r="H28" i="92"/>
  <c r="I28" i="92" s="1"/>
  <c r="K28" i="92" s="1"/>
  <c r="Z28" i="33"/>
  <c r="V28" i="33"/>
  <c r="H28" i="87"/>
  <c r="I28" i="87" s="1"/>
  <c r="K28" i="87" s="1"/>
  <c r="N28" i="87" s="1"/>
  <c r="V28" i="87" s="1"/>
  <c r="AE28" i="33"/>
  <c r="M28" i="84"/>
  <c r="I28" i="84"/>
  <c r="N28" i="84" s="1"/>
  <c r="Q28" i="33"/>
  <c r="I28" i="120"/>
  <c r="J28" i="120" s="1"/>
  <c r="L28" i="120" s="1"/>
  <c r="I28" i="116"/>
  <c r="J28" i="116" s="1"/>
  <c r="L28" i="116" s="1"/>
  <c r="M28" i="33"/>
  <c r="M28" i="131"/>
  <c r="V28" i="131" s="1"/>
  <c r="U28" i="131"/>
  <c r="U28" i="127"/>
  <c r="M28" i="127"/>
  <c r="V28" i="127" s="1"/>
  <c r="H28" i="85"/>
  <c r="I28" i="85" s="1"/>
  <c r="K28" i="85" s="1"/>
  <c r="T28" i="33"/>
  <c r="W28" i="33"/>
  <c r="H28" i="88"/>
  <c r="I28" i="88" s="1"/>
  <c r="K28" i="88" s="1"/>
  <c r="T11" i="67"/>
  <c r="J11" i="67"/>
  <c r="K11" i="67" s="1"/>
  <c r="W11" i="67" s="1"/>
  <c r="J11" i="33"/>
  <c r="I11" i="113"/>
  <c r="J11" i="113" s="1"/>
  <c r="L11" i="113" s="1"/>
  <c r="O11" i="113" s="1"/>
  <c r="N11" i="33"/>
  <c r="I11" i="117"/>
  <c r="J11" i="117" s="1"/>
  <c r="L11" i="117" s="1"/>
  <c r="O11" i="117" s="1"/>
  <c r="W11" i="117" s="1"/>
  <c r="M11" i="125"/>
  <c r="V11" i="125" s="1"/>
  <c r="U11" i="125"/>
  <c r="AC11" i="33"/>
  <c r="M11" i="98"/>
  <c r="I11" i="98"/>
  <c r="N11" i="98" s="1"/>
  <c r="M11" i="127"/>
  <c r="V11" i="127" s="1"/>
  <c r="U11" i="127"/>
  <c r="J11" i="90"/>
  <c r="K11" i="90" s="1"/>
  <c r="M11" i="90" s="1"/>
  <c r="AA11" i="33"/>
  <c r="V11" i="33"/>
  <c r="H11" i="87"/>
  <c r="I11" i="87" s="1"/>
  <c r="K11" i="87" s="1"/>
  <c r="N11" i="87" s="1"/>
  <c r="V11" i="87" s="1"/>
  <c r="M11" i="99"/>
  <c r="AB11" i="33"/>
  <c r="I11" i="99"/>
  <c r="N11" i="99" s="1"/>
  <c r="I11" i="118"/>
  <c r="J11" i="118" s="1"/>
  <c r="L11" i="118" s="1"/>
  <c r="O11" i="33"/>
  <c r="K11" i="33"/>
  <c r="I11" i="114"/>
  <c r="J11" i="114" s="1"/>
  <c r="L11" i="114" s="1"/>
  <c r="M11" i="129"/>
  <c r="V11" i="129" s="1"/>
  <c r="U11" i="129"/>
  <c r="M11" i="128"/>
  <c r="V11" i="128" s="1"/>
  <c r="U11" i="128"/>
  <c r="E8" i="80"/>
  <c r="H8" i="80" s="1"/>
  <c r="J8" i="80" s="1"/>
  <c r="K8" i="80" s="1"/>
  <c r="M8" i="80" s="1"/>
  <c r="H11" i="88"/>
  <c r="I11" i="88" s="1"/>
  <c r="K11" i="88" s="1"/>
  <c r="W11" i="33"/>
  <c r="J45" i="67"/>
  <c r="K45" i="67" s="1"/>
  <c r="W45" i="67" s="1"/>
  <c r="T45" i="67"/>
  <c r="I45" i="33"/>
  <c r="E62" i="81"/>
  <c r="L23" i="46"/>
  <c r="O45" i="33"/>
  <c r="I45" i="118"/>
  <c r="J45" i="118" s="1"/>
  <c r="L45" i="118" s="1"/>
  <c r="I45" i="114"/>
  <c r="J45" i="114" s="1"/>
  <c r="L45" i="114" s="1"/>
  <c r="K45" i="33"/>
  <c r="AE45" i="33"/>
  <c r="M45" i="84"/>
  <c r="I45" i="84"/>
  <c r="N45" i="84" s="1"/>
  <c r="H45" i="92"/>
  <c r="I45" i="92" s="1"/>
  <c r="K45" i="92" s="1"/>
  <c r="Z45" i="33"/>
  <c r="M45" i="126"/>
  <c r="V45" i="126" s="1"/>
  <c r="U45" i="126"/>
  <c r="H45" i="91"/>
  <c r="I45" i="91" s="1"/>
  <c r="K45" i="91" s="1"/>
  <c r="Y45" i="33"/>
  <c r="U45" i="33"/>
  <c r="H45" i="86"/>
  <c r="I45" i="86" s="1"/>
  <c r="K45" i="86" s="1"/>
  <c r="I45" i="113"/>
  <c r="J45" i="113" s="1"/>
  <c r="L45" i="113" s="1"/>
  <c r="O45" i="113" s="1"/>
  <c r="J45" i="33"/>
  <c r="I45" i="117"/>
  <c r="J45" i="117" s="1"/>
  <c r="L45" i="117" s="1"/>
  <c r="O45" i="117" s="1"/>
  <c r="W45" i="117" s="1"/>
  <c r="N45" i="33"/>
  <c r="M45" i="125"/>
  <c r="V45" i="125" s="1"/>
  <c r="U45" i="125"/>
  <c r="AC45" i="33"/>
  <c r="I45" i="98"/>
  <c r="N45" i="98" s="1"/>
  <c r="M45" i="98"/>
  <c r="M45" i="129"/>
  <c r="V45" i="129" s="1"/>
  <c r="U45" i="129"/>
  <c r="E42" i="76"/>
  <c r="H42" i="76" s="1"/>
  <c r="J42" i="76" s="1"/>
  <c r="K42" i="76" s="1"/>
  <c r="M42" i="76" s="1"/>
  <c r="H45" i="89"/>
  <c r="I45" i="89" s="1"/>
  <c r="K45" i="89" s="1"/>
  <c r="X45" i="33"/>
  <c r="T16" i="67"/>
  <c r="J16" i="67"/>
  <c r="K16" i="67" s="1"/>
  <c r="W16" i="67" s="1"/>
  <c r="AC16" i="33"/>
  <c r="M16" i="98"/>
  <c r="I16" i="98"/>
  <c r="N16" i="98" s="1"/>
  <c r="P16" i="33"/>
  <c r="I16" i="119"/>
  <c r="J16" i="119" s="1"/>
  <c r="L16" i="119" s="1"/>
  <c r="I16" i="115"/>
  <c r="J16" i="115" s="1"/>
  <c r="L16" i="115" s="1"/>
  <c r="L16" i="33"/>
  <c r="M16" i="130"/>
  <c r="V16" i="130" s="1"/>
  <c r="U16" i="130"/>
  <c r="M16" i="126"/>
  <c r="V16" i="126" s="1"/>
  <c r="U16" i="126"/>
  <c r="H16" i="92"/>
  <c r="I16" i="92" s="1"/>
  <c r="K16" i="92" s="1"/>
  <c r="Z16" i="33"/>
  <c r="V16" i="33"/>
  <c r="H16" i="87"/>
  <c r="I16" i="87" s="1"/>
  <c r="K16" i="87" s="1"/>
  <c r="N16" i="87" s="1"/>
  <c r="V16" i="87" s="1"/>
  <c r="AE16" i="33"/>
  <c r="M16" i="84"/>
  <c r="I16" i="84"/>
  <c r="N16" i="84" s="1"/>
  <c r="Q16" i="33"/>
  <c r="I16" i="120"/>
  <c r="J16" i="120" s="1"/>
  <c r="L16" i="120" s="1"/>
  <c r="I16" i="116"/>
  <c r="J16" i="116" s="1"/>
  <c r="L16" i="116" s="1"/>
  <c r="M16" i="33"/>
  <c r="U16" i="131"/>
  <c r="M16" i="131"/>
  <c r="V16" i="131" s="1"/>
  <c r="M16" i="127"/>
  <c r="V16" i="127" s="1"/>
  <c r="U16" i="127"/>
  <c r="T16" i="33"/>
  <c r="H16" i="85"/>
  <c r="I16" i="85" s="1"/>
  <c r="K16" i="85" s="1"/>
  <c r="H16" i="88"/>
  <c r="I16" i="88" s="1"/>
  <c r="K16" i="88" s="1"/>
  <c r="W16" i="33"/>
  <c r="T44" i="67"/>
  <c r="J44" i="67"/>
  <c r="K44" i="67" s="1"/>
  <c r="W44" i="67" s="1"/>
  <c r="AC44" i="33"/>
  <c r="I44" i="98"/>
  <c r="N44" i="98" s="1"/>
  <c r="M44" i="98"/>
  <c r="P44" i="33"/>
  <c r="I44" i="119"/>
  <c r="J44" i="119" s="1"/>
  <c r="L44" i="119" s="1"/>
  <c r="I44" i="115"/>
  <c r="J44" i="115" s="1"/>
  <c r="L44" i="115" s="1"/>
  <c r="L44" i="33"/>
  <c r="U44" i="130"/>
  <c r="M44" i="130"/>
  <c r="V44" i="130" s="1"/>
  <c r="U44" i="126"/>
  <c r="M44" i="126"/>
  <c r="V44" i="126" s="1"/>
  <c r="H44" i="92"/>
  <c r="I44" i="92" s="1"/>
  <c r="K44" i="92" s="1"/>
  <c r="Z44" i="33"/>
  <c r="H44" i="87"/>
  <c r="I44" i="87" s="1"/>
  <c r="K44" i="87" s="1"/>
  <c r="N44" i="87" s="1"/>
  <c r="V44" i="87" s="1"/>
  <c r="V44" i="33"/>
  <c r="AE44" i="33"/>
  <c r="M44" i="84"/>
  <c r="I44" i="84"/>
  <c r="N44" i="84" s="1"/>
  <c r="Q44" i="33"/>
  <c r="I44" i="120"/>
  <c r="J44" i="120" s="1"/>
  <c r="L44" i="120" s="1"/>
  <c r="M44" i="33"/>
  <c r="I44" i="116"/>
  <c r="J44" i="116" s="1"/>
  <c r="L44" i="116" s="1"/>
  <c r="U44" i="131"/>
  <c r="M44" i="131"/>
  <c r="V44" i="131" s="1"/>
  <c r="U44" i="127"/>
  <c r="M44" i="127"/>
  <c r="V44" i="127" s="1"/>
  <c r="T44" i="33"/>
  <c r="H44" i="85"/>
  <c r="I44" i="85" s="1"/>
  <c r="K44" i="85" s="1"/>
  <c r="W44" i="33"/>
  <c r="H44" i="88"/>
  <c r="I44" i="88" s="1"/>
  <c r="K44" i="88" s="1"/>
  <c r="T66" i="67"/>
  <c r="J66" i="67"/>
  <c r="K66" i="67" s="1"/>
  <c r="W66" i="67" s="1"/>
  <c r="U66" i="129"/>
  <c r="M66" i="129"/>
  <c r="V66" i="129" s="1"/>
  <c r="P66" i="33"/>
  <c r="I66" i="119"/>
  <c r="J66" i="119" s="1"/>
  <c r="L66" i="119" s="1"/>
  <c r="L66" i="33"/>
  <c r="I66" i="115"/>
  <c r="J66" i="115" s="1"/>
  <c r="L66" i="115" s="1"/>
  <c r="U66" i="130"/>
  <c r="M66" i="130"/>
  <c r="V66" i="130" s="1"/>
  <c r="E63" i="76"/>
  <c r="H63" i="76" s="1"/>
  <c r="J63" i="76" s="1"/>
  <c r="K63" i="76" s="1"/>
  <c r="M63" i="76" s="1"/>
  <c r="H66" i="91"/>
  <c r="I66" i="91" s="1"/>
  <c r="K66" i="91" s="1"/>
  <c r="Y66" i="33"/>
  <c r="U66" i="33"/>
  <c r="H66" i="86"/>
  <c r="I66" i="86" s="1"/>
  <c r="K66" i="86" s="1"/>
  <c r="M66" i="98"/>
  <c r="I66" i="98"/>
  <c r="N66" i="98" s="1"/>
  <c r="AC66" i="33"/>
  <c r="Q66" i="33"/>
  <c r="I66" i="120"/>
  <c r="J66" i="120" s="1"/>
  <c r="L66" i="120" s="1"/>
  <c r="M66" i="33"/>
  <c r="I66" i="116"/>
  <c r="J66" i="116" s="1"/>
  <c r="L66" i="116" s="1"/>
  <c r="U66" i="131"/>
  <c r="M66" i="131"/>
  <c r="V66" i="131" s="1"/>
  <c r="M66" i="126"/>
  <c r="V66" i="126" s="1"/>
  <c r="U66" i="126"/>
  <c r="Z66" i="33"/>
  <c r="H66" i="92"/>
  <c r="I66" i="92" s="1"/>
  <c r="K66" i="92" s="1"/>
  <c r="V66" i="33"/>
  <c r="H66" i="87"/>
  <c r="I66" i="87" s="1"/>
  <c r="K66" i="87" s="1"/>
  <c r="N66" i="87" s="1"/>
  <c r="V66" i="87" s="1"/>
  <c r="J12" i="67"/>
  <c r="K12" i="67" s="1"/>
  <c r="W12" i="67" s="1"/>
  <c r="T12" i="67"/>
  <c r="P12" i="33"/>
  <c r="I12" i="119"/>
  <c r="J12" i="119" s="1"/>
  <c r="L12" i="119" s="1"/>
  <c r="M12" i="130"/>
  <c r="V12" i="130" s="1"/>
  <c r="U12" i="130"/>
  <c r="Z12" i="33"/>
  <c r="H12" i="92"/>
  <c r="I12" i="92" s="1"/>
  <c r="K12" i="92" s="1"/>
  <c r="AD12" i="33"/>
  <c r="I12" i="83"/>
  <c r="P12" i="83" s="1"/>
  <c r="N12" i="33"/>
  <c r="I12" i="117"/>
  <c r="J12" i="117" s="1"/>
  <c r="L12" i="117" s="1"/>
  <c r="O12" i="117" s="1"/>
  <c r="W12" i="117" s="1"/>
  <c r="U12" i="128"/>
  <c r="M12" i="128"/>
  <c r="V12" i="128" s="1"/>
  <c r="X12" i="33"/>
  <c r="H12" i="89"/>
  <c r="I12" i="89" s="1"/>
  <c r="K12" i="89" s="1"/>
  <c r="AE12" i="33"/>
  <c r="M12" i="84"/>
  <c r="I12" i="84"/>
  <c r="N12" i="84" s="1"/>
  <c r="Q12" i="33"/>
  <c r="I12" i="120"/>
  <c r="J12" i="120" s="1"/>
  <c r="L12" i="120" s="1"/>
  <c r="I12" i="116"/>
  <c r="J12" i="116" s="1"/>
  <c r="L12" i="116" s="1"/>
  <c r="M12" i="33"/>
  <c r="U12" i="131"/>
  <c r="M12" i="131"/>
  <c r="V12" i="131" s="1"/>
  <c r="M12" i="127"/>
  <c r="V12" i="127" s="1"/>
  <c r="U12" i="127"/>
  <c r="T12" i="33"/>
  <c r="H12" i="85"/>
  <c r="I12" i="85" s="1"/>
  <c r="K12" i="85" s="1"/>
  <c r="H12" i="88"/>
  <c r="I12" i="88" s="1"/>
  <c r="K12" i="88" s="1"/>
  <c r="W12" i="33"/>
  <c r="T26" i="67"/>
  <c r="J26" i="67"/>
  <c r="K26" i="67" s="1"/>
  <c r="W26" i="67" s="1"/>
  <c r="U26" i="129"/>
  <c r="M26" i="129"/>
  <c r="V26" i="129" s="1"/>
  <c r="Q26" i="33"/>
  <c r="I26" i="120"/>
  <c r="J26" i="120" s="1"/>
  <c r="L26" i="120" s="1"/>
  <c r="I26" i="116"/>
  <c r="J26" i="116" s="1"/>
  <c r="L26" i="116" s="1"/>
  <c r="M26" i="33"/>
  <c r="U26" i="131"/>
  <c r="M26" i="131"/>
  <c r="V26" i="131" s="1"/>
  <c r="E23" i="76"/>
  <c r="H23" i="76" s="1"/>
  <c r="J23" i="76" s="1"/>
  <c r="K23" i="76" s="1"/>
  <c r="M23" i="76" s="1"/>
  <c r="H26" i="91"/>
  <c r="I26" i="91" s="1"/>
  <c r="K26" i="91" s="1"/>
  <c r="Y26" i="33"/>
  <c r="H26" i="86"/>
  <c r="I26" i="86" s="1"/>
  <c r="K26" i="86" s="1"/>
  <c r="U26" i="33"/>
  <c r="M26" i="98"/>
  <c r="I26" i="98"/>
  <c r="N26" i="98" s="1"/>
  <c r="AC26" i="33"/>
  <c r="I26" i="113"/>
  <c r="J26" i="113" s="1"/>
  <c r="L26" i="113" s="1"/>
  <c r="O26" i="113" s="1"/>
  <c r="J26" i="33"/>
  <c r="N26" i="33"/>
  <c r="I26" i="117"/>
  <c r="J26" i="117" s="1"/>
  <c r="L26" i="117" s="1"/>
  <c r="O26" i="117" s="1"/>
  <c r="W26" i="117" s="1"/>
  <c r="M26" i="125"/>
  <c r="V26" i="125" s="1"/>
  <c r="U26" i="125"/>
  <c r="U26" i="126"/>
  <c r="M26" i="126"/>
  <c r="V26" i="126" s="1"/>
  <c r="Z26" i="33"/>
  <c r="H26" i="92"/>
  <c r="I26" i="92" s="1"/>
  <c r="K26" i="92" s="1"/>
  <c r="H26" i="87"/>
  <c r="I26" i="87" s="1"/>
  <c r="K26" i="87" s="1"/>
  <c r="N26" i="87" s="1"/>
  <c r="V26" i="87" s="1"/>
  <c r="V26" i="33"/>
  <c r="T67" i="67"/>
  <c r="J67" i="67"/>
  <c r="K67" i="67" s="1"/>
  <c r="W67" i="67" s="1"/>
  <c r="J67" i="33"/>
  <c r="I67" i="113"/>
  <c r="J67" i="113" s="1"/>
  <c r="L67" i="113" s="1"/>
  <c r="O67" i="113" s="1"/>
  <c r="N67" i="33"/>
  <c r="I67" i="117"/>
  <c r="J67" i="117" s="1"/>
  <c r="L67" i="117" s="1"/>
  <c r="O67" i="117" s="1"/>
  <c r="W67" i="117" s="1"/>
  <c r="M67" i="125"/>
  <c r="V67" i="125" s="1"/>
  <c r="U67" i="125"/>
  <c r="AC67" i="33"/>
  <c r="M67" i="98"/>
  <c r="I67" i="98"/>
  <c r="N67" i="98" s="1"/>
  <c r="U67" i="127"/>
  <c r="M67" i="127"/>
  <c r="V67" i="127" s="1"/>
  <c r="J67" i="90"/>
  <c r="K67" i="90" s="1"/>
  <c r="M67" i="90" s="1"/>
  <c r="AA67" i="33"/>
  <c r="W67" i="33"/>
  <c r="H67" i="88"/>
  <c r="I67" i="88" s="1"/>
  <c r="K67" i="88" s="1"/>
  <c r="I67" i="99"/>
  <c r="N67" i="99" s="1"/>
  <c r="M67" i="99"/>
  <c r="AB67" i="33"/>
  <c r="O67" i="33"/>
  <c r="I67" i="118"/>
  <c r="J67" i="118" s="1"/>
  <c r="L67" i="118" s="1"/>
  <c r="K67" i="33"/>
  <c r="I67" i="114"/>
  <c r="J67" i="114" s="1"/>
  <c r="L67" i="114" s="1"/>
  <c r="AE67" i="33"/>
  <c r="M67" i="84"/>
  <c r="I67" i="84"/>
  <c r="N67" i="84" s="1"/>
  <c r="U67" i="128"/>
  <c r="M67" i="128"/>
  <c r="V67" i="128" s="1"/>
  <c r="E64" i="80"/>
  <c r="H64" i="80" s="1"/>
  <c r="J64" i="80" s="1"/>
  <c r="K64" i="80" s="1"/>
  <c r="M64" i="80" s="1"/>
  <c r="H67" i="89"/>
  <c r="I67" i="89" s="1"/>
  <c r="K67" i="89" s="1"/>
  <c r="X67" i="33"/>
  <c r="T52" i="67"/>
  <c r="J52" i="67"/>
  <c r="K52" i="67" s="1"/>
  <c r="W52" i="67" s="1"/>
  <c r="H33" i="46"/>
  <c r="H36" i="46" s="1"/>
  <c r="E36" i="46"/>
  <c r="Q52" i="33"/>
  <c r="I52" i="120"/>
  <c r="J52" i="120" s="1"/>
  <c r="L52" i="120" s="1"/>
  <c r="I52" i="116"/>
  <c r="J52" i="116" s="1"/>
  <c r="L52" i="116" s="1"/>
  <c r="M52" i="33"/>
  <c r="U52" i="131"/>
  <c r="M52" i="131"/>
  <c r="V52" i="131" s="1"/>
  <c r="U52" i="127"/>
  <c r="M52" i="127"/>
  <c r="V52" i="127" s="1"/>
  <c r="H52" i="85"/>
  <c r="I52" i="85" s="1"/>
  <c r="K52" i="85" s="1"/>
  <c r="T52" i="33"/>
  <c r="H52" i="88"/>
  <c r="I52" i="88" s="1"/>
  <c r="K52" i="88" s="1"/>
  <c r="W52" i="33"/>
  <c r="AD52" i="33"/>
  <c r="I52" i="83"/>
  <c r="P52" i="83" s="1"/>
  <c r="AB52" i="33"/>
  <c r="M52" i="99"/>
  <c r="I52" i="99"/>
  <c r="N52" i="99" s="1"/>
  <c r="P52" i="33"/>
  <c r="I52" i="119"/>
  <c r="J52" i="119" s="1"/>
  <c r="L52" i="119" s="1"/>
  <c r="I52" i="115"/>
  <c r="J52" i="115" s="1"/>
  <c r="L52" i="115" s="1"/>
  <c r="L52" i="33"/>
  <c r="U52" i="130"/>
  <c r="M52" i="130"/>
  <c r="V52" i="130" s="1"/>
  <c r="U52" i="126"/>
  <c r="M52" i="126"/>
  <c r="V52" i="126" s="1"/>
  <c r="H52" i="92"/>
  <c r="I52" i="92" s="1"/>
  <c r="K52" i="92" s="1"/>
  <c r="Z52" i="33"/>
  <c r="V52" i="33"/>
  <c r="H52" i="87"/>
  <c r="I52" i="87" s="1"/>
  <c r="K52" i="87" s="1"/>
  <c r="N52" i="87" s="1"/>
  <c r="V52" i="87" s="1"/>
  <c r="T64" i="67"/>
  <c r="J64" i="67"/>
  <c r="K64" i="67" s="1"/>
  <c r="W64" i="67" s="1"/>
  <c r="M64" i="98"/>
  <c r="AC64" i="33"/>
  <c r="I64" i="98"/>
  <c r="N64" i="98" s="1"/>
  <c r="P64" i="33"/>
  <c r="I64" i="119"/>
  <c r="J64" i="119" s="1"/>
  <c r="L64" i="119" s="1"/>
  <c r="I64" i="115"/>
  <c r="J64" i="115" s="1"/>
  <c r="L64" i="115" s="1"/>
  <c r="L64" i="33"/>
  <c r="U64" i="130"/>
  <c r="M64" i="130"/>
  <c r="V64" i="130" s="1"/>
  <c r="U64" i="126"/>
  <c r="M64" i="126"/>
  <c r="V64" i="126" s="1"/>
  <c r="Z64" i="33"/>
  <c r="H64" i="92"/>
  <c r="I64" i="92" s="1"/>
  <c r="K64" i="92" s="1"/>
  <c r="H64" i="87"/>
  <c r="I64" i="87" s="1"/>
  <c r="K64" i="87" s="1"/>
  <c r="N64" i="87" s="1"/>
  <c r="V64" i="87" s="1"/>
  <c r="V64" i="33"/>
  <c r="AE64" i="33"/>
  <c r="M64" i="84"/>
  <c r="I64" i="84"/>
  <c r="N64" i="84" s="1"/>
  <c r="Q64" i="33"/>
  <c r="I64" i="120"/>
  <c r="J64" i="120" s="1"/>
  <c r="L64" i="120" s="1"/>
  <c r="M64" i="33"/>
  <c r="I64" i="116"/>
  <c r="J64" i="116" s="1"/>
  <c r="L64" i="116" s="1"/>
  <c r="U64" i="131"/>
  <c r="M64" i="131"/>
  <c r="V64" i="131" s="1"/>
  <c r="U64" i="127"/>
  <c r="M64" i="127"/>
  <c r="V64" i="127" s="1"/>
  <c r="T64" i="33"/>
  <c r="H64" i="85"/>
  <c r="I64" i="85" s="1"/>
  <c r="K64" i="85" s="1"/>
  <c r="W64" i="33"/>
  <c r="H64" i="88"/>
  <c r="I64" i="88" s="1"/>
  <c r="K64" i="88" s="1"/>
  <c r="T59" i="67"/>
  <c r="J59" i="67"/>
  <c r="K59" i="67" s="1"/>
  <c r="W59" i="67" s="1"/>
  <c r="J59" i="33"/>
  <c r="I59" i="113"/>
  <c r="J59" i="113" s="1"/>
  <c r="L59" i="113" s="1"/>
  <c r="O59" i="113" s="1"/>
  <c r="N59" i="33"/>
  <c r="I59" i="117"/>
  <c r="J59" i="117" s="1"/>
  <c r="L59" i="117" s="1"/>
  <c r="O59" i="117" s="1"/>
  <c r="W59" i="117" s="1"/>
  <c r="M59" i="125"/>
  <c r="V59" i="125" s="1"/>
  <c r="U59" i="125"/>
  <c r="I59" i="98"/>
  <c r="N59" i="98" s="1"/>
  <c r="M59" i="98"/>
  <c r="AC59" i="33"/>
  <c r="U59" i="127"/>
  <c r="M59" i="127"/>
  <c r="V59" i="127" s="1"/>
  <c r="J59" i="90"/>
  <c r="K59" i="90" s="1"/>
  <c r="M59" i="90" s="1"/>
  <c r="AA59" i="33"/>
  <c r="H59" i="88"/>
  <c r="I59" i="88" s="1"/>
  <c r="K59" i="88" s="1"/>
  <c r="W59" i="33"/>
  <c r="AB59" i="33"/>
  <c r="I59" i="99"/>
  <c r="N59" i="99" s="1"/>
  <c r="M59" i="99"/>
  <c r="I59" i="118"/>
  <c r="J59" i="118" s="1"/>
  <c r="L59" i="118" s="1"/>
  <c r="O59" i="33"/>
  <c r="K59" i="33"/>
  <c r="I59" i="114"/>
  <c r="J59" i="114" s="1"/>
  <c r="L59" i="114" s="1"/>
  <c r="AE59" i="33"/>
  <c r="M59" i="84"/>
  <c r="I59" i="84"/>
  <c r="N59" i="84" s="1"/>
  <c r="M59" i="128"/>
  <c r="V59" i="128" s="1"/>
  <c r="U59" i="128"/>
  <c r="E56" i="80"/>
  <c r="H56" i="80" s="1"/>
  <c r="J56" i="80" s="1"/>
  <c r="K56" i="80" s="1"/>
  <c r="M56" i="80" s="1"/>
  <c r="H59" i="89"/>
  <c r="I59" i="89" s="1"/>
  <c r="K59" i="89" s="1"/>
  <c r="X59" i="33"/>
  <c r="T20" i="67"/>
  <c r="J20" i="67"/>
  <c r="K20" i="67" s="1"/>
  <c r="W20" i="67" s="1"/>
  <c r="AB20" i="33"/>
  <c r="I20" i="99"/>
  <c r="N20" i="99" s="1"/>
  <c r="M20" i="99"/>
  <c r="I20" i="118"/>
  <c r="J20" i="118" s="1"/>
  <c r="L20" i="118" s="1"/>
  <c r="O20" i="33"/>
  <c r="K20" i="33"/>
  <c r="I20" i="114"/>
  <c r="J20" i="114" s="1"/>
  <c r="L20" i="114" s="1"/>
  <c r="U20" i="129"/>
  <c r="M20" i="129"/>
  <c r="V20" i="129" s="1"/>
  <c r="E17" i="76"/>
  <c r="H17" i="76" s="1"/>
  <c r="J17" i="76" s="1"/>
  <c r="K17" i="76" s="1"/>
  <c r="M17" i="76" s="1"/>
  <c r="H20" i="91"/>
  <c r="I20" i="91" s="1"/>
  <c r="K20" i="91" s="1"/>
  <c r="Y20" i="33"/>
  <c r="H20" i="86"/>
  <c r="I20" i="86" s="1"/>
  <c r="K20" i="86" s="1"/>
  <c r="U20" i="33"/>
  <c r="AC20" i="33"/>
  <c r="M20" i="98"/>
  <c r="I20" i="98"/>
  <c r="N20" i="98" s="1"/>
  <c r="P20" i="33"/>
  <c r="I20" i="119"/>
  <c r="J20" i="119" s="1"/>
  <c r="L20" i="119" s="1"/>
  <c r="I20" i="115"/>
  <c r="J20" i="115" s="1"/>
  <c r="L20" i="115" s="1"/>
  <c r="L20" i="33"/>
  <c r="U20" i="130"/>
  <c r="M20" i="130"/>
  <c r="V20" i="130" s="1"/>
  <c r="U20" i="126"/>
  <c r="M20" i="126"/>
  <c r="V20" i="126" s="1"/>
  <c r="Z20" i="33"/>
  <c r="H20" i="92"/>
  <c r="I20" i="92" s="1"/>
  <c r="K20" i="92" s="1"/>
  <c r="H20" i="87"/>
  <c r="I20" i="87" s="1"/>
  <c r="K20" i="87" s="1"/>
  <c r="N20" i="87" s="1"/>
  <c r="V20" i="87" s="1"/>
  <c r="V20" i="33"/>
  <c r="J30" i="67"/>
  <c r="K30" i="67" s="1"/>
  <c r="W30" i="67" s="1"/>
  <c r="T30" i="67"/>
  <c r="M30" i="129"/>
  <c r="V30" i="129" s="1"/>
  <c r="U30" i="129"/>
  <c r="Q30" i="33"/>
  <c r="I30" i="120"/>
  <c r="J30" i="120" s="1"/>
  <c r="L30" i="120" s="1"/>
  <c r="R48" i="33"/>
  <c r="AG48" i="33" s="1"/>
  <c r="S70" i="33"/>
  <c r="AG70" i="33" s="1"/>
  <c r="CE17" i="1"/>
  <c r="BX17" i="1"/>
  <c r="CI17" i="1"/>
  <c r="C15" i="33"/>
  <c r="CE30" i="1"/>
  <c r="CI30" i="1"/>
  <c r="C28" i="33"/>
  <c r="BX30" i="1"/>
  <c r="CE47" i="1"/>
  <c r="BX47" i="1"/>
  <c r="CI47" i="1"/>
  <c r="C45" i="33"/>
  <c r="BY47" i="1"/>
  <c r="C44" i="33"/>
  <c r="BX46" i="1"/>
  <c r="CE46" i="1"/>
  <c r="BY46" i="1" s="1"/>
  <c r="CI46" i="1"/>
  <c r="CI14" i="1"/>
  <c r="C12" i="33"/>
  <c r="CE14" i="1"/>
  <c r="BX14" i="1"/>
  <c r="C67" i="33"/>
  <c r="BX69" i="1"/>
  <c r="CE69" i="1"/>
  <c r="CI69" i="1"/>
  <c r="CE66" i="1"/>
  <c r="BX66" i="1"/>
  <c r="CI66" i="1"/>
  <c r="C64" i="33"/>
  <c r="C20" i="33"/>
  <c r="CI22" i="1"/>
  <c r="BX22" i="1"/>
  <c r="CE22" i="1"/>
  <c r="BX38" i="1"/>
  <c r="C36" i="33"/>
  <c r="CI38" i="1"/>
  <c r="CE38" i="1"/>
  <c r="BX51" i="1"/>
  <c r="C49" i="33"/>
  <c r="CI51" i="1"/>
  <c r="CE51" i="1"/>
  <c r="C62" i="33"/>
  <c r="BX64" i="1"/>
  <c r="CE64" i="1"/>
  <c r="CI64" i="1"/>
  <c r="BX37" i="1"/>
  <c r="CE37" i="1"/>
  <c r="C35" i="33"/>
  <c r="CI37" i="1"/>
  <c r="BX34" i="1"/>
  <c r="C32" i="33"/>
  <c r="CI34" i="1"/>
  <c r="CE34" i="1"/>
  <c r="CE74" i="1"/>
  <c r="BX74" i="1"/>
  <c r="CI74" i="1"/>
  <c r="C72" i="33"/>
  <c r="C75" i="33"/>
  <c r="BX77" i="1"/>
  <c r="CE77" i="1"/>
  <c r="CI77" i="1"/>
  <c r="CI57" i="1"/>
  <c r="C55" i="33"/>
  <c r="CE57" i="1"/>
  <c r="BX57" i="1"/>
  <c r="CE70" i="1"/>
  <c r="CI70" i="1"/>
  <c r="C68" i="33"/>
  <c r="BX70" i="1"/>
  <c r="CI40" i="1"/>
  <c r="C38" i="33"/>
  <c r="CE40" i="1"/>
  <c r="BY40" i="1" s="1"/>
  <c r="BX40" i="1"/>
  <c r="C27" i="33"/>
  <c r="BX29" i="1"/>
  <c r="CE29" i="1"/>
  <c r="CI29" i="1"/>
  <c r="CI24" i="1"/>
  <c r="C22" i="33"/>
  <c r="CE24" i="1"/>
  <c r="BX24" i="1"/>
  <c r="CI26" i="1"/>
  <c r="C24" i="33"/>
  <c r="CE26" i="1"/>
  <c r="BX26" i="1"/>
  <c r="BX16" i="1"/>
  <c r="CE16" i="1"/>
  <c r="C14" i="33"/>
  <c r="CI16" i="1"/>
  <c r="BX42" i="1"/>
  <c r="CE42" i="1"/>
  <c r="BY42" i="1" s="1"/>
  <c r="C40" i="33"/>
  <c r="CI42" i="1"/>
  <c r="CI21" i="1"/>
  <c r="CE21" i="1"/>
  <c r="BX21" i="1"/>
  <c r="C19" i="33"/>
  <c r="CE36" i="1"/>
  <c r="BX36" i="1"/>
  <c r="CI36" i="1"/>
  <c r="C34" i="33"/>
  <c r="BY36" i="1"/>
  <c r="L70" i="88"/>
  <c r="U70" i="88" s="1"/>
  <c r="T70" i="88"/>
  <c r="W70" i="113"/>
  <c r="M70" i="113"/>
  <c r="X70" i="113" s="1"/>
  <c r="L70" i="92"/>
  <c r="U70" i="92" s="1"/>
  <c r="T70" i="92"/>
  <c r="L42" i="88"/>
  <c r="U42" i="88" s="1"/>
  <c r="T42" i="88"/>
  <c r="U42" i="118"/>
  <c r="M42" i="118"/>
  <c r="V42" i="118" s="1"/>
  <c r="E69" i="31"/>
  <c r="E70" i="31" s="1"/>
  <c r="E72" i="31" s="1"/>
  <c r="H12" i="31"/>
  <c r="N42" i="90"/>
  <c r="Y42" i="90" s="1"/>
  <c r="X42" i="90"/>
  <c r="T71" i="92"/>
  <c r="L71" i="92"/>
  <c r="U71" i="92" s="1"/>
  <c r="L71" i="85"/>
  <c r="U71" i="85" s="1"/>
  <c r="T71" i="85"/>
  <c r="M71" i="116"/>
  <c r="V71" i="116" s="1"/>
  <c r="U71" i="116"/>
  <c r="U71" i="120"/>
  <c r="M71" i="120"/>
  <c r="V71" i="120" s="1"/>
  <c r="L71" i="86"/>
  <c r="U71" i="86" s="1"/>
  <c r="T71" i="86"/>
  <c r="M71" i="119"/>
  <c r="V71" i="119" s="1"/>
  <c r="U71" i="119"/>
  <c r="T48" i="86"/>
  <c r="L48" i="86"/>
  <c r="U48" i="86" s="1"/>
  <c r="V45" i="76"/>
  <c r="N45" i="76"/>
  <c r="W45" i="76" s="1"/>
  <c r="U48" i="114"/>
  <c r="M48" i="114"/>
  <c r="V48" i="114" s="1"/>
  <c r="X48" i="90"/>
  <c r="N48" i="90"/>
  <c r="Y48" i="90" s="1"/>
  <c r="M48" i="113"/>
  <c r="X48" i="113" s="1"/>
  <c r="W48" i="113"/>
  <c r="CD72" i="1"/>
  <c r="CF72" i="1"/>
  <c r="CD73" i="1"/>
  <c r="CF73" i="1"/>
  <c r="BY73" i="1"/>
  <c r="L70" i="86"/>
  <c r="U70" i="86" s="1"/>
  <c r="T70" i="86"/>
  <c r="V67" i="76"/>
  <c r="N67" i="76"/>
  <c r="W67" i="76" s="1"/>
  <c r="M70" i="119"/>
  <c r="V70" i="119" s="1"/>
  <c r="U70" i="119"/>
  <c r="N67" i="80"/>
  <c r="W67" i="80" s="1"/>
  <c r="V67" i="80"/>
  <c r="U70" i="114"/>
  <c r="M70" i="114"/>
  <c r="V70" i="114" s="1"/>
  <c r="V39" i="76"/>
  <c r="N39" i="76"/>
  <c r="W39" i="76" s="1"/>
  <c r="M42" i="116"/>
  <c r="V42" i="116" s="1"/>
  <c r="U42" i="116"/>
  <c r="M42" i="120"/>
  <c r="V42" i="120" s="1"/>
  <c r="U42" i="120"/>
  <c r="L42" i="87"/>
  <c r="W42" i="87" s="1"/>
  <c r="M42" i="117"/>
  <c r="X42" i="117" s="1"/>
  <c r="M42" i="113"/>
  <c r="X42" i="113" s="1"/>
  <c r="W42" i="113"/>
  <c r="T71" i="89"/>
  <c r="L71" i="89"/>
  <c r="U71" i="89" s="1"/>
  <c r="M71" i="114"/>
  <c r="V71" i="114" s="1"/>
  <c r="U71" i="114"/>
  <c r="U71" i="118"/>
  <c r="M71" i="118"/>
  <c r="V71" i="118" s="1"/>
  <c r="M71" i="117"/>
  <c r="X71" i="117" s="1"/>
  <c r="L48" i="88"/>
  <c r="U48" i="88" s="1"/>
  <c r="T48" i="88"/>
  <c r="L48" i="85"/>
  <c r="U48" i="85" s="1"/>
  <c r="T48" i="85"/>
  <c r="U48" i="116"/>
  <c r="M48" i="116"/>
  <c r="V48" i="116" s="1"/>
  <c r="T48" i="92"/>
  <c r="L48" i="92"/>
  <c r="U48" i="92" s="1"/>
  <c r="U48" i="115"/>
  <c r="M48" i="115"/>
  <c r="V48" i="115" s="1"/>
  <c r="M48" i="119"/>
  <c r="V48" i="119" s="1"/>
  <c r="U48" i="119"/>
  <c r="I17" i="113"/>
  <c r="J17" i="113" s="1"/>
  <c r="L17" i="113" s="1"/>
  <c r="O17" i="113" s="1"/>
  <c r="J17" i="33"/>
  <c r="I17" i="117"/>
  <c r="J17" i="117" s="1"/>
  <c r="L17" i="117" s="1"/>
  <c r="O17" i="117" s="1"/>
  <c r="W17" i="117" s="1"/>
  <c r="N17" i="33"/>
  <c r="M17" i="125"/>
  <c r="V17" i="125" s="1"/>
  <c r="U17" i="125"/>
  <c r="I17" i="98"/>
  <c r="N17" i="98" s="1"/>
  <c r="AC17" i="33"/>
  <c r="M17" i="98"/>
  <c r="M17" i="127"/>
  <c r="V17" i="127" s="1"/>
  <c r="U17" i="127"/>
  <c r="J17" i="90"/>
  <c r="K17" i="90" s="1"/>
  <c r="M17" i="90" s="1"/>
  <c r="AA17" i="33"/>
  <c r="H17" i="87"/>
  <c r="I17" i="87" s="1"/>
  <c r="K17" i="87" s="1"/>
  <c r="N17" i="87" s="1"/>
  <c r="V17" i="87" s="1"/>
  <c r="V17" i="33"/>
  <c r="I17" i="99"/>
  <c r="N17" i="99" s="1"/>
  <c r="M17" i="99"/>
  <c r="AB17" i="33"/>
  <c r="I17" i="118"/>
  <c r="J17" i="118" s="1"/>
  <c r="L17" i="118" s="1"/>
  <c r="O17" i="33"/>
  <c r="K17" i="33"/>
  <c r="I17" i="114"/>
  <c r="J17" i="114" s="1"/>
  <c r="L17" i="114" s="1"/>
  <c r="U17" i="129"/>
  <c r="M17" i="129"/>
  <c r="V17" i="129" s="1"/>
  <c r="M17" i="128"/>
  <c r="V17" i="128" s="1"/>
  <c r="U17" i="128"/>
  <c r="E14" i="80"/>
  <c r="H14" i="80" s="1"/>
  <c r="J14" i="80" s="1"/>
  <c r="K14" i="80" s="1"/>
  <c r="M14" i="80" s="1"/>
  <c r="H17" i="88"/>
  <c r="I17" i="88" s="1"/>
  <c r="K17" i="88" s="1"/>
  <c r="W17" i="33"/>
  <c r="T17" i="67"/>
  <c r="J17" i="67"/>
  <c r="K17" i="67" s="1"/>
  <c r="W17" i="67" s="1"/>
  <c r="AE13" i="33"/>
  <c r="M13" i="84"/>
  <c r="I13" i="84"/>
  <c r="N13" i="84" s="1"/>
  <c r="P13" i="33"/>
  <c r="I13" i="119"/>
  <c r="J13" i="119" s="1"/>
  <c r="L13" i="119" s="1"/>
  <c r="I13" i="115"/>
  <c r="J13" i="115" s="1"/>
  <c r="L13" i="115" s="1"/>
  <c r="L13" i="33"/>
  <c r="U13" i="130"/>
  <c r="M13" i="130"/>
  <c r="V13" i="130" s="1"/>
  <c r="H13" i="92"/>
  <c r="I13" i="92" s="1"/>
  <c r="K13" i="92" s="1"/>
  <c r="Z13" i="33"/>
  <c r="E10" i="76"/>
  <c r="H10" i="76" s="1"/>
  <c r="J10" i="76" s="1"/>
  <c r="K10" i="76" s="1"/>
  <c r="M10" i="76" s="1"/>
  <c r="H13" i="89"/>
  <c r="I13" i="89" s="1"/>
  <c r="K13" i="89" s="1"/>
  <c r="X13" i="33"/>
  <c r="AD13" i="33"/>
  <c r="I13" i="83"/>
  <c r="P13" i="83" s="1"/>
  <c r="Q13" i="33"/>
  <c r="I13" i="120"/>
  <c r="J13" i="120" s="1"/>
  <c r="L13" i="120" s="1"/>
  <c r="M13" i="33"/>
  <c r="I13" i="116"/>
  <c r="J13" i="116" s="1"/>
  <c r="L13" i="116" s="1"/>
  <c r="U13" i="131"/>
  <c r="M13" i="131"/>
  <c r="V13" i="131" s="1"/>
  <c r="T13" i="33"/>
  <c r="H13" i="85"/>
  <c r="I13" i="85" s="1"/>
  <c r="K13" i="85" s="1"/>
  <c r="U13" i="126"/>
  <c r="M13" i="126"/>
  <c r="V13" i="126" s="1"/>
  <c r="H13" i="91"/>
  <c r="I13" i="91" s="1"/>
  <c r="K13" i="91" s="1"/>
  <c r="Y13" i="33"/>
  <c r="H13" i="86"/>
  <c r="I13" i="86" s="1"/>
  <c r="K13" i="86" s="1"/>
  <c r="U13" i="33"/>
  <c r="AE50" i="33"/>
  <c r="I50" i="84"/>
  <c r="N50" i="84" s="1"/>
  <c r="M50" i="84"/>
  <c r="M50" i="99"/>
  <c r="I50" i="99"/>
  <c r="N50" i="99" s="1"/>
  <c r="AB50" i="33"/>
  <c r="O50" i="33"/>
  <c r="I50" i="118"/>
  <c r="J50" i="118" s="1"/>
  <c r="L50" i="118" s="1"/>
  <c r="K50" i="33"/>
  <c r="I50" i="114"/>
  <c r="J50" i="114" s="1"/>
  <c r="L50" i="114" s="1"/>
  <c r="U50" i="127"/>
  <c r="M50" i="127"/>
  <c r="V50" i="127" s="1"/>
  <c r="H50" i="85"/>
  <c r="I50" i="85" s="1"/>
  <c r="K50" i="85" s="1"/>
  <c r="T50" i="33"/>
  <c r="W50" i="33"/>
  <c r="H50" i="88"/>
  <c r="I50" i="88" s="1"/>
  <c r="K50" i="88" s="1"/>
  <c r="AD50" i="33"/>
  <c r="I50" i="83"/>
  <c r="P50" i="83" s="1"/>
  <c r="U50" i="128"/>
  <c r="M50" i="128"/>
  <c r="V50" i="128" s="1"/>
  <c r="P50" i="33"/>
  <c r="I50" i="119"/>
  <c r="J50" i="119" s="1"/>
  <c r="L50" i="119" s="1"/>
  <c r="I50" i="115"/>
  <c r="J50" i="115" s="1"/>
  <c r="L50" i="115" s="1"/>
  <c r="L50" i="33"/>
  <c r="M50" i="130"/>
  <c r="V50" i="130" s="1"/>
  <c r="U50" i="130"/>
  <c r="E47" i="80"/>
  <c r="H47" i="80" s="1"/>
  <c r="J47" i="80" s="1"/>
  <c r="K47" i="80" s="1"/>
  <c r="M47" i="80" s="1"/>
  <c r="X50" i="33"/>
  <c r="H50" i="89"/>
  <c r="I50" i="89" s="1"/>
  <c r="K50" i="89" s="1"/>
  <c r="J50" i="90"/>
  <c r="K50" i="90" s="1"/>
  <c r="M50" i="90" s="1"/>
  <c r="AA50" i="33"/>
  <c r="AD39" i="33"/>
  <c r="I39" i="83"/>
  <c r="P39" i="83" s="1"/>
  <c r="Q39" i="33"/>
  <c r="I39" i="120"/>
  <c r="J39" i="120" s="1"/>
  <c r="L39" i="120" s="1"/>
  <c r="M39" i="33"/>
  <c r="I39" i="116"/>
  <c r="J39" i="116" s="1"/>
  <c r="L39" i="116" s="1"/>
  <c r="U39" i="131"/>
  <c r="M39" i="131"/>
  <c r="V39" i="131" s="1"/>
  <c r="Z39" i="33"/>
  <c r="H39" i="92"/>
  <c r="I39" i="92" s="1"/>
  <c r="K39" i="92" s="1"/>
  <c r="U39" i="126"/>
  <c r="M39" i="126"/>
  <c r="V39" i="126" s="1"/>
  <c r="Y39" i="33"/>
  <c r="H39" i="91"/>
  <c r="I39" i="91" s="1"/>
  <c r="K39" i="91" s="1"/>
  <c r="U39" i="33"/>
  <c r="H39" i="86"/>
  <c r="I39" i="86" s="1"/>
  <c r="K39" i="86" s="1"/>
  <c r="I39" i="113"/>
  <c r="J39" i="113" s="1"/>
  <c r="L39" i="113" s="1"/>
  <c r="O39" i="113" s="1"/>
  <c r="J39" i="33"/>
  <c r="N39" i="33"/>
  <c r="I39" i="117"/>
  <c r="J39" i="117" s="1"/>
  <c r="L39" i="117" s="1"/>
  <c r="O39" i="117" s="1"/>
  <c r="W39" i="117" s="1"/>
  <c r="M39" i="125"/>
  <c r="V39" i="125" s="1"/>
  <c r="U39" i="125"/>
  <c r="H39" i="85"/>
  <c r="I39" i="85" s="1"/>
  <c r="K39" i="85" s="1"/>
  <c r="T39" i="33"/>
  <c r="U39" i="127"/>
  <c r="M39" i="127"/>
  <c r="V39" i="127" s="1"/>
  <c r="J39" i="90"/>
  <c r="K39" i="90" s="1"/>
  <c r="M39" i="90" s="1"/>
  <c r="AA39" i="33"/>
  <c r="V39" i="33"/>
  <c r="H39" i="87"/>
  <c r="I39" i="87" s="1"/>
  <c r="K39" i="87" s="1"/>
  <c r="N39" i="87" s="1"/>
  <c r="V39" i="87" s="1"/>
  <c r="Q63" i="33"/>
  <c r="I63" i="120"/>
  <c r="J63" i="120" s="1"/>
  <c r="L63" i="120" s="1"/>
  <c r="M63" i="33"/>
  <c r="I63" i="116"/>
  <c r="J63" i="116" s="1"/>
  <c r="L63" i="116" s="1"/>
  <c r="U63" i="131"/>
  <c r="M63" i="131"/>
  <c r="V63" i="131" s="1"/>
  <c r="T63" i="33"/>
  <c r="H63" i="85"/>
  <c r="I63" i="85" s="1"/>
  <c r="K63" i="85" s="1"/>
  <c r="M63" i="126"/>
  <c r="V63" i="126" s="1"/>
  <c r="U63" i="126"/>
  <c r="H63" i="92"/>
  <c r="I63" i="92" s="1"/>
  <c r="K63" i="92" s="1"/>
  <c r="Z63" i="33"/>
  <c r="V63" i="33"/>
  <c r="H63" i="87"/>
  <c r="I63" i="87" s="1"/>
  <c r="K63" i="87" s="1"/>
  <c r="N63" i="87" s="1"/>
  <c r="V63" i="87" s="1"/>
  <c r="AD63" i="33"/>
  <c r="I63" i="83"/>
  <c r="P63" i="83" s="1"/>
  <c r="I63" i="119"/>
  <c r="J63" i="119" s="1"/>
  <c r="L63" i="119" s="1"/>
  <c r="P63" i="33"/>
  <c r="I63" i="115"/>
  <c r="J63" i="115" s="1"/>
  <c r="L63" i="115" s="1"/>
  <c r="L63" i="33"/>
  <c r="U63" i="130"/>
  <c r="M63" i="130"/>
  <c r="V63" i="130" s="1"/>
  <c r="U63" i="129"/>
  <c r="M63" i="129"/>
  <c r="V63" i="129" s="1"/>
  <c r="E60" i="76"/>
  <c r="H60" i="76" s="1"/>
  <c r="J60" i="76" s="1"/>
  <c r="K60" i="76" s="1"/>
  <c r="M60" i="76" s="1"/>
  <c r="H63" i="91"/>
  <c r="I63" i="91" s="1"/>
  <c r="K63" i="91" s="1"/>
  <c r="Y63" i="33"/>
  <c r="U63" i="33"/>
  <c r="H63" i="86"/>
  <c r="I63" i="86" s="1"/>
  <c r="K63" i="86" s="1"/>
  <c r="AD29" i="33"/>
  <c r="I29" i="83"/>
  <c r="P29" i="83" s="1"/>
  <c r="Q29" i="33"/>
  <c r="I29" i="120"/>
  <c r="J29" i="120" s="1"/>
  <c r="L29" i="120" s="1"/>
  <c r="I29" i="116"/>
  <c r="J29" i="116" s="1"/>
  <c r="L29" i="116" s="1"/>
  <c r="M29" i="33"/>
  <c r="M29" i="131"/>
  <c r="V29" i="131" s="1"/>
  <c r="U29" i="131"/>
  <c r="H29" i="92"/>
  <c r="I29" i="92" s="1"/>
  <c r="K29" i="92" s="1"/>
  <c r="Z29" i="33"/>
  <c r="U29" i="126"/>
  <c r="M29" i="126"/>
  <c r="V29" i="126" s="1"/>
  <c r="Y29" i="33"/>
  <c r="H29" i="91"/>
  <c r="I29" i="91" s="1"/>
  <c r="K29" i="91" s="1"/>
  <c r="U29" i="33"/>
  <c r="H29" i="86"/>
  <c r="I29" i="86" s="1"/>
  <c r="K29" i="86" s="1"/>
  <c r="I29" i="113"/>
  <c r="J29" i="113" s="1"/>
  <c r="L29" i="113" s="1"/>
  <c r="O29" i="113" s="1"/>
  <c r="J29" i="33"/>
  <c r="N29" i="33"/>
  <c r="I29" i="117"/>
  <c r="J29" i="117" s="1"/>
  <c r="L29" i="117" s="1"/>
  <c r="O29" i="117" s="1"/>
  <c r="W29" i="117" s="1"/>
  <c r="U29" i="125"/>
  <c r="M29" i="125"/>
  <c r="V29" i="125" s="1"/>
  <c r="H29" i="85"/>
  <c r="I29" i="85" s="1"/>
  <c r="K29" i="85" s="1"/>
  <c r="T29" i="33"/>
  <c r="U29" i="127"/>
  <c r="M29" i="127"/>
  <c r="V29" i="127" s="1"/>
  <c r="J29" i="90"/>
  <c r="K29" i="90" s="1"/>
  <c r="M29" i="90" s="1"/>
  <c r="AA29" i="33"/>
  <c r="V29" i="33"/>
  <c r="H29" i="87"/>
  <c r="I29" i="87" s="1"/>
  <c r="K29" i="87" s="1"/>
  <c r="N29" i="87" s="1"/>
  <c r="V29" i="87" s="1"/>
  <c r="AE25" i="33"/>
  <c r="M25" i="84"/>
  <c r="I25" i="84"/>
  <c r="N25" i="84" s="1"/>
  <c r="P25" i="33"/>
  <c r="I25" i="119"/>
  <c r="J25" i="119" s="1"/>
  <c r="L25" i="119" s="1"/>
  <c r="L25" i="33"/>
  <c r="I25" i="115"/>
  <c r="J25" i="115" s="1"/>
  <c r="L25" i="115" s="1"/>
  <c r="U25" i="130"/>
  <c r="M25" i="130"/>
  <c r="V25" i="130" s="1"/>
  <c r="U25" i="129"/>
  <c r="M25" i="129"/>
  <c r="V25" i="129" s="1"/>
  <c r="E22" i="76"/>
  <c r="H22" i="76" s="1"/>
  <c r="J22" i="76" s="1"/>
  <c r="K22" i="76" s="1"/>
  <c r="M22" i="76" s="1"/>
  <c r="H25" i="89"/>
  <c r="I25" i="89" s="1"/>
  <c r="K25" i="89" s="1"/>
  <c r="X25" i="33"/>
  <c r="AD25" i="33"/>
  <c r="I25" i="83"/>
  <c r="P25" i="83" s="1"/>
  <c r="Q25" i="33"/>
  <c r="I25" i="120"/>
  <c r="J25" i="120" s="1"/>
  <c r="L25" i="120" s="1"/>
  <c r="M25" i="33"/>
  <c r="I25" i="116"/>
  <c r="J25" i="116" s="1"/>
  <c r="L25" i="116" s="1"/>
  <c r="M25" i="131"/>
  <c r="V25" i="131" s="1"/>
  <c r="U25" i="131"/>
  <c r="H25" i="92"/>
  <c r="I25" i="92" s="1"/>
  <c r="K25" i="92" s="1"/>
  <c r="Z25" i="33"/>
  <c r="M25" i="126"/>
  <c r="V25" i="126" s="1"/>
  <c r="U25" i="126"/>
  <c r="H25" i="91"/>
  <c r="I25" i="91" s="1"/>
  <c r="K25" i="91" s="1"/>
  <c r="Y25" i="33"/>
  <c r="H25" i="86"/>
  <c r="I25" i="86" s="1"/>
  <c r="K25" i="86" s="1"/>
  <c r="U25" i="33"/>
  <c r="AB57" i="33"/>
  <c r="M57" i="99"/>
  <c r="I57" i="99"/>
  <c r="N57" i="99" s="1"/>
  <c r="I57" i="118"/>
  <c r="J57" i="118" s="1"/>
  <c r="L57" i="118" s="1"/>
  <c r="O57" i="33"/>
  <c r="I57" i="114"/>
  <c r="J57" i="114" s="1"/>
  <c r="L57" i="114" s="1"/>
  <c r="K57" i="33"/>
  <c r="AE57" i="33"/>
  <c r="I57" i="84"/>
  <c r="N57" i="84" s="1"/>
  <c r="M57" i="84"/>
  <c r="U57" i="128"/>
  <c r="M57" i="128"/>
  <c r="V57" i="128" s="1"/>
  <c r="E54" i="80"/>
  <c r="H54" i="80" s="1"/>
  <c r="J54" i="80" s="1"/>
  <c r="K54" i="80" s="1"/>
  <c r="M54" i="80" s="1"/>
  <c r="H57" i="89"/>
  <c r="I57" i="89" s="1"/>
  <c r="K57" i="89" s="1"/>
  <c r="X57" i="33"/>
  <c r="AD57" i="33"/>
  <c r="I57" i="83"/>
  <c r="P57" i="83" s="1"/>
  <c r="P57" i="33"/>
  <c r="I57" i="119"/>
  <c r="J57" i="119" s="1"/>
  <c r="L57" i="119" s="1"/>
  <c r="I57" i="115"/>
  <c r="J57" i="115" s="1"/>
  <c r="L57" i="115" s="1"/>
  <c r="L57" i="33"/>
  <c r="U57" i="130"/>
  <c r="M57" i="130"/>
  <c r="V57" i="130" s="1"/>
  <c r="M57" i="129"/>
  <c r="V57" i="129" s="1"/>
  <c r="U57" i="129"/>
  <c r="E54" i="76"/>
  <c r="H54" i="76" s="1"/>
  <c r="J54" i="76" s="1"/>
  <c r="K54" i="76" s="1"/>
  <c r="M54" i="76" s="1"/>
  <c r="H57" i="91"/>
  <c r="I57" i="91" s="1"/>
  <c r="K57" i="91" s="1"/>
  <c r="Y57" i="33"/>
  <c r="U57" i="33"/>
  <c r="H57" i="86"/>
  <c r="I57" i="86" s="1"/>
  <c r="K57" i="86" s="1"/>
  <c r="AE58" i="33"/>
  <c r="M58" i="84"/>
  <c r="I58" i="84"/>
  <c r="N58" i="84" s="1"/>
  <c r="M58" i="99"/>
  <c r="AB58" i="33"/>
  <c r="I58" i="99"/>
  <c r="N58" i="99" s="1"/>
  <c r="O58" i="33"/>
  <c r="I58" i="118"/>
  <c r="J58" i="118" s="1"/>
  <c r="L58" i="118" s="1"/>
  <c r="K58" i="33"/>
  <c r="I58" i="114"/>
  <c r="J58" i="114" s="1"/>
  <c r="L58" i="114" s="1"/>
  <c r="M58" i="127"/>
  <c r="V58" i="127" s="1"/>
  <c r="U58" i="127"/>
  <c r="T58" i="33"/>
  <c r="H58" i="85"/>
  <c r="I58" i="85" s="1"/>
  <c r="K58" i="85" s="1"/>
  <c r="H58" i="88"/>
  <c r="I58" i="88" s="1"/>
  <c r="K58" i="88" s="1"/>
  <c r="W58" i="33"/>
  <c r="AD58" i="33"/>
  <c r="I58" i="83"/>
  <c r="P58" i="83" s="1"/>
  <c r="U58" i="128"/>
  <c r="M58" i="128"/>
  <c r="V58" i="128" s="1"/>
  <c r="P58" i="33"/>
  <c r="I58" i="119"/>
  <c r="J58" i="119" s="1"/>
  <c r="L58" i="119" s="1"/>
  <c r="I58" i="115"/>
  <c r="J58" i="115" s="1"/>
  <c r="L58" i="115" s="1"/>
  <c r="L58" i="33"/>
  <c r="M58" i="130"/>
  <c r="V58" i="130" s="1"/>
  <c r="U58" i="130"/>
  <c r="E55" i="80"/>
  <c r="H55" i="80" s="1"/>
  <c r="J55" i="80" s="1"/>
  <c r="K55" i="80" s="1"/>
  <c r="M55" i="80" s="1"/>
  <c r="H58" i="89"/>
  <c r="I58" i="89" s="1"/>
  <c r="K58" i="89" s="1"/>
  <c r="X58" i="33"/>
  <c r="J58" i="90"/>
  <c r="K58" i="90" s="1"/>
  <c r="M58" i="90" s="1"/>
  <c r="AA58" i="33"/>
  <c r="AD21" i="33"/>
  <c r="I21" i="83"/>
  <c r="P21" i="83" s="1"/>
  <c r="I21" i="120"/>
  <c r="J21" i="120" s="1"/>
  <c r="L21" i="120" s="1"/>
  <c r="Q21" i="33"/>
  <c r="I21" i="116"/>
  <c r="J21" i="116" s="1"/>
  <c r="L21" i="116" s="1"/>
  <c r="M21" i="33"/>
  <c r="M21" i="131"/>
  <c r="V21" i="131" s="1"/>
  <c r="U21" i="131"/>
  <c r="Z21" i="33"/>
  <c r="H21" i="92"/>
  <c r="I21" i="92" s="1"/>
  <c r="K21" i="92" s="1"/>
  <c r="U21" i="126"/>
  <c r="M21" i="126"/>
  <c r="V21" i="126" s="1"/>
  <c r="Y21" i="33"/>
  <c r="H21" i="91"/>
  <c r="I21" i="91" s="1"/>
  <c r="K21" i="91" s="1"/>
  <c r="H21" i="86"/>
  <c r="I21" i="86" s="1"/>
  <c r="K21" i="86" s="1"/>
  <c r="U21" i="33"/>
  <c r="J21" i="33"/>
  <c r="I21" i="113"/>
  <c r="J21" i="113" s="1"/>
  <c r="L21" i="113" s="1"/>
  <c r="O21" i="113" s="1"/>
  <c r="I21" i="117"/>
  <c r="J21" i="117" s="1"/>
  <c r="L21" i="117" s="1"/>
  <c r="O21" i="117" s="1"/>
  <c r="W21" i="117" s="1"/>
  <c r="N21" i="33"/>
  <c r="M21" i="125"/>
  <c r="V21" i="125" s="1"/>
  <c r="U21" i="125"/>
  <c r="H21" i="85"/>
  <c r="I21" i="85" s="1"/>
  <c r="K21" i="85" s="1"/>
  <c r="T21" i="33"/>
  <c r="U21" i="127"/>
  <c r="M21" i="127"/>
  <c r="V21" i="127" s="1"/>
  <c r="J21" i="90"/>
  <c r="K21" i="90" s="1"/>
  <c r="M21" i="90" s="1"/>
  <c r="AA21" i="33"/>
  <c r="V21" i="33"/>
  <c r="H21" i="87"/>
  <c r="I21" i="87" s="1"/>
  <c r="K21" i="87" s="1"/>
  <c r="N21" i="87" s="1"/>
  <c r="V21" i="87" s="1"/>
  <c r="AD60" i="33"/>
  <c r="I60" i="83"/>
  <c r="P60" i="83" s="1"/>
  <c r="J60" i="33"/>
  <c r="I60" i="113"/>
  <c r="J60" i="113" s="1"/>
  <c r="L60" i="113" s="1"/>
  <c r="O60" i="113" s="1"/>
  <c r="I60" i="117"/>
  <c r="J60" i="117" s="1"/>
  <c r="L60" i="117" s="1"/>
  <c r="O60" i="117" s="1"/>
  <c r="W60" i="117" s="1"/>
  <c r="N60" i="33"/>
  <c r="M60" i="125"/>
  <c r="V60" i="125" s="1"/>
  <c r="U60" i="125"/>
  <c r="U60" i="128"/>
  <c r="M60" i="128"/>
  <c r="V60" i="128" s="1"/>
  <c r="E57" i="80"/>
  <c r="H57" i="80" s="1"/>
  <c r="J57" i="80" s="1"/>
  <c r="K57" i="80" s="1"/>
  <c r="M57" i="80" s="1"/>
  <c r="X60" i="33"/>
  <c r="H60" i="89"/>
  <c r="I60" i="89" s="1"/>
  <c r="K60" i="89" s="1"/>
  <c r="AA60" i="33"/>
  <c r="J60" i="90"/>
  <c r="K60" i="90" s="1"/>
  <c r="M60" i="90" s="1"/>
  <c r="AB60" i="33"/>
  <c r="I60" i="99"/>
  <c r="N60" i="99" s="1"/>
  <c r="M60" i="99"/>
  <c r="O60" i="33"/>
  <c r="I60" i="118"/>
  <c r="J60" i="118" s="1"/>
  <c r="L60" i="118" s="1"/>
  <c r="K60" i="33"/>
  <c r="I60" i="114"/>
  <c r="J60" i="114" s="1"/>
  <c r="L60" i="114" s="1"/>
  <c r="U60" i="129"/>
  <c r="M60" i="129"/>
  <c r="V60" i="129" s="1"/>
  <c r="E57" i="76"/>
  <c r="H57" i="76" s="1"/>
  <c r="J57" i="76" s="1"/>
  <c r="K57" i="76" s="1"/>
  <c r="M57" i="76" s="1"/>
  <c r="Y60" i="33"/>
  <c r="H60" i="91"/>
  <c r="I60" i="91" s="1"/>
  <c r="K60" i="91" s="1"/>
  <c r="H60" i="86"/>
  <c r="I60" i="86" s="1"/>
  <c r="K60" i="86" s="1"/>
  <c r="U60" i="33"/>
  <c r="AE18" i="33"/>
  <c r="I18" i="84"/>
  <c r="N18" i="84" s="1"/>
  <c r="M18" i="84"/>
  <c r="J18" i="33"/>
  <c r="I18" i="113"/>
  <c r="J18" i="113" s="1"/>
  <c r="L18" i="113" s="1"/>
  <c r="O18" i="113" s="1"/>
  <c r="N18" i="33"/>
  <c r="I18" i="117"/>
  <c r="J18" i="117" s="1"/>
  <c r="L18" i="117" s="1"/>
  <c r="O18" i="117" s="1"/>
  <c r="W18" i="117" s="1"/>
  <c r="M18" i="125"/>
  <c r="V18" i="125" s="1"/>
  <c r="U18" i="125"/>
  <c r="M18" i="127"/>
  <c r="V18" i="127" s="1"/>
  <c r="U18" i="127"/>
  <c r="T18" i="33"/>
  <c r="H18" i="85"/>
  <c r="I18" i="85" s="1"/>
  <c r="K18" i="85" s="1"/>
  <c r="H18" i="88"/>
  <c r="I18" i="88" s="1"/>
  <c r="K18" i="88" s="1"/>
  <c r="W18" i="33"/>
  <c r="AD18" i="33"/>
  <c r="I18" i="83"/>
  <c r="P18" i="83" s="1"/>
  <c r="AB18" i="33"/>
  <c r="I18" i="99"/>
  <c r="N18" i="99" s="1"/>
  <c r="M18" i="99"/>
  <c r="O18" i="33"/>
  <c r="I18" i="118"/>
  <c r="J18" i="118" s="1"/>
  <c r="L18" i="118" s="1"/>
  <c r="K18" i="33"/>
  <c r="I18" i="114"/>
  <c r="J18" i="114" s="1"/>
  <c r="L18" i="114" s="1"/>
  <c r="M18" i="129"/>
  <c r="V18" i="129" s="1"/>
  <c r="U18" i="129"/>
  <c r="E15" i="80"/>
  <c r="H15" i="80" s="1"/>
  <c r="J15" i="80" s="1"/>
  <c r="K15" i="80" s="1"/>
  <c r="M15" i="80" s="1"/>
  <c r="H18" i="89"/>
  <c r="I18" i="89" s="1"/>
  <c r="K18" i="89" s="1"/>
  <c r="X18" i="33"/>
  <c r="J18" i="90"/>
  <c r="K18" i="90" s="1"/>
  <c r="M18" i="90" s="1"/>
  <c r="AA18" i="33"/>
  <c r="I61" i="120"/>
  <c r="J61" i="120" s="1"/>
  <c r="L61" i="120" s="1"/>
  <c r="Q61" i="33"/>
  <c r="I61" i="116"/>
  <c r="J61" i="116" s="1"/>
  <c r="L61" i="116" s="1"/>
  <c r="M61" i="33"/>
  <c r="U61" i="131"/>
  <c r="M61" i="131"/>
  <c r="V61" i="131" s="1"/>
  <c r="H61" i="85"/>
  <c r="I61" i="85" s="1"/>
  <c r="K61" i="85" s="1"/>
  <c r="T61" i="33"/>
  <c r="M61" i="126"/>
  <c r="V61" i="126" s="1"/>
  <c r="U61" i="126"/>
  <c r="Z61" i="33"/>
  <c r="H61" i="92"/>
  <c r="I61" i="92" s="1"/>
  <c r="K61" i="92" s="1"/>
  <c r="H61" i="87"/>
  <c r="I61" i="87" s="1"/>
  <c r="K61" i="87" s="1"/>
  <c r="N61" i="87" s="1"/>
  <c r="V61" i="87" s="1"/>
  <c r="V61" i="33"/>
  <c r="AD61" i="33"/>
  <c r="I61" i="83"/>
  <c r="P61" i="83" s="1"/>
  <c r="I61" i="119"/>
  <c r="J61" i="119" s="1"/>
  <c r="L61" i="119" s="1"/>
  <c r="P61" i="33"/>
  <c r="I61" i="115"/>
  <c r="J61" i="115" s="1"/>
  <c r="L61" i="115" s="1"/>
  <c r="L61" i="33"/>
  <c r="U61" i="130"/>
  <c r="M61" i="130"/>
  <c r="V61" i="130" s="1"/>
  <c r="U61" i="129"/>
  <c r="M61" i="129"/>
  <c r="V61" i="129" s="1"/>
  <c r="E58" i="76"/>
  <c r="H58" i="76" s="1"/>
  <c r="J58" i="76" s="1"/>
  <c r="K58" i="76" s="1"/>
  <c r="M58" i="76" s="1"/>
  <c r="H61" i="91"/>
  <c r="I61" i="91" s="1"/>
  <c r="K61" i="91" s="1"/>
  <c r="Y61" i="33"/>
  <c r="U61" i="33"/>
  <c r="H61" i="86"/>
  <c r="I61" i="86" s="1"/>
  <c r="K61" i="86" s="1"/>
  <c r="CF44" i="1"/>
  <c r="CD44" i="1"/>
  <c r="J54" i="67"/>
  <c r="K54" i="67" s="1"/>
  <c r="W54" i="67" s="1"/>
  <c r="T54" i="67"/>
  <c r="M54" i="129"/>
  <c r="V54" i="129" s="1"/>
  <c r="U54" i="129"/>
  <c r="Q54" i="33"/>
  <c r="I54" i="120"/>
  <c r="J54" i="120" s="1"/>
  <c r="L54" i="120" s="1"/>
  <c r="I54" i="116"/>
  <c r="J54" i="116" s="1"/>
  <c r="L54" i="116" s="1"/>
  <c r="M54" i="33"/>
  <c r="U54" i="131"/>
  <c r="M54" i="131"/>
  <c r="V54" i="131" s="1"/>
  <c r="E51" i="76"/>
  <c r="H51" i="76" s="1"/>
  <c r="J51" i="76" s="1"/>
  <c r="K51" i="76" s="1"/>
  <c r="M51" i="76" s="1"/>
  <c r="Y54" i="33"/>
  <c r="H54" i="91"/>
  <c r="I54" i="91" s="1"/>
  <c r="K54" i="91" s="1"/>
  <c r="U54" i="33"/>
  <c r="H54" i="86"/>
  <c r="I54" i="86" s="1"/>
  <c r="K54" i="86" s="1"/>
  <c r="M54" i="98"/>
  <c r="AC54" i="33"/>
  <c r="I54" i="98"/>
  <c r="N54" i="98" s="1"/>
  <c r="I54" i="113"/>
  <c r="J54" i="113" s="1"/>
  <c r="L54" i="113" s="1"/>
  <c r="O54" i="113" s="1"/>
  <c r="J54" i="33"/>
  <c r="I54" i="117"/>
  <c r="J54" i="117" s="1"/>
  <c r="L54" i="117" s="1"/>
  <c r="O54" i="117" s="1"/>
  <c r="W54" i="117" s="1"/>
  <c r="N54" i="33"/>
  <c r="M54" i="125"/>
  <c r="V54" i="125" s="1"/>
  <c r="U54" i="125"/>
  <c r="U54" i="126"/>
  <c r="M54" i="126"/>
  <c r="V54" i="126" s="1"/>
  <c r="Z54" i="33"/>
  <c r="H54" i="92"/>
  <c r="I54" i="92" s="1"/>
  <c r="K54" i="92" s="1"/>
  <c r="V54" i="33"/>
  <c r="H54" i="87"/>
  <c r="I54" i="87" s="1"/>
  <c r="K54" i="87" s="1"/>
  <c r="N54" i="87" s="1"/>
  <c r="V54" i="87" s="1"/>
  <c r="T15" i="67"/>
  <c r="J15" i="67"/>
  <c r="K15" i="67" s="1"/>
  <c r="W15" i="67" s="1"/>
  <c r="E30" i="46"/>
  <c r="E31" i="46" s="1"/>
  <c r="H28" i="46"/>
  <c r="O15" i="33"/>
  <c r="I15" i="118"/>
  <c r="J15" i="118" s="1"/>
  <c r="L15" i="118" s="1"/>
  <c r="K15" i="33"/>
  <c r="I15" i="114"/>
  <c r="J15" i="114" s="1"/>
  <c r="L15" i="114" s="1"/>
  <c r="M15" i="129"/>
  <c r="V15" i="129" s="1"/>
  <c r="U15" i="129"/>
  <c r="T15" i="33"/>
  <c r="H15" i="85"/>
  <c r="I15" i="85" s="1"/>
  <c r="K15" i="85" s="1"/>
  <c r="M15" i="126"/>
  <c r="V15" i="126" s="1"/>
  <c r="U15" i="126"/>
  <c r="H15" i="91"/>
  <c r="I15" i="91" s="1"/>
  <c r="K15" i="91" s="1"/>
  <c r="Y15" i="33"/>
  <c r="H15" i="86"/>
  <c r="I15" i="86" s="1"/>
  <c r="K15" i="86" s="1"/>
  <c r="U15" i="33"/>
  <c r="M15" i="99"/>
  <c r="I15" i="99"/>
  <c r="N15" i="99" s="1"/>
  <c r="AB15" i="33"/>
  <c r="P15" i="33"/>
  <c r="I15" i="119"/>
  <c r="J15" i="119" s="1"/>
  <c r="L15" i="119" s="1"/>
  <c r="I15" i="115"/>
  <c r="J15" i="115" s="1"/>
  <c r="L15" i="115" s="1"/>
  <c r="L15" i="33"/>
  <c r="M15" i="130"/>
  <c r="V15" i="130" s="1"/>
  <c r="U15" i="130"/>
  <c r="J29" i="46"/>
  <c r="J30" i="46" s="1"/>
  <c r="I29" i="46"/>
  <c r="M15" i="127"/>
  <c r="V15" i="127" s="1"/>
  <c r="U15" i="127"/>
  <c r="J15" i="90"/>
  <c r="K15" i="90" s="1"/>
  <c r="M15" i="90" s="1"/>
  <c r="AA15" i="33"/>
  <c r="V15" i="33"/>
  <c r="H15" i="87"/>
  <c r="I15" i="87" s="1"/>
  <c r="K15" i="87" s="1"/>
  <c r="N15" i="87" s="1"/>
  <c r="V15" i="87" s="1"/>
  <c r="AE9" i="33"/>
  <c r="M9" i="84"/>
  <c r="I9" i="84"/>
  <c r="N9" i="84" s="1"/>
  <c r="P9" i="33"/>
  <c r="I9" i="119"/>
  <c r="J9" i="119" s="1"/>
  <c r="L9" i="119" s="1"/>
  <c r="I9" i="115"/>
  <c r="J9" i="115" s="1"/>
  <c r="L9" i="115" s="1"/>
  <c r="L9" i="33"/>
  <c r="U9" i="130"/>
  <c r="M9" i="130"/>
  <c r="V9" i="130" s="1"/>
  <c r="Z9" i="33"/>
  <c r="H9" i="92"/>
  <c r="I9" i="92" s="1"/>
  <c r="K9" i="92" s="1"/>
  <c r="E6" i="76"/>
  <c r="H6" i="76" s="1"/>
  <c r="J6" i="76" s="1"/>
  <c r="K6" i="76" s="1"/>
  <c r="M6" i="76" s="1"/>
  <c r="X9" i="33"/>
  <c r="H9" i="89"/>
  <c r="I9" i="89" s="1"/>
  <c r="K9" i="89" s="1"/>
  <c r="AD9" i="33"/>
  <c r="I9" i="83"/>
  <c r="P9" i="83" s="1"/>
  <c r="Q9" i="33"/>
  <c r="I9" i="120"/>
  <c r="J9" i="120" s="1"/>
  <c r="L9" i="120" s="1"/>
  <c r="I9" i="116"/>
  <c r="J9" i="116" s="1"/>
  <c r="L9" i="116" s="1"/>
  <c r="M9" i="33"/>
  <c r="M9" i="131"/>
  <c r="V9" i="131" s="1"/>
  <c r="U9" i="131"/>
  <c r="T9" i="33"/>
  <c r="H9" i="85"/>
  <c r="I9" i="85" s="1"/>
  <c r="K9" i="85" s="1"/>
  <c r="U9" i="126"/>
  <c r="M9" i="126"/>
  <c r="V9" i="126" s="1"/>
  <c r="H9" i="91"/>
  <c r="I9" i="91" s="1"/>
  <c r="K9" i="91" s="1"/>
  <c r="Y9" i="33"/>
  <c r="H9" i="86"/>
  <c r="I9" i="86" s="1"/>
  <c r="K9" i="86" s="1"/>
  <c r="U9" i="33"/>
  <c r="AD28" i="33"/>
  <c r="I28" i="83"/>
  <c r="P28" i="83" s="1"/>
  <c r="I28" i="113"/>
  <c r="J28" i="113" s="1"/>
  <c r="L28" i="113" s="1"/>
  <c r="O28" i="113" s="1"/>
  <c r="J28" i="33"/>
  <c r="I28" i="117"/>
  <c r="J28" i="117" s="1"/>
  <c r="L28" i="117" s="1"/>
  <c r="O28" i="117" s="1"/>
  <c r="W28" i="117" s="1"/>
  <c r="N28" i="33"/>
  <c r="U28" i="125"/>
  <c r="M28" i="125"/>
  <c r="V28" i="125" s="1"/>
  <c r="M28" i="128"/>
  <c r="V28" i="128" s="1"/>
  <c r="U28" i="128"/>
  <c r="E25" i="80"/>
  <c r="H25" i="80" s="1"/>
  <c r="X28" i="33"/>
  <c r="H28" i="89"/>
  <c r="I28" i="89" s="1"/>
  <c r="K28" i="89" s="1"/>
  <c r="AA28" i="33"/>
  <c r="J28" i="90"/>
  <c r="K28" i="90" s="1"/>
  <c r="M28" i="90" s="1"/>
  <c r="M28" i="99"/>
  <c r="AB28" i="33"/>
  <c r="I28" i="99"/>
  <c r="N28" i="99" s="1"/>
  <c r="I28" i="118"/>
  <c r="J28" i="118" s="1"/>
  <c r="L28" i="118" s="1"/>
  <c r="O28" i="33"/>
  <c r="I28" i="114"/>
  <c r="J28" i="114" s="1"/>
  <c r="L28" i="114" s="1"/>
  <c r="K28" i="33"/>
  <c r="M28" i="129"/>
  <c r="V28" i="129" s="1"/>
  <c r="U28" i="129"/>
  <c r="E25" i="76"/>
  <c r="H25" i="76" s="1"/>
  <c r="J25" i="76" s="1"/>
  <c r="K25" i="76" s="1"/>
  <c r="M25" i="76" s="1"/>
  <c r="Y28" i="33"/>
  <c r="H28" i="91"/>
  <c r="I28" i="91" s="1"/>
  <c r="K28" i="91" s="1"/>
  <c r="U28" i="33"/>
  <c r="H28" i="86"/>
  <c r="I28" i="86" s="1"/>
  <c r="K28" i="86" s="1"/>
  <c r="AE11" i="33"/>
  <c r="M11" i="84"/>
  <c r="I11" i="84"/>
  <c r="N11" i="84" s="1"/>
  <c r="P11" i="33"/>
  <c r="I11" i="119"/>
  <c r="J11" i="119" s="1"/>
  <c r="L11" i="119" s="1"/>
  <c r="L11" i="33"/>
  <c r="I11" i="115"/>
  <c r="J11" i="115" s="1"/>
  <c r="L11" i="115" s="1"/>
  <c r="M11" i="130"/>
  <c r="V11" i="130" s="1"/>
  <c r="U11" i="130"/>
  <c r="H11" i="92"/>
  <c r="I11" i="92" s="1"/>
  <c r="K11" i="92" s="1"/>
  <c r="Z11" i="33"/>
  <c r="E8" i="76"/>
  <c r="H8" i="76" s="1"/>
  <c r="J8" i="76" s="1"/>
  <c r="K8" i="76" s="1"/>
  <c r="M8" i="76" s="1"/>
  <c r="H11" i="89"/>
  <c r="I11" i="89" s="1"/>
  <c r="K11" i="89" s="1"/>
  <c r="X11" i="33"/>
  <c r="AD11" i="33"/>
  <c r="I11" i="83"/>
  <c r="P11" i="83" s="1"/>
  <c r="Q11" i="33"/>
  <c r="I11" i="120"/>
  <c r="J11" i="120" s="1"/>
  <c r="L11" i="120" s="1"/>
  <c r="I11" i="116"/>
  <c r="J11" i="116" s="1"/>
  <c r="L11" i="116" s="1"/>
  <c r="M11" i="33"/>
  <c r="U11" i="131"/>
  <c r="M11" i="131"/>
  <c r="V11" i="131" s="1"/>
  <c r="H11" i="85"/>
  <c r="I11" i="85" s="1"/>
  <c r="K11" i="85" s="1"/>
  <c r="T11" i="33"/>
  <c r="M11" i="126"/>
  <c r="V11" i="126" s="1"/>
  <c r="U11" i="126"/>
  <c r="Y11" i="33"/>
  <c r="H11" i="91"/>
  <c r="I11" i="91" s="1"/>
  <c r="K11" i="91" s="1"/>
  <c r="H11" i="86"/>
  <c r="I11" i="86" s="1"/>
  <c r="K11" i="86" s="1"/>
  <c r="U11" i="33"/>
  <c r="AD45" i="33"/>
  <c r="I45" i="83"/>
  <c r="P45" i="83" s="1"/>
  <c r="Q45" i="33"/>
  <c r="I45" i="120"/>
  <c r="J45" i="120" s="1"/>
  <c r="L45" i="120" s="1"/>
  <c r="M45" i="33"/>
  <c r="I45" i="116"/>
  <c r="J45" i="116" s="1"/>
  <c r="L45" i="116" s="1"/>
  <c r="U45" i="131"/>
  <c r="M45" i="131"/>
  <c r="V45" i="131" s="1"/>
  <c r="E24" i="46"/>
  <c r="H21" i="46"/>
  <c r="H24" i="46" s="1"/>
  <c r="M45" i="128"/>
  <c r="V45" i="128" s="1"/>
  <c r="U45" i="128"/>
  <c r="E42" i="80"/>
  <c r="H42" i="80" s="1"/>
  <c r="J42" i="80" s="1"/>
  <c r="K42" i="80" s="1"/>
  <c r="M42" i="80" s="1"/>
  <c r="W45" i="33"/>
  <c r="H45" i="88"/>
  <c r="I45" i="88" s="1"/>
  <c r="K45" i="88" s="1"/>
  <c r="M45" i="99"/>
  <c r="AB45" i="33"/>
  <c r="I45" i="99"/>
  <c r="N45" i="99" s="1"/>
  <c r="P45" i="33"/>
  <c r="I45" i="119"/>
  <c r="J45" i="119" s="1"/>
  <c r="L45" i="119" s="1"/>
  <c r="I45" i="115"/>
  <c r="J45" i="115" s="1"/>
  <c r="L45" i="115" s="1"/>
  <c r="L45" i="33"/>
  <c r="M45" i="130"/>
  <c r="V45" i="130" s="1"/>
  <c r="U45" i="130"/>
  <c r="H45" i="85"/>
  <c r="I45" i="85" s="1"/>
  <c r="K45" i="85" s="1"/>
  <c r="T45" i="33"/>
  <c r="U45" i="127"/>
  <c r="M45" i="127"/>
  <c r="V45" i="127" s="1"/>
  <c r="J45" i="90"/>
  <c r="K45" i="90" s="1"/>
  <c r="M45" i="90" s="1"/>
  <c r="AA45" i="33"/>
  <c r="H45" i="87"/>
  <c r="I45" i="87" s="1"/>
  <c r="K45" i="87" s="1"/>
  <c r="N45" i="87" s="1"/>
  <c r="V45" i="87" s="1"/>
  <c r="V45" i="33"/>
  <c r="AD16" i="33"/>
  <c r="I16" i="83"/>
  <c r="P16" i="83" s="1"/>
  <c r="J16" i="33"/>
  <c r="I16" i="113"/>
  <c r="J16" i="113" s="1"/>
  <c r="L16" i="113" s="1"/>
  <c r="O16" i="113" s="1"/>
  <c r="N16" i="33"/>
  <c r="I16" i="117"/>
  <c r="J16" i="117" s="1"/>
  <c r="L16" i="117" s="1"/>
  <c r="O16" i="117" s="1"/>
  <c r="W16" i="117" s="1"/>
  <c r="M16" i="125"/>
  <c r="V16" i="125" s="1"/>
  <c r="U16" i="125"/>
  <c r="U16" i="128"/>
  <c r="M16" i="128"/>
  <c r="V16" i="128" s="1"/>
  <c r="E13" i="80"/>
  <c r="H13" i="80" s="1"/>
  <c r="J13" i="80" s="1"/>
  <c r="K13" i="80" s="1"/>
  <c r="M13" i="80" s="1"/>
  <c r="X16" i="33"/>
  <c r="H16" i="89"/>
  <c r="I16" i="89" s="1"/>
  <c r="K16" i="89" s="1"/>
  <c r="AA16" i="33"/>
  <c r="J16" i="90"/>
  <c r="K16" i="90" s="1"/>
  <c r="M16" i="90" s="1"/>
  <c r="AB16" i="33"/>
  <c r="M16" i="99"/>
  <c r="I16" i="99"/>
  <c r="N16" i="99" s="1"/>
  <c r="I16" i="118"/>
  <c r="J16" i="118" s="1"/>
  <c r="L16" i="118" s="1"/>
  <c r="O16" i="33"/>
  <c r="K16" i="33"/>
  <c r="I16" i="114"/>
  <c r="J16" i="114" s="1"/>
  <c r="L16" i="114" s="1"/>
  <c r="M16" i="129"/>
  <c r="V16" i="129" s="1"/>
  <c r="U16" i="129"/>
  <c r="E13" i="76"/>
  <c r="H13" i="76" s="1"/>
  <c r="H16" i="91"/>
  <c r="I16" i="91" s="1"/>
  <c r="K16" i="91" s="1"/>
  <c r="Y16" i="33"/>
  <c r="H16" i="86"/>
  <c r="I16" i="86" s="1"/>
  <c r="K16" i="86" s="1"/>
  <c r="U16" i="33"/>
  <c r="AD44" i="33"/>
  <c r="I44" i="83"/>
  <c r="P44" i="83" s="1"/>
  <c r="I44" i="113"/>
  <c r="J44" i="113" s="1"/>
  <c r="L44" i="113" s="1"/>
  <c r="O44" i="113" s="1"/>
  <c r="J44" i="33"/>
  <c r="I44" i="117"/>
  <c r="J44" i="117" s="1"/>
  <c r="L44" i="117" s="1"/>
  <c r="O44" i="117" s="1"/>
  <c r="W44" i="117" s="1"/>
  <c r="N44" i="33"/>
  <c r="M44" i="125"/>
  <c r="V44" i="125" s="1"/>
  <c r="U44" i="125"/>
  <c r="M44" i="128"/>
  <c r="V44" i="128" s="1"/>
  <c r="U44" i="128"/>
  <c r="E41" i="80"/>
  <c r="H41" i="80" s="1"/>
  <c r="J41" i="80" s="1"/>
  <c r="K41" i="80" s="1"/>
  <c r="M41" i="80" s="1"/>
  <c r="H44" i="89"/>
  <c r="I44" i="89" s="1"/>
  <c r="K44" i="89" s="1"/>
  <c r="X44" i="33"/>
  <c r="AA44" i="33"/>
  <c r="J44" i="90"/>
  <c r="K44" i="90" s="1"/>
  <c r="M44" i="90" s="1"/>
  <c r="AB44" i="33"/>
  <c r="M44" i="99"/>
  <c r="I44" i="99"/>
  <c r="N44" i="99" s="1"/>
  <c r="O44" i="33"/>
  <c r="I44" i="118"/>
  <c r="J44" i="118" s="1"/>
  <c r="L44" i="118" s="1"/>
  <c r="I44" i="114"/>
  <c r="J44" i="114" s="1"/>
  <c r="L44" i="114" s="1"/>
  <c r="K44" i="33"/>
  <c r="M44" i="129"/>
  <c r="V44" i="129" s="1"/>
  <c r="U44" i="129"/>
  <c r="E41" i="76"/>
  <c r="H41" i="76" s="1"/>
  <c r="J41" i="76" s="1"/>
  <c r="K41" i="76" s="1"/>
  <c r="M41" i="76" s="1"/>
  <c r="Y44" i="33"/>
  <c r="H44" i="91"/>
  <c r="I44" i="91" s="1"/>
  <c r="K44" i="91" s="1"/>
  <c r="U44" i="33"/>
  <c r="H44" i="86"/>
  <c r="I44" i="86" s="1"/>
  <c r="K44" i="86" s="1"/>
  <c r="AE66" i="33"/>
  <c r="M66" i="84"/>
  <c r="I66" i="84"/>
  <c r="N66" i="84" s="1"/>
  <c r="J66" i="33"/>
  <c r="I66" i="113"/>
  <c r="J66" i="113" s="1"/>
  <c r="L66" i="113" s="1"/>
  <c r="O66" i="113" s="1"/>
  <c r="N66" i="33"/>
  <c r="I66" i="117"/>
  <c r="J66" i="117" s="1"/>
  <c r="L66" i="117" s="1"/>
  <c r="O66" i="117" s="1"/>
  <c r="W66" i="117" s="1"/>
  <c r="M66" i="125"/>
  <c r="V66" i="125" s="1"/>
  <c r="U66" i="125"/>
  <c r="U66" i="127"/>
  <c r="M66" i="127"/>
  <c r="V66" i="127" s="1"/>
  <c r="T66" i="33"/>
  <c r="H66" i="85"/>
  <c r="I66" i="85" s="1"/>
  <c r="K66" i="85" s="1"/>
  <c r="W66" i="33"/>
  <c r="H66" i="88"/>
  <c r="I66" i="88" s="1"/>
  <c r="K66" i="88" s="1"/>
  <c r="AD66" i="33"/>
  <c r="I66" i="83"/>
  <c r="P66" i="83" s="1"/>
  <c r="I66" i="99"/>
  <c r="N66" i="99" s="1"/>
  <c r="M66" i="99"/>
  <c r="AB66" i="33"/>
  <c r="I66" i="118"/>
  <c r="J66" i="118" s="1"/>
  <c r="L66" i="118" s="1"/>
  <c r="O66" i="33"/>
  <c r="K66" i="33"/>
  <c r="I66" i="114"/>
  <c r="J66" i="114" s="1"/>
  <c r="L66" i="114" s="1"/>
  <c r="U66" i="128"/>
  <c r="M66" i="128"/>
  <c r="V66" i="128" s="1"/>
  <c r="E63" i="80"/>
  <c r="H63" i="80" s="1"/>
  <c r="J63" i="80" s="1"/>
  <c r="K63" i="80" s="1"/>
  <c r="M63" i="80" s="1"/>
  <c r="H66" i="89"/>
  <c r="I66" i="89" s="1"/>
  <c r="K66" i="89" s="1"/>
  <c r="X66" i="33"/>
  <c r="AA66" i="33"/>
  <c r="J66" i="90"/>
  <c r="K66" i="90" s="1"/>
  <c r="M66" i="90" s="1"/>
  <c r="AC12" i="33"/>
  <c r="M12" i="98"/>
  <c r="I12" i="98"/>
  <c r="N12" i="98" s="1"/>
  <c r="I12" i="115"/>
  <c r="J12" i="115" s="1"/>
  <c r="L12" i="115" s="1"/>
  <c r="L12" i="33"/>
  <c r="U12" i="126"/>
  <c r="M12" i="126"/>
  <c r="V12" i="126" s="1"/>
  <c r="H12" i="87"/>
  <c r="I12" i="87" s="1"/>
  <c r="K12" i="87" s="1"/>
  <c r="N12" i="87" s="1"/>
  <c r="V12" i="87" s="1"/>
  <c r="V12" i="33"/>
  <c r="I12" i="113"/>
  <c r="J12" i="113" s="1"/>
  <c r="L12" i="113" s="1"/>
  <c r="O12" i="113" s="1"/>
  <c r="J12" i="33"/>
  <c r="U12" i="125"/>
  <c r="M12" i="125"/>
  <c r="V12" i="125" s="1"/>
  <c r="E9" i="80"/>
  <c r="H9" i="80" s="1"/>
  <c r="J9" i="80" s="1"/>
  <c r="K9" i="80" s="1"/>
  <c r="M9" i="80" s="1"/>
  <c r="J12" i="90"/>
  <c r="K12" i="90" s="1"/>
  <c r="M12" i="90" s="1"/>
  <c r="AA12" i="33"/>
  <c r="AB12" i="33"/>
  <c r="M12" i="99"/>
  <c r="I12" i="99"/>
  <c r="N12" i="99" s="1"/>
  <c r="I12" i="118"/>
  <c r="J12" i="118" s="1"/>
  <c r="L12" i="118" s="1"/>
  <c r="O12" i="33"/>
  <c r="K12" i="33"/>
  <c r="I12" i="114"/>
  <c r="J12" i="114" s="1"/>
  <c r="L12" i="114" s="1"/>
  <c r="M12" i="129"/>
  <c r="V12" i="129" s="1"/>
  <c r="U12" i="129"/>
  <c r="E9" i="76"/>
  <c r="H9" i="76" s="1"/>
  <c r="J9" i="76" s="1"/>
  <c r="K9" i="76" s="1"/>
  <c r="M9" i="76" s="1"/>
  <c r="Y12" i="33"/>
  <c r="H12" i="91"/>
  <c r="I12" i="91" s="1"/>
  <c r="K12" i="91" s="1"/>
  <c r="H12" i="86"/>
  <c r="I12" i="86" s="1"/>
  <c r="K12" i="86" s="1"/>
  <c r="U12" i="33"/>
  <c r="AE26" i="33"/>
  <c r="M26" i="84"/>
  <c r="I26" i="84"/>
  <c r="N26" i="84" s="1"/>
  <c r="M26" i="99"/>
  <c r="AB26" i="33"/>
  <c r="I26" i="99"/>
  <c r="N26" i="99" s="1"/>
  <c r="I26" i="118"/>
  <c r="J26" i="118" s="1"/>
  <c r="L26" i="118" s="1"/>
  <c r="O26" i="33"/>
  <c r="I26" i="114"/>
  <c r="J26" i="114" s="1"/>
  <c r="L26" i="114" s="1"/>
  <c r="K26" i="33"/>
  <c r="U26" i="127"/>
  <c r="M26" i="127"/>
  <c r="V26" i="127" s="1"/>
  <c r="T26" i="33"/>
  <c r="H26" i="85"/>
  <c r="I26" i="85" s="1"/>
  <c r="K26" i="85" s="1"/>
  <c r="W26" i="33"/>
  <c r="H26" i="88"/>
  <c r="I26" i="88" s="1"/>
  <c r="K26" i="88" s="1"/>
  <c r="AD26" i="33"/>
  <c r="I26" i="83"/>
  <c r="P26" i="83" s="1"/>
  <c r="U26" i="128"/>
  <c r="M26" i="128"/>
  <c r="V26" i="128" s="1"/>
  <c r="P26" i="33"/>
  <c r="I26" i="119"/>
  <c r="J26" i="119" s="1"/>
  <c r="L26" i="119" s="1"/>
  <c r="L26" i="33"/>
  <c r="I26" i="115"/>
  <c r="J26" i="115" s="1"/>
  <c r="L26" i="115" s="1"/>
  <c r="U26" i="130"/>
  <c r="M26" i="130"/>
  <c r="V26" i="130" s="1"/>
  <c r="E23" i="80"/>
  <c r="H23" i="80" s="1"/>
  <c r="J23" i="80" s="1"/>
  <c r="K23" i="80" s="1"/>
  <c r="M23" i="80" s="1"/>
  <c r="H26" i="89"/>
  <c r="I26" i="89" s="1"/>
  <c r="K26" i="89" s="1"/>
  <c r="X26" i="33"/>
  <c r="AA26" i="33"/>
  <c r="J26" i="90"/>
  <c r="K26" i="90" s="1"/>
  <c r="M26" i="90" s="1"/>
  <c r="AD67" i="33"/>
  <c r="I67" i="83"/>
  <c r="P67" i="83" s="1"/>
  <c r="P67" i="33"/>
  <c r="I67" i="119"/>
  <c r="J67" i="119" s="1"/>
  <c r="L67" i="119" s="1"/>
  <c r="I67" i="115"/>
  <c r="J67" i="115" s="1"/>
  <c r="L67" i="115" s="1"/>
  <c r="L67" i="33"/>
  <c r="M67" i="130"/>
  <c r="V67" i="130" s="1"/>
  <c r="U67" i="130"/>
  <c r="U67" i="129"/>
  <c r="M67" i="129"/>
  <c r="V67" i="129" s="1"/>
  <c r="E64" i="76"/>
  <c r="H64" i="76" s="1"/>
  <c r="J64" i="76" s="1"/>
  <c r="K64" i="76" s="1"/>
  <c r="M64" i="76" s="1"/>
  <c r="H67" i="91"/>
  <c r="I67" i="91" s="1"/>
  <c r="K67" i="91" s="1"/>
  <c r="Y67" i="33"/>
  <c r="H67" i="86"/>
  <c r="I67" i="86" s="1"/>
  <c r="K67" i="86" s="1"/>
  <c r="U67" i="33"/>
  <c r="Q67" i="33"/>
  <c r="I67" i="120"/>
  <c r="J67" i="120" s="1"/>
  <c r="L67" i="120" s="1"/>
  <c r="M67" i="33"/>
  <c r="I67" i="116"/>
  <c r="J67" i="116" s="1"/>
  <c r="L67" i="116" s="1"/>
  <c r="U67" i="131"/>
  <c r="M67" i="131"/>
  <c r="V67" i="131" s="1"/>
  <c r="H67" i="85"/>
  <c r="I67" i="85" s="1"/>
  <c r="K67" i="85" s="1"/>
  <c r="T67" i="33"/>
  <c r="M67" i="126"/>
  <c r="V67" i="126" s="1"/>
  <c r="U67" i="126"/>
  <c r="Z67" i="33"/>
  <c r="H67" i="92"/>
  <c r="I67" i="92" s="1"/>
  <c r="K67" i="92" s="1"/>
  <c r="H67" i="87"/>
  <c r="I67" i="87" s="1"/>
  <c r="K67" i="87" s="1"/>
  <c r="N67" i="87" s="1"/>
  <c r="V67" i="87" s="1"/>
  <c r="V67" i="33"/>
  <c r="AE52" i="33"/>
  <c r="M52" i="84"/>
  <c r="I52" i="84"/>
  <c r="N52" i="84" s="1"/>
  <c r="I52" i="33"/>
  <c r="L35" i="46"/>
  <c r="E64" i="81"/>
  <c r="I52" i="118"/>
  <c r="J52" i="118" s="1"/>
  <c r="L52" i="118" s="1"/>
  <c r="O52" i="33"/>
  <c r="I52" i="114"/>
  <c r="J52" i="114" s="1"/>
  <c r="L52" i="114" s="1"/>
  <c r="K52" i="33"/>
  <c r="M52" i="129"/>
  <c r="V52" i="129" s="1"/>
  <c r="U52" i="129"/>
  <c r="E49" i="76"/>
  <c r="H49" i="76" s="1"/>
  <c r="H52" i="91"/>
  <c r="I52" i="91" s="1"/>
  <c r="K52" i="91" s="1"/>
  <c r="Y52" i="33"/>
  <c r="H52" i="86"/>
  <c r="I52" i="86" s="1"/>
  <c r="K52" i="86" s="1"/>
  <c r="U52" i="33"/>
  <c r="AC52" i="33"/>
  <c r="M52" i="98"/>
  <c r="I52" i="98"/>
  <c r="N52" i="98" s="1"/>
  <c r="J52" i="33"/>
  <c r="I52" i="113"/>
  <c r="J52" i="113" s="1"/>
  <c r="L52" i="113" s="1"/>
  <c r="O52" i="113" s="1"/>
  <c r="I52" i="117"/>
  <c r="J52" i="117" s="1"/>
  <c r="L52" i="117" s="1"/>
  <c r="O52" i="117" s="1"/>
  <c r="W52" i="117" s="1"/>
  <c r="N52" i="33"/>
  <c r="M52" i="125"/>
  <c r="V52" i="125" s="1"/>
  <c r="U52" i="125"/>
  <c r="M52" i="128"/>
  <c r="V52" i="128" s="1"/>
  <c r="U52" i="128"/>
  <c r="E49" i="80"/>
  <c r="H49" i="80" s="1"/>
  <c r="J49" i="80" s="1"/>
  <c r="K49" i="80" s="1"/>
  <c r="M49" i="80" s="1"/>
  <c r="H52" i="89"/>
  <c r="I52" i="89" s="1"/>
  <c r="K52" i="89" s="1"/>
  <c r="X52" i="33"/>
  <c r="AA52" i="33"/>
  <c r="J52" i="90"/>
  <c r="K52" i="90" s="1"/>
  <c r="M52" i="90" s="1"/>
  <c r="AD64" i="33"/>
  <c r="I64" i="83"/>
  <c r="P64" i="83" s="1"/>
  <c r="I64" i="113"/>
  <c r="J64" i="113" s="1"/>
  <c r="L64" i="113" s="1"/>
  <c r="O64" i="113" s="1"/>
  <c r="J64" i="33"/>
  <c r="I64" i="117"/>
  <c r="J64" i="117" s="1"/>
  <c r="L64" i="117" s="1"/>
  <c r="O64" i="117" s="1"/>
  <c r="W64" i="117" s="1"/>
  <c r="N64" i="33"/>
  <c r="M64" i="125"/>
  <c r="V64" i="125" s="1"/>
  <c r="U64" i="125"/>
  <c r="U64" i="128"/>
  <c r="M64" i="128"/>
  <c r="V64" i="128" s="1"/>
  <c r="E61" i="80"/>
  <c r="H61" i="80" s="1"/>
  <c r="J61" i="80" s="1"/>
  <c r="K61" i="80" s="1"/>
  <c r="M61" i="80" s="1"/>
  <c r="H64" i="89"/>
  <c r="I64" i="89" s="1"/>
  <c r="K64" i="89" s="1"/>
  <c r="X64" i="33"/>
  <c r="AA64" i="33"/>
  <c r="J64" i="90"/>
  <c r="K64" i="90" s="1"/>
  <c r="M64" i="90" s="1"/>
  <c r="M64" i="99"/>
  <c r="I64" i="99"/>
  <c r="N64" i="99" s="1"/>
  <c r="AB64" i="33"/>
  <c r="O64" i="33"/>
  <c r="I64" i="118"/>
  <c r="J64" i="118" s="1"/>
  <c r="L64" i="118" s="1"/>
  <c r="I64" i="114"/>
  <c r="J64" i="114" s="1"/>
  <c r="L64" i="114" s="1"/>
  <c r="K64" i="33"/>
  <c r="U64" i="129"/>
  <c r="M64" i="129"/>
  <c r="V64" i="129" s="1"/>
  <c r="E61" i="76"/>
  <c r="H61" i="76" s="1"/>
  <c r="J61" i="76" s="1"/>
  <c r="K61" i="76" s="1"/>
  <c r="M61" i="76" s="1"/>
  <c r="Y64" i="33"/>
  <c r="H64" i="91"/>
  <c r="I64" i="91" s="1"/>
  <c r="K64" i="91" s="1"/>
  <c r="H64" i="86"/>
  <c r="I64" i="86" s="1"/>
  <c r="K64" i="86" s="1"/>
  <c r="U64" i="33"/>
  <c r="AD59" i="33"/>
  <c r="I59" i="83"/>
  <c r="P59" i="83" s="1"/>
  <c r="P59" i="33"/>
  <c r="I59" i="119"/>
  <c r="J59" i="119" s="1"/>
  <c r="L59" i="119" s="1"/>
  <c r="L59" i="33"/>
  <c r="I59" i="115"/>
  <c r="J59" i="115" s="1"/>
  <c r="L59" i="115" s="1"/>
  <c r="M59" i="130"/>
  <c r="V59" i="130" s="1"/>
  <c r="U59" i="130"/>
  <c r="M59" i="129"/>
  <c r="V59" i="129" s="1"/>
  <c r="U59" i="129"/>
  <c r="E56" i="76"/>
  <c r="H56" i="76" s="1"/>
  <c r="J56" i="76" s="1"/>
  <c r="K56" i="76" s="1"/>
  <c r="M56" i="76" s="1"/>
  <c r="Y59" i="33"/>
  <c r="H59" i="91"/>
  <c r="I59" i="91" s="1"/>
  <c r="K59" i="91" s="1"/>
  <c r="U59" i="33"/>
  <c r="H59" i="86"/>
  <c r="I59" i="86" s="1"/>
  <c r="K59" i="86" s="1"/>
  <c r="Q59" i="33"/>
  <c r="I59" i="120"/>
  <c r="J59" i="120" s="1"/>
  <c r="L59" i="120" s="1"/>
  <c r="M59" i="33"/>
  <c r="I59" i="116"/>
  <c r="J59" i="116" s="1"/>
  <c r="L59" i="116" s="1"/>
  <c r="U59" i="131"/>
  <c r="M59" i="131"/>
  <c r="V59" i="131" s="1"/>
  <c r="H59" i="85"/>
  <c r="I59" i="85" s="1"/>
  <c r="K59" i="85" s="1"/>
  <c r="T59" i="33"/>
  <c r="M59" i="126"/>
  <c r="V59" i="126" s="1"/>
  <c r="U59" i="126"/>
  <c r="H59" i="92"/>
  <c r="I59" i="92" s="1"/>
  <c r="K59" i="92" s="1"/>
  <c r="Z59" i="33"/>
  <c r="H59" i="87"/>
  <c r="I59" i="87" s="1"/>
  <c r="K59" i="87" s="1"/>
  <c r="N59" i="87" s="1"/>
  <c r="V59" i="87" s="1"/>
  <c r="V59" i="33"/>
  <c r="AE20" i="33"/>
  <c r="M20" i="84"/>
  <c r="I20" i="84"/>
  <c r="N20" i="84" s="1"/>
  <c r="Q20" i="33"/>
  <c r="I20" i="120"/>
  <c r="J20" i="120" s="1"/>
  <c r="L20" i="120" s="1"/>
  <c r="I20" i="116"/>
  <c r="J20" i="116" s="1"/>
  <c r="L20" i="116" s="1"/>
  <c r="M20" i="33"/>
  <c r="M20" i="131"/>
  <c r="V20" i="131" s="1"/>
  <c r="U20" i="131"/>
  <c r="U20" i="127"/>
  <c r="M20" i="127"/>
  <c r="V20" i="127" s="1"/>
  <c r="H20" i="85"/>
  <c r="I20" i="85" s="1"/>
  <c r="K20" i="85" s="1"/>
  <c r="T20" i="33"/>
  <c r="W20" i="33"/>
  <c r="H20" i="88"/>
  <c r="I20" i="88" s="1"/>
  <c r="K20" i="88" s="1"/>
  <c r="AD20" i="33"/>
  <c r="I20" i="83"/>
  <c r="P20" i="83" s="1"/>
  <c r="I20" i="113"/>
  <c r="J20" i="113" s="1"/>
  <c r="L20" i="113" s="1"/>
  <c r="O20" i="113" s="1"/>
  <c r="J20" i="33"/>
  <c r="I20" i="117"/>
  <c r="J20" i="117" s="1"/>
  <c r="L20" i="117" s="1"/>
  <c r="O20" i="117" s="1"/>
  <c r="W20" i="117" s="1"/>
  <c r="N20" i="33"/>
  <c r="M20" i="125"/>
  <c r="V20" i="125" s="1"/>
  <c r="U20" i="125"/>
  <c r="M20" i="128"/>
  <c r="V20" i="128" s="1"/>
  <c r="U20" i="128"/>
  <c r="E17" i="80"/>
  <c r="H17" i="80" s="1"/>
  <c r="J17" i="80" s="1"/>
  <c r="K17" i="80" s="1"/>
  <c r="M17" i="80" s="1"/>
  <c r="H20" i="89"/>
  <c r="I20" i="89" s="1"/>
  <c r="K20" i="89" s="1"/>
  <c r="X20" i="33"/>
  <c r="J20" i="90"/>
  <c r="K20" i="90" s="1"/>
  <c r="M20" i="90" s="1"/>
  <c r="AA20" i="33"/>
  <c r="AE30" i="33"/>
  <c r="M30" i="84"/>
  <c r="I30" i="84"/>
  <c r="N30" i="84" s="1"/>
  <c r="AB30" i="33"/>
  <c r="M30" i="99"/>
  <c r="I30" i="99"/>
  <c r="N30" i="99" s="1"/>
  <c r="I30" i="116"/>
  <c r="J30" i="116" s="1"/>
  <c r="L30" i="116" s="1"/>
  <c r="M30" i="33"/>
  <c r="U30" i="131"/>
  <c r="M30" i="131"/>
  <c r="V30" i="131" s="1"/>
  <c r="E27" i="76"/>
  <c r="H27" i="76" s="1"/>
  <c r="J27" i="76" s="1"/>
  <c r="K27" i="76" s="1"/>
  <c r="M27" i="76" s="1"/>
  <c r="Y30" i="33"/>
  <c r="H30" i="91"/>
  <c r="I30" i="91" s="1"/>
  <c r="K30" i="91" s="1"/>
  <c r="U30" i="33"/>
  <c r="H30" i="86"/>
  <c r="I30" i="86" s="1"/>
  <c r="K30" i="86" s="1"/>
  <c r="AC30" i="33"/>
  <c r="I30" i="98"/>
  <c r="N30" i="98" s="1"/>
  <c r="M30" i="98"/>
  <c r="I30" i="113"/>
  <c r="J30" i="113" s="1"/>
  <c r="L30" i="113" s="1"/>
  <c r="O30" i="113" s="1"/>
  <c r="J30" i="33"/>
  <c r="N30" i="33"/>
  <c r="I30" i="117"/>
  <c r="J30" i="117" s="1"/>
  <c r="L30" i="117" s="1"/>
  <c r="O30" i="117" s="1"/>
  <c r="W30" i="117" s="1"/>
  <c r="M30" i="125"/>
  <c r="V30" i="125" s="1"/>
  <c r="U30" i="125"/>
  <c r="U30" i="126"/>
  <c r="M30" i="126"/>
  <c r="V30" i="126" s="1"/>
  <c r="H30" i="92"/>
  <c r="I30" i="92" s="1"/>
  <c r="K30" i="92" s="1"/>
  <c r="Z30" i="33"/>
  <c r="V30" i="33"/>
  <c r="H30" i="87"/>
  <c r="I30" i="87" s="1"/>
  <c r="K30" i="87" s="1"/>
  <c r="N30" i="87" s="1"/>
  <c r="V30" i="87" s="1"/>
  <c r="T36" i="67"/>
  <c r="J36" i="67"/>
  <c r="K36" i="67" s="1"/>
  <c r="W36" i="67" s="1"/>
  <c r="I36" i="98"/>
  <c r="N36" i="98" s="1"/>
  <c r="AC36" i="33"/>
  <c r="M36" i="98"/>
  <c r="P36" i="33"/>
  <c r="I36" i="119"/>
  <c r="J36" i="119" s="1"/>
  <c r="L36" i="119" s="1"/>
  <c r="L36" i="33"/>
  <c r="I36" i="115"/>
  <c r="J36" i="115" s="1"/>
  <c r="L36" i="115" s="1"/>
  <c r="M36" i="130"/>
  <c r="V36" i="130" s="1"/>
  <c r="U36" i="130"/>
  <c r="U36" i="126"/>
  <c r="M36" i="126"/>
  <c r="V36" i="126" s="1"/>
  <c r="H36" i="92"/>
  <c r="I36" i="92" s="1"/>
  <c r="K36" i="92" s="1"/>
  <c r="Z36" i="33"/>
  <c r="V36" i="33"/>
  <c r="H36" i="87"/>
  <c r="I36" i="87" s="1"/>
  <c r="K36" i="87" s="1"/>
  <c r="N36" i="87" s="1"/>
  <c r="V36" i="87" s="1"/>
  <c r="AE36" i="33"/>
  <c r="M36" i="84"/>
  <c r="I36" i="84"/>
  <c r="N36" i="84" s="1"/>
  <c r="Q36" i="33"/>
  <c r="I36" i="120"/>
  <c r="J36" i="120" s="1"/>
  <c r="L36" i="120" s="1"/>
  <c r="I36" i="116"/>
  <c r="J36" i="116" s="1"/>
  <c r="L36" i="116" s="1"/>
  <c r="M36" i="33"/>
  <c r="M36" i="131"/>
  <c r="V36" i="131" s="1"/>
  <c r="U36" i="131"/>
  <c r="U36" i="127"/>
  <c r="M36" i="127"/>
  <c r="V36" i="127" s="1"/>
  <c r="T36" i="33"/>
  <c r="H36" i="85"/>
  <c r="I36" i="85" s="1"/>
  <c r="K36" i="85" s="1"/>
  <c r="H36" i="88"/>
  <c r="I36" i="88" s="1"/>
  <c r="K36" i="88" s="1"/>
  <c r="W36" i="33"/>
  <c r="J33" i="67"/>
  <c r="K33" i="67" s="1"/>
  <c r="W33" i="67" s="1"/>
  <c r="T33" i="67"/>
  <c r="J33" i="33"/>
  <c r="I33" i="113"/>
  <c r="J33" i="113" s="1"/>
  <c r="L33" i="113" s="1"/>
  <c r="O33" i="113" s="1"/>
  <c r="N33" i="33"/>
  <c r="I33" i="117"/>
  <c r="J33" i="117" s="1"/>
  <c r="L33" i="117" s="1"/>
  <c r="O33" i="117" s="1"/>
  <c r="W33" i="117" s="1"/>
  <c r="M33" i="125"/>
  <c r="V33" i="125" s="1"/>
  <c r="U33" i="125"/>
  <c r="H33" i="85"/>
  <c r="I33" i="85" s="1"/>
  <c r="K33" i="85" s="1"/>
  <c r="T33" i="33"/>
  <c r="U33" i="127"/>
  <c r="M33" i="127"/>
  <c r="V33" i="127" s="1"/>
  <c r="AA33" i="33"/>
  <c r="J33" i="90"/>
  <c r="K33" i="90" s="1"/>
  <c r="M33" i="90" s="1"/>
  <c r="H33" i="87"/>
  <c r="I33" i="87" s="1"/>
  <c r="K33" i="87" s="1"/>
  <c r="N33" i="87" s="1"/>
  <c r="V33" i="87" s="1"/>
  <c r="V33" i="33"/>
  <c r="M33" i="99"/>
  <c r="I33" i="99"/>
  <c r="N33" i="99" s="1"/>
  <c r="AB33" i="33"/>
  <c r="I33" i="118"/>
  <c r="J33" i="118" s="1"/>
  <c r="L33" i="118" s="1"/>
  <c r="O33" i="33"/>
  <c r="I33" i="114"/>
  <c r="J33" i="114" s="1"/>
  <c r="L33" i="114" s="1"/>
  <c r="K33" i="33"/>
  <c r="M33" i="98"/>
  <c r="I33" i="98"/>
  <c r="N33" i="98" s="1"/>
  <c r="AC33" i="33"/>
  <c r="U33" i="128"/>
  <c r="M33" i="128"/>
  <c r="V33" i="128" s="1"/>
  <c r="E30" i="80"/>
  <c r="H30" i="80" s="1"/>
  <c r="J30" i="80" s="1"/>
  <c r="K30" i="80" s="1"/>
  <c r="M30" i="80" s="1"/>
  <c r="H33" i="88"/>
  <c r="I33" i="88" s="1"/>
  <c r="K33" i="88" s="1"/>
  <c r="W33" i="33"/>
  <c r="J49" i="67"/>
  <c r="K49" i="67" s="1"/>
  <c r="W49" i="67" s="1"/>
  <c r="T49" i="67"/>
  <c r="J49" i="33"/>
  <c r="I49" i="113"/>
  <c r="J49" i="113" s="1"/>
  <c r="L49" i="113" s="1"/>
  <c r="O49" i="113" s="1"/>
  <c r="I49" i="117"/>
  <c r="J49" i="117" s="1"/>
  <c r="L49" i="117" s="1"/>
  <c r="O49" i="117" s="1"/>
  <c r="W49" i="117" s="1"/>
  <c r="N49" i="33"/>
  <c r="M49" i="125"/>
  <c r="V49" i="125" s="1"/>
  <c r="U49" i="125"/>
  <c r="AC49" i="33"/>
  <c r="M49" i="98"/>
  <c r="I49" i="98"/>
  <c r="N49" i="98" s="1"/>
  <c r="U49" i="127"/>
  <c r="M49" i="127"/>
  <c r="V49" i="127" s="1"/>
  <c r="J49" i="90"/>
  <c r="K49" i="90" s="1"/>
  <c r="M49" i="90" s="1"/>
  <c r="AA49" i="33"/>
  <c r="W49" i="33"/>
  <c r="H49" i="88"/>
  <c r="I49" i="88" s="1"/>
  <c r="K49" i="88" s="1"/>
  <c r="M49" i="99"/>
  <c r="AB49" i="33"/>
  <c r="I49" i="99"/>
  <c r="N49" i="99" s="1"/>
  <c r="O49" i="33"/>
  <c r="I49" i="118"/>
  <c r="J49" i="118" s="1"/>
  <c r="L49" i="118" s="1"/>
  <c r="I49" i="114"/>
  <c r="J49" i="114" s="1"/>
  <c r="L49" i="114" s="1"/>
  <c r="K49" i="33"/>
  <c r="AE49" i="33"/>
  <c r="M49" i="84"/>
  <c r="I49" i="84"/>
  <c r="N49" i="84" s="1"/>
  <c r="M49" i="128"/>
  <c r="V49" i="128" s="1"/>
  <c r="U49" i="128"/>
  <c r="E46" i="80"/>
  <c r="H46" i="80" s="1"/>
  <c r="J46" i="80" s="1"/>
  <c r="K46" i="80" s="1"/>
  <c r="M46" i="80" s="1"/>
  <c r="X49" i="33"/>
  <c r="H49" i="89"/>
  <c r="I49" i="89" s="1"/>
  <c r="K49" i="89" s="1"/>
  <c r="J23" i="67"/>
  <c r="K23" i="67" s="1"/>
  <c r="W23" i="67" s="1"/>
  <c r="T23" i="67"/>
  <c r="I23" i="99"/>
  <c r="N23" i="99" s="1"/>
  <c r="AB23" i="33"/>
  <c r="M23" i="99"/>
  <c r="P23" i="33"/>
  <c r="I23" i="119"/>
  <c r="J23" i="119" s="1"/>
  <c r="L23" i="119" s="1"/>
  <c r="L23" i="33"/>
  <c r="I23" i="115"/>
  <c r="J23" i="115" s="1"/>
  <c r="L23" i="115" s="1"/>
  <c r="M23" i="130"/>
  <c r="V23" i="130" s="1"/>
  <c r="U23" i="130"/>
  <c r="M23" i="129"/>
  <c r="V23" i="129" s="1"/>
  <c r="U23" i="129"/>
  <c r="E20" i="76"/>
  <c r="H20" i="76" s="1"/>
  <c r="J20" i="76" s="1"/>
  <c r="K20" i="76" s="1"/>
  <c r="M20" i="76" s="1"/>
  <c r="X23" i="33"/>
  <c r="H23" i="89"/>
  <c r="I23" i="89" s="1"/>
  <c r="K23" i="89" s="1"/>
  <c r="AE23" i="33"/>
  <c r="M23" i="84"/>
  <c r="I23" i="84"/>
  <c r="N23" i="84" s="1"/>
  <c r="Q23" i="33"/>
  <c r="I23" i="120"/>
  <c r="J23" i="120" s="1"/>
  <c r="L23" i="120" s="1"/>
  <c r="M23" i="33"/>
  <c r="I23" i="116"/>
  <c r="J23" i="116" s="1"/>
  <c r="L23" i="116" s="1"/>
  <c r="U23" i="131"/>
  <c r="M23" i="131"/>
  <c r="V23" i="131" s="1"/>
  <c r="Z23" i="33"/>
  <c r="H23" i="92"/>
  <c r="I23" i="92" s="1"/>
  <c r="K23" i="92" s="1"/>
  <c r="M23" i="126"/>
  <c r="V23" i="126" s="1"/>
  <c r="U23" i="126"/>
  <c r="Y23" i="33"/>
  <c r="H23" i="91"/>
  <c r="I23" i="91" s="1"/>
  <c r="K23" i="91" s="1"/>
  <c r="U23" i="33"/>
  <c r="H23" i="86"/>
  <c r="I23" i="86" s="1"/>
  <c r="K23" i="86" s="1"/>
  <c r="AE62" i="33"/>
  <c r="M62" i="84"/>
  <c r="I62" i="84"/>
  <c r="N62" i="84" s="1"/>
  <c r="J62" i="33"/>
  <c r="I62" i="113"/>
  <c r="J62" i="113" s="1"/>
  <c r="L62" i="113" s="1"/>
  <c r="O62" i="113" s="1"/>
  <c r="N62" i="33"/>
  <c r="I62" i="117"/>
  <c r="J62" i="117" s="1"/>
  <c r="L62" i="117" s="1"/>
  <c r="O62" i="117" s="1"/>
  <c r="W62" i="117" s="1"/>
  <c r="U62" i="125"/>
  <c r="M62" i="125"/>
  <c r="V62" i="125" s="1"/>
  <c r="U62" i="127"/>
  <c r="M62" i="127"/>
  <c r="V62" i="127" s="1"/>
  <c r="T62" i="33"/>
  <c r="H62" i="85"/>
  <c r="I62" i="85" s="1"/>
  <c r="K62" i="85" s="1"/>
  <c r="W62" i="33"/>
  <c r="H62" i="88"/>
  <c r="I62" i="88" s="1"/>
  <c r="K62" i="88" s="1"/>
  <c r="AD62" i="33"/>
  <c r="I62" i="83"/>
  <c r="P62" i="83" s="1"/>
  <c r="M62" i="99"/>
  <c r="I62" i="99"/>
  <c r="N62" i="99" s="1"/>
  <c r="AB62" i="33"/>
  <c r="I62" i="118"/>
  <c r="J62" i="118" s="1"/>
  <c r="L62" i="118" s="1"/>
  <c r="O62" i="33"/>
  <c r="I62" i="114"/>
  <c r="J62" i="114" s="1"/>
  <c r="L62" i="114" s="1"/>
  <c r="U62" i="128"/>
  <c r="M62" i="128"/>
  <c r="V62" i="128" s="1"/>
  <c r="E59" i="80"/>
  <c r="H59" i="80" s="1"/>
  <c r="J59" i="80" s="1"/>
  <c r="K59" i="80" s="1"/>
  <c r="M59" i="80" s="1"/>
  <c r="H62" i="89"/>
  <c r="I62" i="89" s="1"/>
  <c r="K62" i="89" s="1"/>
  <c r="X62" i="33"/>
  <c r="J62" i="90"/>
  <c r="K62" i="90" s="1"/>
  <c r="M62" i="90" s="1"/>
  <c r="AA62" i="33"/>
  <c r="M65" i="99"/>
  <c r="I65" i="99"/>
  <c r="N65" i="99" s="1"/>
  <c r="AB65" i="33"/>
  <c r="I65" i="118"/>
  <c r="J65" i="118" s="1"/>
  <c r="L65" i="118" s="1"/>
  <c r="O65" i="33"/>
  <c r="K65" i="33"/>
  <c r="I65" i="114"/>
  <c r="J65" i="114" s="1"/>
  <c r="L65" i="114" s="1"/>
  <c r="AE65" i="33"/>
  <c r="M65" i="84"/>
  <c r="I65" i="84"/>
  <c r="N65" i="84" s="1"/>
  <c r="M65" i="128"/>
  <c r="V65" i="128" s="1"/>
  <c r="U65" i="128"/>
  <c r="E62" i="80"/>
  <c r="H62" i="80" s="1"/>
  <c r="J62" i="80" s="1"/>
  <c r="K62" i="80" s="1"/>
  <c r="M62" i="80" s="1"/>
  <c r="X65" i="33"/>
  <c r="H65" i="89"/>
  <c r="I65" i="89" s="1"/>
  <c r="K65" i="89" s="1"/>
  <c r="AD65" i="33"/>
  <c r="I65" i="83"/>
  <c r="P65" i="83" s="1"/>
  <c r="P65" i="33"/>
  <c r="I65" i="119"/>
  <c r="J65" i="119" s="1"/>
  <c r="L65" i="119" s="1"/>
  <c r="L65" i="33"/>
  <c r="I65" i="115"/>
  <c r="J65" i="115" s="1"/>
  <c r="L65" i="115" s="1"/>
  <c r="M65" i="130"/>
  <c r="V65" i="130" s="1"/>
  <c r="U65" i="130"/>
  <c r="M65" i="129"/>
  <c r="V65" i="129" s="1"/>
  <c r="U65" i="129"/>
  <c r="E62" i="76"/>
  <c r="H62" i="76" s="1"/>
  <c r="J62" i="76" s="1"/>
  <c r="K62" i="76" s="1"/>
  <c r="M62" i="76" s="1"/>
  <c r="H65" i="91"/>
  <c r="I65" i="91" s="1"/>
  <c r="K65" i="91" s="1"/>
  <c r="Y65" i="33"/>
  <c r="U65" i="33"/>
  <c r="H65" i="86"/>
  <c r="I65" i="86" s="1"/>
  <c r="K65" i="86" s="1"/>
  <c r="AD35" i="33"/>
  <c r="I35" i="83"/>
  <c r="P35" i="83" s="1"/>
  <c r="I35" i="120"/>
  <c r="J35" i="120" s="1"/>
  <c r="L35" i="120" s="1"/>
  <c r="Q35" i="33"/>
  <c r="I35" i="116"/>
  <c r="J35" i="116" s="1"/>
  <c r="L35" i="116" s="1"/>
  <c r="M35" i="33"/>
  <c r="U35" i="131"/>
  <c r="M35" i="131"/>
  <c r="V35" i="131" s="1"/>
  <c r="Z35" i="33"/>
  <c r="H35" i="92"/>
  <c r="I35" i="92" s="1"/>
  <c r="K35" i="92" s="1"/>
  <c r="U35" i="126"/>
  <c r="M35" i="126"/>
  <c r="V35" i="126" s="1"/>
  <c r="H35" i="91"/>
  <c r="I35" i="91" s="1"/>
  <c r="K35" i="91" s="1"/>
  <c r="Y35" i="33"/>
  <c r="U35" i="33"/>
  <c r="H35" i="86"/>
  <c r="I35" i="86" s="1"/>
  <c r="K35" i="86" s="1"/>
  <c r="J35" i="33"/>
  <c r="I35" i="113"/>
  <c r="J35" i="113" s="1"/>
  <c r="L35" i="113" s="1"/>
  <c r="O35" i="113" s="1"/>
  <c r="N35" i="33"/>
  <c r="I35" i="117"/>
  <c r="J35" i="117" s="1"/>
  <c r="L35" i="117" s="1"/>
  <c r="O35" i="117" s="1"/>
  <c r="W35" i="117" s="1"/>
  <c r="M35" i="125"/>
  <c r="V35" i="125" s="1"/>
  <c r="U35" i="125"/>
  <c r="H35" i="85"/>
  <c r="I35" i="85" s="1"/>
  <c r="K35" i="85" s="1"/>
  <c r="T35" i="33"/>
  <c r="U35" i="127"/>
  <c r="M35" i="127"/>
  <c r="V35" i="127" s="1"/>
  <c r="AA35" i="33"/>
  <c r="J35" i="90"/>
  <c r="K35" i="90" s="1"/>
  <c r="M35" i="90" s="1"/>
  <c r="V35" i="33"/>
  <c r="H35" i="87"/>
  <c r="I35" i="87" s="1"/>
  <c r="K35" i="87" s="1"/>
  <c r="N35" i="87" s="1"/>
  <c r="V35" i="87" s="1"/>
  <c r="AE10" i="33"/>
  <c r="M10" i="84"/>
  <c r="I10" i="84"/>
  <c r="N10" i="84" s="1"/>
  <c r="J10" i="33"/>
  <c r="I10" i="113"/>
  <c r="J10" i="113" s="1"/>
  <c r="L10" i="113" s="1"/>
  <c r="O10" i="113" s="1"/>
  <c r="I10" i="117"/>
  <c r="J10" i="117" s="1"/>
  <c r="L10" i="117" s="1"/>
  <c r="O10" i="117" s="1"/>
  <c r="W10" i="117" s="1"/>
  <c r="N10" i="33"/>
  <c r="U10" i="125"/>
  <c r="M10" i="125"/>
  <c r="V10" i="125" s="1"/>
  <c r="U10" i="127"/>
  <c r="M10" i="127"/>
  <c r="V10" i="127" s="1"/>
  <c r="T10" i="33"/>
  <c r="H10" i="85"/>
  <c r="I10" i="85" s="1"/>
  <c r="K10" i="85" s="1"/>
  <c r="W10" i="33"/>
  <c r="H10" i="88"/>
  <c r="I10" i="88" s="1"/>
  <c r="K10" i="88" s="1"/>
  <c r="AD10" i="33"/>
  <c r="I10" i="83"/>
  <c r="P10" i="83" s="1"/>
  <c r="AB10" i="33"/>
  <c r="I10" i="99"/>
  <c r="N10" i="99" s="1"/>
  <c r="M10" i="99"/>
  <c r="O10" i="33"/>
  <c r="I10" i="118"/>
  <c r="J10" i="118" s="1"/>
  <c r="L10" i="118" s="1"/>
  <c r="K10" i="33"/>
  <c r="I10" i="114"/>
  <c r="J10" i="114" s="1"/>
  <c r="L10" i="114" s="1"/>
  <c r="U10" i="129"/>
  <c r="M10" i="129"/>
  <c r="V10" i="129" s="1"/>
  <c r="E7" i="80"/>
  <c r="H7" i="80" s="1"/>
  <c r="J7" i="80" s="1"/>
  <c r="K7" i="80" s="1"/>
  <c r="M7" i="80" s="1"/>
  <c r="X10" i="33"/>
  <c r="H10" i="89"/>
  <c r="I10" i="89" s="1"/>
  <c r="K10" i="89" s="1"/>
  <c r="J10" i="90"/>
  <c r="K10" i="90" s="1"/>
  <c r="M10" i="90" s="1"/>
  <c r="AA10" i="33"/>
  <c r="AD32" i="33"/>
  <c r="I32" i="83"/>
  <c r="P32" i="83" s="1"/>
  <c r="J32" i="33"/>
  <c r="I32" i="113"/>
  <c r="J32" i="113" s="1"/>
  <c r="L32" i="113" s="1"/>
  <c r="O32" i="113" s="1"/>
  <c r="N32" i="33"/>
  <c r="I32" i="117"/>
  <c r="J32" i="117" s="1"/>
  <c r="L32" i="117" s="1"/>
  <c r="O32" i="117" s="1"/>
  <c r="W32" i="117" s="1"/>
  <c r="M32" i="125"/>
  <c r="V32" i="125" s="1"/>
  <c r="U32" i="125"/>
  <c r="U32" i="128"/>
  <c r="M32" i="128"/>
  <c r="V32" i="128" s="1"/>
  <c r="E29" i="80"/>
  <c r="H29" i="80" s="1"/>
  <c r="J29" i="80" s="1"/>
  <c r="K29" i="80" s="1"/>
  <c r="M29" i="80" s="1"/>
  <c r="X32" i="33"/>
  <c r="H32" i="89"/>
  <c r="I32" i="89" s="1"/>
  <c r="K32" i="89" s="1"/>
  <c r="J32" i="90"/>
  <c r="K32" i="90" s="1"/>
  <c r="M32" i="90" s="1"/>
  <c r="AA32" i="33"/>
  <c r="AB32" i="33"/>
  <c r="I32" i="99"/>
  <c r="N32" i="99" s="1"/>
  <c r="M32" i="99"/>
  <c r="O32" i="33"/>
  <c r="I32" i="118"/>
  <c r="J32" i="118" s="1"/>
  <c r="L32" i="118" s="1"/>
  <c r="K32" i="33"/>
  <c r="I32" i="114"/>
  <c r="J32" i="114" s="1"/>
  <c r="L32" i="114" s="1"/>
  <c r="M32" i="129"/>
  <c r="V32" i="129" s="1"/>
  <c r="U32" i="129"/>
  <c r="E29" i="76"/>
  <c r="H29" i="76" s="1"/>
  <c r="J29" i="76" s="1"/>
  <c r="K29" i="76" s="1"/>
  <c r="M29" i="76" s="1"/>
  <c r="H32" i="91"/>
  <c r="I32" i="91" s="1"/>
  <c r="K32" i="91" s="1"/>
  <c r="Y32" i="33"/>
  <c r="H32" i="86"/>
  <c r="I32" i="86" s="1"/>
  <c r="K32" i="86" s="1"/>
  <c r="U32" i="33"/>
  <c r="AD73" i="33"/>
  <c r="I73" i="83"/>
  <c r="P73" i="83" s="1"/>
  <c r="P73" i="33"/>
  <c r="I73" i="119"/>
  <c r="J73" i="119" s="1"/>
  <c r="L73" i="119" s="1"/>
  <c r="I73" i="115"/>
  <c r="J73" i="115" s="1"/>
  <c r="L73" i="115" s="1"/>
  <c r="L73" i="33"/>
  <c r="U73" i="130"/>
  <c r="M73" i="130"/>
  <c r="V73" i="130" s="1"/>
  <c r="M73" i="129"/>
  <c r="V73" i="129" s="1"/>
  <c r="U73" i="129"/>
  <c r="E70" i="76"/>
  <c r="H70" i="76" s="1"/>
  <c r="J70" i="76" s="1"/>
  <c r="K70" i="76" s="1"/>
  <c r="M70" i="76" s="1"/>
  <c r="Y73" i="33"/>
  <c r="H73" i="91"/>
  <c r="I73" i="91" s="1"/>
  <c r="K73" i="91" s="1"/>
  <c r="H73" i="86"/>
  <c r="I73" i="86" s="1"/>
  <c r="K73" i="86" s="1"/>
  <c r="U73" i="33"/>
  <c r="Q73" i="33"/>
  <c r="I73" i="120"/>
  <c r="J73" i="120" s="1"/>
  <c r="L73" i="120" s="1"/>
  <c r="I73" i="116"/>
  <c r="J73" i="116" s="1"/>
  <c r="L73" i="116" s="1"/>
  <c r="M73" i="33"/>
  <c r="U73" i="131"/>
  <c r="M73" i="131"/>
  <c r="V73" i="131" s="1"/>
  <c r="T73" i="33"/>
  <c r="H73" i="85"/>
  <c r="I73" i="85" s="1"/>
  <c r="K73" i="85" s="1"/>
  <c r="M73" i="126"/>
  <c r="V73" i="126" s="1"/>
  <c r="U73" i="126"/>
  <c r="H73" i="92"/>
  <c r="I73" i="92" s="1"/>
  <c r="K73" i="92" s="1"/>
  <c r="Z73" i="33"/>
  <c r="V73" i="33"/>
  <c r="H73" i="87"/>
  <c r="I73" i="87" s="1"/>
  <c r="K73" i="87" s="1"/>
  <c r="N73" i="87" s="1"/>
  <c r="V73" i="87" s="1"/>
  <c r="AE72" i="33"/>
  <c r="M72" i="84"/>
  <c r="I72" i="84"/>
  <c r="N72" i="84" s="1"/>
  <c r="Q72" i="33"/>
  <c r="I72" i="120"/>
  <c r="J72" i="120" s="1"/>
  <c r="L72" i="120" s="1"/>
  <c r="I72" i="116"/>
  <c r="J72" i="116" s="1"/>
  <c r="L72" i="116" s="1"/>
  <c r="M72" i="33"/>
  <c r="U72" i="131"/>
  <c r="M72" i="131"/>
  <c r="V72" i="131" s="1"/>
  <c r="M72" i="127"/>
  <c r="V72" i="127" s="1"/>
  <c r="U72" i="127"/>
  <c r="T72" i="33"/>
  <c r="H72" i="85"/>
  <c r="I72" i="85" s="1"/>
  <c r="K72" i="85" s="1"/>
  <c r="W72" i="33"/>
  <c r="H72" i="88"/>
  <c r="I72" i="88" s="1"/>
  <c r="K72" i="88" s="1"/>
  <c r="AD72" i="33"/>
  <c r="I72" i="83"/>
  <c r="P72" i="83" s="1"/>
  <c r="I72" i="113"/>
  <c r="J72" i="113" s="1"/>
  <c r="L72" i="113" s="1"/>
  <c r="O72" i="113" s="1"/>
  <c r="J72" i="33"/>
  <c r="N72" i="33"/>
  <c r="I72" i="117"/>
  <c r="J72" i="117" s="1"/>
  <c r="L72" i="117" s="1"/>
  <c r="O72" i="117" s="1"/>
  <c r="W72" i="117" s="1"/>
  <c r="M72" i="125"/>
  <c r="V72" i="125" s="1"/>
  <c r="U72" i="125"/>
  <c r="M72" i="128"/>
  <c r="V72" i="128" s="1"/>
  <c r="U72" i="128"/>
  <c r="E69" i="80"/>
  <c r="H69" i="80" s="1"/>
  <c r="J69" i="80" s="1"/>
  <c r="K69" i="80" s="1"/>
  <c r="M69" i="80" s="1"/>
  <c r="H72" i="89"/>
  <c r="I72" i="89" s="1"/>
  <c r="K72" i="89" s="1"/>
  <c r="X72" i="33"/>
  <c r="AA72" i="33"/>
  <c r="J72" i="90"/>
  <c r="K72" i="90" s="1"/>
  <c r="M72" i="90" s="1"/>
  <c r="AB69" i="33"/>
  <c r="M69" i="99"/>
  <c r="I69" i="99"/>
  <c r="N69" i="99" s="1"/>
  <c r="I69" i="118"/>
  <c r="J69" i="118" s="1"/>
  <c r="L69" i="118" s="1"/>
  <c r="O69" i="33"/>
  <c r="I69" i="114"/>
  <c r="J69" i="114" s="1"/>
  <c r="L69" i="114" s="1"/>
  <c r="K69" i="33"/>
  <c r="AE69" i="33"/>
  <c r="M69" i="84"/>
  <c r="I69" i="84"/>
  <c r="N69" i="84" s="1"/>
  <c r="M69" i="128"/>
  <c r="V69" i="128" s="1"/>
  <c r="U69" i="128"/>
  <c r="E66" i="80"/>
  <c r="H66" i="80" s="1"/>
  <c r="J66" i="80" s="1"/>
  <c r="K66" i="80" s="1"/>
  <c r="M66" i="80" s="1"/>
  <c r="H69" i="89"/>
  <c r="I69" i="89" s="1"/>
  <c r="K69" i="89" s="1"/>
  <c r="X69" i="33"/>
  <c r="AD69" i="33"/>
  <c r="I69" i="83"/>
  <c r="P69" i="83" s="1"/>
  <c r="P69" i="33"/>
  <c r="I69" i="119"/>
  <c r="J69" i="119" s="1"/>
  <c r="L69" i="119" s="1"/>
  <c r="L69" i="33"/>
  <c r="I69" i="115"/>
  <c r="J69" i="115" s="1"/>
  <c r="L69" i="115" s="1"/>
  <c r="U69" i="130"/>
  <c r="M69" i="130"/>
  <c r="V69" i="130" s="1"/>
  <c r="U69" i="129"/>
  <c r="M69" i="129"/>
  <c r="V69" i="129" s="1"/>
  <c r="E66" i="76"/>
  <c r="H66" i="76" s="1"/>
  <c r="J66" i="76" s="1"/>
  <c r="K66" i="76" s="1"/>
  <c r="M66" i="76" s="1"/>
  <c r="Y69" i="33"/>
  <c r="H69" i="91"/>
  <c r="I69" i="91" s="1"/>
  <c r="K69" i="91" s="1"/>
  <c r="U69" i="33"/>
  <c r="H69" i="86"/>
  <c r="I69" i="86" s="1"/>
  <c r="K69" i="86" s="1"/>
  <c r="AB75" i="33"/>
  <c r="I75" i="99"/>
  <c r="N75" i="99" s="1"/>
  <c r="M75" i="99"/>
  <c r="O75" i="33"/>
  <c r="I75" i="118"/>
  <c r="J75" i="118" s="1"/>
  <c r="L75" i="118" s="1"/>
  <c r="K75" i="33"/>
  <c r="I75" i="114"/>
  <c r="J75" i="114" s="1"/>
  <c r="L75" i="114" s="1"/>
  <c r="AE75" i="33"/>
  <c r="M75" i="84"/>
  <c r="I75" i="84"/>
  <c r="N75" i="84" s="1"/>
  <c r="U75" i="128"/>
  <c r="M75" i="128"/>
  <c r="V75" i="128" s="1"/>
  <c r="E72" i="80"/>
  <c r="H72" i="80" s="1"/>
  <c r="J72" i="80" s="1"/>
  <c r="K72" i="80" s="1"/>
  <c r="M72" i="80" s="1"/>
  <c r="X75" i="33"/>
  <c r="H75" i="89"/>
  <c r="I75" i="89" s="1"/>
  <c r="K75" i="89" s="1"/>
  <c r="AD75" i="33"/>
  <c r="I75" i="83"/>
  <c r="P75" i="83" s="1"/>
  <c r="P75" i="33"/>
  <c r="I75" i="119"/>
  <c r="J75" i="119" s="1"/>
  <c r="L75" i="119" s="1"/>
  <c r="L75" i="33"/>
  <c r="I75" i="115"/>
  <c r="J75" i="115" s="1"/>
  <c r="L75" i="115" s="1"/>
  <c r="U75" i="130"/>
  <c r="M75" i="130"/>
  <c r="V75" i="130" s="1"/>
  <c r="M75" i="129"/>
  <c r="V75" i="129" s="1"/>
  <c r="U75" i="129"/>
  <c r="E72" i="76"/>
  <c r="H72" i="76" s="1"/>
  <c r="J72" i="76" s="1"/>
  <c r="K72" i="76" s="1"/>
  <c r="M72" i="76" s="1"/>
  <c r="Y75" i="33"/>
  <c r="H75" i="91"/>
  <c r="I75" i="91" s="1"/>
  <c r="K75" i="91" s="1"/>
  <c r="H75" i="86"/>
  <c r="I75" i="86" s="1"/>
  <c r="K75" i="86" s="1"/>
  <c r="U75" i="33"/>
  <c r="AE56" i="33"/>
  <c r="M56" i="84"/>
  <c r="I56" i="84"/>
  <c r="N56" i="84" s="1"/>
  <c r="Q56" i="33"/>
  <c r="I56" i="120"/>
  <c r="J56" i="120" s="1"/>
  <c r="L56" i="120" s="1"/>
  <c r="M56" i="33"/>
  <c r="I56" i="116"/>
  <c r="J56" i="116" s="1"/>
  <c r="L56" i="116" s="1"/>
  <c r="U56" i="131"/>
  <c r="M56" i="131"/>
  <c r="V56" i="131" s="1"/>
  <c r="U56" i="127"/>
  <c r="M56" i="127"/>
  <c r="V56" i="127" s="1"/>
  <c r="H56" i="85"/>
  <c r="I56" i="85" s="1"/>
  <c r="K56" i="85" s="1"/>
  <c r="T56" i="33"/>
  <c r="W56" i="33"/>
  <c r="H56" i="88"/>
  <c r="I56" i="88" s="1"/>
  <c r="K56" i="88" s="1"/>
  <c r="AD56" i="33"/>
  <c r="I56" i="83"/>
  <c r="P56" i="83" s="1"/>
  <c r="I56" i="113"/>
  <c r="J56" i="113" s="1"/>
  <c r="L56" i="113" s="1"/>
  <c r="O56" i="113" s="1"/>
  <c r="J56" i="33"/>
  <c r="N56" i="33"/>
  <c r="I56" i="117"/>
  <c r="J56" i="117" s="1"/>
  <c r="L56" i="117" s="1"/>
  <c r="O56" i="117" s="1"/>
  <c r="W56" i="117" s="1"/>
  <c r="U56" i="125"/>
  <c r="M56" i="125"/>
  <c r="V56" i="125" s="1"/>
  <c r="U56" i="128"/>
  <c r="M56" i="128"/>
  <c r="V56" i="128" s="1"/>
  <c r="E53" i="80"/>
  <c r="H53" i="80" s="1"/>
  <c r="J53" i="80" s="1"/>
  <c r="K53" i="80" s="1"/>
  <c r="M53" i="80" s="1"/>
  <c r="X56" i="33"/>
  <c r="H56" i="89"/>
  <c r="I56" i="89" s="1"/>
  <c r="K56" i="89" s="1"/>
  <c r="J56" i="90"/>
  <c r="K56" i="90" s="1"/>
  <c r="M56" i="90" s="1"/>
  <c r="AA56" i="33"/>
  <c r="AB55" i="33"/>
  <c r="M55" i="99"/>
  <c r="I55" i="99"/>
  <c r="N55" i="99" s="1"/>
  <c r="O55" i="33"/>
  <c r="I55" i="118"/>
  <c r="J55" i="118" s="1"/>
  <c r="L55" i="118" s="1"/>
  <c r="K55" i="33"/>
  <c r="I55" i="114"/>
  <c r="J55" i="114" s="1"/>
  <c r="L55" i="114" s="1"/>
  <c r="AE55" i="33"/>
  <c r="M55" i="84"/>
  <c r="I55" i="84"/>
  <c r="N55" i="84" s="1"/>
  <c r="M55" i="128"/>
  <c r="V55" i="128" s="1"/>
  <c r="U55" i="128"/>
  <c r="E52" i="80"/>
  <c r="H52" i="80" s="1"/>
  <c r="J52" i="80" s="1"/>
  <c r="K52" i="80" s="1"/>
  <c r="M52" i="80" s="1"/>
  <c r="H55" i="89"/>
  <c r="I55" i="89" s="1"/>
  <c r="K55" i="89" s="1"/>
  <c r="X55" i="33"/>
  <c r="AD55" i="33"/>
  <c r="I55" i="83"/>
  <c r="P55" i="83" s="1"/>
  <c r="P55" i="33"/>
  <c r="I55" i="119"/>
  <c r="J55" i="119" s="1"/>
  <c r="L55" i="119" s="1"/>
  <c r="L55" i="33"/>
  <c r="I55" i="115"/>
  <c r="J55" i="115" s="1"/>
  <c r="L55" i="115" s="1"/>
  <c r="U55" i="130"/>
  <c r="M55" i="130"/>
  <c r="V55" i="130" s="1"/>
  <c r="M55" i="129"/>
  <c r="V55" i="129" s="1"/>
  <c r="U55" i="129"/>
  <c r="E52" i="76"/>
  <c r="H52" i="76" s="1"/>
  <c r="J52" i="76" s="1"/>
  <c r="K52" i="76" s="1"/>
  <c r="M52" i="76" s="1"/>
  <c r="H55" i="91"/>
  <c r="I55" i="91" s="1"/>
  <c r="K55" i="91" s="1"/>
  <c r="Y55" i="33"/>
  <c r="H55" i="86"/>
  <c r="I55" i="86" s="1"/>
  <c r="K55" i="86" s="1"/>
  <c r="U55" i="33"/>
  <c r="AD53" i="33"/>
  <c r="I53" i="83"/>
  <c r="P53" i="83" s="1"/>
  <c r="P53" i="33"/>
  <c r="I53" i="119"/>
  <c r="J53" i="119" s="1"/>
  <c r="L53" i="119" s="1"/>
  <c r="L53" i="33"/>
  <c r="I53" i="115"/>
  <c r="J53" i="115" s="1"/>
  <c r="L53" i="115" s="1"/>
  <c r="M53" i="130"/>
  <c r="V53" i="130" s="1"/>
  <c r="U53" i="130"/>
  <c r="M53" i="129"/>
  <c r="V53" i="129" s="1"/>
  <c r="U53" i="129"/>
  <c r="E50" i="76"/>
  <c r="H50" i="76" s="1"/>
  <c r="J50" i="76" s="1"/>
  <c r="K50" i="76" s="1"/>
  <c r="M50" i="76" s="1"/>
  <c r="H53" i="91"/>
  <c r="I53" i="91" s="1"/>
  <c r="K53" i="91" s="1"/>
  <c r="Y53" i="33"/>
  <c r="H53" i="86"/>
  <c r="I53" i="86" s="1"/>
  <c r="K53" i="86" s="1"/>
  <c r="U53" i="33"/>
  <c r="Q53" i="33"/>
  <c r="I53" i="120"/>
  <c r="J53" i="120" s="1"/>
  <c r="L53" i="120" s="1"/>
  <c r="I53" i="116"/>
  <c r="J53" i="116" s="1"/>
  <c r="L53" i="116" s="1"/>
  <c r="M53" i="33"/>
  <c r="U53" i="131"/>
  <c r="M53" i="131"/>
  <c r="V53" i="131" s="1"/>
  <c r="T53" i="33"/>
  <c r="H53" i="85"/>
  <c r="I53" i="85" s="1"/>
  <c r="K53" i="85" s="1"/>
  <c r="M53" i="126"/>
  <c r="V53" i="126" s="1"/>
  <c r="U53" i="126"/>
  <c r="Z53" i="33"/>
  <c r="H53" i="92"/>
  <c r="I53" i="92" s="1"/>
  <c r="K53" i="92" s="1"/>
  <c r="O30" i="33"/>
  <c r="I30" i="118"/>
  <c r="J30" i="118" s="1"/>
  <c r="L30" i="118" s="1"/>
  <c r="K30" i="33"/>
  <c r="I30" i="114"/>
  <c r="J30" i="114" s="1"/>
  <c r="L30" i="114" s="1"/>
  <c r="M30" i="127"/>
  <c r="V30" i="127" s="1"/>
  <c r="U30" i="127"/>
  <c r="H30" i="85"/>
  <c r="I30" i="85" s="1"/>
  <c r="K30" i="85" s="1"/>
  <c r="T30" i="33"/>
  <c r="W30" i="33"/>
  <c r="H30" i="88"/>
  <c r="I30" i="88" s="1"/>
  <c r="K30" i="88" s="1"/>
  <c r="AD30" i="33"/>
  <c r="I30" i="83"/>
  <c r="P30" i="83" s="1"/>
  <c r="U30" i="128"/>
  <c r="M30" i="128"/>
  <c r="V30" i="128" s="1"/>
  <c r="P30" i="33"/>
  <c r="I30" i="119"/>
  <c r="J30" i="119" s="1"/>
  <c r="L30" i="119" s="1"/>
  <c r="L30" i="33"/>
  <c r="I30" i="115"/>
  <c r="J30" i="115" s="1"/>
  <c r="L30" i="115" s="1"/>
  <c r="M30" i="130"/>
  <c r="V30" i="130" s="1"/>
  <c r="U30" i="130"/>
  <c r="E27" i="80"/>
  <c r="H27" i="80" s="1"/>
  <c r="J27" i="80" s="1"/>
  <c r="K27" i="80" s="1"/>
  <c r="M27" i="80" s="1"/>
  <c r="H30" i="89"/>
  <c r="I30" i="89" s="1"/>
  <c r="K30" i="89" s="1"/>
  <c r="X30" i="33"/>
  <c r="AA30" i="33"/>
  <c r="J30" i="90"/>
  <c r="K30" i="90" s="1"/>
  <c r="M30" i="90" s="1"/>
  <c r="AD36" i="33"/>
  <c r="I36" i="83"/>
  <c r="P36" i="83" s="1"/>
  <c r="J36" i="33"/>
  <c r="I36" i="113"/>
  <c r="J36" i="113" s="1"/>
  <c r="L36" i="113" s="1"/>
  <c r="O36" i="113" s="1"/>
  <c r="I36" i="117"/>
  <c r="J36" i="117" s="1"/>
  <c r="L36" i="117" s="1"/>
  <c r="O36" i="117" s="1"/>
  <c r="W36" i="117" s="1"/>
  <c r="N36" i="33"/>
  <c r="U36" i="125"/>
  <c r="M36" i="125"/>
  <c r="V36" i="125" s="1"/>
  <c r="M36" i="128"/>
  <c r="V36" i="128" s="1"/>
  <c r="U36" i="128"/>
  <c r="E33" i="80"/>
  <c r="H33" i="80" s="1"/>
  <c r="J33" i="80" s="1"/>
  <c r="K33" i="80" s="1"/>
  <c r="M33" i="80" s="1"/>
  <c r="H36" i="89"/>
  <c r="I36" i="89" s="1"/>
  <c r="K36" i="89" s="1"/>
  <c r="X36" i="33"/>
  <c r="J36" i="90"/>
  <c r="K36" i="90" s="1"/>
  <c r="M36" i="90" s="1"/>
  <c r="AA36" i="33"/>
  <c r="M36" i="99"/>
  <c r="I36" i="99"/>
  <c r="N36" i="99" s="1"/>
  <c r="AB36" i="33"/>
  <c r="I36" i="118"/>
  <c r="J36" i="118" s="1"/>
  <c r="L36" i="118" s="1"/>
  <c r="O36" i="33"/>
  <c r="I36" i="114"/>
  <c r="J36" i="114" s="1"/>
  <c r="L36" i="114" s="1"/>
  <c r="K36" i="33"/>
  <c r="M36" i="129"/>
  <c r="V36" i="129" s="1"/>
  <c r="U36" i="129"/>
  <c r="E33" i="76"/>
  <c r="H33" i="76" s="1"/>
  <c r="J33" i="76" s="1"/>
  <c r="K33" i="76" s="1"/>
  <c r="M33" i="76" s="1"/>
  <c r="Y36" i="33"/>
  <c r="H36" i="91"/>
  <c r="I36" i="91" s="1"/>
  <c r="K36" i="91" s="1"/>
  <c r="H36" i="86"/>
  <c r="I36" i="86" s="1"/>
  <c r="K36" i="86" s="1"/>
  <c r="U36" i="33"/>
  <c r="AE33" i="33"/>
  <c r="M33" i="84"/>
  <c r="I33" i="84"/>
  <c r="N33" i="84" s="1"/>
  <c r="P33" i="33"/>
  <c r="I33" i="119"/>
  <c r="J33" i="119" s="1"/>
  <c r="L33" i="119" s="1"/>
  <c r="I33" i="115"/>
  <c r="J33" i="115" s="1"/>
  <c r="L33" i="115" s="1"/>
  <c r="L33" i="33"/>
  <c r="M33" i="130"/>
  <c r="V33" i="130" s="1"/>
  <c r="U33" i="130"/>
  <c r="M33" i="129"/>
  <c r="V33" i="129" s="1"/>
  <c r="U33" i="129"/>
  <c r="E30" i="76"/>
  <c r="H30" i="76" s="1"/>
  <c r="J30" i="76" s="1"/>
  <c r="K30" i="76" s="1"/>
  <c r="M30" i="76" s="1"/>
  <c r="X33" i="33"/>
  <c r="H33" i="89"/>
  <c r="I33" i="89" s="1"/>
  <c r="K33" i="89" s="1"/>
  <c r="AD33" i="33"/>
  <c r="I33" i="83"/>
  <c r="P33" i="83" s="1"/>
  <c r="Q33" i="33"/>
  <c r="I33" i="120"/>
  <c r="J33" i="120" s="1"/>
  <c r="L33" i="120" s="1"/>
  <c r="M33" i="33"/>
  <c r="I33" i="116"/>
  <c r="J33" i="116" s="1"/>
  <c r="L33" i="116" s="1"/>
  <c r="U33" i="131"/>
  <c r="M33" i="131"/>
  <c r="V33" i="131" s="1"/>
  <c r="H33" i="92"/>
  <c r="I33" i="92" s="1"/>
  <c r="K33" i="92" s="1"/>
  <c r="Z33" i="33"/>
  <c r="M33" i="126"/>
  <c r="V33" i="126" s="1"/>
  <c r="U33" i="126"/>
  <c r="H33" i="91"/>
  <c r="I33" i="91" s="1"/>
  <c r="K33" i="91" s="1"/>
  <c r="Y33" i="33"/>
  <c r="U33" i="33"/>
  <c r="H33" i="86"/>
  <c r="I33" i="86" s="1"/>
  <c r="K33" i="86" s="1"/>
  <c r="AD49" i="33"/>
  <c r="I49" i="83"/>
  <c r="P49" i="83" s="1"/>
  <c r="P49" i="33"/>
  <c r="I49" i="119"/>
  <c r="J49" i="119" s="1"/>
  <c r="L49" i="119" s="1"/>
  <c r="L49" i="33"/>
  <c r="I49" i="115"/>
  <c r="J49" i="115" s="1"/>
  <c r="L49" i="115" s="1"/>
  <c r="M49" i="130"/>
  <c r="V49" i="130" s="1"/>
  <c r="U49" i="130"/>
  <c r="M49" i="129"/>
  <c r="V49" i="129" s="1"/>
  <c r="U49" i="129"/>
  <c r="E46" i="76"/>
  <c r="H46" i="76" s="1"/>
  <c r="J46" i="76" s="1"/>
  <c r="K46" i="76" s="1"/>
  <c r="M46" i="76" s="1"/>
  <c r="Y49" i="33"/>
  <c r="H49" i="91"/>
  <c r="I49" i="91" s="1"/>
  <c r="K49" i="91" s="1"/>
  <c r="U49" i="33"/>
  <c r="H49" i="86"/>
  <c r="I49" i="86" s="1"/>
  <c r="K49" i="86" s="1"/>
  <c r="Q49" i="33"/>
  <c r="I49" i="120"/>
  <c r="J49" i="120" s="1"/>
  <c r="L49" i="120" s="1"/>
  <c r="I49" i="116"/>
  <c r="J49" i="116" s="1"/>
  <c r="L49" i="116" s="1"/>
  <c r="M49" i="33"/>
  <c r="U49" i="131"/>
  <c r="M49" i="131"/>
  <c r="V49" i="131" s="1"/>
  <c r="T49" i="33"/>
  <c r="H49" i="85"/>
  <c r="I49" i="85" s="1"/>
  <c r="K49" i="85" s="1"/>
  <c r="M49" i="126"/>
  <c r="V49" i="126" s="1"/>
  <c r="U49" i="126"/>
  <c r="H49" i="92"/>
  <c r="I49" i="92" s="1"/>
  <c r="K49" i="92" s="1"/>
  <c r="Z49" i="33"/>
  <c r="V49" i="33"/>
  <c r="H49" i="87"/>
  <c r="I49" i="87" s="1"/>
  <c r="K49" i="87" s="1"/>
  <c r="N49" i="87" s="1"/>
  <c r="V49" i="87" s="1"/>
  <c r="AD23" i="33"/>
  <c r="I23" i="83"/>
  <c r="P23" i="83" s="1"/>
  <c r="I23" i="113"/>
  <c r="J23" i="113" s="1"/>
  <c r="L23" i="113" s="1"/>
  <c r="O23" i="113" s="1"/>
  <c r="J23" i="33"/>
  <c r="N23" i="33"/>
  <c r="I23" i="117"/>
  <c r="J23" i="117" s="1"/>
  <c r="L23" i="117" s="1"/>
  <c r="O23" i="117" s="1"/>
  <c r="W23" i="117" s="1"/>
  <c r="U23" i="125"/>
  <c r="M23" i="125"/>
  <c r="V23" i="125" s="1"/>
  <c r="H10" i="46"/>
  <c r="E18" i="46"/>
  <c r="T23" i="33"/>
  <c r="H23" i="85"/>
  <c r="I23" i="85" s="1"/>
  <c r="K23" i="85" s="1"/>
  <c r="U23" i="127"/>
  <c r="M23" i="127"/>
  <c r="V23" i="127" s="1"/>
  <c r="AA23" i="33"/>
  <c r="J23" i="90"/>
  <c r="K23" i="90" s="1"/>
  <c r="M23" i="90" s="1"/>
  <c r="V23" i="33"/>
  <c r="H23" i="87"/>
  <c r="I23" i="87" s="1"/>
  <c r="K23" i="87" s="1"/>
  <c r="N23" i="87" s="1"/>
  <c r="V23" i="87" s="1"/>
  <c r="I17" i="46"/>
  <c r="J17" i="46"/>
  <c r="J18" i="46" s="1"/>
  <c r="J38" i="46" s="1"/>
  <c r="I23" i="118"/>
  <c r="J23" i="118" s="1"/>
  <c r="L23" i="118" s="1"/>
  <c r="O23" i="33"/>
  <c r="I23" i="114"/>
  <c r="J23" i="114" s="1"/>
  <c r="L23" i="114" s="1"/>
  <c r="K23" i="33"/>
  <c r="M23" i="98"/>
  <c r="AC23" i="33"/>
  <c r="I23" i="98"/>
  <c r="N23" i="98" s="1"/>
  <c r="U23" i="128"/>
  <c r="M23" i="128"/>
  <c r="V23" i="128" s="1"/>
  <c r="E20" i="80"/>
  <c r="H20" i="80" s="1"/>
  <c r="J20" i="80" s="1"/>
  <c r="K20" i="80" s="1"/>
  <c r="M20" i="80" s="1"/>
  <c r="W23" i="33"/>
  <c r="H23" i="88"/>
  <c r="I23" i="88" s="1"/>
  <c r="K23" i="88" s="1"/>
  <c r="T62" i="67"/>
  <c r="J62" i="67"/>
  <c r="K62" i="67" s="1"/>
  <c r="W62" i="67" s="1"/>
  <c r="U62" i="129"/>
  <c r="M62" i="129"/>
  <c r="V62" i="129" s="1"/>
  <c r="P62" i="33"/>
  <c r="I62" i="119"/>
  <c r="J62" i="119" s="1"/>
  <c r="L62" i="119" s="1"/>
  <c r="I62" i="115"/>
  <c r="J62" i="115" s="1"/>
  <c r="L62" i="115" s="1"/>
  <c r="L62" i="33"/>
  <c r="U62" i="130"/>
  <c r="M62" i="130"/>
  <c r="V62" i="130" s="1"/>
  <c r="E59" i="76"/>
  <c r="H59" i="76" s="1"/>
  <c r="J59" i="76" s="1"/>
  <c r="K59" i="76" s="1"/>
  <c r="M59" i="76" s="1"/>
  <c r="Y62" i="33"/>
  <c r="H62" i="91"/>
  <c r="I62" i="91" s="1"/>
  <c r="K62" i="91" s="1"/>
  <c r="U62" i="33"/>
  <c r="H62" i="86"/>
  <c r="I62" i="86" s="1"/>
  <c r="K62" i="86" s="1"/>
  <c r="M62" i="98"/>
  <c r="I62" i="98"/>
  <c r="N62" i="98" s="1"/>
  <c r="AC62" i="33"/>
  <c r="Q62" i="33"/>
  <c r="I62" i="120"/>
  <c r="J62" i="120" s="1"/>
  <c r="L62" i="120" s="1"/>
  <c r="I62" i="116"/>
  <c r="J62" i="116" s="1"/>
  <c r="L62" i="116" s="1"/>
  <c r="M62" i="33"/>
  <c r="U62" i="131"/>
  <c r="M62" i="131"/>
  <c r="V62" i="131" s="1"/>
  <c r="M62" i="126"/>
  <c r="V62" i="126" s="1"/>
  <c r="U62" i="126"/>
  <c r="H62" i="92"/>
  <c r="I62" i="92" s="1"/>
  <c r="K62" i="92" s="1"/>
  <c r="Z62" i="33"/>
  <c r="V62" i="33"/>
  <c r="H62" i="87"/>
  <c r="I62" i="87" s="1"/>
  <c r="K62" i="87" s="1"/>
  <c r="N62" i="87" s="1"/>
  <c r="V62" i="87" s="1"/>
  <c r="J65" i="67"/>
  <c r="K65" i="67" s="1"/>
  <c r="W65" i="67" s="1"/>
  <c r="T65" i="67"/>
  <c r="Q65" i="33"/>
  <c r="I65" i="120"/>
  <c r="J65" i="120" s="1"/>
  <c r="L65" i="120" s="1"/>
  <c r="M65" i="33"/>
  <c r="I65" i="116"/>
  <c r="J65" i="116" s="1"/>
  <c r="L65" i="116" s="1"/>
  <c r="U65" i="131"/>
  <c r="M65" i="131"/>
  <c r="V65" i="131" s="1"/>
  <c r="H65" i="85"/>
  <c r="I65" i="85" s="1"/>
  <c r="K65" i="85" s="1"/>
  <c r="T65" i="33"/>
  <c r="M65" i="126"/>
  <c r="V65" i="126" s="1"/>
  <c r="U65" i="126"/>
  <c r="Z65" i="33"/>
  <c r="H65" i="92"/>
  <c r="I65" i="92" s="1"/>
  <c r="K65" i="92" s="1"/>
  <c r="V65" i="33"/>
  <c r="H65" i="87"/>
  <c r="I65" i="87" s="1"/>
  <c r="K65" i="87" s="1"/>
  <c r="N65" i="87" s="1"/>
  <c r="V65" i="87" s="1"/>
  <c r="I65" i="113"/>
  <c r="J65" i="113" s="1"/>
  <c r="L65" i="113" s="1"/>
  <c r="O65" i="113" s="1"/>
  <c r="J65" i="33"/>
  <c r="N65" i="33"/>
  <c r="I65" i="117"/>
  <c r="J65" i="117" s="1"/>
  <c r="L65" i="117" s="1"/>
  <c r="O65" i="117" s="1"/>
  <c r="W65" i="117" s="1"/>
  <c r="U65" i="125"/>
  <c r="M65" i="125"/>
  <c r="V65" i="125" s="1"/>
  <c r="M65" i="98"/>
  <c r="AC65" i="33"/>
  <c r="I65" i="98"/>
  <c r="N65" i="98" s="1"/>
  <c r="M65" i="127"/>
  <c r="V65" i="127" s="1"/>
  <c r="U65" i="127"/>
  <c r="J65" i="90"/>
  <c r="K65" i="90" s="1"/>
  <c r="M65" i="90" s="1"/>
  <c r="AA65" i="33"/>
  <c r="H65" i="88"/>
  <c r="I65" i="88" s="1"/>
  <c r="K65" i="88" s="1"/>
  <c r="W65" i="33"/>
  <c r="J35" i="67"/>
  <c r="K35" i="67" s="1"/>
  <c r="W35" i="67" s="1"/>
  <c r="T35" i="67"/>
  <c r="AB35" i="33"/>
  <c r="I35" i="99"/>
  <c r="N35" i="99" s="1"/>
  <c r="M35" i="99"/>
  <c r="O35" i="33"/>
  <c r="I35" i="118"/>
  <c r="J35" i="118" s="1"/>
  <c r="L35" i="118" s="1"/>
  <c r="I35" i="114"/>
  <c r="J35" i="114" s="1"/>
  <c r="L35" i="114" s="1"/>
  <c r="K35" i="33"/>
  <c r="M35" i="98"/>
  <c r="AC35" i="33"/>
  <c r="I35" i="98"/>
  <c r="N35" i="98" s="1"/>
  <c r="M35" i="128"/>
  <c r="V35" i="128" s="1"/>
  <c r="U35" i="128"/>
  <c r="E32" i="80"/>
  <c r="H32" i="80" s="1"/>
  <c r="J32" i="80" s="1"/>
  <c r="K32" i="80" s="1"/>
  <c r="M32" i="80" s="1"/>
  <c r="W35" i="33"/>
  <c r="H35" i="88"/>
  <c r="I35" i="88" s="1"/>
  <c r="K35" i="88" s="1"/>
  <c r="AE35" i="33"/>
  <c r="I35" i="84"/>
  <c r="N35" i="84" s="1"/>
  <c r="M35" i="84"/>
  <c r="I35" i="119"/>
  <c r="J35" i="119" s="1"/>
  <c r="L35" i="119" s="1"/>
  <c r="P35" i="33"/>
  <c r="L35" i="33"/>
  <c r="I35" i="115"/>
  <c r="J35" i="115" s="1"/>
  <c r="L35" i="115" s="1"/>
  <c r="M35" i="130"/>
  <c r="V35" i="130" s="1"/>
  <c r="U35" i="130"/>
  <c r="M35" i="129"/>
  <c r="V35" i="129" s="1"/>
  <c r="U35" i="129"/>
  <c r="E32" i="76"/>
  <c r="H32" i="76" s="1"/>
  <c r="J32" i="76" s="1"/>
  <c r="K32" i="76" s="1"/>
  <c r="M32" i="76" s="1"/>
  <c r="H35" i="89"/>
  <c r="I35" i="89" s="1"/>
  <c r="K35" i="89" s="1"/>
  <c r="X35" i="33"/>
  <c r="J10" i="67"/>
  <c r="K10" i="67" s="1"/>
  <c r="W10" i="67" s="1"/>
  <c r="T10" i="67"/>
  <c r="M10" i="128"/>
  <c r="V10" i="128" s="1"/>
  <c r="U10" i="128"/>
  <c r="P10" i="33"/>
  <c r="I10" i="119"/>
  <c r="J10" i="119" s="1"/>
  <c r="L10" i="119" s="1"/>
  <c r="I10" i="115"/>
  <c r="J10" i="115" s="1"/>
  <c r="L10" i="115" s="1"/>
  <c r="L10" i="33"/>
  <c r="M10" i="130"/>
  <c r="V10" i="130" s="1"/>
  <c r="U10" i="130"/>
  <c r="E7" i="76"/>
  <c r="H7" i="76" s="1"/>
  <c r="J7" i="76" s="1"/>
  <c r="K7" i="76" s="1"/>
  <c r="M7" i="76" s="1"/>
  <c r="H10" i="91"/>
  <c r="I10" i="91" s="1"/>
  <c r="K10" i="91" s="1"/>
  <c r="Y10" i="33"/>
  <c r="H10" i="86"/>
  <c r="I10" i="86" s="1"/>
  <c r="K10" i="86" s="1"/>
  <c r="U10" i="33"/>
  <c r="AC10" i="33"/>
  <c r="I10" i="98"/>
  <c r="N10" i="98" s="1"/>
  <c r="M10" i="98"/>
  <c r="Q10" i="33"/>
  <c r="I10" i="120"/>
  <c r="J10" i="120" s="1"/>
  <c r="L10" i="120" s="1"/>
  <c r="I10" i="116"/>
  <c r="J10" i="116" s="1"/>
  <c r="L10" i="116" s="1"/>
  <c r="M10" i="33"/>
  <c r="M10" i="131"/>
  <c r="V10" i="131" s="1"/>
  <c r="U10" i="131"/>
  <c r="U10" i="126"/>
  <c r="M10" i="126"/>
  <c r="V10" i="126" s="1"/>
  <c r="H10" i="92"/>
  <c r="I10" i="92" s="1"/>
  <c r="K10" i="92" s="1"/>
  <c r="Z10" i="33"/>
  <c r="H10" i="87"/>
  <c r="I10" i="87" s="1"/>
  <c r="K10" i="87" s="1"/>
  <c r="N10" i="87" s="1"/>
  <c r="V10" i="87" s="1"/>
  <c r="V10" i="33"/>
  <c r="T32" i="67"/>
  <c r="J32" i="67"/>
  <c r="K32" i="67" s="1"/>
  <c r="W32" i="67" s="1"/>
  <c r="M32" i="98"/>
  <c r="AC32" i="33"/>
  <c r="I32" i="98"/>
  <c r="N32" i="98" s="1"/>
  <c r="P32" i="33"/>
  <c r="I32" i="119"/>
  <c r="J32" i="119" s="1"/>
  <c r="L32" i="119" s="1"/>
  <c r="L32" i="33"/>
  <c r="I32" i="115"/>
  <c r="J32" i="115" s="1"/>
  <c r="L32" i="115" s="1"/>
  <c r="M32" i="130"/>
  <c r="V32" i="130" s="1"/>
  <c r="U32" i="130"/>
  <c r="U32" i="126"/>
  <c r="M32" i="126"/>
  <c r="V32" i="126" s="1"/>
  <c r="H32" i="92"/>
  <c r="I32" i="92" s="1"/>
  <c r="K32" i="92" s="1"/>
  <c r="Z32" i="33"/>
  <c r="V32" i="33"/>
  <c r="H32" i="87"/>
  <c r="I32" i="87" s="1"/>
  <c r="K32" i="87" s="1"/>
  <c r="N32" i="87" s="1"/>
  <c r="V32" i="87" s="1"/>
  <c r="AE32" i="33"/>
  <c r="M32" i="84"/>
  <c r="I32" i="84"/>
  <c r="N32" i="84" s="1"/>
  <c r="Q32" i="33"/>
  <c r="I32" i="120"/>
  <c r="J32" i="120" s="1"/>
  <c r="L32" i="120" s="1"/>
  <c r="I32" i="116"/>
  <c r="J32" i="116" s="1"/>
  <c r="M32" i="33"/>
  <c r="U32" i="131"/>
  <c r="M32" i="131"/>
  <c r="V32" i="131" s="1"/>
  <c r="M32" i="127"/>
  <c r="V32" i="127" s="1"/>
  <c r="U32" i="127"/>
  <c r="T32" i="33"/>
  <c r="H32" i="85"/>
  <c r="I32" i="85" s="1"/>
  <c r="K32" i="85" s="1"/>
  <c r="W32" i="33"/>
  <c r="H32" i="88"/>
  <c r="I32" i="88" s="1"/>
  <c r="K32" i="88" s="1"/>
  <c r="T73" i="67"/>
  <c r="J73" i="67"/>
  <c r="K73" i="67" s="1"/>
  <c r="W73" i="67" s="1"/>
  <c r="J73" i="33"/>
  <c r="I73" i="113"/>
  <c r="J73" i="113" s="1"/>
  <c r="L73" i="113" s="1"/>
  <c r="O73" i="113" s="1"/>
  <c r="I73" i="117"/>
  <c r="J73" i="117" s="1"/>
  <c r="L73" i="117" s="1"/>
  <c r="O73" i="117" s="1"/>
  <c r="W73" i="117" s="1"/>
  <c r="N73" i="33"/>
  <c r="M73" i="125"/>
  <c r="V73" i="125" s="1"/>
  <c r="U73" i="125"/>
  <c r="AC73" i="33"/>
  <c r="I73" i="98"/>
  <c r="N73" i="98" s="1"/>
  <c r="M73" i="98"/>
  <c r="U73" i="127"/>
  <c r="M73" i="127"/>
  <c r="V73" i="127" s="1"/>
  <c r="J73" i="90"/>
  <c r="K73" i="90" s="1"/>
  <c r="M73" i="90" s="1"/>
  <c r="AA73" i="33"/>
  <c r="W73" i="33"/>
  <c r="H73" i="88"/>
  <c r="I73" i="88" s="1"/>
  <c r="K73" i="88" s="1"/>
  <c r="AB73" i="33"/>
  <c r="I73" i="99"/>
  <c r="N73" i="99" s="1"/>
  <c r="I73" i="118"/>
  <c r="J73" i="118" s="1"/>
  <c r="L73" i="118" s="1"/>
  <c r="O73" i="33"/>
  <c r="I73" i="114"/>
  <c r="J73" i="114" s="1"/>
  <c r="L73" i="114" s="1"/>
  <c r="K73" i="33"/>
  <c r="AE73" i="33"/>
  <c r="M73" i="84"/>
  <c r="I73" i="84"/>
  <c r="N73" i="84" s="1"/>
  <c r="U73" i="128"/>
  <c r="M73" i="128"/>
  <c r="V73" i="128" s="1"/>
  <c r="E70" i="80"/>
  <c r="H70" i="80" s="1"/>
  <c r="J70" i="80" s="1"/>
  <c r="K70" i="80" s="1"/>
  <c r="M70" i="80" s="1"/>
  <c r="X73" i="33"/>
  <c r="H73" i="89"/>
  <c r="I73" i="89" s="1"/>
  <c r="K73" i="89" s="1"/>
  <c r="T72" i="67"/>
  <c r="J72" i="67"/>
  <c r="K72" i="67" s="1"/>
  <c r="W72" i="67" s="1"/>
  <c r="AB72" i="33"/>
  <c r="I72" i="99"/>
  <c r="N72" i="99" s="1"/>
  <c r="M72" i="99"/>
  <c r="O72" i="33"/>
  <c r="I72" i="118"/>
  <c r="J72" i="118" s="1"/>
  <c r="L72" i="118" s="1"/>
  <c r="I72" i="114"/>
  <c r="J72" i="114" s="1"/>
  <c r="L72" i="114" s="1"/>
  <c r="K72" i="33"/>
  <c r="M72" i="129"/>
  <c r="V72" i="129" s="1"/>
  <c r="U72" i="129"/>
  <c r="E69" i="76"/>
  <c r="H69" i="76" s="1"/>
  <c r="J69" i="76" s="1"/>
  <c r="K69" i="76" s="1"/>
  <c r="M69" i="76" s="1"/>
  <c r="Y72" i="33"/>
  <c r="H72" i="91"/>
  <c r="I72" i="91" s="1"/>
  <c r="K72" i="91" s="1"/>
  <c r="U72" i="33"/>
  <c r="H72" i="86"/>
  <c r="I72" i="86" s="1"/>
  <c r="K72" i="86" s="1"/>
  <c r="AC72" i="33"/>
  <c r="M72" i="98"/>
  <c r="I72" i="98"/>
  <c r="N72" i="98" s="1"/>
  <c r="P72" i="33"/>
  <c r="I72" i="119"/>
  <c r="J72" i="119" s="1"/>
  <c r="L72" i="119" s="1"/>
  <c r="L72" i="33"/>
  <c r="I72" i="115"/>
  <c r="J72" i="115" s="1"/>
  <c r="L72" i="115" s="1"/>
  <c r="U72" i="130"/>
  <c r="M72" i="130"/>
  <c r="V72" i="130" s="1"/>
  <c r="M72" i="126"/>
  <c r="V72" i="126" s="1"/>
  <c r="U72" i="126"/>
  <c r="Z72" i="33"/>
  <c r="H72" i="92"/>
  <c r="I72" i="92" s="1"/>
  <c r="K72" i="92" s="1"/>
  <c r="V72" i="33"/>
  <c r="H72" i="87"/>
  <c r="I72" i="87" s="1"/>
  <c r="K72" i="87" s="1"/>
  <c r="N72" i="87" s="1"/>
  <c r="V72" i="87" s="1"/>
  <c r="T69" i="67"/>
  <c r="J69" i="67"/>
  <c r="K69" i="67" s="1"/>
  <c r="W69" i="67" s="1"/>
  <c r="Q69" i="33"/>
  <c r="I69" i="120"/>
  <c r="J69" i="120" s="1"/>
  <c r="L69" i="120" s="1"/>
  <c r="I69" i="116"/>
  <c r="J69" i="116" s="1"/>
  <c r="L69" i="116" s="1"/>
  <c r="M69" i="33"/>
  <c r="M69" i="131"/>
  <c r="V69" i="131" s="1"/>
  <c r="U69" i="131"/>
  <c r="H69" i="85"/>
  <c r="I69" i="85" s="1"/>
  <c r="K69" i="85" s="1"/>
  <c r="T69" i="33"/>
  <c r="U69" i="126"/>
  <c r="M69" i="126"/>
  <c r="V69" i="126" s="1"/>
  <c r="H69" i="92"/>
  <c r="I69" i="92" s="1"/>
  <c r="K69" i="92" s="1"/>
  <c r="Z69" i="33"/>
  <c r="H69" i="87"/>
  <c r="I69" i="87" s="1"/>
  <c r="K69" i="87" s="1"/>
  <c r="N69" i="87" s="1"/>
  <c r="V69" i="87" s="1"/>
  <c r="V69" i="33"/>
  <c r="J69" i="33"/>
  <c r="I69" i="113"/>
  <c r="J69" i="113" s="1"/>
  <c r="L69" i="113" s="1"/>
  <c r="O69" i="113" s="1"/>
  <c r="N69" i="33"/>
  <c r="I69" i="117"/>
  <c r="J69" i="117" s="1"/>
  <c r="L69" i="117" s="1"/>
  <c r="O69" i="117" s="1"/>
  <c r="W69" i="117" s="1"/>
  <c r="U69" i="125"/>
  <c r="M69" i="125"/>
  <c r="V69" i="125" s="1"/>
  <c r="AC69" i="33"/>
  <c r="M69" i="98"/>
  <c r="I69" i="98"/>
  <c r="N69" i="98" s="1"/>
  <c r="U69" i="127"/>
  <c r="M69" i="127"/>
  <c r="V69" i="127" s="1"/>
  <c r="AA69" i="33"/>
  <c r="J69" i="90"/>
  <c r="K69" i="90" s="1"/>
  <c r="M69" i="90" s="1"/>
  <c r="H69" i="88"/>
  <c r="I69" i="88" s="1"/>
  <c r="K69" i="88" s="1"/>
  <c r="W69" i="33"/>
  <c r="T75" i="67"/>
  <c r="J75" i="67"/>
  <c r="K75" i="67" s="1"/>
  <c r="W75" i="67" s="1"/>
  <c r="Q75" i="33"/>
  <c r="I75" i="120"/>
  <c r="J75" i="120" s="1"/>
  <c r="L75" i="120" s="1"/>
  <c r="M75" i="33"/>
  <c r="I75" i="116"/>
  <c r="J75" i="116" s="1"/>
  <c r="L75" i="116" s="1"/>
  <c r="U75" i="131"/>
  <c r="M75" i="131"/>
  <c r="V75" i="131" s="1"/>
  <c r="H75" i="85"/>
  <c r="I75" i="85" s="1"/>
  <c r="K75" i="85" s="1"/>
  <c r="T75" i="33"/>
  <c r="M75" i="126"/>
  <c r="V75" i="126" s="1"/>
  <c r="U75" i="126"/>
  <c r="Z75" i="33"/>
  <c r="H75" i="92"/>
  <c r="I75" i="92" s="1"/>
  <c r="K75" i="92" s="1"/>
  <c r="H75" i="87"/>
  <c r="I75" i="87" s="1"/>
  <c r="K75" i="87" s="1"/>
  <c r="N75" i="87" s="1"/>
  <c r="V75" i="87" s="1"/>
  <c r="V75" i="33"/>
  <c r="I75" i="113"/>
  <c r="J75" i="113" s="1"/>
  <c r="L75" i="113" s="1"/>
  <c r="O75" i="113" s="1"/>
  <c r="J75" i="33"/>
  <c r="I75" i="117"/>
  <c r="J75" i="117" s="1"/>
  <c r="L75" i="117" s="1"/>
  <c r="O75" i="117" s="1"/>
  <c r="W75" i="117" s="1"/>
  <c r="N75" i="33"/>
  <c r="M75" i="125"/>
  <c r="V75" i="125" s="1"/>
  <c r="U75" i="125"/>
  <c r="M75" i="98"/>
  <c r="AC75" i="33"/>
  <c r="I75" i="98"/>
  <c r="N75" i="98" s="1"/>
  <c r="M75" i="127"/>
  <c r="V75" i="127" s="1"/>
  <c r="U75" i="127"/>
  <c r="AA75" i="33"/>
  <c r="J75" i="90"/>
  <c r="K75" i="90" s="1"/>
  <c r="M75" i="90" s="1"/>
  <c r="H75" i="88"/>
  <c r="I75" i="88" s="1"/>
  <c r="K75" i="88" s="1"/>
  <c r="W75" i="33"/>
  <c r="T56" i="67"/>
  <c r="J56" i="67"/>
  <c r="K56" i="67" s="1"/>
  <c r="W56" i="67" s="1"/>
  <c r="M56" i="99"/>
  <c r="I56" i="99"/>
  <c r="N56" i="99" s="1"/>
  <c r="AB56" i="33"/>
  <c r="I56" i="118"/>
  <c r="J56" i="118" s="1"/>
  <c r="L56" i="118" s="1"/>
  <c r="O56" i="33"/>
  <c r="K56" i="33"/>
  <c r="I56" i="114"/>
  <c r="J56" i="114" s="1"/>
  <c r="L56" i="114" s="1"/>
  <c r="M56" i="129"/>
  <c r="V56" i="129" s="1"/>
  <c r="U56" i="129"/>
  <c r="E53" i="76"/>
  <c r="H53" i="76" s="1"/>
  <c r="J53" i="76" s="1"/>
  <c r="K53" i="76" s="1"/>
  <c r="M53" i="76" s="1"/>
  <c r="Y56" i="33"/>
  <c r="H56" i="91"/>
  <c r="I56" i="91" s="1"/>
  <c r="K56" i="91" s="1"/>
  <c r="H56" i="86"/>
  <c r="I56" i="86" s="1"/>
  <c r="K56" i="86" s="1"/>
  <c r="U56" i="33"/>
  <c r="M56" i="98"/>
  <c r="I56" i="98"/>
  <c r="N56" i="98" s="1"/>
  <c r="AC56" i="33"/>
  <c r="P56" i="33"/>
  <c r="I56" i="119"/>
  <c r="J56" i="119" s="1"/>
  <c r="L56" i="119" s="1"/>
  <c r="L56" i="33"/>
  <c r="I56" i="115"/>
  <c r="J56" i="115" s="1"/>
  <c r="L56" i="115" s="1"/>
  <c r="U56" i="130"/>
  <c r="M56" i="130"/>
  <c r="V56" i="130" s="1"/>
  <c r="M56" i="126"/>
  <c r="V56" i="126" s="1"/>
  <c r="U56" i="126"/>
  <c r="Z56" i="33"/>
  <c r="H56" i="92"/>
  <c r="I56" i="92" s="1"/>
  <c r="K56" i="92" s="1"/>
  <c r="V56" i="33"/>
  <c r="H56" i="87"/>
  <c r="I56" i="87" s="1"/>
  <c r="K56" i="87" s="1"/>
  <c r="N56" i="87" s="1"/>
  <c r="V56" i="87" s="1"/>
  <c r="J55" i="67"/>
  <c r="K55" i="67" s="1"/>
  <c r="W55" i="67" s="1"/>
  <c r="T55" i="67"/>
  <c r="Q55" i="33"/>
  <c r="I55" i="120"/>
  <c r="J55" i="120" s="1"/>
  <c r="L55" i="120" s="1"/>
  <c r="I55" i="116"/>
  <c r="J55" i="116" s="1"/>
  <c r="L55" i="116" s="1"/>
  <c r="M55" i="33"/>
  <c r="U55" i="131"/>
  <c r="M55" i="131"/>
  <c r="V55" i="131" s="1"/>
  <c r="H55" i="85"/>
  <c r="I55" i="85" s="1"/>
  <c r="K55" i="85" s="1"/>
  <c r="T55" i="33"/>
  <c r="M55" i="126"/>
  <c r="V55" i="126" s="1"/>
  <c r="U55" i="126"/>
  <c r="Z55" i="33"/>
  <c r="H55" i="92"/>
  <c r="I55" i="92" s="1"/>
  <c r="K55" i="92" s="1"/>
  <c r="V55" i="33"/>
  <c r="H55" i="87"/>
  <c r="I55" i="87" s="1"/>
  <c r="K55" i="87" s="1"/>
  <c r="N55" i="87" s="1"/>
  <c r="V55" i="87" s="1"/>
  <c r="I55" i="113"/>
  <c r="J55" i="113" s="1"/>
  <c r="L55" i="113" s="1"/>
  <c r="O55" i="113" s="1"/>
  <c r="J55" i="33"/>
  <c r="N55" i="33"/>
  <c r="I55" i="117"/>
  <c r="J55" i="117" s="1"/>
  <c r="L55" i="117" s="1"/>
  <c r="O55" i="117" s="1"/>
  <c r="W55" i="117" s="1"/>
  <c r="U55" i="125"/>
  <c r="M55" i="125"/>
  <c r="V55" i="125" s="1"/>
  <c r="M55" i="98"/>
  <c r="AC55" i="33"/>
  <c r="I55" i="98"/>
  <c r="N55" i="98" s="1"/>
  <c r="M55" i="127"/>
  <c r="V55" i="127" s="1"/>
  <c r="U55" i="127"/>
  <c r="AA55" i="33"/>
  <c r="J55" i="90"/>
  <c r="K55" i="90" s="1"/>
  <c r="M55" i="90" s="1"/>
  <c r="H55" i="88"/>
  <c r="I55" i="88" s="1"/>
  <c r="K55" i="88" s="1"/>
  <c r="W55" i="33"/>
  <c r="T53" i="67"/>
  <c r="J53" i="67"/>
  <c r="K53" i="67" s="1"/>
  <c r="W53" i="67" s="1"/>
  <c r="I53" i="113"/>
  <c r="J53" i="113" s="1"/>
  <c r="L53" i="113" s="1"/>
  <c r="O53" i="113" s="1"/>
  <c r="J53" i="33"/>
  <c r="I53" i="117"/>
  <c r="J53" i="117" s="1"/>
  <c r="L53" i="117" s="1"/>
  <c r="O53" i="117" s="1"/>
  <c r="W53" i="117" s="1"/>
  <c r="N53" i="33"/>
  <c r="M53" i="125"/>
  <c r="V53" i="125" s="1"/>
  <c r="U53" i="125"/>
  <c r="M53" i="98"/>
  <c r="I53" i="98"/>
  <c r="N53" i="98" s="1"/>
  <c r="AC53" i="33"/>
  <c r="M53" i="127"/>
  <c r="V53" i="127" s="1"/>
  <c r="U53" i="127"/>
  <c r="J53" i="90"/>
  <c r="K53" i="90" s="1"/>
  <c r="M53" i="90" s="1"/>
  <c r="AA53" i="33"/>
  <c r="W53" i="33"/>
  <c r="H53" i="88"/>
  <c r="I53" i="88" s="1"/>
  <c r="K53" i="88" s="1"/>
  <c r="AB53" i="33"/>
  <c r="M53" i="99"/>
  <c r="I53" i="99"/>
  <c r="N53" i="99" s="1"/>
  <c r="O53" i="33"/>
  <c r="I53" i="118"/>
  <c r="J53" i="118" s="1"/>
  <c r="L53" i="118" s="1"/>
  <c r="K53" i="33"/>
  <c r="I53" i="114"/>
  <c r="J53" i="114" s="1"/>
  <c r="L53" i="114" s="1"/>
  <c r="AE53" i="33"/>
  <c r="M53" i="84"/>
  <c r="I53" i="84"/>
  <c r="N53" i="84" s="1"/>
  <c r="M53" i="128"/>
  <c r="V53" i="128" s="1"/>
  <c r="U53" i="128"/>
  <c r="E50" i="80"/>
  <c r="H50" i="80" s="1"/>
  <c r="J50" i="80" s="1"/>
  <c r="K50" i="80" s="1"/>
  <c r="M50" i="80" s="1"/>
  <c r="H53" i="89"/>
  <c r="I53" i="89" s="1"/>
  <c r="K53" i="89" s="1"/>
  <c r="X53" i="33"/>
  <c r="V53" i="33"/>
  <c r="H53" i="87"/>
  <c r="I53" i="87" s="1"/>
  <c r="K53" i="87" s="1"/>
  <c r="N53" i="87" s="1"/>
  <c r="V53" i="87" s="1"/>
  <c r="AD68" i="33"/>
  <c r="I68" i="83"/>
  <c r="P68" i="83" s="1"/>
  <c r="J68" i="33"/>
  <c r="I68" i="113"/>
  <c r="J68" i="113" s="1"/>
  <c r="L68" i="113" s="1"/>
  <c r="O68" i="113" s="1"/>
  <c r="N68" i="33"/>
  <c r="I68" i="117"/>
  <c r="J68" i="117" s="1"/>
  <c r="L68" i="117" s="1"/>
  <c r="O68" i="117" s="1"/>
  <c r="W68" i="117" s="1"/>
  <c r="M68" i="125"/>
  <c r="V68" i="125" s="1"/>
  <c r="U68" i="125"/>
  <c r="M68" i="128"/>
  <c r="V68" i="128" s="1"/>
  <c r="U68" i="128"/>
  <c r="E65" i="80"/>
  <c r="H65" i="80" s="1"/>
  <c r="J65" i="80" s="1"/>
  <c r="K65" i="80" s="1"/>
  <c r="M65" i="80" s="1"/>
  <c r="U68" i="33"/>
  <c r="H68" i="86"/>
  <c r="I68" i="86" s="1"/>
  <c r="K68" i="86" s="1"/>
  <c r="AB68" i="33"/>
  <c r="M68" i="99"/>
  <c r="I68" i="99"/>
  <c r="N68" i="99" s="1"/>
  <c r="O68" i="33"/>
  <c r="I68" i="118"/>
  <c r="J68" i="118" s="1"/>
  <c r="L68" i="118" s="1"/>
  <c r="K68" i="33"/>
  <c r="I68" i="114"/>
  <c r="J68" i="114" s="1"/>
  <c r="L68" i="114" s="1"/>
  <c r="M68" i="129"/>
  <c r="V68" i="129" s="1"/>
  <c r="U68" i="129"/>
  <c r="E65" i="76"/>
  <c r="H65" i="76" s="1"/>
  <c r="J65" i="76" s="1"/>
  <c r="K65" i="76" s="1"/>
  <c r="M65" i="76" s="1"/>
  <c r="W68" i="33"/>
  <c r="H68" i="88"/>
  <c r="I68" i="88" s="1"/>
  <c r="K68" i="88" s="1"/>
  <c r="X68" i="33"/>
  <c r="H68" i="89"/>
  <c r="I68" i="89" s="1"/>
  <c r="K68" i="89" s="1"/>
  <c r="J68" i="90"/>
  <c r="K68" i="90" s="1"/>
  <c r="M68" i="90" s="1"/>
  <c r="AA68" i="33"/>
  <c r="AD41" i="33"/>
  <c r="I41" i="83"/>
  <c r="P41" i="83" s="1"/>
  <c r="P41" i="33"/>
  <c r="I41" i="119"/>
  <c r="J41" i="119" s="1"/>
  <c r="L41" i="119" s="1"/>
  <c r="I41" i="115"/>
  <c r="J41" i="115" s="1"/>
  <c r="L41" i="115" s="1"/>
  <c r="L41" i="33"/>
  <c r="U41" i="130"/>
  <c r="M41" i="130"/>
  <c r="V41" i="130" s="1"/>
  <c r="H41" i="92"/>
  <c r="I41" i="92" s="1"/>
  <c r="K41" i="92" s="1"/>
  <c r="Z41" i="33"/>
  <c r="M41" i="126"/>
  <c r="V41" i="126" s="1"/>
  <c r="U41" i="126"/>
  <c r="Y41" i="33"/>
  <c r="H41" i="91"/>
  <c r="I41" i="91" s="1"/>
  <c r="K41" i="91" s="1"/>
  <c r="U41" i="33"/>
  <c r="H41" i="86"/>
  <c r="I41" i="86" s="1"/>
  <c r="K41" i="86" s="1"/>
  <c r="Q41" i="33"/>
  <c r="I41" i="120"/>
  <c r="J41" i="120" s="1"/>
  <c r="L41" i="120" s="1"/>
  <c r="M41" i="33"/>
  <c r="I41" i="116"/>
  <c r="J41" i="116" s="1"/>
  <c r="L41" i="116" s="1"/>
  <c r="U41" i="131"/>
  <c r="M41" i="131"/>
  <c r="V41" i="131" s="1"/>
  <c r="H41" i="85"/>
  <c r="I41" i="85" s="1"/>
  <c r="K41" i="85" s="1"/>
  <c r="T41" i="33"/>
  <c r="U41" i="127"/>
  <c r="M41" i="127"/>
  <c r="V41" i="127" s="1"/>
  <c r="J41" i="90"/>
  <c r="K41" i="90" s="1"/>
  <c r="M41" i="90" s="1"/>
  <c r="AA41" i="33"/>
  <c r="V41" i="33"/>
  <c r="H41" i="87"/>
  <c r="I41" i="87" s="1"/>
  <c r="K41" i="87" s="1"/>
  <c r="N41" i="87" s="1"/>
  <c r="V41" i="87" s="1"/>
  <c r="AE38" i="33"/>
  <c r="M38" i="84"/>
  <c r="I38" i="84"/>
  <c r="N38" i="84" s="1"/>
  <c r="AB38" i="33"/>
  <c r="M38" i="99"/>
  <c r="I38" i="99"/>
  <c r="N38" i="99" s="1"/>
  <c r="I38" i="118"/>
  <c r="J38" i="118" s="1"/>
  <c r="L38" i="118" s="1"/>
  <c r="O38" i="33"/>
  <c r="K38" i="33"/>
  <c r="I38" i="114"/>
  <c r="J38" i="114" s="1"/>
  <c r="L38" i="114" s="1"/>
  <c r="U38" i="127"/>
  <c r="M38" i="127"/>
  <c r="V38" i="127" s="1"/>
  <c r="T38" i="33"/>
  <c r="H38" i="85"/>
  <c r="I38" i="85" s="1"/>
  <c r="K38" i="85" s="1"/>
  <c r="W38" i="33"/>
  <c r="H38" i="88"/>
  <c r="I38" i="88" s="1"/>
  <c r="K38" i="88" s="1"/>
  <c r="AD38" i="33"/>
  <c r="I38" i="83"/>
  <c r="P38" i="83" s="1"/>
  <c r="M38" i="128"/>
  <c r="V38" i="128" s="1"/>
  <c r="U38" i="128"/>
  <c r="P38" i="33"/>
  <c r="I38" i="119"/>
  <c r="J38" i="119" s="1"/>
  <c r="L38" i="119" s="1"/>
  <c r="L38" i="33"/>
  <c r="I38" i="115"/>
  <c r="J38" i="115" s="1"/>
  <c r="L38" i="115" s="1"/>
  <c r="M38" i="130"/>
  <c r="V38" i="130" s="1"/>
  <c r="U38" i="130"/>
  <c r="E35" i="80"/>
  <c r="H35" i="80" s="1"/>
  <c r="J35" i="80" s="1"/>
  <c r="K35" i="80" s="1"/>
  <c r="M35" i="80" s="1"/>
  <c r="H38" i="89"/>
  <c r="I38" i="89" s="1"/>
  <c r="K38" i="89" s="1"/>
  <c r="X38" i="33"/>
  <c r="J38" i="90"/>
  <c r="K38" i="90" s="1"/>
  <c r="M38" i="90" s="1"/>
  <c r="AA38" i="33"/>
  <c r="AD31" i="33"/>
  <c r="I31" i="83"/>
  <c r="P31" i="83" s="1"/>
  <c r="Q31" i="33"/>
  <c r="I31" i="120"/>
  <c r="J31" i="120" s="1"/>
  <c r="L31" i="120" s="1"/>
  <c r="M31" i="33"/>
  <c r="I31" i="116"/>
  <c r="J31" i="116" s="1"/>
  <c r="L31" i="116" s="1"/>
  <c r="U31" i="131"/>
  <c r="M31" i="131"/>
  <c r="V31" i="131" s="1"/>
  <c r="H31" i="92"/>
  <c r="I31" i="92" s="1"/>
  <c r="K31" i="92" s="1"/>
  <c r="Z31" i="33"/>
  <c r="M31" i="126"/>
  <c r="V31" i="126" s="1"/>
  <c r="U31" i="126"/>
  <c r="Y31" i="33"/>
  <c r="H31" i="91"/>
  <c r="I31" i="91" s="1"/>
  <c r="K31" i="91" s="1"/>
  <c r="H31" i="86"/>
  <c r="I31" i="86" s="1"/>
  <c r="K31" i="86" s="1"/>
  <c r="U31" i="33"/>
  <c r="I31" i="113"/>
  <c r="J31" i="113" s="1"/>
  <c r="L31" i="113" s="1"/>
  <c r="O31" i="113" s="1"/>
  <c r="J31" i="33"/>
  <c r="N31" i="33"/>
  <c r="I31" i="117"/>
  <c r="J31" i="117" s="1"/>
  <c r="L31" i="117" s="1"/>
  <c r="O31" i="117" s="1"/>
  <c r="W31" i="117" s="1"/>
  <c r="U31" i="125"/>
  <c r="M31" i="125"/>
  <c r="V31" i="125" s="1"/>
  <c r="H31" i="85"/>
  <c r="I31" i="85" s="1"/>
  <c r="K31" i="85" s="1"/>
  <c r="T31" i="33"/>
  <c r="M31" i="127"/>
  <c r="V31" i="127" s="1"/>
  <c r="U31" i="127"/>
  <c r="J31" i="90"/>
  <c r="K31" i="90" s="1"/>
  <c r="M31" i="90" s="1"/>
  <c r="AA31" i="33"/>
  <c r="V31" i="33"/>
  <c r="H31" i="87"/>
  <c r="I31" i="87" s="1"/>
  <c r="K31" i="87" s="1"/>
  <c r="N31" i="87" s="1"/>
  <c r="V31" i="87" s="1"/>
  <c r="AD27" i="33"/>
  <c r="I27" i="83"/>
  <c r="P27" i="83" s="1"/>
  <c r="Q27" i="33"/>
  <c r="I27" i="120"/>
  <c r="J27" i="120" s="1"/>
  <c r="L27" i="120" s="1"/>
  <c r="M27" i="33"/>
  <c r="I27" i="116"/>
  <c r="J27" i="116" s="1"/>
  <c r="L27" i="116" s="1"/>
  <c r="M27" i="131"/>
  <c r="V27" i="131" s="1"/>
  <c r="U27" i="131"/>
  <c r="H27" i="92"/>
  <c r="I27" i="92" s="1"/>
  <c r="K27" i="92" s="1"/>
  <c r="Z27" i="33"/>
  <c r="U27" i="126"/>
  <c r="M27" i="126"/>
  <c r="V27" i="126" s="1"/>
  <c r="H27" i="91"/>
  <c r="I27" i="91" s="1"/>
  <c r="K27" i="91" s="1"/>
  <c r="Y27" i="33"/>
  <c r="U27" i="33"/>
  <c r="H27" i="86"/>
  <c r="I27" i="86" s="1"/>
  <c r="K27" i="86" s="1"/>
  <c r="I27" i="113"/>
  <c r="J27" i="113" s="1"/>
  <c r="L27" i="113" s="1"/>
  <c r="O27" i="113" s="1"/>
  <c r="J27" i="33"/>
  <c r="I27" i="117"/>
  <c r="J27" i="117" s="1"/>
  <c r="L27" i="117" s="1"/>
  <c r="O27" i="117" s="1"/>
  <c r="W27" i="117" s="1"/>
  <c r="N27" i="33"/>
  <c r="U27" i="125"/>
  <c r="M27" i="125"/>
  <c r="V27" i="125" s="1"/>
  <c r="H27" i="85"/>
  <c r="I27" i="85" s="1"/>
  <c r="K27" i="85" s="1"/>
  <c r="T27" i="33"/>
  <c r="M27" i="127"/>
  <c r="V27" i="127" s="1"/>
  <c r="U27" i="127"/>
  <c r="AA27" i="33"/>
  <c r="J27" i="90"/>
  <c r="K27" i="90" s="1"/>
  <c r="M27" i="90" s="1"/>
  <c r="V27" i="33"/>
  <c r="H27" i="87"/>
  <c r="I27" i="87" s="1"/>
  <c r="K27" i="87" s="1"/>
  <c r="N27" i="87" s="1"/>
  <c r="V27" i="87" s="1"/>
  <c r="AD74" i="33"/>
  <c r="I74" i="83"/>
  <c r="P74" i="83" s="1"/>
  <c r="M74" i="99"/>
  <c r="I74" i="99"/>
  <c r="N74" i="99" s="1"/>
  <c r="AB74" i="33"/>
  <c r="I74" i="118"/>
  <c r="J74" i="118" s="1"/>
  <c r="L74" i="118" s="1"/>
  <c r="O74" i="33"/>
  <c r="K74" i="33"/>
  <c r="I74" i="114"/>
  <c r="J74" i="114" s="1"/>
  <c r="L74" i="114" s="1"/>
  <c r="U74" i="128"/>
  <c r="M74" i="128"/>
  <c r="V74" i="128" s="1"/>
  <c r="E71" i="80"/>
  <c r="H71" i="80" s="1"/>
  <c r="J71" i="80" s="1"/>
  <c r="K71" i="80" s="1"/>
  <c r="M71" i="80" s="1"/>
  <c r="H74" i="89"/>
  <c r="I74" i="89" s="1"/>
  <c r="K74" i="89" s="1"/>
  <c r="X74" i="33"/>
  <c r="AA74" i="33"/>
  <c r="J74" i="90"/>
  <c r="K74" i="90" s="1"/>
  <c r="M74" i="90" s="1"/>
  <c r="U74" i="129"/>
  <c r="M74" i="129"/>
  <c r="V74" i="129" s="1"/>
  <c r="P74" i="33"/>
  <c r="I74" i="119"/>
  <c r="J74" i="119" s="1"/>
  <c r="L74" i="119" s="1"/>
  <c r="I74" i="115"/>
  <c r="J74" i="115" s="1"/>
  <c r="L74" i="115" s="1"/>
  <c r="L74" i="33"/>
  <c r="M74" i="130"/>
  <c r="V74" i="130" s="1"/>
  <c r="U74" i="130"/>
  <c r="E71" i="76"/>
  <c r="H71" i="76" s="1"/>
  <c r="J71" i="76" s="1"/>
  <c r="K71" i="76" s="1"/>
  <c r="M71" i="76" s="1"/>
  <c r="H74" i="91"/>
  <c r="I74" i="91" s="1"/>
  <c r="K74" i="91" s="1"/>
  <c r="Y74" i="33"/>
  <c r="H74" i="86"/>
  <c r="I74" i="86" s="1"/>
  <c r="K74" i="86" s="1"/>
  <c r="U74" i="33"/>
  <c r="AE22" i="33"/>
  <c r="M22" i="84"/>
  <c r="I22" i="84"/>
  <c r="N22" i="84" s="1"/>
  <c r="AB22" i="33"/>
  <c r="M22" i="99"/>
  <c r="I22" i="99"/>
  <c r="N22" i="99" s="1"/>
  <c r="O22" i="33"/>
  <c r="I22" i="118"/>
  <c r="J22" i="118" s="1"/>
  <c r="L22" i="118" s="1"/>
  <c r="I22" i="114"/>
  <c r="J22" i="114" s="1"/>
  <c r="L22" i="114" s="1"/>
  <c r="K22" i="33"/>
  <c r="U22" i="127"/>
  <c r="M22" i="127"/>
  <c r="V22" i="127" s="1"/>
  <c r="H22" i="85"/>
  <c r="I22" i="85" s="1"/>
  <c r="K22" i="85" s="1"/>
  <c r="T22" i="33"/>
  <c r="H22" i="88"/>
  <c r="I22" i="88" s="1"/>
  <c r="K22" i="88" s="1"/>
  <c r="W22" i="33"/>
  <c r="AD22" i="33"/>
  <c r="I22" i="83"/>
  <c r="P22" i="83" s="1"/>
  <c r="U22" i="128"/>
  <c r="M22" i="128"/>
  <c r="V22" i="128" s="1"/>
  <c r="P22" i="33"/>
  <c r="I22" i="119"/>
  <c r="J22" i="119" s="1"/>
  <c r="L22" i="119" s="1"/>
  <c r="I22" i="115"/>
  <c r="J22" i="115" s="1"/>
  <c r="L22" i="115" s="1"/>
  <c r="L22" i="33"/>
  <c r="U22" i="130"/>
  <c r="M22" i="130"/>
  <c r="V22" i="130" s="1"/>
  <c r="E19" i="80"/>
  <c r="H19" i="80" s="1"/>
  <c r="J19" i="80" s="1"/>
  <c r="K19" i="80" s="1"/>
  <c r="M19" i="80" s="1"/>
  <c r="H22" i="89"/>
  <c r="I22" i="89" s="1"/>
  <c r="K22" i="89" s="1"/>
  <c r="X22" i="33"/>
  <c r="AA22" i="33"/>
  <c r="J22" i="90"/>
  <c r="K22" i="90" s="1"/>
  <c r="M22" i="90" s="1"/>
  <c r="AD37" i="33"/>
  <c r="I37" i="83"/>
  <c r="P37" i="83" s="1"/>
  <c r="Q37" i="33"/>
  <c r="I37" i="120"/>
  <c r="J37" i="120" s="1"/>
  <c r="L37" i="120" s="1"/>
  <c r="I37" i="116"/>
  <c r="J37" i="116" s="1"/>
  <c r="L37" i="116" s="1"/>
  <c r="M37" i="33"/>
  <c r="U37" i="131"/>
  <c r="M37" i="131"/>
  <c r="V37" i="131" s="1"/>
  <c r="Z37" i="33"/>
  <c r="H37" i="92"/>
  <c r="I37" i="92" s="1"/>
  <c r="K37" i="92" s="1"/>
  <c r="U37" i="126"/>
  <c r="M37" i="126"/>
  <c r="V37" i="126" s="1"/>
  <c r="H37" i="91"/>
  <c r="I37" i="91" s="1"/>
  <c r="K37" i="91" s="1"/>
  <c r="Y37" i="33"/>
  <c r="H37" i="86"/>
  <c r="I37" i="86" s="1"/>
  <c r="K37" i="86" s="1"/>
  <c r="U37" i="33"/>
  <c r="I37" i="113"/>
  <c r="J37" i="113" s="1"/>
  <c r="L37" i="113" s="1"/>
  <c r="O37" i="113" s="1"/>
  <c r="J37" i="33"/>
  <c r="I37" i="117"/>
  <c r="J37" i="117" s="1"/>
  <c r="L37" i="117" s="1"/>
  <c r="O37" i="117" s="1"/>
  <c r="W37" i="117" s="1"/>
  <c r="N37" i="33"/>
  <c r="U37" i="125"/>
  <c r="M37" i="125"/>
  <c r="V37" i="125" s="1"/>
  <c r="H37" i="85"/>
  <c r="I37" i="85" s="1"/>
  <c r="K37" i="85" s="1"/>
  <c r="T37" i="33"/>
  <c r="M37" i="127"/>
  <c r="V37" i="127" s="1"/>
  <c r="U37" i="127"/>
  <c r="AA37" i="33"/>
  <c r="J37" i="90"/>
  <c r="K37" i="90" s="1"/>
  <c r="M37" i="90" s="1"/>
  <c r="V37" i="33"/>
  <c r="H37" i="87"/>
  <c r="I37" i="87" s="1"/>
  <c r="K37" i="87" s="1"/>
  <c r="N37" i="87" s="1"/>
  <c r="V37" i="87" s="1"/>
  <c r="AE24" i="33"/>
  <c r="M24" i="84"/>
  <c r="I24" i="84"/>
  <c r="N24" i="84" s="1"/>
  <c r="Q24" i="33"/>
  <c r="I24" i="120"/>
  <c r="J24" i="120" s="1"/>
  <c r="L24" i="120" s="1"/>
  <c r="I24" i="116"/>
  <c r="J24" i="116" s="1"/>
  <c r="L24" i="116" s="1"/>
  <c r="M24" i="33"/>
  <c r="M24" i="131"/>
  <c r="V24" i="131" s="1"/>
  <c r="U24" i="131"/>
  <c r="U24" i="127"/>
  <c r="M24" i="127"/>
  <c r="V24" i="127" s="1"/>
  <c r="T24" i="33"/>
  <c r="H24" i="85"/>
  <c r="I24" i="85" s="1"/>
  <c r="K24" i="85" s="1"/>
  <c r="W24" i="33"/>
  <c r="H24" i="88"/>
  <c r="I24" i="88" s="1"/>
  <c r="K24" i="88" s="1"/>
  <c r="AD24" i="33"/>
  <c r="I24" i="83"/>
  <c r="P24" i="83" s="1"/>
  <c r="J24" i="33"/>
  <c r="I24" i="113"/>
  <c r="J24" i="113" s="1"/>
  <c r="L24" i="113" s="1"/>
  <c r="O24" i="113" s="1"/>
  <c r="N24" i="33"/>
  <c r="I24" i="117"/>
  <c r="J24" i="117" s="1"/>
  <c r="L24" i="117" s="1"/>
  <c r="O24" i="117" s="1"/>
  <c r="W24" i="117" s="1"/>
  <c r="U24" i="125"/>
  <c r="M24" i="125"/>
  <c r="V24" i="125" s="1"/>
  <c r="U24" i="128"/>
  <c r="M24" i="128"/>
  <c r="V24" i="128" s="1"/>
  <c r="E21" i="80"/>
  <c r="H21" i="80" s="1"/>
  <c r="J21" i="80" s="1"/>
  <c r="K21" i="80" s="1"/>
  <c r="M21" i="80" s="1"/>
  <c r="X24" i="33"/>
  <c r="H24" i="89"/>
  <c r="I24" i="89" s="1"/>
  <c r="K24" i="89" s="1"/>
  <c r="AA24" i="33"/>
  <c r="J24" i="90"/>
  <c r="K24" i="90" s="1"/>
  <c r="M24" i="90" s="1"/>
  <c r="M47" i="99"/>
  <c r="AB47" i="33"/>
  <c r="I47" i="99"/>
  <c r="N47" i="99" s="1"/>
  <c r="K47" i="33"/>
  <c r="I47" i="114"/>
  <c r="J47" i="114" s="1"/>
  <c r="L47" i="114" s="1"/>
  <c r="Q47" i="33"/>
  <c r="I47" i="120"/>
  <c r="J47" i="120" s="1"/>
  <c r="L47" i="120" s="1"/>
  <c r="U47" i="131"/>
  <c r="M47" i="131"/>
  <c r="V47" i="131" s="1"/>
  <c r="M47" i="128"/>
  <c r="V47" i="128" s="1"/>
  <c r="U47" i="128"/>
  <c r="E44" i="80"/>
  <c r="H44" i="80" s="1"/>
  <c r="J44" i="80" s="1"/>
  <c r="K44" i="80" s="1"/>
  <c r="M44" i="80" s="1"/>
  <c r="H47" i="89"/>
  <c r="I47" i="89" s="1"/>
  <c r="K47" i="89" s="1"/>
  <c r="X47" i="33"/>
  <c r="AD47" i="33"/>
  <c r="I47" i="83"/>
  <c r="P47" i="83" s="1"/>
  <c r="P47" i="33"/>
  <c r="I47" i="119"/>
  <c r="J47" i="119" s="1"/>
  <c r="L47" i="119" s="1"/>
  <c r="L47" i="33"/>
  <c r="I47" i="115"/>
  <c r="J47" i="115" s="1"/>
  <c r="L47" i="115" s="1"/>
  <c r="M47" i="130"/>
  <c r="V47" i="130" s="1"/>
  <c r="U47" i="130"/>
  <c r="M47" i="129"/>
  <c r="V47" i="129" s="1"/>
  <c r="U47" i="129"/>
  <c r="E44" i="76"/>
  <c r="H44" i="76" s="1"/>
  <c r="J44" i="76" s="1"/>
  <c r="K44" i="76" s="1"/>
  <c r="M44" i="76" s="1"/>
  <c r="Y47" i="33"/>
  <c r="H47" i="91"/>
  <c r="I47" i="91" s="1"/>
  <c r="K47" i="91" s="1"/>
  <c r="U47" i="33"/>
  <c r="H47" i="86"/>
  <c r="I47" i="86" s="1"/>
  <c r="K47" i="86" s="1"/>
  <c r="AE14" i="33"/>
  <c r="M14" i="84"/>
  <c r="I14" i="84"/>
  <c r="N14" i="84" s="1"/>
  <c r="I14" i="113"/>
  <c r="J14" i="113" s="1"/>
  <c r="L14" i="113" s="1"/>
  <c r="O14" i="113" s="1"/>
  <c r="J14" i="33"/>
  <c r="N14" i="33"/>
  <c r="I14" i="117"/>
  <c r="J14" i="117" s="1"/>
  <c r="L14" i="117" s="1"/>
  <c r="O14" i="117" s="1"/>
  <c r="W14" i="117" s="1"/>
  <c r="M14" i="125"/>
  <c r="V14" i="125" s="1"/>
  <c r="U14" i="125"/>
  <c r="M14" i="127"/>
  <c r="V14" i="127" s="1"/>
  <c r="U14" i="127"/>
  <c r="T14" i="33"/>
  <c r="H14" i="85"/>
  <c r="I14" i="85" s="1"/>
  <c r="K14" i="85" s="1"/>
  <c r="H14" i="88"/>
  <c r="I14" i="88" s="1"/>
  <c r="K14" i="88" s="1"/>
  <c r="W14" i="33"/>
  <c r="AD14" i="33"/>
  <c r="I14" i="83"/>
  <c r="P14" i="83" s="1"/>
  <c r="M14" i="99"/>
  <c r="AB14" i="33"/>
  <c r="I14" i="99"/>
  <c r="N14" i="99" s="1"/>
  <c r="O14" i="33"/>
  <c r="I14" i="118"/>
  <c r="J14" i="118" s="1"/>
  <c r="L14" i="118" s="1"/>
  <c r="K14" i="33"/>
  <c r="I14" i="114"/>
  <c r="J14" i="114" s="1"/>
  <c r="L14" i="114" s="1"/>
  <c r="M14" i="129"/>
  <c r="V14" i="129" s="1"/>
  <c r="U14" i="129"/>
  <c r="E11" i="80"/>
  <c r="H11" i="80" s="1"/>
  <c r="J11" i="80" s="1"/>
  <c r="K11" i="80" s="1"/>
  <c r="M11" i="80" s="1"/>
  <c r="X14" i="33"/>
  <c r="H14" i="89"/>
  <c r="I14" i="89" s="1"/>
  <c r="K14" i="89" s="1"/>
  <c r="J14" i="90"/>
  <c r="K14" i="90" s="1"/>
  <c r="M14" i="90" s="1"/>
  <c r="AA14" i="33"/>
  <c r="AD51" i="33"/>
  <c r="I51" i="83"/>
  <c r="P51" i="83" s="1"/>
  <c r="P51" i="33"/>
  <c r="I51" i="119"/>
  <c r="J51" i="119" s="1"/>
  <c r="L51" i="119" s="1"/>
  <c r="L51" i="33"/>
  <c r="I51" i="115"/>
  <c r="J51" i="115" s="1"/>
  <c r="L51" i="115" s="1"/>
  <c r="M51" i="130"/>
  <c r="V51" i="130" s="1"/>
  <c r="U51" i="130"/>
  <c r="M51" i="129"/>
  <c r="V51" i="129" s="1"/>
  <c r="U51" i="129"/>
  <c r="E48" i="76"/>
  <c r="H48" i="76" s="1"/>
  <c r="J48" i="76" s="1"/>
  <c r="K48" i="76" s="1"/>
  <c r="M48" i="76" s="1"/>
  <c r="H51" i="91"/>
  <c r="I51" i="91" s="1"/>
  <c r="K51" i="91" s="1"/>
  <c r="Y51" i="33"/>
  <c r="H51" i="86"/>
  <c r="I51" i="86" s="1"/>
  <c r="K51" i="86" s="1"/>
  <c r="U51" i="33"/>
  <c r="Q51" i="33"/>
  <c r="I51" i="120"/>
  <c r="J51" i="120" s="1"/>
  <c r="L51" i="120" s="1"/>
  <c r="I51" i="116"/>
  <c r="J51" i="116" s="1"/>
  <c r="L51" i="116" s="1"/>
  <c r="M51" i="33"/>
  <c r="U51" i="131"/>
  <c r="M51" i="131"/>
  <c r="V51" i="131" s="1"/>
  <c r="H51" i="85"/>
  <c r="I51" i="85" s="1"/>
  <c r="K51" i="85" s="1"/>
  <c r="T51" i="33"/>
  <c r="M51" i="126"/>
  <c r="V51" i="126" s="1"/>
  <c r="U51" i="126"/>
  <c r="H51" i="92"/>
  <c r="I51" i="92" s="1"/>
  <c r="K51" i="92" s="1"/>
  <c r="Z51" i="33"/>
  <c r="V51" i="33"/>
  <c r="H51" i="87"/>
  <c r="I51" i="87" s="1"/>
  <c r="K51" i="87" s="1"/>
  <c r="N51" i="87" s="1"/>
  <c r="V51" i="87" s="1"/>
  <c r="AD40" i="33"/>
  <c r="I40" i="83"/>
  <c r="P40" i="83" s="1"/>
  <c r="I40" i="113"/>
  <c r="J40" i="113" s="1"/>
  <c r="L40" i="113" s="1"/>
  <c r="O40" i="113" s="1"/>
  <c r="J40" i="33"/>
  <c r="N40" i="33"/>
  <c r="I40" i="117"/>
  <c r="J40" i="117" s="1"/>
  <c r="L40" i="117" s="1"/>
  <c r="O40" i="117" s="1"/>
  <c r="W40" i="117" s="1"/>
  <c r="M40" i="125"/>
  <c r="V40" i="125" s="1"/>
  <c r="U40" i="125"/>
  <c r="M40" i="128"/>
  <c r="V40" i="128" s="1"/>
  <c r="U40" i="128"/>
  <c r="E37" i="80"/>
  <c r="H37" i="80" s="1"/>
  <c r="J37" i="80" s="1"/>
  <c r="K37" i="80" s="1"/>
  <c r="M37" i="80" s="1"/>
  <c r="X40" i="33"/>
  <c r="H40" i="89"/>
  <c r="I40" i="89" s="1"/>
  <c r="K40" i="89" s="1"/>
  <c r="J40" i="90"/>
  <c r="K40" i="90" s="1"/>
  <c r="M40" i="90" s="1"/>
  <c r="AA40" i="33"/>
  <c r="AB40" i="33"/>
  <c r="M40" i="99"/>
  <c r="I40" i="99"/>
  <c r="N40" i="99" s="1"/>
  <c r="O40" i="33"/>
  <c r="I40" i="118"/>
  <c r="J40" i="118" s="1"/>
  <c r="L40" i="118" s="1"/>
  <c r="I40" i="114"/>
  <c r="J40" i="114" s="1"/>
  <c r="L40" i="114" s="1"/>
  <c r="K40" i="33"/>
  <c r="M40" i="129"/>
  <c r="V40" i="129" s="1"/>
  <c r="U40" i="129"/>
  <c r="E37" i="76"/>
  <c r="H37" i="76" s="1"/>
  <c r="Y40" i="33"/>
  <c r="H40" i="91"/>
  <c r="I40" i="91" s="1"/>
  <c r="K40" i="91" s="1"/>
  <c r="H40" i="86"/>
  <c r="I40" i="86" s="1"/>
  <c r="K40" i="86" s="1"/>
  <c r="U40" i="33"/>
  <c r="AD46" i="33"/>
  <c r="I46" i="83"/>
  <c r="P46" i="83" s="1"/>
  <c r="U46" i="128"/>
  <c r="M46" i="128"/>
  <c r="V46" i="128" s="1"/>
  <c r="P46" i="33"/>
  <c r="I46" i="119"/>
  <c r="J46" i="119" s="1"/>
  <c r="L46" i="119" s="1"/>
  <c r="I46" i="115"/>
  <c r="J46" i="115" s="1"/>
  <c r="L46" i="115" s="1"/>
  <c r="L46" i="33"/>
  <c r="U46" i="130"/>
  <c r="M46" i="130"/>
  <c r="V46" i="130" s="1"/>
  <c r="E43" i="80"/>
  <c r="H43" i="80" s="1"/>
  <c r="J43" i="80" s="1"/>
  <c r="K43" i="80" s="1"/>
  <c r="M43" i="80" s="1"/>
  <c r="X46" i="33"/>
  <c r="H46" i="89"/>
  <c r="I46" i="89" s="1"/>
  <c r="K46" i="89" s="1"/>
  <c r="AA46" i="33"/>
  <c r="J46" i="90"/>
  <c r="K46" i="90" s="1"/>
  <c r="M46" i="90" s="1"/>
  <c r="M46" i="129"/>
  <c r="V46" i="129" s="1"/>
  <c r="U46" i="129"/>
  <c r="Q46" i="33"/>
  <c r="I46" i="120"/>
  <c r="J46" i="120" s="1"/>
  <c r="L46" i="120" s="1"/>
  <c r="M46" i="33"/>
  <c r="I46" i="116"/>
  <c r="J46" i="116" s="1"/>
  <c r="L46" i="116" s="1"/>
  <c r="U46" i="131"/>
  <c r="M46" i="131"/>
  <c r="V46" i="131" s="1"/>
  <c r="E43" i="76"/>
  <c r="H43" i="76" s="1"/>
  <c r="J43" i="76" s="1"/>
  <c r="K43" i="76" s="1"/>
  <c r="M43" i="76" s="1"/>
  <c r="Y46" i="33"/>
  <c r="H46" i="91"/>
  <c r="I46" i="91" s="1"/>
  <c r="K46" i="91" s="1"/>
  <c r="U46" i="33"/>
  <c r="H46" i="86"/>
  <c r="I46" i="86" s="1"/>
  <c r="K46" i="86" s="1"/>
  <c r="AD19" i="33"/>
  <c r="I19" i="83"/>
  <c r="P19" i="83" s="1"/>
  <c r="Q19" i="33"/>
  <c r="I19" i="120"/>
  <c r="J19" i="120" s="1"/>
  <c r="L19" i="120" s="1"/>
  <c r="I19" i="116"/>
  <c r="J19" i="116" s="1"/>
  <c r="L19" i="116" s="1"/>
  <c r="M19" i="33"/>
  <c r="U19" i="131"/>
  <c r="M19" i="131"/>
  <c r="V19" i="131" s="1"/>
  <c r="T19" i="33"/>
  <c r="H19" i="85"/>
  <c r="I19" i="85" s="1"/>
  <c r="K19" i="85" s="1"/>
  <c r="M19" i="126"/>
  <c r="V19" i="126" s="1"/>
  <c r="U19" i="126"/>
  <c r="H19" i="91"/>
  <c r="I19" i="91" s="1"/>
  <c r="K19" i="91" s="1"/>
  <c r="Y19" i="33"/>
  <c r="U19" i="33"/>
  <c r="H19" i="86"/>
  <c r="I19" i="86" s="1"/>
  <c r="K19" i="86" s="1"/>
  <c r="J19" i="33"/>
  <c r="I19" i="113"/>
  <c r="J19" i="113" s="1"/>
  <c r="L19" i="113" s="1"/>
  <c r="O19" i="113" s="1"/>
  <c r="N19" i="33"/>
  <c r="I19" i="117"/>
  <c r="J19" i="117" s="1"/>
  <c r="L19" i="117" s="1"/>
  <c r="O19" i="117" s="1"/>
  <c r="W19" i="117" s="1"/>
  <c r="M19" i="125"/>
  <c r="V19" i="125" s="1"/>
  <c r="U19" i="125"/>
  <c r="AC19" i="33"/>
  <c r="I19" i="98"/>
  <c r="N19" i="98" s="1"/>
  <c r="M19" i="98"/>
  <c r="U19" i="127"/>
  <c r="M19" i="127"/>
  <c r="V19" i="127" s="1"/>
  <c r="J19" i="90"/>
  <c r="K19" i="90" s="1"/>
  <c r="M19" i="90" s="1"/>
  <c r="AA19" i="33"/>
  <c r="V19" i="33"/>
  <c r="H19" i="87"/>
  <c r="I19" i="87" s="1"/>
  <c r="K19" i="87" s="1"/>
  <c r="N19" i="87" s="1"/>
  <c r="V19" i="87" s="1"/>
  <c r="M43" i="99"/>
  <c r="AB43" i="33"/>
  <c r="I43" i="99"/>
  <c r="N43" i="99" s="1"/>
  <c r="O43" i="33"/>
  <c r="I43" i="118"/>
  <c r="J43" i="118" s="1"/>
  <c r="L43" i="118" s="1"/>
  <c r="K43" i="33"/>
  <c r="I43" i="114"/>
  <c r="J43" i="114" s="1"/>
  <c r="L43" i="114" s="1"/>
  <c r="AE43" i="33"/>
  <c r="M43" i="84"/>
  <c r="I43" i="84"/>
  <c r="N43" i="84" s="1"/>
  <c r="M43" i="129"/>
  <c r="V43" i="129" s="1"/>
  <c r="U43" i="129"/>
  <c r="E40" i="76"/>
  <c r="H40" i="76" s="1"/>
  <c r="J40" i="76" s="1"/>
  <c r="K40" i="76" s="1"/>
  <c r="M40" i="76" s="1"/>
  <c r="H43" i="89"/>
  <c r="I43" i="89" s="1"/>
  <c r="K43" i="89" s="1"/>
  <c r="X43" i="33"/>
  <c r="AD43" i="33"/>
  <c r="I43" i="83"/>
  <c r="P43" i="83" s="1"/>
  <c r="I43" i="119"/>
  <c r="J43" i="119" s="1"/>
  <c r="L43" i="119" s="1"/>
  <c r="P43" i="33"/>
  <c r="I43" i="115"/>
  <c r="J43" i="115" s="1"/>
  <c r="L43" i="115" s="1"/>
  <c r="L43" i="33"/>
  <c r="U43" i="130"/>
  <c r="M43" i="130"/>
  <c r="V43" i="130" s="1"/>
  <c r="H43" i="92"/>
  <c r="I43" i="92" s="1"/>
  <c r="K43" i="92" s="1"/>
  <c r="Z43" i="33"/>
  <c r="M43" i="126"/>
  <c r="V43" i="126" s="1"/>
  <c r="U43" i="126"/>
  <c r="H43" i="91"/>
  <c r="I43" i="91" s="1"/>
  <c r="K43" i="91" s="1"/>
  <c r="Y43" i="33"/>
  <c r="U43" i="33"/>
  <c r="H43" i="86"/>
  <c r="I43" i="86" s="1"/>
  <c r="K43" i="86" s="1"/>
  <c r="AD34" i="33"/>
  <c r="I34" i="83"/>
  <c r="P34" i="83" s="1"/>
  <c r="U34" i="128"/>
  <c r="M34" i="128"/>
  <c r="V34" i="128" s="1"/>
  <c r="I34" i="119"/>
  <c r="J34" i="119" s="1"/>
  <c r="L34" i="119" s="1"/>
  <c r="P34" i="33"/>
  <c r="L34" i="33"/>
  <c r="I34" i="115"/>
  <c r="J34" i="115" s="1"/>
  <c r="L34" i="115" s="1"/>
  <c r="M34" i="130"/>
  <c r="V34" i="130" s="1"/>
  <c r="U34" i="130"/>
  <c r="E31" i="80"/>
  <c r="H31" i="80" s="1"/>
  <c r="X34" i="33"/>
  <c r="H34" i="89"/>
  <c r="I34" i="89" s="1"/>
  <c r="K34" i="89" s="1"/>
  <c r="AA34" i="33"/>
  <c r="J34" i="90"/>
  <c r="K34" i="90" s="1"/>
  <c r="M34" i="90" s="1"/>
  <c r="M34" i="129"/>
  <c r="V34" i="129" s="1"/>
  <c r="U34" i="129"/>
  <c r="I34" i="120"/>
  <c r="J34" i="120" s="1"/>
  <c r="L34" i="120" s="1"/>
  <c r="Q34" i="33"/>
  <c r="M34" i="33"/>
  <c r="I34" i="116"/>
  <c r="J34" i="116" s="1"/>
  <c r="L34" i="116" s="1"/>
  <c r="M34" i="131"/>
  <c r="V34" i="131" s="1"/>
  <c r="U34" i="131"/>
  <c r="E31" i="76"/>
  <c r="H31" i="76" s="1"/>
  <c r="J31" i="76" s="1"/>
  <c r="K31" i="76" s="1"/>
  <c r="M31" i="76" s="1"/>
  <c r="H34" i="91"/>
  <c r="Y34" i="33"/>
  <c r="I34" i="91"/>
  <c r="K34" i="91" s="1"/>
  <c r="U34" i="33"/>
  <c r="H34" i="86"/>
  <c r="I34" i="86" s="1"/>
  <c r="K34" i="86" s="1"/>
  <c r="T68" i="67"/>
  <c r="J68" i="67"/>
  <c r="K68" i="67" s="1"/>
  <c r="W68" i="67" s="1"/>
  <c r="AC68" i="33"/>
  <c r="M68" i="98"/>
  <c r="I68" i="98"/>
  <c r="N68" i="98" s="1"/>
  <c r="P68" i="33"/>
  <c r="I68" i="119"/>
  <c r="J68" i="119" s="1"/>
  <c r="L68" i="119" s="1"/>
  <c r="L68" i="33"/>
  <c r="I68" i="115"/>
  <c r="J68" i="115" s="1"/>
  <c r="L68" i="115" s="1"/>
  <c r="M68" i="130"/>
  <c r="V68" i="130" s="1"/>
  <c r="U68" i="130"/>
  <c r="M68" i="126"/>
  <c r="V68" i="126" s="1"/>
  <c r="U68" i="126"/>
  <c r="Y68" i="33"/>
  <c r="H68" i="91"/>
  <c r="I68" i="91" s="1"/>
  <c r="K68" i="91" s="1"/>
  <c r="AE68" i="33"/>
  <c r="M68" i="84"/>
  <c r="I68" i="84"/>
  <c r="N68" i="84" s="1"/>
  <c r="Q68" i="33"/>
  <c r="I68" i="120"/>
  <c r="J68" i="120" s="1"/>
  <c r="L68" i="120" s="1"/>
  <c r="M68" i="33"/>
  <c r="I68" i="116"/>
  <c r="J68" i="116" s="1"/>
  <c r="L68" i="116" s="1"/>
  <c r="U68" i="131"/>
  <c r="M68" i="131"/>
  <c r="V68" i="131" s="1"/>
  <c r="M68" i="127"/>
  <c r="V68" i="127" s="1"/>
  <c r="U68" i="127"/>
  <c r="T68" i="33"/>
  <c r="H68" i="85"/>
  <c r="I68" i="85" s="1"/>
  <c r="K68" i="85" s="1"/>
  <c r="H68" i="92"/>
  <c r="I68" i="92" s="1"/>
  <c r="K68" i="92" s="1"/>
  <c r="Z68" i="33"/>
  <c r="V68" i="33"/>
  <c r="H68" i="87"/>
  <c r="I68" i="87" s="1"/>
  <c r="K68" i="87" s="1"/>
  <c r="N68" i="87" s="1"/>
  <c r="V68" i="87" s="1"/>
  <c r="J41" i="67"/>
  <c r="K41" i="67" s="1"/>
  <c r="W41" i="67" s="1"/>
  <c r="T41" i="67"/>
  <c r="J41" i="33"/>
  <c r="I41" i="113"/>
  <c r="J41" i="113" s="1"/>
  <c r="L41" i="113" s="1"/>
  <c r="O41" i="113" s="1"/>
  <c r="I41" i="117"/>
  <c r="J41" i="117" s="1"/>
  <c r="L41" i="117" s="1"/>
  <c r="O41" i="117" s="1"/>
  <c r="W41" i="117" s="1"/>
  <c r="N41" i="33"/>
  <c r="M41" i="125"/>
  <c r="V41" i="125" s="1"/>
  <c r="U41" i="125"/>
  <c r="M41" i="98"/>
  <c r="I41" i="98"/>
  <c r="N41" i="98" s="1"/>
  <c r="AC41" i="33"/>
  <c r="M41" i="128"/>
  <c r="V41" i="128" s="1"/>
  <c r="U41" i="128"/>
  <c r="E38" i="80"/>
  <c r="H38" i="80" s="1"/>
  <c r="J38" i="80" s="1"/>
  <c r="K38" i="80" s="1"/>
  <c r="M38" i="80" s="1"/>
  <c r="H41" i="88"/>
  <c r="I41" i="88" s="1"/>
  <c r="K41" i="88" s="1"/>
  <c r="W41" i="33"/>
  <c r="M41" i="99"/>
  <c r="AB41" i="33"/>
  <c r="I41" i="99"/>
  <c r="N41" i="99" s="1"/>
  <c r="I41" i="118"/>
  <c r="J41" i="118" s="1"/>
  <c r="L41" i="118" s="1"/>
  <c r="O41" i="33"/>
  <c r="K41" i="33"/>
  <c r="I41" i="114"/>
  <c r="J41" i="114" s="1"/>
  <c r="L41" i="114" s="1"/>
  <c r="AE41" i="33"/>
  <c r="M41" i="84"/>
  <c r="I41" i="84"/>
  <c r="N41" i="84" s="1"/>
  <c r="M41" i="129"/>
  <c r="V41" i="129" s="1"/>
  <c r="U41" i="129"/>
  <c r="E38" i="76"/>
  <c r="H38" i="76" s="1"/>
  <c r="J38" i="76" s="1"/>
  <c r="K38" i="76" s="1"/>
  <c r="M38" i="76" s="1"/>
  <c r="H41" i="89"/>
  <c r="I41" i="89" s="1"/>
  <c r="K41" i="89" s="1"/>
  <c r="X41" i="33"/>
  <c r="T38" i="67"/>
  <c r="J38" i="67"/>
  <c r="K38" i="67" s="1"/>
  <c r="W38" i="67" s="1"/>
  <c r="M38" i="129"/>
  <c r="V38" i="129" s="1"/>
  <c r="U38" i="129"/>
  <c r="Q38" i="33"/>
  <c r="I38" i="120"/>
  <c r="J38" i="120" s="1"/>
  <c r="L38" i="120" s="1"/>
  <c r="I38" i="116"/>
  <c r="J38" i="116" s="1"/>
  <c r="L38" i="116" s="1"/>
  <c r="M38" i="33"/>
  <c r="U38" i="131"/>
  <c r="M38" i="131"/>
  <c r="V38" i="131" s="1"/>
  <c r="E35" i="76"/>
  <c r="H35" i="76" s="1"/>
  <c r="J35" i="76" s="1"/>
  <c r="K35" i="76" s="1"/>
  <c r="M35" i="76" s="1"/>
  <c r="H38" i="91"/>
  <c r="I38" i="91" s="1"/>
  <c r="K38" i="91" s="1"/>
  <c r="Y38" i="33"/>
  <c r="H38" i="86"/>
  <c r="I38" i="86" s="1"/>
  <c r="K38" i="86" s="1"/>
  <c r="U38" i="33"/>
  <c r="M38" i="98"/>
  <c r="I38" i="98"/>
  <c r="N38" i="98" s="1"/>
  <c r="AC38" i="33"/>
  <c r="I38" i="113"/>
  <c r="J38" i="113" s="1"/>
  <c r="L38" i="113" s="1"/>
  <c r="O38" i="113" s="1"/>
  <c r="J38" i="33"/>
  <c r="N38" i="33"/>
  <c r="I38" i="117"/>
  <c r="J38" i="117" s="1"/>
  <c r="L38" i="117" s="1"/>
  <c r="O38" i="117" s="1"/>
  <c r="W38" i="117" s="1"/>
  <c r="U38" i="125"/>
  <c r="M38" i="125"/>
  <c r="V38" i="125" s="1"/>
  <c r="U38" i="126"/>
  <c r="M38" i="126"/>
  <c r="V38" i="126" s="1"/>
  <c r="Z38" i="33"/>
  <c r="H38" i="92"/>
  <c r="I38" i="92" s="1"/>
  <c r="K38" i="92" s="1"/>
  <c r="H38" i="87"/>
  <c r="I38" i="87" s="1"/>
  <c r="K38" i="87" s="1"/>
  <c r="N38" i="87" s="1"/>
  <c r="V38" i="87" s="1"/>
  <c r="V38" i="33"/>
  <c r="J31" i="67"/>
  <c r="K31" i="67" s="1"/>
  <c r="W31" i="67" s="1"/>
  <c r="T31" i="67"/>
  <c r="M31" i="99"/>
  <c r="AB31" i="33"/>
  <c r="I31" i="99"/>
  <c r="N31" i="99" s="1"/>
  <c r="O31" i="33"/>
  <c r="I31" i="118"/>
  <c r="J31" i="118" s="1"/>
  <c r="L31" i="118" s="1"/>
  <c r="I31" i="114"/>
  <c r="J31" i="114" s="1"/>
  <c r="L31" i="114" s="1"/>
  <c r="K31" i="33"/>
  <c r="AC31" i="33"/>
  <c r="I31" i="98"/>
  <c r="N31" i="98" s="1"/>
  <c r="M31" i="98"/>
  <c r="M31" i="128"/>
  <c r="V31" i="128" s="1"/>
  <c r="U31" i="128"/>
  <c r="E28" i="80"/>
  <c r="H28" i="80" s="1"/>
  <c r="J28" i="80" s="1"/>
  <c r="K28" i="80" s="1"/>
  <c r="M28" i="80" s="1"/>
  <c r="H31" i="88"/>
  <c r="I31" i="88" s="1"/>
  <c r="K31" i="88" s="1"/>
  <c r="W31" i="33"/>
  <c r="AE31" i="33"/>
  <c r="M31" i="84"/>
  <c r="I31" i="84"/>
  <c r="N31" i="84" s="1"/>
  <c r="P31" i="33"/>
  <c r="I31" i="119"/>
  <c r="J31" i="119" s="1"/>
  <c r="L31" i="119" s="1"/>
  <c r="I31" i="115"/>
  <c r="J31" i="115" s="1"/>
  <c r="L31" i="115" s="1"/>
  <c r="L31" i="33"/>
  <c r="M31" i="130"/>
  <c r="V31" i="130" s="1"/>
  <c r="U31" i="130"/>
  <c r="M31" i="129"/>
  <c r="V31" i="129" s="1"/>
  <c r="U31" i="129"/>
  <c r="E28" i="76"/>
  <c r="H28" i="76" s="1"/>
  <c r="J28" i="76" s="1"/>
  <c r="K28" i="76" s="1"/>
  <c r="M28" i="76" s="1"/>
  <c r="X31" i="33"/>
  <c r="H31" i="89"/>
  <c r="I31" i="89" s="1"/>
  <c r="K31" i="89" s="1"/>
  <c r="T27" i="67"/>
  <c r="J27" i="67"/>
  <c r="K27" i="67" s="1"/>
  <c r="W27" i="67" s="1"/>
  <c r="M27" i="99"/>
  <c r="I27" i="99"/>
  <c r="N27" i="99" s="1"/>
  <c r="AB27" i="33"/>
  <c r="O27" i="33"/>
  <c r="I27" i="118"/>
  <c r="J27" i="118" s="1"/>
  <c r="L27" i="118" s="1"/>
  <c r="I27" i="114"/>
  <c r="J27" i="114" s="1"/>
  <c r="L27" i="114" s="1"/>
  <c r="K27" i="33"/>
  <c r="AC27" i="33"/>
  <c r="M27" i="98"/>
  <c r="I27" i="98"/>
  <c r="N27" i="98" s="1"/>
  <c r="M27" i="128"/>
  <c r="V27" i="128" s="1"/>
  <c r="U27" i="128"/>
  <c r="E24" i="80"/>
  <c r="H24" i="80" s="1"/>
  <c r="J24" i="80" s="1"/>
  <c r="K24" i="80" s="1"/>
  <c r="M24" i="80" s="1"/>
  <c r="W27" i="33"/>
  <c r="H27" i="88"/>
  <c r="I27" i="88" s="1"/>
  <c r="K27" i="88" s="1"/>
  <c r="AE27" i="33"/>
  <c r="M27" i="84"/>
  <c r="I27" i="84"/>
  <c r="N27" i="84" s="1"/>
  <c r="P27" i="33"/>
  <c r="I27" i="119"/>
  <c r="J27" i="119" s="1"/>
  <c r="L27" i="119" s="1"/>
  <c r="I27" i="115"/>
  <c r="J27" i="115" s="1"/>
  <c r="L27" i="115" s="1"/>
  <c r="L27" i="33"/>
  <c r="M27" i="130"/>
  <c r="V27" i="130" s="1"/>
  <c r="U27" i="130"/>
  <c r="U27" i="129"/>
  <c r="M27" i="129"/>
  <c r="V27" i="129" s="1"/>
  <c r="E24" i="76"/>
  <c r="H24" i="76" s="1"/>
  <c r="J24" i="76" s="1"/>
  <c r="K24" i="76" s="1"/>
  <c r="M24" i="76" s="1"/>
  <c r="H27" i="89"/>
  <c r="I27" i="89" s="1"/>
  <c r="K27" i="89" s="1"/>
  <c r="X27" i="33"/>
  <c r="J74" i="67"/>
  <c r="K74" i="67" s="1"/>
  <c r="W74" i="67" s="1"/>
  <c r="T74" i="67"/>
  <c r="I74" i="98"/>
  <c r="N74" i="98" s="1"/>
  <c r="AC74" i="33"/>
  <c r="M74" i="98"/>
  <c r="Q74" i="33"/>
  <c r="I74" i="120"/>
  <c r="J74" i="120" s="1"/>
  <c r="L74" i="120" s="1"/>
  <c r="M74" i="33"/>
  <c r="I74" i="116"/>
  <c r="J74" i="116" s="1"/>
  <c r="L74" i="116" s="1"/>
  <c r="U74" i="131"/>
  <c r="M74" i="131"/>
  <c r="V74" i="131" s="1"/>
  <c r="M74" i="126"/>
  <c r="V74" i="126" s="1"/>
  <c r="U74" i="126"/>
  <c r="H74" i="92"/>
  <c r="I74" i="92" s="1"/>
  <c r="K74" i="92" s="1"/>
  <c r="Z74" i="33"/>
  <c r="V74" i="33"/>
  <c r="H74" i="87"/>
  <c r="I74" i="87" s="1"/>
  <c r="K74" i="87" s="1"/>
  <c r="N74" i="87" s="1"/>
  <c r="V74" i="87" s="1"/>
  <c r="AE74" i="33"/>
  <c r="M74" i="84"/>
  <c r="I74" i="84"/>
  <c r="N74" i="84" s="1"/>
  <c r="J74" i="33"/>
  <c r="I74" i="113"/>
  <c r="J74" i="113" s="1"/>
  <c r="L74" i="113" s="1"/>
  <c r="O74" i="113" s="1"/>
  <c r="N74" i="33"/>
  <c r="I74" i="117"/>
  <c r="J74" i="117" s="1"/>
  <c r="L74" i="117" s="1"/>
  <c r="O74" i="117" s="1"/>
  <c r="W74" i="117" s="1"/>
  <c r="M74" i="125"/>
  <c r="V74" i="125" s="1"/>
  <c r="U74" i="125"/>
  <c r="M74" i="127"/>
  <c r="V74" i="127" s="1"/>
  <c r="U74" i="127"/>
  <c r="T74" i="33"/>
  <c r="H74" i="85"/>
  <c r="I74" i="85" s="1"/>
  <c r="K74" i="85" s="1"/>
  <c r="H74" i="88"/>
  <c r="I74" i="88" s="1"/>
  <c r="K74" i="88" s="1"/>
  <c r="W74" i="33"/>
  <c r="T22" i="67"/>
  <c r="J22" i="67"/>
  <c r="K22" i="67" s="1"/>
  <c r="W22" i="67" s="1"/>
  <c r="U22" i="129"/>
  <c r="M22" i="129"/>
  <c r="V22" i="129" s="1"/>
  <c r="Q22" i="33"/>
  <c r="I22" i="120"/>
  <c r="J22" i="120" s="1"/>
  <c r="L22" i="120" s="1"/>
  <c r="M22" i="33"/>
  <c r="I22" i="116"/>
  <c r="J22" i="116" s="1"/>
  <c r="L22" i="116" s="1"/>
  <c r="U22" i="131"/>
  <c r="M22" i="131"/>
  <c r="V22" i="131" s="1"/>
  <c r="E19" i="76"/>
  <c r="H19" i="76" s="1"/>
  <c r="J19" i="76" s="1"/>
  <c r="K19" i="76" s="1"/>
  <c r="M19" i="76" s="1"/>
  <c r="H22" i="91"/>
  <c r="I22" i="91" s="1"/>
  <c r="K22" i="91" s="1"/>
  <c r="Y22" i="33"/>
  <c r="H22" i="86"/>
  <c r="I22" i="86" s="1"/>
  <c r="K22" i="86" s="1"/>
  <c r="U22" i="33"/>
  <c r="M22" i="98"/>
  <c r="AC22" i="33"/>
  <c r="I22" i="98"/>
  <c r="N22" i="98" s="1"/>
  <c r="J22" i="33"/>
  <c r="I22" i="113"/>
  <c r="J22" i="113" s="1"/>
  <c r="L22" i="113" s="1"/>
  <c r="O22" i="113" s="1"/>
  <c r="I22" i="117"/>
  <c r="J22" i="117" s="1"/>
  <c r="L22" i="117" s="1"/>
  <c r="O22" i="117" s="1"/>
  <c r="W22" i="117" s="1"/>
  <c r="N22" i="33"/>
  <c r="U22" i="125"/>
  <c r="M22" i="125"/>
  <c r="V22" i="125" s="1"/>
  <c r="M22" i="126"/>
  <c r="V22" i="126" s="1"/>
  <c r="U22" i="126"/>
  <c r="Z22" i="33"/>
  <c r="H22" i="92"/>
  <c r="I22" i="92" s="1"/>
  <c r="K22" i="92" s="1"/>
  <c r="H22" i="87"/>
  <c r="I22" i="87" s="1"/>
  <c r="K22" i="87" s="1"/>
  <c r="N22" i="87" s="1"/>
  <c r="V22" i="87" s="1"/>
  <c r="V22" i="33"/>
  <c r="J37" i="67"/>
  <c r="K37" i="67" s="1"/>
  <c r="W37" i="67" s="1"/>
  <c r="T37" i="67"/>
  <c r="AB37" i="33"/>
  <c r="M37" i="99"/>
  <c r="I37" i="99"/>
  <c r="N37" i="99" s="1"/>
  <c r="O37" i="33"/>
  <c r="I37" i="118"/>
  <c r="J37" i="118" s="1"/>
  <c r="L37" i="118" s="1"/>
  <c r="I37" i="114"/>
  <c r="J37" i="114" s="1"/>
  <c r="L37" i="114" s="1"/>
  <c r="K37" i="33"/>
  <c r="M37" i="98"/>
  <c r="AC37" i="33"/>
  <c r="I37" i="98"/>
  <c r="N37" i="98" s="1"/>
  <c r="M37" i="128"/>
  <c r="V37" i="128" s="1"/>
  <c r="U37" i="128"/>
  <c r="E34" i="80"/>
  <c r="H34" i="80" s="1"/>
  <c r="W37" i="33"/>
  <c r="H37" i="88"/>
  <c r="I37" i="88" s="1"/>
  <c r="K37" i="88" s="1"/>
  <c r="AE37" i="33"/>
  <c r="M37" i="84"/>
  <c r="I37" i="84"/>
  <c r="N37" i="84" s="1"/>
  <c r="P37" i="33"/>
  <c r="I37" i="119"/>
  <c r="J37" i="119" s="1"/>
  <c r="L37" i="119" s="1"/>
  <c r="I37" i="115"/>
  <c r="J37" i="115" s="1"/>
  <c r="L37" i="115" s="1"/>
  <c r="L37" i="33"/>
  <c r="M37" i="130"/>
  <c r="V37" i="130" s="1"/>
  <c r="U37" i="130"/>
  <c r="M37" i="129"/>
  <c r="V37" i="129" s="1"/>
  <c r="U37" i="129"/>
  <c r="E34" i="76"/>
  <c r="H34" i="76" s="1"/>
  <c r="J34" i="76" s="1"/>
  <c r="K34" i="76" s="1"/>
  <c r="M34" i="76" s="1"/>
  <c r="X37" i="33"/>
  <c r="H37" i="89"/>
  <c r="I37" i="89" s="1"/>
  <c r="K37" i="89" s="1"/>
  <c r="J24" i="67"/>
  <c r="K24" i="67" s="1"/>
  <c r="W24" i="67" s="1"/>
  <c r="T24" i="67"/>
  <c r="I24" i="99"/>
  <c r="N24" i="99" s="1"/>
  <c r="AB24" i="33"/>
  <c r="M24" i="99"/>
  <c r="O24" i="33"/>
  <c r="I24" i="118"/>
  <c r="J24" i="118" s="1"/>
  <c r="L24" i="118" s="1"/>
  <c r="K24" i="33"/>
  <c r="I24" i="114"/>
  <c r="J24" i="114" s="1"/>
  <c r="L24" i="114" s="1"/>
  <c r="U24" i="129"/>
  <c r="M24" i="129"/>
  <c r="V24" i="129" s="1"/>
  <c r="E21" i="76"/>
  <c r="H21" i="76" s="1"/>
  <c r="J21" i="76" s="1"/>
  <c r="K21" i="76" s="1"/>
  <c r="M21" i="76" s="1"/>
  <c r="H24" i="91"/>
  <c r="I24" i="91" s="1"/>
  <c r="K24" i="91" s="1"/>
  <c r="Y24" i="33"/>
  <c r="H24" i="86"/>
  <c r="I24" i="86" s="1"/>
  <c r="K24" i="86" s="1"/>
  <c r="U24" i="33"/>
  <c r="M24" i="98"/>
  <c r="I24" i="98"/>
  <c r="N24" i="98" s="1"/>
  <c r="AC24" i="33"/>
  <c r="P24" i="33"/>
  <c r="I24" i="119"/>
  <c r="J24" i="119" s="1"/>
  <c r="L24" i="119" s="1"/>
  <c r="I24" i="115"/>
  <c r="J24" i="115" s="1"/>
  <c r="L24" i="115" s="1"/>
  <c r="L24" i="33"/>
  <c r="U24" i="130"/>
  <c r="M24" i="130"/>
  <c r="V24" i="130" s="1"/>
  <c r="U24" i="126"/>
  <c r="M24" i="126"/>
  <c r="V24" i="126" s="1"/>
  <c r="Z24" i="33"/>
  <c r="H24" i="92"/>
  <c r="I24" i="92" s="1"/>
  <c r="K24" i="92" s="1"/>
  <c r="V24" i="33"/>
  <c r="H24" i="87"/>
  <c r="I24" i="87" s="1"/>
  <c r="K24" i="87" s="1"/>
  <c r="N24" i="87" s="1"/>
  <c r="V24" i="87" s="1"/>
  <c r="J47" i="67"/>
  <c r="K47" i="67" s="1"/>
  <c r="W47" i="67" s="1"/>
  <c r="T47" i="67"/>
  <c r="I47" i="118"/>
  <c r="J47" i="118" s="1"/>
  <c r="L47" i="118" s="1"/>
  <c r="O47" i="33"/>
  <c r="AE47" i="33"/>
  <c r="M47" i="84"/>
  <c r="I47" i="84"/>
  <c r="N47" i="84" s="1"/>
  <c r="M47" i="33"/>
  <c r="I47" i="116"/>
  <c r="J47" i="116" s="1"/>
  <c r="L47" i="116" s="1"/>
  <c r="T47" i="33"/>
  <c r="H47" i="85"/>
  <c r="I47" i="85" s="1"/>
  <c r="K47" i="85" s="1"/>
  <c r="M47" i="126"/>
  <c r="V47" i="126" s="1"/>
  <c r="U47" i="126"/>
  <c r="H47" i="92"/>
  <c r="I47" i="92" s="1"/>
  <c r="K47" i="92" s="1"/>
  <c r="Z47" i="33"/>
  <c r="V47" i="33"/>
  <c r="H47" i="87"/>
  <c r="I47" i="87" s="1"/>
  <c r="K47" i="87" s="1"/>
  <c r="N47" i="87" s="1"/>
  <c r="V47" i="87" s="1"/>
  <c r="J47" i="33"/>
  <c r="I47" i="113"/>
  <c r="J47" i="113" s="1"/>
  <c r="L47" i="113" s="1"/>
  <c r="O47" i="113" s="1"/>
  <c r="N47" i="33"/>
  <c r="I47" i="117"/>
  <c r="J47" i="117" s="1"/>
  <c r="L47" i="117" s="1"/>
  <c r="O47" i="117" s="1"/>
  <c r="W47" i="117" s="1"/>
  <c r="M47" i="125"/>
  <c r="V47" i="125" s="1"/>
  <c r="U47" i="125"/>
  <c r="M47" i="98"/>
  <c r="AC47" i="33"/>
  <c r="I47" i="98"/>
  <c r="N47" i="98" s="1"/>
  <c r="M47" i="127"/>
  <c r="V47" i="127" s="1"/>
  <c r="U47" i="127"/>
  <c r="AA47" i="33"/>
  <c r="J47" i="90"/>
  <c r="K47" i="90" s="1"/>
  <c r="M47" i="90" s="1"/>
  <c r="H47" i="88"/>
  <c r="I47" i="88" s="1"/>
  <c r="K47" i="88" s="1"/>
  <c r="W47" i="33"/>
  <c r="T14" i="67"/>
  <c r="J14" i="67"/>
  <c r="K14" i="67" s="1"/>
  <c r="W14" i="67" s="1"/>
  <c r="U14" i="128"/>
  <c r="M14" i="128"/>
  <c r="V14" i="128" s="1"/>
  <c r="P14" i="33"/>
  <c r="I14" i="119"/>
  <c r="J14" i="119" s="1"/>
  <c r="L14" i="119" s="1"/>
  <c r="L14" i="33"/>
  <c r="I14" i="115"/>
  <c r="J14" i="115" s="1"/>
  <c r="L14" i="115" s="1"/>
  <c r="M14" i="130"/>
  <c r="V14" i="130" s="1"/>
  <c r="U14" i="130"/>
  <c r="E11" i="76"/>
  <c r="H11" i="76" s="1"/>
  <c r="J11" i="76" s="1"/>
  <c r="K11" i="76" s="1"/>
  <c r="M11" i="76" s="1"/>
  <c r="Y14" i="33"/>
  <c r="H14" i="91"/>
  <c r="I14" i="91" s="1"/>
  <c r="K14" i="91" s="1"/>
  <c r="H14" i="86"/>
  <c r="I14" i="86" s="1"/>
  <c r="K14" i="86" s="1"/>
  <c r="U14" i="33"/>
  <c r="M14" i="98"/>
  <c r="AC14" i="33"/>
  <c r="I14" i="98"/>
  <c r="N14" i="98" s="1"/>
  <c r="Q14" i="33"/>
  <c r="I14" i="120"/>
  <c r="J14" i="120" s="1"/>
  <c r="L14" i="120" s="1"/>
  <c r="M14" i="33"/>
  <c r="I14" i="116"/>
  <c r="J14" i="116" s="1"/>
  <c r="L14" i="116" s="1"/>
  <c r="U14" i="131"/>
  <c r="M14" i="131"/>
  <c r="V14" i="131" s="1"/>
  <c r="M14" i="126"/>
  <c r="V14" i="126" s="1"/>
  <c r="U14" i="126"/>
  <c r="H14" i="92"/>
  <c r="I14" i="92" s="1"/>
  <c r="K14" i="92" s="1"/>
  <c r="Z14" i="33"/>
  <c r="V14" i="33"/>
  <c r="H14" i="87"/>
  <c r="I14" i="87" s="1"/>
  <c r="K14" i="87" s="1"/>
  <c r="N14" i="87" s="1"/>
  <c r="V14" i="87" s="1"/>
  <c r="J51" i="67"/>
  <c r="K51" i="67" s="1"/>
  <c r="W51" i="67" s="1"/>
  <c r="T51" i="67"/>
  <c r="J51" i="33"/>
  <c r="I51" i="113"/>
  <c r="J51" i="113" s="1"/>
  <c r="L51" i="113" s="1"/>
  <c r="O51" i="113" s="1"/>
  <c r="N51" i="33"/>
  <c r="I51" i="117"/>
  <c r="J51" i="117" s="1"/>
  <c r="L51" i="117" s="1"/>
  <c r="O51" i="117" s="1"/>
  <c r="W51" i="117" s="1"/>
  <c r="M51" i="125"/>
  <c r="V51" i="125" s="1"/>
  <c r="U51" i="125"/>
  <c r="M51" i="98"/>
  <c r="I51" i="98"/>
  <c r="N51" i="98" s="1"/>
  <c r="AC51" i="33"/>
  <c r="M51" i="127"/>
  <c r="V51" i="127" s="1"/>
  <c r="U51" i="127"/>
  <c r="AA51" i="33"/>
  <c r="J51" i="90"/>
  <c r="K51" i="90" s="1"/>
  <c r="M51" i="90" s="1"/>
  <c r="H51" i="88"/>
  <c r="I51" i="88" s="1"/>
  <c r="K51" i="88" s="1"/>
  <c r="W51" i="33"/>
  <c r="M51" i="99"/>
  <c r="I51" i="99"/>
  <c r="N51" i="99" s="1"/>
  <c r="AB51" i="33"/>
  <c r="I51" i="118"/>
  <c r="J51" i="118" s="1"/>
  <c r="L51" i="118" s="1"/>
  <c r="O51" i="33"/>
  <c r="K51" i="33"/>
  <c r="I51" i="114"/>
  <c r="J51" i="114" s="1"/>
  <c r="L51" i="114" s="1"/>
  <c r="AE51" i="33"/>
  <c r="M51" i="84"/>
  <c r="I51" i="84"/>
  <c r="N51" i="84" s="1"/>
  <c r="M51" i="128"/>
  <c r="V51" i="128" s="1"/>
  <c r="U51" i="128"/>
  <c r="E48" i="80"/>
  <c r="H48" i="80" s="1"/>
  <c r="J48" i="80" s="1"/>
  <c r="K48" i="80" s="1"/>
  <c r="M48" i="80" s="1"/>
  <c r="X51" i="33"/>
  <c r="H51" i="89"/>
  <c r="I51" i="89" s="1"/>
  <c r="K51" i="89" s="1"/>
  <c r="T40" i="67"/>
  <c r="J40" i="67"/>
  <c r="K40" i="67" s="1"/>
  <c r="W40" i="67" s="1"/>
  <c r="M40" i="98"/>
  <c r="AC40" i="33"/>
  <c r="I40" i="98"/>
  <c r="N40" i="98" s="1"/>
  <c r="P40" i="33"/>
  <c r="I40" i="119"/>
  <c r="J40" i="119" s="1"/>
  <c r="L40" i="119" s="1"/>
  <c r="I40" i="115"/>
  <c r="J40" i="115" s="1"/>
  <c r="L40" i="115" s="1"/>
  <c r="L40" i="33"/>
  <c r="M40" i="130"/>
  <c r="V40" i="130" s="1"/>
  <c r="U40" i="130"/>
  <c r="M40" i="126"/>
  <c r="V40" i="126" s="1"/>
  <c r="U40" i="126"/>
  <c r="H40" i="92"/>
  <c r="I40" i="92" s="1"/>
  <c r="K40" i="92" s="1"/>
  <c r="Z40" i="33"/>
  <c r="H40" i="87"/>
  <c r="I40" i="87" s="1"/>
  <c r="K40" i="87" s="1"/>
  <c r="N40" i="87" s="1"/>
  <c r="V40" i="87" s="1"/>
  <c r="V40" i="33"/>
  <c r="AE40" i="33"/>
  <c r="M40" i="84"/>
  <c r="I40" i="84"/>
  <c r="N40" i="84" s="1"/>
  <c r="Q40" i="33"/>
  <c r="I40" i="120"/>
  <c r="J40" i="120" s="1"/>
  <c r="L40" i="120" s="1"/>
  <c r="M40" i="33"/>
  <c r="I40" i="116"/>
  <c r="J40" i="116" s="1"/>
  <c r="L40" i="116" s="1"/>
  <c r="M40" i="131"/>
  <c r="V40" i="131" s="1"/>
  <c r="U40" i="131"/>
  <c r="U40" i="127"/>
  <c r="M40" i="127"/>
  <c r="V40" i="127" s="1"/>
  <c r="T40" i="33"/>
  <c r="H40" i="85"/>
  <c r="I40" i="85" s="1"/>
  <c r="K40" i="85" s="1"/>
  <c r="H40" i="88"/>
  <c r="I40" i="88" s="1"/>
  <c r="K40" i="88" s="1"/>
  <c r="W40" i="33"/>
  <c r="J46" i="67"/>
  <c r="K46" i="67" s="1"/>
  <c r="W46" i="67" s="1"/>
  <c r="T46" i="67"/>
  <c r="M46" i="98"/>
  <c r="I46" i="98"/>
  <c r="N46" i="98" s="1"/>
  <c r="AC46" i="33"/>
  <c r="J46" i="33"/>
  <c r="I46" i="113"/>
  <c r="J46" i="113" s="1"/>
  <c r="L46" i="113" s="1"/>
  <c r="O46" i="113" s="1"/>
  <c r="N46" i="33"/>
  <c r="I46" i="117"/>
  <c r="J46" i="117" s="1"/>
  <c r="L46" i="117" s="1"/>
  <c r="O46" i="117" s="1"/>
  <c r="W46" i="117" s="1"/>
  <c r="U46" i="125"/>
  <c r="M46" i="125"/>
  <c r="V46" i="125" s="1"/>
  <c r="M46" i="126"/>
  <c r="V46" i="126" s="1"/>
  <c r="U46" i="126"/>
  <c r="H46" i="92"/>
  <c r="I46" i="92" s="1"/>
  <c r="K46" i="92" s="1"/>
  <c r="Z46" i="33"/>
  <c r="H46" i="87"/>
  <c r="I46" i="87" s="1"/>
  <c r="K46" i="87" s="1"/>
  <c r="N46" i="87" s="1"/>
  <c r="V46" i="87" s="1"/>
  <c r="V46" i="33"/>
  <c r="AE46" i="33"/>
  <c r="M46" i="84"/>
  <c r="I46" i="84"/>
  <c r="N46" i="84" s="1"/>
  <c r="M46" i="99"/>
  <c r="I46" i="99"/>
  <c r="N46" i="99" s="1"/>
  <c r="AB46" i="33"/>
  <c r="I46" i="118"/>
  <c r="J46" i="118" s="1"/>
  <c r="L46" i="118" s="1"/>
  <c r="O46" i="33"/>
  <c r="K46" i="33"/>
  <c r="I46" i="114"/>
  <c r="J46" i="114" s="1"/>
  <c r="L46" i="114" s="1"/>
  <c r="M46" i="127"/>
  <c r="V46" i="127" s="1"/>
  <c r="U46" i="127"/>
  <c r="T46" i="33"/>
  <c r="H46" i="85"/>
  <c r="I46" i="85" s="1"/>
  <c r="K46" i="85" s="1"/>
  <c r="W46" i="33"/>
  <c r="H46" i="88"/>
  <c r="I46" i="88" s="1"/>
  <c r="K46" i="88" s="1"/>
  <c r="T19" i="67"/>
  <c r="J19" i="67"/>
  <c r="K19" i="67" s="1"/>
  <c r="W19" i="67" s="1"/>
  <c r="M19" i="99"/>
  <c r="AB19" i="33"/>
  <c r="I19" i="99"/>
  <c r="N19" i="99" s="1"/>
  <c r="O19" i="33"/>
  <c r="I19" i="118"/>
  <c r="J19" i="118" s="1"/>
  <c r="L19" i="118" s="1"/>
  <c r="I19" i="114"/>
  <c r="J19" i="114" s="1"/>
  <c r="L19" i="114" s="1"/>
  <c r="K19" i="33"/>
  <c r="M19" i="129"/>
  <c r="V19" i="129" s="1"/>
  <c r="U19" i="129"/>
  <c r="U19" i="128"/>
  <c r="M19" i="128"/>
  <c r="V19" i="128" s="1"/>
  <c r="E16" i="80"/>
  <c r="H16" i="80" s="1"/>
  <c r="J16" i="80" s="1"/>
  <c r="K16" i="80" s="1"/>
  <c r="M16" i="80" s="1"/>
  <c r="W19" i="33"/>
  <c r="H19" i="88"/>
  <c r="I19" i="88" s="1"/>
  <c r="K19" i="88" s="1"/>
  <c r="AE19" i="33"/>
  <c r="I19" i="84"/>
  <c r="N19" i="84" s="1"/>
  <c r="M19" i="84"/>
  <c r="P19" i="33"/>
  <c r="I19" i="119"/>
  <c r="J19" i="119" s="1"/>
  <c r="L19" i="119" s="1"/>
  <c r="I19" i="115"/>
  <c r="J19" i="115" s="1"/>
  <c r="L19" i="115" s="1"/>
  <c r="L19" i="33"/>
  <c r="M19" i="130"/>
  <c r="V19" i="130" s="1"/>
  <c r="U19" i="130"/>
  <c r="Z19" i="33"/>
  <c r="H19" i="92"/>
  <c r="I19" i="92" s="1"/>
  <c r="K19" i="92" s="1"/>
  <c r="E16" i="76"/>
  <c r="H16" i="76" s="1"/>
  <c r="J16" i="76" s="1"/>
  <c r="K16" i="76" s="1"/>
  <c r="M16" i="76" s="1"/>
  <c r="X19" i="33"/>
  <c r="H19" i="89"/>
  <c r="I19" i="89" s="1"/>
  <c r="K19" i="89" s="1"/>
  <c r="J43" i="67"/>
  <c r="K43" i="67" s="1"/>
  <c r="W43" i="67" s="1"/>
  <c r="T43" i="67"/>
  <c r="I43" i="120"/>
  <c r="J43" i="120" s="1"/>
  <c r="L43" i="120" s="1"/>
  <c r="Q43" i="33"/>
  <c r="M43" i="33"/>
  <c r="I43" i="116"/>
  <c r="J43" i="116" s="1"/>
  <c r="L43" i="116" s="1"/>
  <c r="U43" i="131"/>
  <c r="M43" i="131"/>
  <c r="V43" i="131" s="1"/>
  <c r="T43" i="33"/>
  <c r="H43" i="85"/>
  <c r="I43" i="85" s="1"/>
  <c r="K43" i="85" s="1"/>
  <c r="U43" i="127"/>
  <c r="M43" i="127"/>
  <c r="V43" i="127" s="1"/>
  <c r="J43" i="90"/>
  <c r="K43" i="90" s="1"/>
  <c r="M43" i="90" s="1"/>
  <c r="AA43" i="33"/>
  <c r="H43" i="87"/>
  <c r="I43" i="87" s="1"/>
  <c r="K43" i="87" s="1"/>
  <c r="N43" i="87" s="1"/>
  <c r="V43" i="87" s="1"/>
  <c r="V43" i="33"/>
  <c r="J43" i="33"/>
  <c r="I43" i="113"/>
  <c r="J43" i="113" s="1"/>
  <c r="L43" i="113" s="1"/>
  <c r="O43" i="113" s="1"/>
  <c r="I43" i="117"/>
  <c r="J43" i="117" s="1"/>
  <c r="L43" i="117" s="1"/>
  <c r="O43" i="117" s="1"/>
  <c r="W43" i="117" s="1"/>
  <c r="N43" i="33"/>
  <c r="M43" i="125"/>
  <c r="V43" i="125" s="1"/>
  <c r="U43" i="125"/>
  <c r="AC43" i="33"/>
  <c r="I43" i="98"/>
  <c r="N43" i="98" s="1"/>
  <c r="M43" i="98"/>
  <c r="M43" i="128"/>
  <c r="V43" i="128" s="1"/>
  <c r="U43" i="128"/>
  <c r="E40" i="80"/>
  <c r="H40" i="80" s="1"/>
  <c r="J40" i="80" s="1"/>
  <c r="K40" i="80" s="1"/>
  <c r="M40" i="80" s="1"/>
  <c r="W43" i="33"/>
  <c r="H43" i="88"/>
  <c r="I43" i="88" s="1"/>
  <c r="K43" i="88" s="1"/>
  <c r="J34" i="67"/>
  <c r="K34" i="67" s="1"/>
  <c r="W34" i="67" s="1"/>
  <c r="T34" i="67"/>
  <c r="M34" i="98"/>
  <c r="AC34" i="33"/>
  <c r="I34" i="98"/>
  <c r="N34" i="98" s="1"/>
  <c r="J34" i="33"/>
  <c r="I34" i="113"/>
  <c r="J34" i="113" s="1"/>
  <c r="L34" i="113" s="1"/>
  <c r="O34" i="113" s="1"/>
  <c r="N34" i="33"/>
  <c r="I34" i="117"/>
  <c r="J34" i="117" s="1"/>
  <c r="L34" i="117" s="1"/>
  <c r="O34" i="117" s="1"/>
  <c r="W34" i="117" s="1"/>
  <c r="M34" i="125"/>
  <c r="V34" i="125" s="1"/>
  <c r="U34" i="125"/>
  <c r="M34" i="126"/>
  <c r="V34" i="126" s="1"/>
  <c r="U34" i="126"/>
  <c r="Z34" i="33"/>
  <c r="H34" i="92"/>
  <c r="I34" i="92" s="1"/>
  <c r="K34" i="92" s="1"/>
  <c r="H34" i="87"/>
  <c r="I34" i="87" s="1"/>
  <c r="K34" i="87" s="1"/>
  <c r="N34" i="87" s="1"/>
  <c r="V34" i="87" s="1"/>
  <c r="V34" i="33"/>
  <c r="AE34" i="33"/>
  <c r="I34" i="84"/>
  <c r="N34" i="84" s="1"/>
  <c r="M34" i="84"/>
  <c r="M34" i="99"/>
  <c r="I34" i="99"/>
  <c r="N34" i="99" s="1"/>
  <c r="AB34" i="33"/>
  <c r="I34" i="118"/>
  <c r="J34" i="118" s="1"/>
  <c r="L34" i="118" s="1"/>
  <c r="O34" i="33"/>
  <c r="I34" i="114"/>
  <c r="J34" i="114" s="1"/>
  <c r="L34" i="114" s="1"/>
  <c r="K34" i="33"/>
  <c r="U34" i="127"/>
  <c r="M34" i="127"/>
  <c r="V34" i="127" s="1"/>
  <c r="T34" i="33"/>
  <c r="H34" i="85"/>
  <c r="I34" i="85" s="1"/>
  <c r="K34" i="85" s="1"/>
  <c r="H34" i="88"/>
  <c r="I34" i="88" s="1"/>
  <c r="K34" i="88" s="1"/>
  <c r="W34" i="33"/>
  <c r="BU10" i="1"/>
  <c r="AG71" i="33" l="1"/>
  <c r="S50" i="33"/>
  <c r="R13" i="33"/>
  <c r="AG13" i="33" s="1"/>
  <c r="S12" i="33"/>
  <c r="R44" i="33"/>
  <c r="R61" i="33"/>
  <c r="R60" i="33"/>
  <c r="AG60" i="33" s="1"/>
  <c r="S52" i="33"/>
  <c r="S26" i="33"/>
  <c r="R62" i="33"/>
  <c r="S23" i="33"/>
  <c r="R49" i="33"/>
  <c r="R33" i="33"/>
  <c r="S36" i="33"/>
  <c r="R53" i="33"/>
  <c r="S56" i="33"/>
  <c r="S69" i="33"/>
  <c r="S72" i="33"/>
  <c r="R73" i="33"/>
  <c r="S32" i="33"/>
  <c r="R51" i="33"/>
  <c r="R47" i="33"/>
  <c r="S24" i="33"/>
  <c r="S38" i="33"/>
  <c r="R36" i="33"/>
  <c r="S30" i="33"/>
  <c r="R55" i="33"/>
  <c r="S64" i="33"/>
  <c r="R67" i="33"/>
  <c r="R12" i="33"/>
  <c r="AG12" i="33" s="1"/>
  <c r="S66" i="33"/>
  <c r="AG66" i="33" s="1"/>
  <c r="R20" i="33"/>
  <c r="S11" i="33"/>
  <c r="R15" i="33"/>
  <c r="S15" i="33"/>
  <c r="S61" i="33"/>
  <c r="AG61" i="33" s="1"/>
  <c r="S21" i="33"/>
  <c r="S63" i="33"/>
  <c r="R39" i="33"/>
  <c r="AG39" i="33" s="1"/>
  <c r="R50" i="33"/>
  <c r="AG50" i="33" s="1"/>
  <c r="S13" i="33"/>
  <c r="S49" i="33"/>
  <c r="AG49" i="33" s="1"/>
  <c r="R24" i="33"/>
  <c r="AG24" i="33" s="1"/>
  <c r="S27" i="33"/>
  <c r="R31" i="33"/>
  <c r="S44" i="33"/>
  <c r="S16" i="33"/>
  <c r="S45" i="33"/>
  <c r="R11" i="33"/>
  <c r="R9" i="33"/>
  <c r="S18" i="33"/>
  <c r="S60" i="33"/>
  <c r="S17" i="33"/>
  <c r="S59" i="33"/>
  <c r="S54" i="33"/>
  <c r="R18" i="33"/>
  <c r="R58" i="33"/>
  <c r="S29" i="33"/>
  <c r="S39" i="33"/>
  <c r="R17" i="33"/>
  <c r="R38" i="33"/>
  <c r="S41" i="33"/>
  <c r="R34" i="33"/>
  <c r="S34" i="33"/>
  <c r="R46" i="33"/>
  <c r="S46" i="33"/>
  <c r="S40" i="33"/>
  <c r="S14" i="33"/>
  <c r="S47" i="33"/>
  <c r="S22" i="33"/>
  <c r="S68" i="33"/>
  <c r="R72" i="33"/>
  <c r="AG72" i="33" s="1"/>
  <c r="S35" i="33"/>
  <c r="R43" i="33"/>
  <c r="S43" i="33"/>
  <c r="S19" i="33"/>
  <c r="S51" i="33"/>
  <c r="R14" i="33"/>
  <c r="AG14" i="33" s="1"/>
  <c r="R37" i="33"/>
  <c r="R22" i="33"/>
  <c r="AG22" i="33" s="1"/>
  <c r="R27" i="33"/>
  <c r="R74" i="33"/>
  <c r="S58" i="33"/>
  <c r="AG58" i="33" s="1"/>
  <c r="S57" i="33"/>
  <c r="R66" i="33"/>
  <c r="R45" i="33"/>
  <c r="AG45" i="33" s="1"/>
  <c r="R57" i="33"/>
  <c r="R25" i="33"/>
  <c r="S65" i="33"/>
  <c r="S74" i="33"/>
  <c r="R68" i="33"/>
  <c r="AG68" i="33" s="1"/>
  <c r="S73" i="33"/>
  <c r="R35" i="33"/>
  <c r="AG35" i="33" s="1"/>
  <c r="S75" i="33"/>
  <c r="R69" i="33"/>
  <c r="AG69" i="33" s="1"/>
  <c r="R32" i="33"/>
  <c r="AG32" i="33" s="1"/>
  <c r="S10" i="33"/>
  <c r="R65" i="33"/>
  <c r="R23" i="33"/>
  <c r="S33" i="33"/>
  <c r="R59" i="33"/>
  <c r="BW10" i="1"/>
  <c r="C8" i="33" s="1"/>
  <c r="BV10" i="1"/>
  <c r="T34" i="88"/>
  <c r="L34" i="88"/>
  <c r="U34" i="88" s="1"/>
  <c r="U34" i="114"/>
  <c r="M34" i="114"/>
  <c r="V34" i="114" s="1"/>
  <c r="U34" i="118"/>
  <c r="M34" i="118"/>
  <c r="V34" i="118" s="1"/>
  <c r="L34" i="87"/>
  <c r="W34" i="87" s="1"/>
  <c r="L43" i="88"/>
  <c r="U43" i="88" s="1"/>
  <c r="T43" i="88"/>
  <c r="M43" i="117"/>
  <c r="X43" i="117" s="1"/>
  <c r="L43" i="87"/>
  <c r="W43" i="87" s="1"/>
  <c r="N43" i="90"/>
  <c r="Y43" i="90" s="1"/>
  <c r="X43" i="90"/>
  <c r="U43" i="120"/>
  <c r="M43" i="120"/>
  <c r="V43" i="120" s="1"/>
  <c r="V16" i="76"/>
  <c r="N16" i="76"/>
  <c r="W16" i="76" s="1"/>
  <c r="U19" i="115"/>
  <c r="M19" i="115"/>
  <c r="V19" i="115" s="1"/>
  <c r="L19" i="88"/>
  <c r="U19" i="88" s="1"/>
  <c r="T19" i="88"/>
  <c r="M19" i="118"/>
  <c r="V19" i="118" s="1"/>
  <c r="U19" i="118"/>
  <c r="M46" i="118"/>
  <c r="V46" i="118" s="1"/>
  <c r="U46" i="118"/>
  <c r="L46" i="87"/>
  <c r="W46" i="87" s="1"/>
  <c r="T46" i="92"/>
  <c r="L46" i="92"/>
  <c r="U46" i="92" s="1"/>
  <c r="T40" i="85"/>
  <c r="L40" i="85"/>
  <c r="U40" i="85" s="1"/>
  <c r="U40" i="116"/>
  <c r="M40" i="116"/>
  <c r="V40" i="116" s="1"/>
  <c r="U40" i="120"/>
  <c r="M40" i="120"/>
  <c r="V40" i="120" s="1"/>
  <c r="L40" i="87"/>
  <c r="W40" i="87" s="1"/>
  <c r="T40" i="92"/>
  <c r="L40" i="92"/>
  <c r="U40" i="92" s="1"/>
  <c r="U40" i="115"/>
  <c r="M40" i="115"/>
  <c r="V40" i="115" s="1"/>
  <c r="T51" i="89"/>
  <c r="L51" i="89"/>
  <c r="U51" i="89" s="1"/>
  <c r="U51" i="118"/>
  <c r="M51" i="118"/>
  <c r="V51" i="118" s="1"/>
  <c r="X51" i="90"/>
  <c r="N51" i="90"/>
  <c r="Y51" i="90" s="1"/>
  <c r="T14" i="92"/>
  <c r="L14" i="92"/>
  <c r="U14" i="92" s="1"/>
  <c r="T14" i="91"/>
  <c r="L14" i="91"/>
  <c r="U14" i="91" s="1"/>
  <c r="M14" i="115"/>
  <c r="V14" i="115" s="1"/>
  <c r="U14" i="115"/>
  <c r="U14" i="119"/>
  <c r="M14" i="119"/>
  <c r="V14" i="119" s="1"/>
  <c r="N47" i="90"/>
  <c r="Y47" i="90" s="1"/>
  <c r="X47" i="90"/>
  <c r="T47" i="92"/>
  <c r="L47" i="92"/>
  <c r="U47" i="92" s="1"/>
  <c r="L24" i="87"/>
  <c r="W24" i="87" s="1"/>
  <c r="L24" i="92"/>
  <c r="U24" i="92" s="1"/>
  <c r="T24" i="92"/>
  <c r="U24" i="119"/>
  <c r="M24" i="119"/>
  <c r="V24" i="119" s="1"/>
  <c r="T24" i="86"/>
  <c r="L24" i="86"/>
  <c r="U24" i="86" s="1"/>
  <c r="L24" i="91"/>
  <c r="U24" i="91" s="1"/>
  <c r="T24" i="91"/>
  <c r="V21" i="76"/>
  <c r="N21" i="76"/>
  <c r="W21" i="76" s="1"/>
  <c r="T37" i="89"/>
  <c r="L37" i="89"/>
  <c r="U37" i="89" s="1"/>
  <c r="M37" i="119"/>
  <c r="V37" i="119" s="1"/>
  <c r="U37" i="119"/>
  <c r="U37" i="118"/>
  <c r="M37" i="118"/>
  <c r="V37" i="118" s="1"/>
  <c r="L22" i="87"/>
  <c r="W22" i="87" s="1"/>
  <c r="M22" i="117"/>
  <c r="X22" i="117" s="1"/>
  <c r="U22" i="116"/>
  <c r="M22" i="116"/>
  <c r="V22" i="116" s="1"/>
  <c r="U22" i="120"/>
  <c r="M22" i="120"/>
  <c r="V22" i="120" s="1"/>
  <c r="L74" i="85"/>
  <c r="U74" i="85" s="1"/>
  <c r="T74" i="85"/>
  <c r="M74" i="117"/>
  <c r="X74" i="117" s="1"/>
  <c r="W74" i="113"/>
  <c r="M74" i="113"/>
  <c r="X74" i="113" s="1"/>
  <c r="T74" i="92"/>
  <c r="L74" i="92"/>
  <c r="U74" i="92" s="1"/>
  <c r="U27" i="119"/>
  <c r="M27" i="119"/>
  <c r="V27" i="119" s="1"/>
  <c r="N24" i="80"/>
  <c r="W24" i="80" s="1"/>
  <c r="V24" i="80"/>
  <c r="M27" i="118"/>
  <c r="V27" i="118" s="1"/>
  <c r="U27" i="118"/>
  <c r="N28" i="76"/>
  <c r="W28" i="76" s="1"/>
  <c r="V28" i="76"/>
  <c r="U31" i="115"/>
  <c r="M31" i="115"/>
  <c r="V31" i="115" s="1"/>
  <c r="M31" i="114"/>
  <c r="V31" i="114" s="1"/>
  <c r="U31" i="114"/>
  <c r="T38" i="92"/>
  <c r="L38" i="92"/>
  <c r="U38" i="92" s="1"/>
  <c r="M38" i="117"/>
  <c r="X38" i="117" s="1"/>
  <c r="L38" i="86"/>
  <c r="U38" i="86" s="1"/>
  <c r="T38" i="86"/>
  <c r="T38" i="91"/>
  <c r="L38" i="91"/>
  <c r="U38" i="91" s="1"/>
  <c r="V35" i="76"/>
  <c r="N35" i="76"/>
  <c r="W35" i="76" s="1"/>
  <c r="M38" i="116"/>
  <c r="V38" i="116" s="1"/>
  <c r="U38" i="116"/>
  <c r="T41" i="89"/>
  <c r="L41" i="89"/>
  <c r="U41" i="89" s="1"/>
  <c r="V38" i="76"/>
  <c r="N38" i="76"/>
  <c r="W38" i="76" s="1"/>
  <c r="U41" i="114"/>
  <c r="M41" i="114"/>
  <c r="V41" i="114" s="1"/>
  <c r="T41" i="88"/>
  <c r="L41" i="88"/>
  <c r="U41" i="88" s="1"/>
  <c r="N38" i="80"/>
  <c r="W38" i="80" s="1"/>
  <c r="V38" i="80"/>
  <c r="W41" i="113"/>
  <c r="M41" i="113"/>
  <c r="X41" i="113" s="1"/>
  <c r="L68" i="87"/>
  <c r="W68" i="87" s="1"/>
  <c r="T68" i="85"/>
  <c r="L68" i="85"/>
  <c r="U68" i="85" s="1"/>
  <c r="U68" i="116"/>
  <c r="M68" i="116"/>
  <c r="V68" i="116" s="1"/>
  <c r="U68" i="120"/>
  <c r="M68" i="120"/>
  <c r="V68" i="120" s="1"/>
  <c r="T34" i="86"/>
  <c r="L34" i="86"/>
  <c r="U34" i="86" s="1"/>
  <c r="L34" i="91"/>
  <c r="U34" i="91" s="1"/>
  <c r="T34" i="91"/>
  <c r="N31" i="76"/>
  <c r="W31" i="76" s="1"/>
  <c r="V31" i="76"/>
  <c r="M34" i="120"/>
  <c r="V34" i="120" s="1"/>
  <c r="U34" i="120"/>
  <c r="J31" i="80"/>
  <c r="K31" i="80" s="1"/>
  <c r="M31" i="80" s="1"/>
  <c r="U34" i="119"/>
  <c r="M34" i="119"/>
  <c r="V34" i="119" s="1"/>
  <c r="L43" i="86"/>
  <c r="U43" i="86" s="1"/>
  <c r="T43" i="86"/>
  <c r="T43" i="89"/>
  <c r="L43" i="89"/>
  <c r="U43" i="89" s="1"/>
  <c r="N40" i="76"/>
  <c r="W40" i="76" s="1"/>
  <c r="V40" i="76"/>
  <c r="M43" i="114"/>
  <c r="V43" i="114" s="1"/>
  <c r="U43" i="114"/>
  <c r="U43" i="118"/>
  <c r="M43" i="118"/>
  <c r="V43" i="118" s="1"/>
  <c r="X19" i="90"/>
  <c r="N19" i="90"/>
  <c r="Y19" i="90" s="1"/>
  <c r="M19" i="117"/>
  <c r="X19" i="117" s="1"/>
  <c r="M19" i="113"/>
  <c r="X19" i="113" s="1"/>
  <c r="W19" i="113"/>
  <c r="L19" i="86"/>
  <c r="U19" i="86" s="1"/>
  <c r="T19" i="86"/>
  <c r="L19" i="85"/>
  <c r="U19" i="85" s="1"/>
  <c r="T19" i="85"/>
  <c r="M19" i="120"/>
  <c r="V19" i="120" s="1"/>
  <c r="U19" i="120"/>
  <c r="V43" i="76"/>
  <c r="N43" i="76"/>
  <c r="W43" i="76" s="1"/>
  <c r="N43" i="80"/>
  <c r="W43" i="80" s="1"/>
  <c r="V43" i="80"/>
  <c r="U46" i="115"/>
  <c r="M46" i="115"/>
  <c r="V46" i="115" s="1"/>
  <c r="AG34" i="33"/>
  <c r="S31" i="33"/>
  <c r="L34" i="85"/>
  <c r="U34" i="85" s="1"/>
  <c r="T34" i="85"/>
  <c r="L34" i="92"/>
  <c r="U34" i="92" s="1"/>
  <c r="T34" i="92"/>
  <c r="M34" i="117"/>
  <c r="X34" i="117" s="1"/>
  <c r="M34" i="113"/>
  <c r="X34" i="113" s="1"/>
  <c r="W34" i="113"/>
  <c r="V40" i="80"/>
  <c r="N40" i="80"/>
  <c r="W40" i="80" s="1"/>
  <c r="W43" i="113"/>
  <c r="M43" i="113"/>
  <c r="X43" i="113" s="1"/>
  <c r="T43" i="85"/>
  <c r="L43" i="85"/>
  <c r="U43" i="85" s="1"/>
  <c r="M43" i="116"/>
  <c r="V43" i="116" s="1"/>
  <c r="U43" i="116"/>
  <c r="L19" i="89"/>
  <c r="U19" i="89" s="1"/>
  <c r="T19" i="89"/>
  <c r="T19" i="92"/>
  <c r="L19" i="92"/>
  <c r="U19" i="92" s="1"/>
  <c r="M19" i="119"/>
  <c r="V19" i="119" s="1"/>
  <c r="U19" i="119"/>
  <c r="V16" i="80"/>
  <c r="N16" i="80"/>
  <c r="W16" i="80" s="1"/>
  <c r="U19" i="114"/>
  <c r="M19" i="114"/>
  <c r="V19" i="114" s="1"/>
  <c r="L46" i="88"/>
  <c r="U46" i="88" s="1"/>
  <c r="T46" i="88"/>
  <c r="L46" i="85"/>
  <c r="U46" i="85" s="1"/>
  <c r="T46" i="85"/>
  <c r="U46" i="114"/>
  <c r="M46" i="114"/>
  <c r="V46" i="114" s="1"/>
  <c r="M46" i="117"/>
  <c r="X46" i="117" s="1"/>
  <c r="M46" i="113"/>
  <c r="X46" i="113" s="1"/>
  <c r="W46" i="113"/>
  <c r="L40" i="88"/>
  <c r="U40" i="88" s="1"/>
  <c r="T40" i="88"/>
  <c r="M40" i="119"/>
  <c r="V40" i="119" s="1"/>
  <c r="U40" i="119"/>
  <c r="N48" i="80"/>
  <c r="W48" i="80" s="1"/>
  <c r="V48" i="80"/>
  <c r="M51" i="114"/>
  <c r="V51" i="114" s="1"/>
  <c r="U51" i="114"/>
  <c r="T51" i="88"/>
  <c r="L51" i="88"/>
  <c r="U51" i="88" s="1"/>
  <c r="M51" i="117"/>
  <c r="X51" i="117" s="1"/>
  <c r="M51" i="113"/>
  <c r="X51" i="113" s="1"/>
  <c r="W51" i="113"/>
  <c r="L14" i="87"/>
  <c r="W14" i="87" s="1"/>
  <c r="M14" i="116"/>
  <c r="V14" i="116" s="1"/>
  <c r="U14" i="116"/>
  <c r="U14" i="120"/>
  <c r="M14" i="120"/>
  <c r="V14" i="120" s="1"/>
  <c r="L14" i="86"/>
  <c r="U14" i="86" s="1"/>
  <c r="T14" i="86"/>
  <c r="V11" i="76"/>
  <c r="N11" i="76"/>
  <c r="W11" i="76" s="1"/>
  <c r="T47" i="88"/>
  <c r="L47" i="88"/>
  <c r="U47" i="88" s="1"/>
  <c r="M47" i="117"/>
  <c r="X47" i="117" s="1"/>
  <c r="W47" i="113"/>
  <c r="M47" i="113"/>
  <c r="X47" i="113" s="1"/>
  <c r="L47" i="87"/>
  <c r="W47" i="87" s="1"/>
  <c r="T47" i="85"/>
  <c r="L47" i="85"/>
  <c r="U47" i="85" s="1"/>
  <c r="U47" i="116"/>
  <c r="M47" i="116"/>
  <c r="V47" i="116" s="1"/>
  <c r="U47" i="118"/>
  <c r="M47" i="118"/>
  <c r="V47" i="118" s="1"/>
  <c r="U24" i="115"/>
  <c r="M24" i="115"/>
  <c r="V24" i="115" s="1"/>
  <c r="M24" i="114"/>
  <c r="V24" i="114" s="1"/>
  <c r="U24" i="114"/>
  <c r="U24" i="118"/>
  <c r="M24" i="118"/>
  <c r="V24" i="118" s="1"/>
  <c r="N34" i="76"/>
  <c r="W34" i="76" s="1"/>
  <c r="V34" i="76"/>
  <c r="M37" i="115"/>
  <c r="V37" i="115" s="1"/>
  <c r="U37" i="115"/>
  <c r="T37" i="88"/>
  <c r="L37" i="88"/>
  <c r="U37" i="88" s="1"/>
  <c r="S37" i="33"/>
  <c r="J34" i="80"/>
  <c r="K34" i="80" s="1"/>
  <c r="M34" i="80" s="1"/>
  <c r="U37" i="114"/>
  <c r="M37" i="114"/>
  <c r="V37" i="114" s="1"/>
  <c r="L22" i="92"/>
  <c r="U22" i="92" s="1"/>
  <c r="T22" i="92"/>
  <c r="W22" i="113"/>
  <c r="M22" i="113"/>
  <c r="X22" i="113" s="1"/>
  <c r="L22" i="86"/>
  <c r="U22" i="86" s="1"/>
  <c r="T22" i="86"/>
  <c r="T22" i="91"/>
  <c r="L22" i="91"/>
  <c r="U22" i="91" s="1"/>
  <c r="N19" i="76"/>
  <c r="W19" i="76" s="1"/>
  <c r="V19" i="76"/>
  <c r="T74" i="88"/>
  <c r="L74" i="88"/>
  <c r="U74" i="88" s="1"/>
  <c r="L74" i="87"/>
  <c r="W74" i="87" s="1"/>
  <c r="U74" i="116"/>
  <c r="M74" i="116"/>
  <c r="V74" i="116" s="1"/>
  <c r="U74" i="120"/>
  <c r="M74" i="120"/>
  <c r="V74" i="120" s="1"/>
  <c r="L27" i="89"/>
  <c r="U27" i="89" s="1"/>
  <c r="T27" i="89"/>
  <c r="N24" i="76"/>
  <c r="W24" i="76" s="1"/>
  <c r="V24" i="76"/>
  <c r="U27" i="115"/>
  <c r="M27" i="115"/>
  <c r="V27" i="115" s="1"/>
  <c r="T27" i="88"/>
  <c r="L27" i="88"/>
  <c r="U27" i="88" s="1"/>
  <c r="U27" i="114"/>
  <c r="M27" i="114"/>
  <c r="V27" i="114" s="1"/>
  <c r="T31" i="89"/>
  <c r="L31" i="89"/>
  <c r="U31" i="89" s="1"/>
  <c r="U31" i="119"/>
  <c r="M31" i="119"/>
  <c r="V31" i="119" s="1"/>
  <c r="L31" i="88"/>
  <c r="U31" i="88" s="1"/>
  <c r="T31" i="88"/>
  <c r="N28" i="80"/>
  <c r="W28" i="80" s="1"/>
  <c r="V28" i="80"/>
  <c r="U31" i="118"/>
  <c r="M31" i="118"/>
  <c r="V31" i="118" s="1"/>
  <c r="L38" i="87"/>
  <c r="W38" i="87" s="1"/>
  <c r="W38" i="113"/>
  <c r="M38" i="113"/>
  <c r="X38" i="113" s="1"/>
  <c r="U38" i="120"/>
  <c r="M38" i="120"/>
  <c r="V38" i="120" s="1"/>
  <c r="M41" i="118"/>
  <c r="V41" i="118" s="1"/>
  <c r="U41" i="118"/>
  <c r="M41" i="117"/>
  <c r="X41" i="117" s="1"/>
  <c r="T68" i="92"/>
  <c r="L68" i="92"/>
  <c r="U68" i="92" s="1"/>
  <c r="L68" i="91"/>
  <c r="U68" i="91" s="1"/>
  <c r="T68" i="91"/>
  <c r="M68" i="115"/>
  <c r="V68" i="115" s="1"/>
  <c r="U68" i="115"/>
  <c r="U68" i="119"/>
  <c r="M68" i="119"/>
  <c r="V68" i="119" s="1"/>
  <c r="U34" i="116"/>
  <c r="M34" i="116"/>
  <c r="V34" i="116" s="1"/>
  <c r="X34" i="90"/>
  <c r="N34" i="90"/>
  <c r="Y34" i="90" s="1"/>
  <c r="L34" i="89"/>
  <c r="U34" i="89" s="1"/>
  <c r="T34" i="89"/>
  <c r="U34" i="115"/>
  <c r="M34" i="115"/>
  <c r="V34" i="115" s="1"/>
  <c r="T43" i="91"/>
  <c r="L43" i="91"/>
  <c r="U43" i="91" s="1"/>
  <c r="L43" i="92"/>
  <c r="U43" i="92" s="1"/>
  <c r="T43" i="92"/>
  <c r="M43" i="115"/>
  <c r="V43" i="115" s="1"/>
  <c r="U43" i="115"/>
  <c r="M43" i="119"/>
  <c r="V43" i="119" s="1"/>
  <c r="U43" i="119"/>
  <c r="L19" i="87"/>
  <c r="W19" i="87" s="1"/>
  <c r="L19" i="91"/>
  <c r="U19" i="91" s="1"/>
  <c r="T19" i="91"/>
  <c r="U19" i="116"/>
  <c r="M19" i="116"/>
  <c r="V19" i="116" s="1"/>
  <c r="T46" i="86"/>
  <c r="L46" i="86"/>
  <c r="U46" i="86" s="1"/>
  <c r="T46" i="91"/>
  <c r="L46" i="91"/>
  <c r="U46" i="91" s="1"/>
  <c r="M46" i="116"/>
  <c r="V46" i="116" s="1"/>
  <c r="U46" i="116"/>
  <c r="M46" i="120"/>
  <c r="V46" i="120" s="1"/>
  <c r="U46" i="120"/>
  <c r="X46" i="90"/>
  <c r="N46" i="90"/>
  <c r="Y46" i="90" s="1"/>
  <c r="T46" i="89"/>
  <c r="L46" i="89"/>
  <c r="U46" i="89" s="1"/>
  <c r="U46" i="119"/>
  <c r="M46" i="119"/>
  <c r="V46" i="119" s="1"/>
  <c r="R19" i="33"/>
  <c r="R41" i="33"/>
  <c r="T40" i="86"/>
  <c r="L40" i="86"/>
  <c r="U40" i="86" s="1"/>
  <c r="J37" i="76"/>
  <c r="K37" i="76" s="1"/>
  <c r="M37" i="76" s="1"/>
  <c r="R40" i="33"/>
  <c r="U40" i="114"/>
  <c r="M40" i="114"/>
  <c r="V40" i="114" s="1"/>
  <c r="L40" i="89"/>
  <c r="U40" i="89" s="1"/>
  <c r="T40" i="89"/>
  <c r="M40" i="117"/>
  <c r="X40" i="117" s="1"/>
  <c r="T51" i="92"/>
  <c r="L51" i="92"/>
  <c r="U51" i="92" s="1"/>
  <c r="T51" i="85"/>
  <c r="L51" i="85"/>
  <c r="U51" i="85" s="1"/>
  <c r="U51" i="116"/>
  <c r="M51" i="116"/>
  <c r="V51" i="116" s="1"/>
  <c r="L51" i="86"/>
  <c r="U51" i="86" s="1"/>
  <c r="T51" i="86"/>
  <c r="T51" i="91"/>
  <c r="L51" i="91"/>
  <c r="U51" i="91" s="1"/>
  <c r="V48" i="76"/>
  <c r="N48" i="76"/>
  <c r="W48" i="76" s="1"/>
  <c r="L14" i="89"/>
  <c r="U14" i="89" s="1"/>
  <c r="T14" i="89"/>
  <c r="M14" i="114"/>
  <c r="V14" i="114" s="1"/>
  <c r="U14" i="114"/>
  <c r="U14" i="118"/>
  <c r="M14" i="118"/>
  <c r="V14" i="118" s="1"/>
  <c r="L14" i="85"/>
  <c r="U14" i="85" s="1"/>
  <c r="T14" i="85"/>
  <c r="M14" i="117"/>
  <c r="X14" i="117" s="1"/>
  <c r="V44" i="76"/>
  <c r="N44" i="76"/>
  <c r="W44" i="76" s="1"/>
  <c r="U47" i="120"/>
  <c r="M47" i="120"/>
  <c r="V47" i="120" s="1"/>
  <c r="U47" i="114"/>
  <c r="M47" i="114"/>
  <c r="V47" i="114" s="1"/>
  <c r="N21" i="80"/>
  <c r="W21" i="80" s="1"/>
  <c r="V21" i="80"/>
  <c r="L24" i="88"/>
  <c r="U24" i="88" s="1"/>
  <c r="T24" i="88"/>
  <c r="L24" i="85"/>
  <c r="U24" i="85" s="1"/>
  <c r="T24" i="85"/>
  <c r="M24" i="120"/>
  <c r="V24" i="120" s="1"/>
  <c r="U24" i="120"/>
  <c r="T37" i="85"/>
  <c r="L37" i="85"/>
  <c r="U37" i="85" s="1"/>
  <c r="M37" i="117"/>
  <c r="X37" i="117" s="1"/>
  <c r="W37" i="113"/>
  <c r="M37" i="113"/>
  <c r="X37" i="113" s="1"/>
  <c r="L37" i="86"/>
  <c r="U37" i="86" s="1"/>
  <c r="T37" i="86"/>
  <c r="T37" i="91"/>
  <c r="L37" i="91"/>
  <c r="U37" i="91" s="1"/>
  <c r="U37" i="116"/>
  <c r="M37" i="116"/>
  <c r="V37" i="116" s="1"/>
  <c r="X22" i="90"/>
  <c r="N22" i="90"/>
  <c r="Y22" i="90" s="1"/>
  <c r="U22" i="119"/>
  <c r="M22" i="119"/>
  <c r="V22" i="119" s="1"/>
  <c r="L22" i="88"/>
  <c r="U22" i="88" s="1"/>
  <c r="T22" i="88"/>
  <c r="T22" i="85"/>
  <c r="L22" i="85"/>
  <c r="U22" i="85" s="1"/>
  <c r="M22" i="114"/>
  <c r="V22" i="114" s="1"/>
  <c r="U22" i="114"/>
  <c r="T74" i="86"/>
  <c r="L74" i="86"/>
  <c r="U74" i="86" s="1"/>
  <c r="T74" i="91"/>
  <c r="L74" i="91"/>
  <c r="U74" i="91" s="1"/>
  <c r="V71" i="76"/>
  <c r="N71" i="76"/>
  <c r="W71" i="76" s="1"/>
  <c r="U74" i="115"/>
  <c r="M74" i="115"/>
  <c r="V74" i="115" s="1"/>
  <c r="L74" i="89"/>
  <c r="U74" i="89" s="1"/>
  <c r="T74" i="89"/>
  <c r="V71" i="80"/>
  <c r="N71" i="80"/>
  <c r="W71" i="80" s="1"/>
  <c r="M74" i="118"/>
  <c r="V74" i="118" s="1"/>
  <c r="U74" i="118"/>
  <c r="T27" i="85"/>
  <c r="L27" i="85"/>
  <c r="U27" i="85" s="1"/>
  <c r="M27" i="117"/>
  <c r="X27" i="117" s="1"/>
  <c r="M27" i="113"/>
  <c r="X27" i="113" s="1"/>
  <c r="W27" i="113"/>
  <c r="T27" i="91"/>
  <c r="L27" i="91"/>
  <c r="U27" i="91" s="1"/>
  <c r="L27" i="92"/>
  <c r="U27" i="92" s="1"/>
  <c r="T27" i="92"/>
  <c r="L31" i="87"/>
  <c r="W31" i="87" s="1"/>
  <c r="M31" i="117"/>
  <c r="X31" i="117" s="1"/>
  <c r="T31" i="91"/>
  <c r="L31" i="91"/>
  <c r="U31" i="91" s="1"/>
  <c r="U31" i="116"/>
  <c r="M31" i="116"/>
  <c r="V31" i="116" s="1"/>
  <c r="U31" i="120"/>
  <c r="M31" i="120"/>
  <c r="V31" i="120" s="1"/>
  <c r="X38" i="90"/>
  <c r="N38" i="90"/>
  <c r="Y38" i="90" s="1"/>
  <c r="L38" i="89"/>
  <c r="U38" i="89" s="1"/>
  <c r="T38" i="89"/>
  <c r="V35" i="80"/>
  <c r="N35" i="80"/>
  <c r="W35" i="80" s="1"/>
  <c r="T38" i="88"/>
  <c r="L38" i="88"/>
  <c r="U38" i="88" s="1"/>
  <c r="T38" i="85"/>
  <c r="L38" i="85"/>
  <c r="U38" i="85" s="1"/>
  <c r="M38" i="114"/>
  <c r="V38" i="114" s="1"/>
  <c r="U38" i="114"/>
  <c r="L41" i="87"/>
  <c r="W41" i="87" s="1"/>
  <c r="U41" i="116"/>
  <c r="M41" i="116"/>
  <c r="V41" i="116" s="1"/>
  <c r="U41" i="120"/>
  <c r="M41" i="120"/>
  <c r="V41" i="120" s="1"/>
  <c r="T41" i="86"/>
  <c r="L41" i="86"/>
  <c r="U41" i="86" s="1"/>
  <c r="T41" i="91"/>
  <c r="L41" i="91"/>
  <c r="U41" i="91" s="1"/>
  <c r="M41" i="119"/>
  <c r="V41" i="119" s="1"/>
  <c r="U41" i="119"/>
  <c r="N68" i="90"/>
  <c r="Y68" i="90" s="1"/>
  <c r="X68" i="90"/>
  <c r="V65" i="76"/>
  <c r="N65" i="76"/>
  <c r="W65" i="76" s="1"/>
  <c r="T68" i="86"/>
  <c r="L68" i="86"/>
  <c r="U68" i="86" s="1"/>
  <c r="M68" i="117"/>
  <c r="X68" i="117" s="1"/>
  <c r="W68" i="113"/>
  <c r="M68" i="113"/>
  <c r="X68" i="113" s="1"/>
  <c r="T53" i="89"/>
  <c r="L53" i="89"/>
  <c r="U53" i="89" s="1"/>
  <c r="V50" i="80"/>
  <c r="N50" i="80"/>
  <c r="W50" i="80" s="1"/>
  <c r="U53" i="114"/>
  <c r="M53" i="114"/>
  <c r="V53" i="114" s="1"/>
  <c r="M53" i="118"/>
  <c r="V53" i="118" s="1"/>
  <c r="U53" i="118"/>
  <c r="X53" i="90"/>
  <c r="N53" i="90"/>
  <c r="Y53" i="90" s="1"/>
  <c r="X55" i="90"/>
  <c r="N55" i="90"/>
  <c r="Y55" i="90" s="1"/>
  <c r="W55" i="113"/>
  <c r="M55" i="113"/>
  <c r="X55" i="113" s="1"/>
  <c r="L55" i="85"/>
  <c r="U55" i="85" s="1"/>
  <c r="T55" i="85"/>
  <c r="M55" i="116"/>
  <c r="V55" i="116" s="1"/>
  <c r="U55" i="116"/>
  <c r="L56" i="91"/>
  <c r="U56" i="91" s="1"/>
  <c r="T56" i="91"/>
  <c r="U56" i="114"/>
  <c r="M56" i="114"/>
  <c r="V56" i="114" s="1"/>
  <c r="T75" i="88"/>
  <c r="L75" i="88"/>
  <c r="U75" i="88" s="1"/>
  <c r="T75" i="92"/>
  <c r="L75" i="92"/>
  <c r="U75" i="92" s="1"/>
  <c r="M75" i="116"/>
  <c r="V75" i="116" s="1"/>
  <c r="U75" i="116"/>
  <c r="U75" i="120"/>
  <c r="M75" i="120"/>
  <c r="V75" i="120" s="1"/>
  <c r="N69" i="90"/>
  <c r="Y69" i="90" s="1"/>
  <c r="X69" i="90"/>
  <c r="L69" i="87"/>
  <c r="W69" i="87" s="1"/>
  <c r="T69" i="92"/>
  <c r="L69" i="92"/>
  <c r="U69" i="92" s="1"/>
  <c r="T69" i="85"/>
  <c r="L69" i="85"/>
  <c r="U69" i="85" s="1"/>
  <c r="M69" i="116"/>
  <c r="V69" i="116" s="1"/>
  <c r="U69" i="116"/>
  <c r="L72" i="86"/>
  <c r="U72" i="86" s="1"/>
  <c r="T72" i="86"/>
  <c r="T72" i="91"/>
  <c r="L72" i="91"/>
  <c r="U72" i="91" s="1"/>
  <c r="U72" i="118"/>
  <c r="M72" i="118"/>
  <c r="V72" i="118" s="1"/>
  <c r="V70" i="80"/>
  <c r="N70" i="80"/>
  <c r="W70" i="80" s="1"/>
  <c r="X73" i="90"/>
  <c r="N73" i="90"/>
  <c r="Y73" i="90" s="1"/>
  <c r="M73" i="113"/>
  <c r="X73" i="113" s="1"/>
  <c r="W73" i="113"/>
  <c r="L32" i="88"/>
  <c r="U32" i="88" s="1"/>
  <c r="T32" i="88"/>
  <c r="L32" i="85"/>
  <c r="U32" i="85" s="1"/>
  <c r="T32" i="85"/>
  <c r="U32" i="120"/>
  <c r="M32" i="120"/>
  <c r="V32" i="120" s="1"/>
  <c r="L32" i="92"/>
  <c r="U32" i="92" s="1"/>
  <c r="T32" i="92"/>
  <c r="M10" i="120"/>
  <c r="V10" i="120" s="1"/>
  <c r="U10" i="120"/>
  <c r="T10" i="86"/>
  <c r="L10" i="86"/>
  <c r="U10" i="86" s="1"/>
  <c r="T10" i="91"/>
  <c r="L10" i="91"/>
  <c r="U10" i="91" s="1"/>
  <c r="N7" i="76"/>
  <c r="W7" i="76" s="1"/>
  <c r="V7" i="76"/>
  <c r="M10" i="115"/>
  <c r="V10" i="115" s="1"/>
  <c r="U10" i="115"/>
  <c r="L35" i="89"/>
  <c r="U35" i="89" s="1"/>
  <c r="T35" i="89"/>
  <c r="V32" i="76"/>
  <c r="N32" i="76"/>
  <c r="W32" i="76" s="1"/>
  <c r="U35" i="119"/>
  <c r="M35" i="119"/>
  <c r="V35" i="119" s="1"/>
  <c r="L35" i="88"/>
  <c r="U35" i="88" s="1"/>
  <c r="T35" i="88"/>
  <c r="M35" i="114"/>
  <c r="V35" i="114" s="1"/>
  <c r="U35" i="114"/>
  <c r="M65" i="113"/>
  <c r="X65" i="113" s="1"/>
  <c r="W65" i="113"/>
  <c r="T65" i="85"/>
  <c r="L65" i="85"/>
  <c r="U65" i="85" s="1"/>
  <c r="T62" i="92"/>
  <c r="L62" i="92"/>
  <c r="U62" i="92" s="1"/>
  <c r="M62" i="116"/>
  <c r="V62" i="116" s="1"/>
  <c r="U62" i="116"/>
  <c r="T62" i="86"/>
  <c r="L62" i="86"/>
  <c r="U62" i="86" s="1"/>
  <c r="T62" i="91"/>
  <c r="L62" i="91"/>
  <c r="U62" i="91" s="1"/>
  <c r="U62" i="119"/>
  <c r="M62" i="119"/>
  <c r="V62" i="119" s="1"/>
  <c r="T23" i="88"/>
  <c r="L23" i="88"/>
  <c r="U23" i="88" s="1"/>
  <c r="M23" i="114"/>
  <c r="V23" i="114" s="1"/>
  <c r="U23" i="114"/>
  <c r="U23" i="118"/>
  <c r="M23" i="118"/>
  <c r="V23" i="118" s="1"/>
  <c r="J40" i="46"/>
  <c r="K40" i="46" s="1"/>
  <c r="L23" i="87"/>
  <c r="W23" i="87" s="1"/>
  <c r="N23" i="90"/>
  <c r="Y23" i="90" s="1"/>
  <c r="X23" i="90"/>
  <c r="L23" i="85"/>
  <c r="U23" i="85" s="1"/>
  <c r="T23" i="85"/>
  <c r="E19" i="46"/>
  <c r="E38" i="46"/>
  <c r="M23" i="117"/>
  <c r="X23" i="117" s="1"/>
  <c r="T49" i="92"/>
  <c r="L49" i="92"/>
  <c r="U49" i="92" s="1"/>
  <c r="M49" i="116"/>
  <c r="V49" i="116" s="1"/>
  <c r="U49" i="116"/>
  <c r="V46" i="76"/>
  <c r="N46" i="76"/>
  <c r="W46" i="76" s="1"/>
  <c r="L33" i="86"/>
  <c r="U33" i="86" s="1"/>
  <c r="T33" i="86"/>
  <c r="U33" i="116"/>
  <c r="M33" i="116"/>
  <c r="V33" i="116" s="1"/>
  <c r="U33" i="120"/>
  <c r="M33" i="120"/>
  <c r="V33" i="120" s="1"/>
  <c r="V30" i="76"/>
  <c r="N30" i="76"/>
  <c r="W30" i="76" s="1"/>
  <c r="M33" i="115"/>
  <c r="V33" i="115" s="1"/>
  <c r="U33" i="115"/>
  <c r="L36" i="91"/>
  <c r="U36" i="91" s="1"/>
  <c r="T36" i="91"/>
  <c r="X36" i="90"/>
  <c r="N36" i="90"/>
  <c r="Y36" i="90" s="1"/>
  <c r="L36" i="89"/>
  <c r="U36" i="89" s="1"/>
  <c r="T36" i="89"/>
  <c r="V33" i="80"/>
  <c r="N33" i="80"/>
  <c r="W33" i="80" s="1"/>
  <c r="M36" i="117"/>
  <c r="X36" i="117" s="1"/>
  <c r="X30" i="90"/>
  <c r="N30" i="90"/>
  <c r="Y30" i="90" s="1"/>
  <c r="U30" i="115"/>
  <c r="M30" i="115"/>
  <c r="V30" i="115" s="1"/>
  <c r="M30" i="119"/>
  <c r="V30" i="119" s="1"/>
  <c r="U30" i="119"/>
  <c r="T30" i="85"/>
  <c r="L30" i="85"/>
  <c r="U30" i="85" s="1"/>
  <c r="U53" i="116"/>
  <c r="M53" i="116"/>
  <c r="V53" i="116" s="1"/>
  <c r="T53" i="86"/>
  <c r="L53" i="86"/>
  <c r="U53" i="86" s="1"/>
  <c r="T53" i="91"/>
  <c r="L53" i="91"/>
  <c r="U53" i="91" s="1"/>
  <c r="N50" i="76"/>
  <c r="W50" i="76" s="1"/>
  <c r="V50" i="76"/>
  <c r="U55" i="115"/>
  <c r="M55" i="115"/>
  <c r="V55" i="115" s="1"/>
  <c r="M55" i="119"/>
  <c r="V55" i="119" s="1"/>
  <c r="U55" i="119"/>
  <c r="T55" i="89"/>
  <c r="L55" i="89"/>
  <c r="U55" i="89" s="1"/>
  <c r="N52" i="80"/>
  <c r="W52" i="80" s="1"/>
  <c r="V52" i="80"/>
  <c r="M55" i="114"/>
  <c r="V55" i="114" s="1"/>
  <c r="U55" i="114"/>
  <c r="M55" i="118"/>
  <c r="V55" i="118" s="1"/>
  <c r="U55" i="118"/>
  <c r="X56" i="90"/>
  <c r="N56" i="90"/>
  <c r="Y56" i="90" s="1"/>
  <c r="V53" i="80"/>
  <c r="N53" i="80"/>
  <c r="W53" i="80" s="1"/>
  <c r="M56" i="113"/>
  <c r="X56" i="113" s="1"/>
  <c r="W56" i="113"/>
  <c r="T56" i="88"/>
  <c r="L56" i="88"/>
  <c r="U56" i="88" s="1"/>
  <c r="M56" i="116"/>
  <c r="V56" i="116" s="1"/>
  <c r="U56" i="116"/>
  <c r="M56" i="120"/>
  <c r="V56" i="120" s="1"/>
  <c r="U56" i="120"/>
  <c r="L75" i="86"/>
  <c r="U75" i="86" s="1"/>
  <c r="T75" i="86"/>
  <c r="N72" i="76"/>
  <c r="W72" i="76" s="1"/>
  <c r="V72" i="76"/>
  <c r="T75" i="89"/>
  <c r="L75" i="89"/>
  <c r="U75" i="89" s="1"/>
  <c r="L69" i="86"/>
  <c r="U69" i="86" s="1"/>
  <c r="T69" i="86"/>
  <c r="L69" i="91"/>
  <c r="U69" i="91" s="1"/>
  <c r="T69" i="91"/>
  <c r="U69" i="115"/>
  <c r="M69" i="115"/>
  <c r="V69" i="115" s="1"/>
  <c r="M69" i="119"/>
  <c r="V69" i="119" s="1"/>
  <c r="U69" i="119"/>
  <c r="T69" i="89"/>
  <c r="L69" i="89"/>
  <c r="U69" i="89" s="1"/>
  <c r="V66" i="80"/>
  <c r="N66" i="80"/>
  <c r="W66" i="80" s="1"/>
  <c r="T72" i="89"/>
  <c r="L72" i="89"/>
  <c r="U72" i="89" s="1"/>
  <c r="V69" i="80"/>
  <c r="N69" i="80"/>
  <c r="W69" i="80" s="1"/>
  <c r="W72" i="113"/>
  <c r="M72" i="113"/>
  <c r="X72" i="113" s="1"/>
  <c r="T72" i="88"/>
  <c r="L72" i="88"/>
  <c r="U72" i="88" s="1"/>
  <c r="L72" i="85"/>
  <c r="U72" i="85" s="1"/>
  <c r="T72" i="85"/>
  <c r="U72" i="120"/>
  <c r="M72" i="120"/>
  <c r="V72" i="120" s="1"/>
  <c r="T73" i="92"/>
  <c r="L73" i="92"/>
  <c r="U73" i="92" s="1"/>
  <c r="M73" i="116"/>
  <c r="V73" i="116" s="1"/>
  <c r="U73" i="116"/>
  <c r="T73" i="86"/>
  <c r="L73" i="86"/>
  <c r="U73" i="86" s="1"/>
  <c r="N70" i="76"/>
  <c r="W70" i="76" s="1"/>
  <c r="V70" i="76"/>
  <c r="U73" i="115"/>
  <c r="M73" i="115"/>
  <c r="V73" i="115" s="1"/>
  <c r="U32" i="114"/>
  <c r="M32" i="114"/>
  <c r="V32" i="114" s="1"/>
  <c r="M32" i="118"/>
  <c r="V32" i="118" s="1"/>
  <c r="U32" i="118"/>
  <c r="X32" i="90"/>
  <c r="N32" i="90"/>
  <c r="Y32" i="90" s="1"/>
  <c r="V29" i="80"/>
  <c r="N29" i="80"/>
  <c r="W29" i="80" s="1"/>
  <c r="L10" i="89"/>
  <c r="U10" i="89" s="1"/>
  <c r="T10" i="89"/>
  <c r="M10" i="114"/>
  <c r="V10" i="114" s="1"/>
  <c r="U10" i="114"/>
  <c r="U10" i="118"/>
  <c r="M10" i="118"/>
  <c r="V10" i="118" s="1"/>
  <c r="L10" i="88"/>
  <c r="U10" i="88" s="1"/>
  <c r="T10" i="88"/>
  <c r="L10" i="85"/>
  <c r="U10" i="85" s="1"/>
  <c r="T10" i="85"/>
  <c r="M10" i="113"/>
  <c r="X10" i="113" s="1"/>
  <c r="W10" i="113"/>
  <c r="T35" i="85"/>
  <c r="L35" i="85"/>
  <c r="U35" i="85" s="1"/>
  <c r="L35" i="91"/>
  <c r="U35" i="91" s="1"/>
  <c r="T35" i="91"/>
  <c r="U35" i="116"/>
  <c r="M35" i="116"/>
  <c r="V35" i="116" s="1"/>
  <c r="M35" i="120"/>
  <c r="V35" i="120" s="1"/>
  <c r="U35" i="120"/>
  <c r="T65" i="86"/>
  <c r="L65" i="86"/>
  <c r="U65" i="86" s="1"/>
  <c r="U65" i="115"/>
  <c r="M65" i="115"/>
  <c r="V65" i="115" s="1"/>
  <c r="U65" i="119"/>
  <c r="M65" i="119"/>
  <c r="V65" i="119" s="1"/>
  <c r="N62" i="80"/>
  <c r="W62" i="80" s="1"/>
  <c r="V62" i="80"/>
  <c r="M65" i="114"/>
  <c r="V65" i="114" s="1"/>
  <c r="U65" i="114"/>
  <c r="N62" i="90"/>
  <c r="Y62" i="90" s="1"/>
  <c r="X62" i="90"/>
  <c r="T62" i="89"/>
  <c r="L62" i="89"/>
  <c r="U62" i="89" s="1"/>
  <c r="V59" i="80"/>
  <c r="N59" i="80"/>
  <c r="W59" i="80" s="1"/>
  <c r="M62" i="114"/>
  <c r="V62" i="114" s="1"/>
  <c r="U62" i="114"/>
  <c r="U62" i="118"/>
  <c r="M62" i="118"/>
  <c r="V62" i="118" s="1"/>
  <c r="T23" i="86"/>
  <c r="L23" i="86"/>
  <c r="U23" i="86" s="1"/>
  <c r="T23" i="91"/>
  <c r="L23" i="91"/>
  <c r="U23" i="91" s="1"/>
  <c r="T23" i="92"/>
  <c r="L23" i="92"/>
  <c r="U23" i="92" s="1"/>
  <c r="U23" i="116"/>
  <c r="M23" i="116"/>
  <c r="V23" i="116" s="1"/>
  <c r="U23" i="120"/>
  <c r="M23" i="120"/>
  <c r="V23" i="120" s="1"/>
  <c r="N20" i="76"/>
  <c r="W20" i="76" s="1"/>
  <c r="V20" i="76"/>
  <c r="T49" i="89"/>
  <c r="L49" i="89"/>
  <c r="U49" i="89" s="1"/>
  <c r="U49" i="114"/>
  <c r="M49" i="114"/>
  <c r="V49" i="114" s="1"/>
  <c r="T49" i="88"/>
  <c r="L49" i="88"/>
  <c r="U49" i="88" s="1"/>
  <c r="M49" i="117"/>
  <c r="X49" i="117" s="1"/>
  <c r="T33" i="88"/>
  <c r="L33" i="88"/>
  <c r="U33" i="88" s="1"/>
  <c r="V30" i="80"/>
  <c r="N30" i="80"/>
  <c r="W30" i="80" s="1"/>
  <c r="L33" i="87"/>
  <c r="W33" i="87" s="1"/>
  <c r="T33" i="85"/>
  <c r="L33" i="85"/>
  <c r="U33" i="85" s="1"/>
  <c r="T36" i="88"/>
  <c r="L36" i="88"/>
  <c r="U36" i="88" s="1"/>
  <c r="U36" i="116"/>
  <c r="M36" i="116"/>
  <c r="V36" i="116" s="1"/>
  <c r="L36" i="87"/>
  <c r="W36" i="87" s="1"/>
  <c r="U36" i="115"/>
  <c r="M36" i="115"/>
  <c r="V36" i="115" s="1"/>
  <c r="M36" i="119"/>
  <c r="V36" i="119" s="1"/>
  <c r="U36" i="119"/>
  <c r="T30" i="92"/>
  <c r="L30" i="92"/>
  <c r="U30" i="92" s="1"/>
  <c r="W30" i="113"/>
  <c r="M30" i="113"/>
  <c r="X30" i="113" s="1"/>
  <c r="T30" i="86"/>
  <c r="L30" i="86"/>
  <c r="U30" i="86" s="1"/>
  <c r="T30" i="91"/>
  <c r="L30" i="91"/>
  <c r="U30" i="91" s="1"/>
  <c r="L20" i="85"/>
  <c r="U20" i="85" s="1"/>
  <c r="T20" i="85"/>
  <c r="U20" i="116"/>
  <c r="M20" i="116"/>
  <c r="V20" i="116" s="1"/>
  <c r="M59" i="116"/>
  <c r="V59" i="116" s="1"/>
  <c r="U59" i="116"/>
  <c r="U59" i="120"/>
  <c r="M59" i="120"/>
  <c r="V59" i="120" s="1"/>
  <c r="T59" i="86"/>
  <c r="L59" i="86"/>
  <c r="U59" i="86" s="1"/>
  <c r="L59" i="91"/>
  <c r="U59" i="91" s="1"/>
  <c r="T59" i="91"/>
  <c r="U59" i="115"/>
  <c r="M59" i="115"/>
  <c r="V59" i="115" s="1"/>
  <c r="M59" i="119"/>
  <c r="V59" i="119" s="1"/>
  <c r="U59" i="119"/>
  <c r="L64" i="86"/>
  <c r="U64" i="86" s="1"/>
  <c r="T64" i="86"/>
  <c r="V61" i="76"/>
  <c r="N61" i="76"/>
  <c r="W61" i="76" s="1"/>
  <c r="U64" i="114"/>
  <c r="M64" i="114"/>
  <c r="V64" i="114" s="1"/>
  <c r="X64" i="90"/>
  <c r="N64" i="90"/>
  <c r="Y64" i="90" s="1"/>
  <c r="T52" i="89"/>
  <c r="L52" i="89"/>
  <c r="U52" i="89" s="1"/>
  <c r="V49" i="80"/>
  <c r="N49" i="80"/>
  <c r="W49" i="80" s="1"/>
  <c r="M52" i="117"/>
  <c r="X52" i="117" s="1"/>
  <c r="G64" i="81"/>
  <c r="H64" i="81"/>
  <c r="T67" i="92"/>
  <c r="L67" i="92"/>
  <c r="U67" i="92" s="1"/>
  <c r="U67" i="116"/>
  <c r="M67" i="116"/>
  <c r="V67" i="116" s="1"/>
  <c r="U67" i="120"/>
  <c r="M67" i="120"/>
  <c r="V67" i="120" s="1"/>
  <c r="M67" i="119"/>
  <c r="V67" i="119" s="1"/>
  <c r="U67" i="119"/>
  <c r="L26" i="89"/>
  <c r="U26" i="89" s="1"/>
  <c r="T26" i="89"/>
  <c r="V23" i="80"/>
  <c r="N23" i="80"/>
  <c r="W23" i="80" s="1"/>
  <c r="T26" i="88"/>
  <c r="L26" i="88"/>
  <c r="U26" i="88" s="1"/>
  <c r="T26" i="85"/>
  <c r="L26" i="85"/>
  <c r="U26" i="85" s="1"/>
  <c r="T12" i="91"/>
  <c r="L12" i="91"/>
  <c r="U12" i="91" s="1"/>
  <c r="U12" i="114"/>
  <c r="M12" i="114"/>
  <c r="V12" i="114" s="1"/>
  <c r="N12" i="90"/>
  <c r="Y12" i="90" s="1"/>
  <c r="X12" i="90"/>
  <c r="V9" i="80"/>
  <c r="N9" i="80"/>
  <c r="W9" i="80" s="1"/>
  <c r="W12" i="113"/>
  <c r="M12" i="113"/>
  <c r="X12" i="113" s="1"/>
  <c r="L12" i="87"/>
  <c r="W12" i="87" s="1"/>
  <c r="U12" i="115"/>
  <c r="M12" i="115"/>
  <c r="V12" i="115" s="1"/>
  <c r="X66" i="90"/>
  <c r="N66" i="90"/>
  <c r="Y66" i="90" s="1"/>
  <c r="U66" i="114"/>
  <c r="M66" i="114"/>
  <c r="V66" i="114" s="1"/>
  <c r="L66" i="88"/>
  <c r="U66" i="88" s="1"/>
  <c r="T66" i="88"/>
  <c r="L66" i="85"/>
  <c r="U66" i="85" s="1"/>
  <c r="T66" i="85"/>
  <c r="M66" i="117"/>
  <c r="X66" i="117" s="1"/>
  <c r="W66" i="113"/>
  <c r="M66" i="113"/>
  <c r="X66" i="113" s="1"/>
  <c r="V41" i="76"/>
  <c r="N41" i="76"/>
  <c r="W41" i="76" s="1"/>
  <c r="M44" i="114"/>
  <c r="V44" i="114" s="1"/>
  <c r="U44" i="114"/>
  <c r="N44" i="90"/>
  <c r="Y44" i="90" s="1"/>
  <c r="X44" i="90"/>
  <c r="L16" i="86"/>
  <c r="U16" i="86" s="1"/>
  <c r="T16" i="86"/>
  <c r="L16" i="91"/>
  <c r="U16" i="91" s="1"/>
  <c r="T16" i="91"/>
  <c r="U16" i="118"/>
  <c r="M16" i="118"/>
  <c r="V16" i="118" s="1"/>
  <c r="X16" i="90"/>
  <c r="N16" i="90"/>
  <c r="Y16" i="90" s="1"/>
  <c r="T16" i="89"/>
  <c r="L16" i="89"/>
  <c r="U16" i="89" s="1"/>
  <c r="M16" i="117"/>
  <c r="X16" i="117" s="1"/>
  <c r="W16" i="113"/>
  <c r="M16" i="113"/>
  <c r="X16" i="113" s="1"/>
  <c r="L45" i="87"/>
  <c r="W45" i="87" s="1"/>
  <c r="N45" i="90"/>
  <c r="Y45" i="90" s="1"/>
  <c r="X45" i="90"/>
  <c r="T45" i="85"/>
  <c r="L45" i="85"/>
  <c r="U45" i="85" s="1"/>
  <c r="U45" i="115"/>
  <c r="M45" i="115"/>
  <c r="V45" i="115" s="1"/>
  <c r="T45" i="88"/>
  <c r="L45" i="88"/>
  <c r="U45" i="88" s="1"/>
  <c r="U45" i="116"/>
  <c r="M45" i="116"/>
  <c r="V45" i="116" s="1"/>
  <c r="M45" i="120"/>
  <c r="V45" i="120" s="1"/>
  <c r="U45" i="120"/>
  <c r="T11" i="86"/>
  <c r="L11" i="86"/>
  <c r="U11" i="86" s="1"/>
  <c r="T11" i="85"/>
  <c r="L11" i="85"/>
  <c r="U11" i="85" s="1"/>
  <c r="U11" i="116"/>
  <c r="M11" i="116"/>
  <c r="V11" i="116" s="1"/>
  <c r="U11" i="115"/>
  <c r="M11" i="115"/>
  <c r="V11" i="115" s="1"/>
  <c r="U11" i="119"/>
  <c r="M11" i="119"/>
  <c r="V11" i="119" s="1"/>
  <c r="N25" i="76"/>
  <c r="W25" i="76" s="1"/>
  <c r="V25" i="76"/>
  <c r="U28" i="114"/>
  <c r="M28" i="114"/>
  <c r="V28" i="114" s="1"/>
  <c r="M28" i="118"/>
  <c r="V28" i="118" s="1"/>
  <c r="U28" i="118"/>
  <c r="N28" i="90"/>
  <c r="Y28" i="90" s="1"/>
  <c r="X28" i="90"/>
  <c r="T28" i="89"/>
  <c r="L28" i="89"/>
  <c r="U28" i="89" s="1"/>
  <c r="L9" i="86"/>
  <c r="U9" i="86" s="1"/>
  <c r="T9" i="86"/>
  <c r="T9" i="91"/>
  <c r="L9" i="91"/>
  <c r="U9" i="91" s="1"/>
  <c r="M9" i="116"/>
  <c r="V9" i="116" s="1"/>
  <c r="U9" i="116"/>
  <c r="T9" i="89"/>
  <c r="L9" i="89"/>
  <c r="U9" i="89" s="1"/>
  <c r="L9" i="92"/>
  <c r="U9" i="92" s="1"/>
  <c r="T9" i="92"/>
  <c r="U9" i="119"/>
  <c r="M9" i="119"/>
  <c r="V9" i="119" s="1"/>
  <c r="X15" i="90"/>
  <c r="N15" i="90"/>
  <c r="Y15" i="90" s="1"/>
  <c r="K29" i="46"/>
  <c r="I30" i="46"/>
  <c r="U15" i="119"/>
  <c r="M15" i="119"/>
  <c r="V15" i="119" s="1"/>
  <c r="T15" i="86"/>
  <c r="L15" i="86"/>
  <c r="U15" i="86" s="1"/>
  <c r="T15" i="91"/>
  <c r="L15" i="91"/>
  <c r="U15" i="91" s="1"/>
  <c r="M54" i="117"/>
  <c r="X54" i="117" s="1"/>
  <c r="M54" i="113"/>
  <c r="X54" i="113" s="1"/>
  <c r="W54" i="113"/>
  <c r="L54" i="86"/>
  <c r="U54" i="86" s="1"/>
  <c r="T54" i="86"/>
  <c r="T54" i="91"/>
  <c r="L54" i="91"/>
  <c r="U54" i="91" s="1"/>
  <c r="U54" i="120"/>
  <c r="M54" i="120"/>
  <c r="V54" i="120" s="1"/>
  <c r="L61" i="86"/>
  <c r="U61" i="86" s="1"/>
  <c r="T61" i="86"/>
  <c r="L61" i="87"/>
  <c r="W61" i="87" s="1"/>
  <c r="L61" i="85"/>
  <c r="U61" i="85" s="1"/>
  <c r="T61" i="85"/>
  <c r="M61" i="116"/>
  <c r="V61" i="116" s="1"/>
  <c r="U61" i="116"/>
  <c r="M61" i="120"/>
  <c r="V61" i="120" s="1"/>
  <c r="U61" i="120"/>
  <c r="N18" i="90"/>
  <c r="Y18" i="90" s="1"/>
  <c r="X18" i="90"/>
  <c r="L18" i="89"/>
  <c r="U18" i="89" s="1"/>
  <c r="T18" i="89"/>
  <c r="V15" i="80"/>
  <c r="N15" i="80"/>
  <c r="W15" i="80" s="1"/>
  <c r="T18" i="88"/>
  <c r="L18" i="88"/>
  <c r="U18" i="88" s="1"/>
  <c r="L60" i="91"/>
  <c r="U60" i="91" s="1"/>
  <c r="T60" i="91"/>
  <c r="U60" i="114"/>
  <c r="M60" i="114"/>
  <c r="V60" i="114" s="1"/>
  <c r="M60" i="118"/>
  <c r="V60" i="118" s="1"/>
  <c r="U60" i="118"/>
  <c r="N57" i="80"/>
  <c r="W57" i="80" s="1"/>
  <c r="V57" i="80"/>
  <c r="M60" i="117"/>
  <c r="X60" i="117" s="1"/>
  <c r="L21" i="87"/>
  <c r="W21" i="87" s="1"/>
  <c r="M21" i="113"/>
  <c r="X21" i="113" s="1"/>
  <c r="W21" i="113"/>
  <c r="L21" i="91"/>
  <c r="U21" i="91" s="1"/>
  <c r="T21" i="91"/>
  <c r="T21" i="92"/>
  <c r="L21" i="92"/>
  <c r="U21" i="92" s="1"/>
  <c r="N58" i="90"/>
  <c r="Y58" i="90" s="1"/>
  <c r="X58" i="90"/>
  <c r="L58" i="89"/>
  <c r="U58" i="89" s="1"/>
  <c r="T58" i="89"/>
  <c r="N55" i="80"/>
  <c r="W55" i="80" s="1"/>
  <c r="V55" i="80"/>
  <c r="U58" i="115"/>
  <c r="M58" i="115"/>
  <c r="V58" i="115" s="1"/>
  <c r="T58" i="85"/>
  <c r="L58" i="85"/>
  <c r="U58" i="85" s="1"/>
  <c r="M58" i="114"/>
  <c r="V58" i="114" s="1"/>
  <c r="U58" i="114"/>
  <c r="M58" i="118"/>
  <c r="V58" i="118" s="1"/>
  <c r="U58" i="118"/>
  <c r="T57" i="86"/>
  <c r="L57" i="86"/>
  <c r="U57" i="86" s="1"/>
  <c r="M57" i="119"/>
  <c r="V57" i="119" s="1"/>
  <c r="U57" i="119"/>
  <c r="L57" i="89"/>
  <c r="U57" i="89" s="1"/>
  <c r="T57" i="89"/>
  <c r="N54" i="80"/>
  <c r="W54" i="80" s="1"/>
  <c r="V54" i="80"/>
  <c r="L25" i="86"/>
  <c r="U25" i="86" s="1"/>
  <c r="T25" i="86"/>
  <c r="L25" i="91"/>
  <c r="U25" i="91" s="1"/>
  <c r="T25" i="91"/>
  <c r="L25" i="92"/>
  <c r="U25" i="92" s="1"/>
  <c r="T25" i="92"/>
  <c r="M25" i="115"/>
  <c r="V25" i="115" s="1"/>
  <c r="U25" i="115"/>
  <c r="M25" i="119"/>
  <c r="V25" i="119" s="1"/>
  <c r="U25" i="119"/>
  <c r="X29" i="90"/>
  <c r="N29" i="90"/>
  <c r="Y29" i="90" s="1"/>
  <c r="L29" i="85"/>
  <c r="U29" i="85" s="1"/>
  <c r="T29" i="85"/>
  <c r="M29" i="113"/>
  <c r="X29" i="113" s="1"/>
  <c r="W29" i="113"/>
  <c r="L29" i="92"/>
  <c r="U29" i="92" s="1"/>
  <c r="T29" i="92"/>
  <c r="U29" i="116"/>
  <c r="M29" i="116"/>
  <c r="V29" i="116" s="1"/>
  <c r="T63" i="86"/>
  <c r="L63" i="86"/>
  <c r="U63" i="86" s="1"/>
  <c r="L63" i="92"/>
  <c r="U63" i="92" s="1"/>
  <c r="T63" i="92"/>
  <c r="X39" i="90"/>
  <c r="N39" i="90"/>
  <c r="Y39" i="90" s="1"/>
  <c r="L39" i="85"/>
  <c r="U39" i="85" s="1"/>
  <c r="T39" i="85"/>
  <c r="W39" i="113"/>
  <c r="M39" i="113"/>
  <c r="X39" i="113" s="1"/>
  <c r="L50" i="89"/>
  <c r="U50" i="89" s="1"/>
  <c r="T50" i="89"/>
  <c r="M50" i="119"/>
  <c r="V50" i="119" s="1"/>
  <c r="U50" i="119"/>
  <c r="T50" i="85"/>
  <c r="L50" i="85"/>
  <c r="U50" i="85" s="1"/>
  <c r="T13" i="86"/>
  <c r="L13" i="86"/>
  <c r="U13" i="86" s="1"/>
  <c r="T13" i="91"/>
  <c r="L13" i="91"/>
  <c r="U13" i="91" s="1"/>
  <c r="M13" i="119"/>
  <c r="V13" i="119" s="1"/>
  <c r="U13" i="119"/>
  <c r="L17" i="88"/>
  <c r="U17" i="88" s="1"/>
  <c r="T17" i="88"/>
  <c r="N14" i="80"/>
  <c r="W14" i="80" s="1"/>
  <c r="V14" i="80"/>
  <c r="U17" i="118"/>
  <c r="M17" i="118"/>
  <c r="V17" i="118" s="1"/>
  <c r="M17" i="117"/>
  <c r="X17" i="117" s="1"/>
  <c r="W17" i="113"/>
  <c r="M17" i="113"/>
  <c r="X17" i="113" s="1"/>
  <c r="H69" i="31"/>
  <c r="H70" i="31" s="1"/>
  <c r="CD36" i="1"/>
  <c r="CF36" i="1"/>
  <c r="CF42" i="1"/>
  <c r="CD42" i="1"/>
  <c r="BY16" i="1"/>
  <c r="CD16" i="1"/>
  <c r="CF16" i="1"/>
  <c r="CF70" i="1"/>
  <c r="BY70" i="1"/>
  <c r="CD70" i="1"/>
  <c r="BY57" i="1"/>
  <c r="CF57" i="1"/>
  <c r="CD57" i="1"/>
  <c r="CF77" i="1"/>
  <c r="CD77" i="1"/>
  <c r="BY77" i="1"/>
  <c r="BY74" i="1"/>
  <c r="CF74" i="1"/>
  <c r="CD74" i="1"/>
  <c r="CD37" i="1"/>
  <c r="BY37" i="1"/>
  <c r="CF37" i="1"/>
  <c r="BY51" i="1"/>
  <c r="CF51" i="1"/>
  <c r="CD51" i="1"/>
  <c r="CD38" i="1"/>
  <c r="CF38" i="1"/>
  <c r="L20" i="87"/>
  <c r="W20" i="87" s="1"/>
  <c r="U20" i="115"/>
  <c r="M20" i="115"/>
  <c r="V20" i="115" s="1"/>
  <c r="U20" i="114"/>
  <c r="M20" i="114"/>
  <c r="V20" i="114" s="1"/>
  <c r="L59" i="89"/>
  <c r="U59" i="89" s="1"/>
  <c r="T59" i="89"/>
  <c r="V56" i="80"/>
  <c r="N56" i="80"/>
  <c r="W56" i="80" s="1"/>
  <c r="M59" i="114"/>
  <c r="V59" i="114" s="1"/>
  <c r="U59" i="114"/>
  <c r="L59" i="88"/>
  <c r="U59" i="88" s="1"/>
  <c r="T59" i="88"/>
  <c r="N59" i="90"/>
  <c r="Y59" i="90" s="1"/>
  <c r="X59" i="90"/>
  <c r="M59" i="117"/>
  <c r="X59" i="117" s="1"/>
  <c r="W59" i="113"/>
  <c r="M59" i="113"/>
  <c r="X59" i="113" s="1"/>
  <c r="T64" i="88"/>
  <c r="L64" i="88"/>
  <c r="U64" i="88" s="1"/>
  <c r="T64" i="85"/>
  <c r="L64" i="85"/>
  <c r="U64" i="85" s="1"/>
  <c r="U64" i="116"/>
  <c r="M64" i="116"/>
  <c r="V64" i="116" s="1"/>
  <c r="U64" i="120"/>
  <c r="M64" i="120"/>
  <c r="V64" i="120" s="1"/>
  <c r="L64" i="87"/>
  <c r="W64" i="87" s="1"/>
  <c r="M64" i="115"/>
  <c r="V64" i="115" s="1"/>
  <c r="U64" i="115"/>
  <c r="L52" i="87"/>
  <c r="W52" i="87" s="1"/>
  <c r="U52" i="119"/>
  <c r="M52" i="119"/>
  <c r="V52" i="119" s="1"/>
  <c r="U52" i="120"/>
  <c r="M52" i="120"/>
  <c r="V52" i="120" s="1"/>
  <c r="L67" i="88"/>
  <c r="U67" i="88" s="1"/>
  <c r="T67" i="88"/>
  <c r="L26" i="87"/>
  <c r="W26" i="87" s="1"/>
  <c r="M26" i="113"/>
  <c r="X26" i="113" s="1"/>
  <c r="W26" i="113"/>
  <c r="M26" i="120"/>
  <c r="V26" i="120" s="1"/>
  <c r="U26" i="120"/>
  <c r="L12" i="85"/>
  <c r="U12" i="85" s="1"/>
  <c r="T12" i="85"/>
  <c r="M12" i="120"/>
  <c r="V12" i="120" s="1"/>
  <c r="U12" i="120"/>
  <c r="T12" i="92"/>
  <c r="L12" i="92"/>
  <c r="U12" i="92" s="1"/>
  <c r="U12" i="119"/>
  <c r="M12" i="119"/>
  <c r="V12" i="119" s="1"/>
  <c r="L66" i="87"/>
  <c r="W66" i="87" s="1"/>
  <c r="T66" i="92"/>
  <c r="L66" i="92"/>
  <c r="U66" i="92" s="1"/>
  <c r="U66" i="116"/>
  <c r="M66" i="116"/>
  <c r="V66" i="116" s="1"/>
  <c r="U66" i="120"/>
  <c r="M66" i="120"/>
  <c r="V66" i="120" s="1"/>
  <c r="T66" i="91"/>
  <c r="L66" i="91"/>
  <c r="U66" i="91" s="1"/>
  <c r="N63" i="76"/>
  <c r="W63" i="76" s="1"/>
  <c r="V63" i="76"/>
  <c r="M44" i="119"/>
  <c r="V44" i="119" s="1"/>
  <c r="U44" i="119"/>
  <c r="T16" i="88"/>
  <c r="L16" i="88"/>
  <c r="U16" i="88" s="1"/>
  <c r="U16" i="116"/>
  <c r="M16" i="116"/>
  <c r="V16" i="116" s="1"/>
  <c r="L16" i="87"/>
  <c r="W16" i="87" s="1"/>
  <c r="M16" i="119"/>
  <c r="V16" i="119" s="1"/>
  <c r="U16" i="119"/>
  <c r="T45" i="89"/>
  <c r="L45" i="89"/>
  <c r="U45" i="89" s="1"/>
  <c r="V42" i="76"/>
  <c r="N42" i="76"/>
  <c r="W42" i="76" s="1"/>
  <c r="T45" i="86"/>
  <c r="L45" i="86"/>
  <c r="U45" i="86" s="1"/>
  <c r="M45" i="114"/>
  <c r="V45" i="114" s="1"/>
  <c r="U45" i="114"/>
  <c r="H62" i="81"/>
  <c r="G62" i="81"/>
  <c r="M11" i="114"/>
  <c r="V11" i="114" s="1"/>
  <c r="U11" i="114"/>
  <c r="N11" i="90"/>
  <c r="Y11" i="90" s="1"/>
  <c r="X11" i="90"/>
  <c r="M11" i="117"/>
  <c r="X11" i="117" s="1"/>
  <c r="W11" i="113"/>
  <c r="M11" i="113"/>
  <c r="X11" i="113" s="1"/>
  <c r="L28" i="88"/>
  <c r="U28" i="88" s="1"/>
  <c r="T28" i="88"/>
  <c r="U28" i="120"/>
  <c r="M28" i="120"/>
  <c r="V28" i="120" s="1"/>
  <c r="L28" i="92"/>
  <c r="U28" i="92" s="1"/>
  <c r="T28" i="92"/>
  <c r="U28" i="115"/>
  <c r="M28" i="115"/>
  <c r="V28" i="115" s="1"/>
  <c r="N9" i="90"/>
  <c r="Y9" i="90" s="1"/>
  <c r="X9" i="90"/>
  <c r="M15" i="117"/>
  <c r="X15" i="117" s="1"/>
  <c r="L15" i="88"/>
  <c r="U15" i="88" s="1"/>
  <c r="T15" i="88"/>
  <c r="U15" i="120"/>
  <c r="M15" i="120"/>
  <c r="V15" i="120" s="1"/>
  <c r="N54" i="90"/>
  <c r="Y54" i="90" s="1"/>
  <c r="X54" i="90"/>
  <c r="L54" i="89"/>
  <c r="U54" i="89" s="1"/>
  <c r="T54" i="89"/>
  <c r="N51" i="80"/>
  <c r="W51" i="80" s="1"/>
  <c r="V51" i="80"/>
  <c r="U54" i="114"/>
  <c r="M54" i="114"/>
  <c r="V54" i="114" s="1"/>
  <c r="M54" i="118"/>
  <c r="V54" i="118" s="1"/>
  <c r="U54" i="118"/>
  <c r="L61" i="88"/>
  <c r="U61" i="88" s="1"/>
  <c r="T61" i="88"/>
  <c r="X61" i="90"/>
  <c r="N61" i="90"/>
  <c r="Y61" i="90" s="1"/>
  <c r="M61" i="117"/>
  <c r="X61" i="117" s="1"/>
  <c r="M61" i="113"/>
  <c r="X61" i="113" s="1"/>
  <c r="W61" i="113"/>
  <c r="T61" i="89"/>
  <c r="L61" i="89"/>
  <c r="U61" i="89" s="1"/>
  <c r="M61" i="114"/>
  <c r="V61" i="114" s="1"/>
  <c r="U61" i="114"/>
  <c r="U61" i="118"/>
  <c r="M61" i="118"/>
  <c r="V61" i="118" s="1"/>
  <c r="U18" i="116"/>
  <c r="M18" i="116"/>
  <c r="V18" i="116" s="1"/>
  <c r="M18" i="120"/>
  <c r="V18" i="120" s="1"/>
  <c r="U18" i="120"/>
  <c r="T18" i="86"/>
  <c r="L18" i="86"/>
  <c r="U18" i="86" s="1"/>
  <c r="N15" i="76"/>
  <c r="W15" i="76" s="1"/>
  <c r="V15" i="76"/>
  <c r="U18" i="115"/>
  <c r="M18" i="115"/>
  <c r="V18" i="115" s="1"/>
  <c r="T60" i="85"/>
  <c r="L60" i="85"/>
  <c r="U60" i="85" s="1"/>
  <c r="U60" i="115"/>
  <c r="M60" i="115"/>
  <c r="V60" i="115" s="1"/>
  <c r="M60" i="119"/>
  <c r="V60" i="119" s="1"/>
  <c r="U60" i="119"/>
  <c r="V18" i="76"/>
  <c r="N18" i="76"/>
  <c r="W18" i="76" s="1"/>
  <c r="M21" i="115"/>
  <c r="V21" i="115" s="1"/>
  <c r="U21" i="115"/>
  <c r="M21" i="119"/>
  <c r="V21" i="119" s="1"/>
  <c r="U21" i="119"/>
  <c r="L21" i="88"/>
  <c r="U21" i="88" s="1"/>
  <c r="T21" i="88"/>
  <c r="L58" i="92"/>
  <c r="U58" i="92" s="1"/>
  <c r="T58" i="92"/>
  <c r="M58" i="117"/>
  <c r="X58" i="117" s="1"/>
  <c r="W58" i="113"/>
  <c r="M58" i="113"/>
  <c r="X58" i="113" s="1"/>
  <c r="L58" i="86"/>
  <c r="U58" i="86" s="1"/>
  <c r="T58" i="86"/>
  <c r="T58" i="91"/>
  <c r="L58" i="91"/>
  <c r="U58" i="91" s="1"/>
  <c r="N55" i="76"/>
  <c r="W55" i="76" s="1"/>
  <c r="V55" i="76"/>
  <c r="M58" i="116"/>
  <c r="V58" i="116" s="1"/>
  <c r="U58" i="116"/>
  <c r="N57" i="90"/>
  <c r="Y57" i="90" s="1"/>
  <c r="X57" i="90"/>
  <c r="L57" i="87"/>
  <c r="W57" i="87" s="1"/>
  <c r="U57" i="120"/>
  <c r="M57" i="120"/>
  <c r="V57" i="120" s="1"/>
  <c r="M25" i="114"/>
  <c r="V25" i="114" s="1"/>
  <c r="U25" i="114"/>
  <c r="L25" i="87"/>
  <c r="W25" i="87" s="1"/>
  <c r="N25" i="90"/>
  <c r="Y25" i="90" s="1"/>
  <c r="X25" i="90"/>
  <c r="M25" i="113"/>
  <c r="X25" i="113" s="1"/>
  <c r="W25" i="113"/>
  <c r="U29" i="119"/>
  <c r="M29" i="119"/>
  <c r="V29" i="119" s="1"/>
  <c r="L29" i="88"/>
  <c r="U29" i="88" s="1"/>
  <c r="T29" i="88"/>
  <c r="V26" i="80"/>
  <c r="N26" i="80"/>
  <c r="W26" i="80" s="1"/>
  <c r="M63" i="113"/>
  <c r="X63" i="113" s="1"/>
  <c r="W63" i="113"/>
  <c r="U63" i="114"/>
  <c r="M63" i="114"/>
  <c r="V63" i="114" s="1"/>
  <c r="M63" i="118"/>
  <c r="V63" i="118" s="1"/>
  <c r="U63" i="118"/>
  <c r="L39" i="89"/>
  <c r="U39" i="89" s="1"/>
  <c r="T39" i="89"/>
  <c r="U39" i="119"/>
  <c r="M39" i="119"/>
  <c r="V39" i="119" s="1"/>
  <c r="V36" i="80"/>
  <c r="N36" i="80"/>
  <c r="W36" i="80" s="1"/>
  <c r="U39" i="114"/>
  <c r="M39" i="114"/>
  <c r="V39" i="114" s="1"/>
  <c r="U39" i="118"/>
  <c r="M39" i="118"/>
  <c r="V39" i="118" s="1"/>
  <c r="L50" i="87"/>
  <c r="W50" i="87" s="1"/>
  <c r="L50" i="92"/>
  <c r="U50" i="92" s="1"/>
  <c r="T50" i="92"/>
  <c r="M50" i="117"/>
  <c r="X50" i="117" s="1"/>
  <c r="M50" i="113"/>
  <c r="X50" i="113" s="1"/>
  <c r="W50" i="113"/>
  <c r="T50" i="86"/>
  <c r="L50" i="86"/>
  <c r="U50" i="86" s="1"/>
  <c r="M50" i="120"/>
  <c r="V50" i="120" s="1"/>
  <c r="U50" i="120"/>
  <c r="L13" i="88"/>
  <c r="U13" i="88" s="1"/>
  <c r="T13" i="88"/>
  <c r="M13" i="114"/>
  <c r="V13" i="114" s="1"/>
  <c r="U13" i="114"/>
  <c r="U13" i="118"/>
  <c r="M13" i="118"/>
  <c r="V13" i="118" s="1"/>
  <c r="L13" i="87"/>
  <c r="W13" i="87" s="1"/>
  <c r="L17" i="86"/>
  <c r="U17" i="86" s="1"/>
  <c r="T17" i="86"/>
  <c r="T17" i="91"/>
  <c r="L17" i="91"/>
  <c r="U17" i="91" s="1"/>
  <c r="M17" i="116"/>
  <c r="V17" i="116" s="1"/>
  <c r="U17" i="116"/>
  <c r="N14" i="76"/>
  <c r="W14" i="76" s="1"/>
  <c r="V14" i="76"/>
  <c r="M17" i="119"/>
  <c r="V17" i="119" s="1"/>
  <c r="U17" i="119"/>
  <c r="CF45" i="1"/>
  <c r="BY45" i="1"/>
  <c r="CD45" i="1"/>
  <c r="CD39" i="1"/>
  <c r="CF39" i="1"/>
  <c r="BY39" i="1"/>
  <c r="CD76" i="1"/>
  <c r="CF76" i="1"/>
  <c r="CF55" i="1"/>
  <c r="CD55" i="1"/>
  <c r="BY55" i="1"/>
  <c r="BY12" i="1"/>
  <c r="CD12" i="1"/>
  <c r="CF12" i="1"/>
  <c r="CF67" i="1"/>
  <c r="CD67" i="1"/>
  <c r="CF35" i="1"/>
  <c r="CD35" i="1"/>
  <c r="BY32" i="1"/>
  <c r="CD32" i="1"/>
  <c r="CF32" i="1"/>
  <c r="CD61" i="1"/>
  <c r="BY61" i="1"/>
  <c r="CF61" i="1"/>
  <c r="BY68" i="1"/>
  <c r="CF68" i="1"/>
  <c r="CD68" i="1"/>
  <c r="CD18" i="1"/>
  <c r="BY18" i="1"/>
  <c r="CF18" i="1"/>
  <c r="BY11" i="1"/>
  <c r="CF11" i="1"/>
  <c r="CD11" i="1"/>
  <c r="CD56" i="1"/>
  <c r="CF56" i="1"/>
  <c r="R56" i="33"/>
  <c r="AG56" i="33" s="1"/>
  <c r="AG36" i="33"/>
  <c r="AG33" i="33"/>
  <c r="R30" i="33"/>
  <c r="S20" i="33"/>
  <c r="AG20" i="33" s="1"/>
  <c r="R54" i="33"/>
  <c r="R63" i="33"/>
  <c r="AG63" i="33" s="1"/>
  <c r="BY38" i="1"/>
  <c r="S67" i="33"/>
  <c r="R26" i="33"/>
  <c r="AG26" i="33" s="1"/>
  <c r="S9" i="33"/>
  <c r="S25" i="33"/>
  <c r="R29" i="33"/>
  <c r="BY56" i="1"/>
  <c r="T40" i="91"/>
  <c r="L40" i="91"/>
  <c r="U40" i="91" s="1"/>
  <c r="U40" i="118"/>
  <c r="M40" i="118"/>
  <c r="V40" i="118" s="1"/>
  <c r="N40" i="90"/>
  <c r="Y40" i="90" s="1"/>
  <c r="X40" i="90"/>
  <c r="V37" i="80"/>
  <c r="N37" i="80"/>
  <c r="W37" i="80" s="1"/>
  <c r="W40" i="113"/>
  <c r="M40" i="113"/>
  <c r="X40" i="113" s="1"/>
  <c r="L51" i="87"/>
  <c r="W51" i="87" s="1"/>
  <c r="M51" i="120"/>
  <c r="V51" i="120" s="1"/>
  <c r="U51" i="120"/>
  <c r="U51" i="115"/>
  <c r="M51" i="115"/>
  <c r="V51" i="115" s="1"/>
  <c r="U51" i="119"/>
  <c r="M51" i="119"/>
  <c r="V51" i="119" s="1"/>
  <c r="X14" i="90"/>
  <c r="N14" i="90"/>
  <c r="Y14" i="90" s="1"/>
  <c r="V11" i="80"/>
  <c r="N11" i="80"/>
  <c r="W11" i="80" s="1"/>
  <c r="L14" i="88"/>
  <c r="U14" i="88" s="1"/>
  <c r="T14" i="88"/>
  <c r="W14" i="113"/>
  <c r="M14" i="113"/>
  <c r="X14" i="113" s="1"/>
  <c r="T47" i="86"/>
  <c r="L47" i="86"/>
  <c r="U47" i="86" s="1"/>
  <c r="T47" i="91"/>
  <c r="L47" i="91"/>
  <c r="U47" i="91" s="1"/>
  <c r="M47" i="115"/>
  <c r="V47" i="115" s="1"/>
  <c r="U47" i="115"/>
  <c r="U47" i="119"/>
  <c r="M47" i="119"/>
  <c r="V47" i="119" s="1"/>
  <c r="T47" i="89"/>
  <c r="L47" i="89"/>
  <c r="U47" i="89" s="1"/>
  <c r="N44" i="80"/>
  <c r="W44" i="80" s="1"/>
  <c r="V44" i="80"/>
  <c r="N24" i="90"/>
  <c r="Y24" i="90" s="1"/>
  <c r="X24" i="90"/>
  <c r="T24" i="89"/>
  <c r="L24" i="89"/>
  <c r="U24" i="89" s="1"/>
  <c r="M24" i="117"/>
  <c r="X24" i="117" s="1"/>
  <c r="W24" i="113"/>
  <c r="M24" i="113"/>
  <c r="X24" i="113" s="1"/>
  <c r="M24" i="116"/>
  <c r="V24" i="116" s="1"/>
  <c r="U24" i="116"/>
  <c r="L37" i="87"/>
  <c r="W37" i="87" s="1"/>
  <c r="N37" i="90"/>
  <c r="Y37" i="90" s="1"/>
  <c r="X37" i="90"/>
  <c r="L37" i="92"/>
  <c r="U37" i="92" s="1"/>
  <c r="T37" i="92"/>
  <c r="M37" i="120"/>
  <c r="V37" i="120" s="1"/>
  <c r="U37" i="120"/>
  <c r="T22" i="89"/>
  <c r="L22" i="89"/>
  <c r="U22" i="89" s="1"/>
  <c r="N19" i="80"/>
  <c r="W19" i="80" s="1"/>
  <c r="V19" i="80"/>
  <c r="U22" i="115"/>
  <c r="M22" i="115"/>
  <c r="V22" i="115" s="1"/>
  <c r="M22" i="118"/>
  <c r="V22" i="118" s="1"/>
  <c r="U22" i="118"/>
  <c r="U74" i="119"/>
  <c r="M74" i="119"/>
  <c r="V74" i="119" s="1"/>
  <c r="N74" i="90"/>
  <c r="Y74" i="90" s="1"/>
  <c r="X74" i="90"/>
  <c r="U74" i="114"/>
  <c r="M74" i="114"/>
  <c r="V74" i="114" s="1"/>
  <c r="L27" i="87"/>
  <c r="W27" i="87" s="1"/>
  <c r="X27" i="90"/>
  <c r="N27" i="90"/>
  <c r="Y27" i="90" s="1"/>
  <c r="L27" i="86"/>
  <c r="U27" i="86" s="1"/>
  <c r="T27" i="86"/>
  <c r="M27" i="116"/>
  <c r="V27" i="116" s="1"/>
  <c r="U27" i="116"/>
  <c r="U27" i="120"/>
  <c r="M27" i="120"/>
  <c r="V27" i="120" s="1"/>
  <c r="X31" i="90"/>
  <c r="N31" i="90"/>
  <c r="Y31" i="90" s="1"/>
  <c r="L31" i="85"/>
  <c r="U31" i="85" s="1"/>
  <c r="T31" i="85"/>
  <c r="W31" i="113"/>
  <c r="M31" i="113"/>
  <c r="X31" i="113" s="1"/>
  <c r="T31" i="86"/>
  <c r="L31" i="86"/>
  <c r="U31" i="86" s="1"/>
  <c r="T31" i="92"/>
  <c r="L31" i="92"/>
  <c r="U31" i="92" s="1"/>
  <c r="M38" i="115"/>
  <c r="V38" i="115" s="1"/>
  <c r="U38" i="115"/>
  <c r="U38" i="119"/>
  <c r="M38" i="119"/>
  <c r="V38" i="119" s="1"/>
  <c r="U38" i="118"/>
  <c r="M38" i="118"/>
  <c r="V38" i="118" s="1"/>
  <c r="X41" i="90"/>
  <c r="N41" i="90"/>
  <c r="Y41" i="90" s="1"/>
  <c r="L41" i="85"/>
  <c r="U41" i="85" s="1"/>
  <c r="T41" i="85"/>
  <c r="T41" i="92"/>
  <c r="L41" i="92"/>
  <c r="U41" i="92" s="1"/>
  <c r="U41" i="115"/>
  <c r="M41" i="115"/>
  <c r="V41" i="115" s="1"/>
  <c r="L68" i="89"/>
  <c r="U68" i="89" s="1"/>
  <c r="T68" i="89"/>
  <c r="L68" i="88"/>
  <c r="U68" i="88" s="1"/>
  <c r="T68" i="88"/>
  <c r="U68" i="114"/>
  <c r="M68" i="114"/>
  <c r="V68" i="114" s="1"/>
  <c r="U68" i="118"/>
  <c r="M68" i="118"/>
  <c r="V68" i="118" s="1"/>
  <c r="V65" i="80"/>
  <c r="N65" i="80"/>
  <c r="W65" i="80" s="1"/>
  <c r="L53" i="87"/>
  <c r="W53" i="87" s="1"/>
  <c r="L53" i="88"/>
  <c r="U53" i="88" s="1"/>
  <c r="T53" i="88"/>
  <c r="M53" i="117"/>
  <c r="X53" i="117" s="1"/>
  <c r="W53" i="113"/>
  <c r="M53" i="113"/>
  <c r="X53" i="113" s="1"/>
  <c r="T55" i="88"/>
  <c r="L55" i="88"/>
  <c r="U55" i="88" s="1"/>
  <c r="M55" i="117"/>
  <c r="X55" i="117" s="1"/>
  <c r="L55" i="87"/>
  <c r="W55" i="87" s="1"/>
  <c r="T55" i="92"/>
  <c r="L55" i="92"/>
  <c r="U55" i="92" s="1"/>
  <c r="U55" i="120"/>
  <c r="M55" i="120"/>
  <c r="V55" i="120" s="1"/>
  <c r="L56" i="87"/>
  <c r="W56" i="87" s="1"/>
  <c r="T56" i="92"/>
  <c r="L56" i="92"/>
  <c r="U56" i="92" s="1"/>
  <c r="U56" i="115"/>
  <c r="M56" i="115"/>
  <c r="V56" i="115" s="1"/>
  <c r="U56" i="119"/>
  <c r="M56" i="119"/>
  <c r="V56" i="119" s="1"/>
  <c r="T56" i="86"/>
  <c r="L56" i="86"/>
  <c r="U56" i="86" s="1"/>
  <c r="N53" i="76"/>
  <c r="W53" i="76" s="1"/>
  <c r="V53" i="76"/>
  <c r="U56" i="118"/>
  <c r="M56" i="118"/>
  <c r="V56" i="118" s="1"/>
  <c r="N75" i="90"/>
  <c r="Y75" i="90" s="1"/>
  <c r="X75" i="90"/>
  <c r="M75" i="117"/>
  <c r="X75" i="117" s="1"/>
  <c r="M75" i="113"/>
  <c r="X75" i="113" s="1"/>
  <c r="W75" i="113"/>
  <c r="L75" i="87"/>
  <c r="W75" i="87" s="1"/>
  <c r="T75" i="85"/>
  <c r="L75" i="85"/>
  <c r="U75" i="85" s="1"/>
  <c r="T69" i="88"/>
  <c r="L69" i="88"/>
  <c r="U69" i="88" s="1"/>
  <c r="M69" i="117"/>
  <c r="X69" i="117" s="1"/>
  <c r="W69" i="113"/>
  <c r="M69" i="113"/>
  <c r="X69" i="113" s="1"/>
  <c r="U69" i="120"/>
  <c r="M69" i="120"/>
  <c r="V69" i="120" s="1"/>
  <c r="L72" i="87"/>
  <c r="W72" i="87" s="1"/>
  <c r="L72" i="92"/>
  <c r="U72" i="92" s="1"/>
  <c r="T72" i="92"/>
  <c r="U72" i="115"/>
  <c r="M72" i="115"/>
  <c r="V72" i="115" s="1"/>
  <c r="M72" i="119"/>
  <c r="V72" i="119" s="1"/>
  <c r="U72" i="119"/>
  <c r="V69" i="76"/>
  <c r="N69" i="76"/>
  <c r="W69" i="76" s="1"/>
  <c r="M72" i="114"/>
  <c r="V72" i="114" s="1"/>
  <c r="U72" i="114"/>
  <c r="T73" i="89"/>
  <c r="L73" i="89"/>
  <c r="U73" i="89" s="1"/>
  <c r="U73" i="114"/>
  <c r="M73" i="114"/>
  <c r="V73" i="114" s="1"/>
  <c r="M73" i="118"/>
  <c r="V73" i="118" s="1"/>
  <c r="U73" i="118"/>
  <c r="L73" i="88"/>
  <c r="U73" i="88" s="1"/>
  <c r="T73" i="88"/>
  <c r="M73" i="117"/>
  <c r="X73" i="117" s="1"/>
  <c r="L32" i="87"/>
  <c r="W32" i="87" s="1"/>
  <c r="U32" i="115"/>
  <c r="M32" i="115"/>
  <c r="V32" i="115" s="1"/>
  <c r="M32" i="119"/>
  <c r="V32" i="119" s="1"/>
  <c r="U32" i="119"/>
  <c r="L10" i="87"/>
  <c r="W10" i="87" s="1"/>
  <c r="L10" i="92"/>
  <c r="U10" i="92" s="1"/>
  <c r="T10" i="92"/>
  <c r="M10" i="116"/>
  <c r="V10" i="116" s="1"/>
  <c r="U10" i="116"/>
  <c r="M10" i="119"/>
  <c r="V10" i="119" s="1"/>
  <c r="U10" i="119"/>
  <c r="U35" i="115"/>
  <c r="M35" i="115"/>
  <c r="V35" i="115" s="1"/>
  <c r="V32" i="80"/>
  <c r="N32" i="80"/>
  <c r="W32" i="80" s="1"/>
  <c r="U35" i="118"/>
  <c r="M35" i="118"/>
  <c r="V35" i="118" s="1"/>
  <c r="L65" i="88"/>
  <c r="U65" i="88" s="1"/>
  <c r="T65" i="88"/>
  <c r="X65" i="90"/>
  <c r="N65" i="90"/>
  <c r="Y65" i="90" s="1"/>
  <c r="M65" i="117"/>
  <c r="X65" i="117" s="1"/>
  <c r="L65" i="87"/>
  <c r="W65" i="87" s="1"/>
  <c r="T65" i="92"/>
  <c r="L65" i="92"/>
  <c r="U65" i="92" s="1"/>
  <c r="M65" i="116"/>
  <c r="V65" i="116" s="1"/>
  <c r="U65" i="116"/>
  <c r="U65" i="120"/>
  <c r="M65" i="120"/>
  <c r="V65" i="120" s="1"/>
  <c r="L62" i="87"/>
  <c r="W62" i="87" s="1"/>
  <c r="U62" i="120"/>
  <c r="M62" i="120"/>
  <c r="V62" i="120" s="1"/>
  <c r="V59" i="76"/>
  <c r="N59" i="76"/>
  <c r="W59" i="76" s="1"/>
  <c r="M62" i="115"/>
  <c r="V62" i="115" s="1"/>
  <c r="U62" i="115"/>
  <c r="N20" i="80"/>
  <c r="W20" i="80" s="1"/>
  <c r="V20" i="80"/>
  <c r="I18" i="46"/>
  <c r="I38" i="46" s="1"/>
  <c r="K17" i="46"/>
  <c r="H18" i="46"/>
  <c r="L10" i="46"/>
  <c r="W23" i="113"/>
  <c r="M23" i="113"/>
  <c r="X23" i="113" s="1"/>
  <c r="L49" i="87"/>
  <c r="W49" i="87" s="1"/>
  <c r="T49" i="85"/>
  <c r="L49" i="85"/>
  <c r="U49" i="85" s="1"/>
  <c r="U49" i="120"/>
  <c r="M49" i="120"/>
  <c r="V49" i="120" s="1"/>
  <c r="L49" i="86"/>
  <c r="U49" i="86" s="1"/>
  <c r="T49" i="86"/>
  <c r="L49" i="91"/>
  <c r="U49" i="91" s="1"/>
  <c r="T49" i="91"/>
  <c r="U49" i="115"/>
  <c r="M49" i="115"/>
  <c r="V49" i="115" s="1"/>
  <c r="M49" i="119"/>
  <c r="V49" i="119" s="1"/>
  <c r="U49" i="119"/>
  <c r="T33" i="91"/>
  <c r="L33" i="91"/>
  <c r="U33" i="91" s="1"/>
  <c r="T33" i="92"/>
  <c r="L33" i="92"/>
  <c r="U33" i="92" s="1"/>
  <c r="T33" i="89"/>
  <c r="L33" i="89"/>
  <c r="U33" i="89" s="1"/>
  <c r="U33" i="119"/>
  <c r="M33" i="119"/>
  <c r="V33" i="119" s="1"/>
  <c r="L36" i="86"/>
  <c r="U36" i="86" s="1"/>
  <c r="T36" i="86"/>
  <c r="V33" i="76"/>
  <c r="N33" i="76"/>
  <c r="W33" i="76" s="1"/>
  <c r="U36" i="114"/>
  <c r="M36" i="114"/>
  <c r="V36" i="114" s="1"/>
  <c r="U36" i="118"/>
  <c r="M36" i="118"/>
  <c r="V36" i="118" s="1"/>
  <c r="M36" i="113"/>
  <c r="X36" i="113" s="1"/>
  <c r="W36" i="113"/>
  <c r="L30" i="89"/>
  <c r="U30" i="89" s="1"/>
  <c r="T30" i="89"/>
  <c r="V27" i="80"/>
  <c r="N27" i="80"/>
  <c r="W27" i="80" s="1"/>
  <c r="L30" i="88"/>
  <c r="U30" i="88" s="1"/>
  <c r="T30" i="88"/>
  <c r="U30" i="114"/>
  <c r="M30" i="114"/>
  <c r="V30" i="114" s="1"/>
  <c r="M30" i="118"/>
  <c r="V30" i="118" s="1"/>
  <c r="U30" i="118"/>
  <c r="T53" i="92"/>
  <c r="L53" i="92"/>
  <c r="U53" i="92" s="1"/>
  <c r="L53" i="85"/>
  <c r="U53" i="85" s="1"/>
  <c r="T53" i="85"/>
  <c r="U53" i="120"/>
  <c r="M53" i="120"/>
  <c r="V53" i="120" s="1"/>
  <c r="U53" i="115"/>
  <c r="M53" i="115"/>
  <c r="V53" i="115" s="1"/>
  <c r="U53" i="119"/>
  <c r="M53" i="119"/>
  <c r="V53" i="119" s="1"/>
  <c r="T55" i="86"/>
  <c r="L55" i="86"/>
  <c r="U55" i="86" s="1"/>
  <c r="L55" i="91"/>
  <c r="U55" i="91" s="1"/>
  <c r="T55" i="91"/>
  <c r="V52" i="76"/>
  <c r="N52" i="76"/>
  <c r="W52" i="76" s="1"/>
  <c r="T56" i="89"/>
  <c r="L56" i="89"/>
  <c r="U56" i="89" s="1"/>
  <c r="M56" i="117"/>
  <c r="X56" i="117" s="1"/>
  <c r="T56" i="85"/>
  <c r="L56" i="85"/>
  <c r="U56" i="85" s="1"/>
  <c r="T75" i="91"/>
  <c r="L75" i="91"/>
  <c r="U75" i="91" s="1"/>
  <c r="U75" i="115"/>
  <c r="M75" i="115"/>
  <c r="V75" i="115" s="1"/>
  <c r="U75" i="119"/>
  <c r="M75" i="119"/>
  <c r="V75" i="119" s="1"/>
  <c r="N72" i="80"/>
  <c r="W72" i="80" s="1"/>
  <c r="V72" i="80"/>
  <c r="U75" i="114"/>
  <c r="M75" i="114"/>
  <c r="V75" i="114" s="1"/>
  <c r="M75" i="118"/>
  <c r="V75" i="118" s="1"/>
  <c r="U75" i="118"/>
  <c r="V66" i="76"/>
  <c r="N66" i="76"/>
  <c r="W66" i="76" s="1"/>
  <c r="U69" i="114"/>
  <c r="M69" i="114"/>
  <c r="V69" i="114" s="1"/>
  <c r="U69" i="118"/>
  <c r="M69" i="118"/>
  <c r="V69" i="118" s="1"/>
  <c r="X72" i="90"/>
  <c r="N72" i="90"/>
  <c r="Y72" i="90" s="1"/>
  <c r="M72" i="117"/>
  <c r="X72" i="117" s="1"/>
  <c r="M72" i="116"/>
  <c r="V72" i="116" s="1"/>
  <c r="U72" i="116"/>
  <c r="L73" i="87"/>
  <c r="W73" i="87" s="1"/>
  <c r="L73" i="85"/>
  <c r="U73" i="85" s="1"/>
  <c r="T73" i="85"/>
  <c r="M73" i="120"/>
  <c r="V73" i="120" s="1"/>
  <c r="U73" i="120"/>
  <c r="T73" i="91"/>
  <c r="L73" i="91"/>
  <c r="U73" i="91" s="1"/>
  <c r="M73" i="119"/>
  <c r="V73" i="119" s="1"/>
  <c r="U73" i="119"/>
  <c r="L32" i="86"/>
  <c r="U32" i="86" s="1"/>
  <c r="T32" i="86"/>
  <c r="L32" i="91"/>
  <c r="U32" i="91" s="1"/>
  <c r="T32" i="91"/>
  <c r="V29" i="76"/>
  <c r="N29" i="76"/>
  <c r="W29" i="76" s="1"/>
  <c r="T32" i="89"/>
  <c r="L32" i="89"/>
  <c r="U32" i="89" s="1"/>
  <c r="M32" i="117"/>
  <c r="X32" i="117" s="1"/>
  <c r="W32" i="113"/>
  <c r="M32" i="113"/>
  <c r="X32" i="113" s="1"/>
  <c r="N10" i="90"/>
  <c r="Y10" i="90" s="1"/>
  <c r="X10" i="90"/>
  <c r="N7" i="80"/>
  <c r="W7" i="80" s="1"/>
  <c r="V7" i="80"/>
  <c r="M10" i="117"/>
  <c r="X10" i="117" s="1"/>
  <c r="L35" i="87"/>
  <c r="W35" i="87" s="1"/>
  <c r="X35" i="90"/>
  <c r="N35" i="90"/>
  <c r="Y35" i="90" s="1"/>
  <c r="M35" i="117"/>
  <c r="X35" i="117" s="1"/>
  <c r="W35" i="113"/>
  <c r="M35" i="113"/>
  <c r="X35" i="113" s="1"/>
  <c r="T35" i="86"/>
  <c r="L35" i="86"/>
  <c r="U35" i="86" s="1"/>
  <c r="T35" i="92"/>
  <c r="L35" i="92"/>
  <c r="U35" i="92" s="1"/>
  <c r="T65" i="91"/>
  <c r="L65" i="91"/>
  <c r="U65" i="91" s="1"/>
  <c r="V62" i="76"/>
  <c r="N62" i="76"/>
  <c r="W62" i="76" s="1"/>
  <c r="L65" i="89"/>
  <c r="U65" i="89" s="1"/>
  <c r="T65" i="89"/>
  <c r="U65" i="118"/>
  <c r="M65" i="118"/>
  <c r="V65" i="118" s="1"/>
  <c r="T62" i="88"/>
  <c r="L62" i="88"/>
  <c r="U62" i="88" s="1"/>
  <c r="T62" i="85"/>
  <c r="L62" i="85"/>
  <c r="U62" i="85" s="1"/>
  <c r="M62" i="117"/>
  <c r="X62" i="117" s="1"/>
  <c r="M62" i="113"/>
  <c r="X62" i="113" s="1"/>
  <c r="W62" i="113"/>
  <c r="L23" i="89"/>
  <c r="U23" i="89" s="1"/>
  <c r="T23" i="89"/>
  <c r="U23" i="115"/>
  <c r="M23" i="115"/>
  <c r="V23" i="115" s="1"/>
  <c r="U23" i="119"/>
  <c r="M23" i="119"/>
  <c r="V23" i="119" s="1"/>
  <c r="V46" i="80"/>
  <c r="N46" i="80"/>
  <c r="W46" i="80" s="1"/>
  <c r="U49" i="118"/>
  <c r="M49" i="118"/>
  <c r="V49" i="118" s="1"/>
  <c r="X49" i="90"/>
  <c r="N49" i="90"/>
  <c r="Y49" i="90" s="1"/>
  <c r="M49" i="113"/>
  <c r="X49" i="113" s="1"/>
  <c r="W49" i="113"/>
  <c r="U33" i="114"/>
  <c r="M33" i="114"/>
  <c r="V33" i="114" s="1"/>
  <c r="U33" i="118"/>
  <c r="M33" i="118"/>
  <c r="V33" i="118" s="1"/>
  <c r="X33" i="90"/>
  <c r="N33" i="90"/>
  <c r="Y33" i="90" s="1"/>
  <c r="M33" i="117"/>
  <c r="X33" i="117" s="1"/>
  <c r="W33" i="113"/>
  <c r="M33" i="113"/>
  <c r="X33" i="113" s="1"/>
  <c r="T36" i="85"/>
  <c r="L36" i="85"/>
  <c r="U36" i="85" s="1"/>
  <c r="M36" i="120"/>
  <c r="V36" i="120" s="1"/>
  <c r="U36" i="120"/>
  <c r="T36" i="92"/>
  <c r="L36" i="92"/>
  <c r="U36" i="92" s="1"/>
  <c r="L30" i="87"/>
  <c r="W30" i="87" s="1"/>
  <c r="M30" i="117"/>
  <c r="X30" i="117" s="1"/>
  <c r="N27" i="76"/>
  <c r="W27" i="76" s="1"/>
  <c r="V27" i="76"/>
  <c r="U30" i="116"/>
  <c r="M30" i="116"/>
  <c r="V30" i="116" s="1"/>
  <c r="X20" i="90"/>
  <c r="N20" i="90"/>
  <c r="Y20" i="90" s="1"/>
  <c r="L20" i="89"/>
  <c r="U20" i="89" s="1"/>
  <c r="T20" i="89"/>
  <c r="V17" i="80"/>
  <c r="N17" i="80"/>
  <c r="W17" i="80" s="1"/>
  <c r="M20" i="117"/>
  <c r="X20" i="117" s="1"/>
  <c r="W20" i="113"/>
  <c r="M20" i="113"/>
  <c r="X20" i="113" s="1"/>
  <c r="L20" i="88"/>
  <c r="U20" i="88" s="1"/>
  <c r="T20" i="88"/>
  <c r="U20" i="120"/>
  <c r="M20" i="120"/>
  <c r="V20" i="120" s="1"/>
  <c r="L59" i="87"/>
  <c r="W59" i="87" s="1"/>
  <c r="T59" i="92"/>
  <c r="L59" i="92"/>
  <c r="U59" i="92" s="1"/>
  <c r="T59" i="85"/>
  <c r="L59" i="85"/>
  <c r="U59" i="85" s="1"/>
  <c r="N56" i="76"/>
  <c r="W56" i="76" s="1"/>
  <c r="V56" i="76"/>
  <c r="T64" i="91"/>
  <c r="L64" i="91"/>
  <c r="U64" i="91" s="1"/>
  <c r="M64" i="118"/>
  <c r="V64" i="118" s="1"/>
  <c r="U64" i="118"/>
  <c r="L64" i="89"/>
  <c r="U64" i="89" s="1"/>
  <c r="T64" i="89"/>
  <c r="N61" i="80"/>
  <c r="W61" i="80" s="1"/>
  <c r="V61" i="80"/>
  <c r="M64" i="117"/>
  <c r="X64" i="117" s="1"/>
  <c r="M64" i="113"/>
  <c r="X64" i="113" s="1"/>
  <c r="W64" i="113"/>
  <c r="X52" i="90"/>
  <c r="N52" i="90"/>
  <c r="Y52" i="90" s="1"/>
  <c r="M52" i="113"/>
  <c r="X52" i="113" s="1"/>
  <c r="W52" i="113"/>
  <c r="T52" i="86"/>
  <c r="L52" i="86"/>
  <c r="U52" i="86" s="1"/>
  <c r="T52" i="91"/>
  <c r="L52" i="91"/>
  <c r="U52" i="91" s="1"/>
  <c r="R52" i="33"/>
  <c r="AG52" i="33" s="1"/>
  <c r="J49" i="76"/>
  <c r="K49" i="76" s="1"/>
  <c r="M49" i="76" s="1"/>
  <c r="U52" i="114"/>
  <c r="M52" i="114"/>
  <c r="V52" i="114" s="1"/>
  <c r="U52" i="118"/>
  <c r="M52" i="118"/>
  <c r="V52" i="118" s="1"/>
  <c r="L67" i="87"/>
  <c r="W67" i="87" s="1"/>
  <c r="T67" i="85"/>
  <c r="L67" i="85"/>
  <c r="U67" i="85" s="1"/>
  <c r="T67" i="86"/>
  <c r="L67" i="86"/>
  <c r="U67" i="86" s="1"/>
  <c r="T67" i="91"/>
  <c r="L67" i="91"/>
  <c r="U67" i="91" s="1"/>
  <c r="V64" i="76"/>
  <c r="N64" i="76"/>
  <c r="W64" i="76" s="1"/>
  <c r="M67" i="115"/>
  <c r="V67" i="115" s="1"/>
  <c r="U67" i="115"/>
  <c r="X26" i="90"/>
  <c r="N26" i="90"/>
  <c r="Y26" i="90" s="1"/>
  <c r="U26" i="115"/>
  <c r="M26" i="115"/>
  <c r="V26" i="115" s="1"/>
  <c r="M26" i="119"/>
  <c r="V26" i="119" s="1"/>
  <c r="U26" i="119"/>
  <c r="U26" i="114"/>
  <c r="M26" i="114"/>
  <c r="V26" i="114" s="1"/>
  <c r="M26" i="118"/>
  <c r="V26" i="118" s="1"/>
  <c r="U26" i="118"/>
  <c r="T12" i="86"/>
  <c r="L12" i="86"/>
  <c r="U12" i="86" s="1"/>
  <c r="N9" i="76"/>
  <c r="W9" i="76" s="1"/>
  <c r="V9" i="76"/>
  <c r="M12" i="118"/>
  <c r="V12" i="118" s="1"/>
  <c r="U12" i="118"/>
  <c r="L66" i="89"/>
  <c r="U66" i="89" s="1"/>
  <c r="T66" i="89"/>
  <c r="N63" i="80"/>
  <c r="W63" i="80" s="1"/>
  <c r="V63" i="80"/>
  <c r="M66" i="118"/>
  <c r="V66" i="118" s="1"/>
  <c r="U66" i="118"/>
  <c r="T44" i="86"/>
  <c r="L44" i="86"/>
  <c r="U44" i="86" s="1"/>
  <c r="L44" i="91"/>
  <c r="U44" i="91" s="1"/>
  <c r="T44" i="91"/>
  <c r="U44" i="118"/>
  <c r="M44" i="118"/>
  <c r="V44" i="118" s="1"/>
  <c r="L44" i="89"/>
  <c r="U44" i="89" s="1"/>
  <c r="T44" i="89"/>
  <c r="V41" i="80"/>
  <c r="N41" i="80"/>
  <c r="W41" i="80" s="1"/>
  <c r="M44" i="117"/>
  <c r="X44" i="117" s="1"/>
  <c r="M44" i="113"/>
  <c r="X44" i="113" s="1"/>
  <c r="W44" i="113"/>
  <c r="J13" i="76"/>
  <c r="K13" i="76" s="1"/>
  <c r="M13" i="76" s="1"/>
  <c r="R16" i="33"/>
  <c r="AG16" i="33" s="1"/>
  <c r="U16" i="114"/>
  <c r="M16" i="114"/>
  <c r="V16" i="114" s="1"/>
  <c r="V13" i="80"/>
  <c r="N13" i="80"/>
  <c r="W13" i="80" s="1"/>
  <c r="M45" i="119"/>
  <c r="V45" i="119" s="1"/>
  <c r="U45" i="119"/>
  <c r="N42" i="80"/>
  <c r="W42" i="80" s="1"/>
  <c r="V42" i="80"/>
  <c r="T11" i="91"/>
  <c r="L11" i="91"/>
  <c r="U11" i="91" s="1"/>
  <c r="U11" i="120"/>
  <c r="M11" i="120"/>
  <c r="V11" i="120" s="1"/>
  <c r="L11" i="89"/>
  <c r="U11" i="89" s="1"/>
  <c r="T11" i="89"/>
  <c r="V8" i="76"/>
  <c r="N8" i="76"/>
  <c r="W8" i="76" s="1"/>
  <c r="L11" i="92"/>
  <c r="U11" i="92" s="1"/>
  <c r="T11" i="92"/>
  <c r="T28" i="86"/>
  <c r="L28" i="86"/>
  <c r="U28" i="86" s="1"/>
  <c r="L28" i="91"/>
  <c r="U28" i="91" s="1"/>
  <c r="T28" i="91"/>
  <c r="S28" i="33"/>
  <c r="J25" i="80"/>
  <c r="K25" i="80" s="1"/>
  <c r="M25" i="80" s="1"/>
  <c r="M28" i="117"/>
  <c r="X28" i="117" s="1"/>
  <c r="W28" i="113"/>
  <c r="M28" i="113"/>
  <c r="X28" i="113" s="1"/>
  <c r="L9" i="85"/>
  <c r="U9" i="85" s="1"/>
  <c r="T9" i="85"/>
  <c r="M9" i="120"/>
  <c r="V9" i="120" s="1"/>
  <c r="U9" i="120"/>
  <c r="V6" i="76"/>
  <c r="N6" i="76"/>
  <c r="W6" i="76" s="1"/>
  <c r="M9" i="115"/>
  <c r="V9" i="115" s="1"/>
  <c r="U9" i="115"/>
  <c r="L15" i="87"/>
  <c r="W15" i="87" s="1"/>
  <c r="U15" i="115"/>
  <c r="M15" i="115"/>
  <c r="V15" i="115" s="1"/>
  <c r="T15" i="85"/>
  <c r="L15" i="85"/>
  <c r="U15" i="85" s="1"/>
  <c r="U15" i="114"/>
  <c r="M15" i="114"/>
  <c r="V15" i="114" s="1"/>
  <c r="U15" i="118"/>
  <c r="M15" i="118"/>
  <c r="V15" i="118" s="1"/>
  <c r="H30" i="46"/>
  <c r="L28" i="46"/>
  <c r="L54" i="87"/>
  <c r="W54" i="87" s="1"/>
  <c r="L54" i="92"/>
  <c r="U54" i="92" s="1"/>
  <c r="T54" i="92"/>
  <c r="V51" i="76"/>
  <c r="N51" i="76"/>
  <c r="W51" i="76" s="1"/>
  <c r="U54" i="116"/>
  <c r="M54" i="116"/>
  <c r="V54" i="116" s="1"/>
  <c r="L61" i="91"/>
  <c r="U61" i="91" s="1"/>
  <c r="T61" i="91"/>
  <c r="N58" i="76"/>
  <c r="W58" i="76" s="1"/>
  <c r="V58" i="76"/>
  <c r="U61" i="115"/>
  <c r="M61" i="115"/>
  <c r="V61" i="115" s="1"/>
  <c r="U61" i="119"/>
  <c r="M61" i="119"/>
  <c r="V61" i="119" s="1"/>
  <c r="T61" i="92"/>
  <c r="L61" i="92"/>
  <c r="U61" i="92" s="1"/>
  <c r="M18" i="114"/>
  <c r="V18" i="114" s="1"/>
  <c r="U18" i="114"/>
  <c r="M18" i="118"/>
  <c r="V18" i="118" s="1"/>
  <c r="U18" i="118"/>
  <c r="L18" i="85"/>
  <c r="U18" i="85" s="1"/>
  <c r="T18" i="85"/>
  <c r="M18" i="117"/>
  <c r="X18" i="117" s="1"/>
  <c r="W18" i="113"/>
  <c r="M18" i="113"/>
  <c r="X18" i="113" s="1"/>
  <c r="L60" i="86"/>
  <c r="U60" i="86" s="1"/>
  <c r="T60" i="86"/>
  <c r="N57" i="76"/>
  <c r="W57" i="76" s="1"/>
  <c r="V57" i="76"/>
  <c r="X60" i="90"/>
  <c r="N60" i="90"/>
  <c r="Y60" i="90" s="1"/>
  <c r="L60" i="89"/>
  <c r="U60" i="89" s="1"/>
  <c r="T60" i="89"/>
  <c r="M60" i="113"/>
  <c r="X60" i="113" s="1"/>
  <c r="W60" i="113"/>
  <c r="X21" i="90"/>
  <c r="N21" i="90"/>
  <c r="Y21" i="90" s="1"/>
  <c r="L21" i="85"/>
  <c r="U21" i="85" s="1"/>
  <c r="T21" i="85"/>
  <c r="M21" i="117"/>
  <c r="X21" i="117" s="1"/>
  <c r="L21" i="86"/>
  <c r="U21" i="86" s="1"/>
  <c r="T21" i="86"/>
  <c r="U21" i="116"/>
  <c r="M21" i="116"/>
  <c r="V21" i="116" s="1"/>
  <c r="M21" i="120"/>
  <c r="V21" i="120" s="1"/>
  <c r="U21" i="120"/>
  <c r="M58" i="119"/>
  <c r="V58" i="119" s="1"/>
  <c r="U58" i="119"/>
  <c r="T58" i="88"/>
  <c r="L58" i="88"/>
  <c r="U58" i="88" s="1"/>
  <c r="L57" i="91"/>
  <c r="U57" i="91" s="1"/>
  <c r="T57" i="91"/>
  <c r="V54" i="76"/>
  <c r="N54" i="76"/>
  <c r="W54" i="76" s="1"/>
  <c r="M57" i="115"/>
  <c r="V57" i="115" s="1"/>
  <c r="U57" i="115"/>
  <c r="U57" i="114"/>
  <c r="M57" i="114"/>
  <c r="V57" i="114" s="1"/>
  <c r="M57" i="118"/>
  <c r="V57" i="118" s="1"/>
  <c r="U57" i="118"/>
  <c r="M25" i="116"/>
  <c r="V25" i="116" s="1"/>
  <c r="U25" i="116"/>
  <c r="M25" i="120"/>
  <c r="V25" i="120" s="1"/>
  <c r="U25" i="120"/>
  <c r="T25" i="89"/>
  <c r="L25" i="89"/>
  <c r="U25" i="89" s="1"/>
  <c r="V22" i="76"/>
  <c r="N22" i="76"/>
  <c r="W22" i="76" s="1"/>
  <c r="L29" i="87"/>
  <c r="W29" i="87" s="1"/>
  <c r="M29" i="117"/>
  <c r="X29" i="117" s="1"/>
  <c r="T29" i="86"/>
  <c r="L29" i="86"/>
  <c r="U29" i="86" s="1"/>
  <c r="L29" i="91"/>
  <c r="U29" i="91" s="1"/>
  <c r="T29" i="91"/>
  <c r="M29" i="120"/>
  <c r="V29" i="120" s="1"/>
  <c r="U29" i="120"/>
  <c r="L63" i="91"/>
  <c r="U63" i="91" s="1"/>
  <c r="T63" i="91"/>
  <c r="V60" i="76"/>
  <c r="N60" i="76"/>
  <c r="W60" i="76" s="1"/>
  <c r="M63" i="115"/>
  <c r="V63" i="115" s="1"/>
  <c r="U63" i="115"/>
  <c r="U63" i="119"/>
  <c r="M63" i="119"/>
  <c r="V63" i="119" s="1"/>
  <c r="L63" i="87"/>
  <c r="W63" i="87" s="1"/>
  <c r="L63" i="85"/>
  <c r="U63" i="85" s="1"/>
  <c r="T63" i="85"/>
  <c r="U63" i="116"/>
  <c r="M63" i="116"/>
  <c r="V63" i="116" s="1"/>
  <c r="U63" i="120"/>
  <c r="M63" i="120"/>
  <c r="V63" i="120" s="1"/>
  <c r="L39" i="87"/>
  <c r="W39" i="87" s="1"/>
  <c r="M39" i="117"/>
  <c r="X39" i="117" s="1"/>
  <c r="L39" i="86"/>
  <c r="U39" i="86" s="1"/>
  <c r="T39" i="86"/>
  <c r="L39" i="91"/>
  <c r="U39" i="91" s="1"/>
  <c r="T39" i="91"/>
  <c r="L39" i="92"/>
  <c r="U39" i="92" s="1"/>
  <c r="T39" i="92"/>
  <c r="M39" i="116"/>
  <c r="V39" i="116" s="1"/>
  <c r="U39" i="116"/>
  <c r="M39" i="120"/>
  <c r="V39" i="120" s="1"/>
  <c r="U39" i="120"/>
  <c r="N50" i="90"/>
  <c r="Y50" i="90" s="1"/>
  <c r="X50" i="90"/>
  <c r="N47" i="80"/>
  <c r="W47" i="80" s="1"/>
  <c r="V47" i="80"/>
  <c r="U50" i="115"/>
  <c r="M50" i="115"/>
  <c r="V50" i="115" s="1"/>
  <c r="L50" i="88"/>
  <c r="U50" i="88" s="1"/>
  <c r="T50" i="88"/>
  <c r="M50" i="114"/>
  <c r="V50" i="114" s="1"/>
  <c r="U50" i="114"/>
  <c r="M50" i="118"/>
  <c r="V50" i="118" s="1"/>
  <c r="U50" i="118"/>
  <c r="T13" i="85"/>
  <c r="L13" i="85"/>
  <c r="U13" i="85" s="1"/>
  <c r="M13" i="116"/>
  <c r="V13" i="116" s="1"/>
  <c r="U13" i="116"/>
  <c r="M13" i="120"/>
  <c r="V13" i="120" s="1"/>
  <c r="U13" i="120"/>
  <c r="L13" i="89"/>
  <c r="U13" i="89" s="1"/>
  <c r="T13" i="89"/>
  <c r="V10" i="76"/>
  <c r="N10" i="76"/>
  <c r="W10" i="76" s="1"/>
  <c r="L13" i="92"/>
  <c r="U13" i="92" s="1"/>
  <c r="T13" i="92"/>
  <c r="M13" i="115"/>
  <c r="V13" i="115" s="1"/>
  <c r="U13" i="115"/>
  <c r="U17" i="114"/>
  <c r="M17" i="114"/>
  <c r="V17" i="114" s="1"/>
  <c r="L17" i="87"/>
  <c r="W17" i="87" s="1"/>
  <c r="X17" i="90"/>
  <c r="N17" i="90"/>
  <c r="Y17" i="90" s="1"/>
  <c r="BY21" i="1"/>
  <c r="CF21" i="1"/>
  <c r="CD21" i="1"/>
  <c r="BY26" i="1"/>
  <c r="CD26" i="1"/>
  <c r="CF26" i="1"/>
  <c r="BY24" i="1"/>
  <c r="CD24" i="1"/>
  <c r="CF24" i="1"/>
  <c r="BY29" i="1"/>
  <c r="CD29" i="1"/>
  <c r="CF29" i="1"/>
  <c r="CF40" i="1"/>
  <c r="CD40" i="1"/>
  <c r="CF34" i="1"/>
  <c r="CD34" i="1"/>
  <c r="CF64" i="1"/>
  <c r="CD64" i="1"/>
  <c r="BY64" i="1"/>
  <c r="CD22" i="1"/>
  <c r="CF22" i="1"/>
  <c r="BY66" i="1"/>
  <c r="CD66" i="1"/>
  <c r="CF66" i="1"/>
  <c r="CD69" i="1"/>
  <c r="CF69" i="1"/>
  <c r="BY69" i="1"/>
  <c r="BY14" i="1"/>
  <c r="CF14" i="1"/>
  <c r="CD14" i="1"/>
  <c r="CF46" i="1"/>
  <c r="CD46" i="1"/>
  <c r="CF47" i="1"/>
  <c r="CD47" i="1"/>
  <c r="BY30" i="1"/>
  <c r="CF30" i="1"/>
  <c r="CD30" i="1"/>
  <c r="BY17" i="1"/>
  <c r="CD17" i="1"/>
  <c r="CF17" i="1"/>
  <c r="M30" i="120"/>
  <c r="V30" i="120" s="1"/>
  <c r="U30" i="120"/>
  <c r="T20" i="92"/>
  <c r="L20" i="92"/>
  <c r="U20" i="92" s="1"/>
  <c r="M20" i="119"/>
  <c r="V20" i="119" s="1"/>
  <c r="U20" i="119"/>
  <c r="T20" i="86"/>
  <c r="L20" i="86"/>
  <c r="U20" i="86" s="1"/>
  <c r="T20" i="91"/>
  <c r="L20" i="91"/>
  <c r="U20" i="91" s="1"/>
  <c r="V17" i="76"/>
  <c r="N17" i="76"/>
  <c r="W17" i="76" s="1"/>
  <c r="M20" i="118"/>
  <c r="V20" i="118" s="1"/>
  <c r="U20" i="118"/>
  <c r="U59" i="118"/>
  <c r="M59" i="118"/>
  <c r="V59" i="118" s="1"/>
  <c r="L64" i="92"/>
  <c r="U64" i="92" s="1"/>
  <c r="T64" i="92"/>
  <c r="M64" i="119"/>
  <c r="V64" i="119" s="1"/>
  <c r="U64" i="119"/>
  <c r="L52" i="92"/>
  <c r="U52" i="92" s="1"/>
  <c r="T52" i="92"/>
  <c r="U52" i="115"/>
  <c r="M52" i="115"/>
  <c r="V52" i="115" s="1"/>
  <c r="L52" i="88"/>
  <c r="U52" i="88" s="1"/>
  <c r="T52" i="88"/>
  <c r="T52" i="85"/>
  <c r="L52" i="85"/>
  <c r="U52" i="85" s="1"/>
  <c r="M52" i="116"/>
  <c r="V52" i="116" s="1"/>
  <c r="U52" i="116"/>
  <c r="T67" i="89"/>
  <c r="L67" i="89"/>
  <c r="U67" i="89" s="1"/>
  <c r="N64" i="80"/>
  <c r="W64" i="80" s="1"/>
  <c r="V64" i="80"/>
  <c r="U67" i="114"/>
  <c r="M67" i="114"/>
  <c r="V67" i="114" s="1"/>
  <c r="M67" i="118"/>
  <c r="V67" i="118" s="1"/>
  <c r="U67" i="118"/>
  <c r="X67" i="90"/>
  <c r="N67" i="90"/>
  <c r="Y67" i="90" s="1"/>
  <c r="M67" i="117"/>
  <c r="X67" i="117" s="1"/>
  <c r="M67" i="113"/>
  <c r="X67" i="113" s="1"/>
  <c r="W67" i="113"/>
  <c r="T26" i="92"/>
  <c r="L26" i="92"/>
  <c r="U26" i="92" s="1"/>
  <c r="M26" i="117"/>
  <c r="X26" i="117" s="1"/>
  <c r="T26" i="86"/>
  <c r="L26" i="86"/>
  <c r="U26" i="86" s="1"/>
  <c r="T26" i="91"/>
  <c r="L26" i="91"/>
  <c r="U26" i="91" s="1"/>
  <c r="V23" i="76"/>
  <c r="N23" i="76"/>
  <c r="W23" i="76" s="1"/>
  <c r="U26" i="116"/>
  <c r="M26" i="116"/>
  <c r="V26" i="116" s="1"/>
  <c r="L12" i="88"/>
  <c r="U12" i="88" s="1"/>
  <c r="T12" i="88"/>
  <c r="U12" i="116"/>
  <c r="M12" i="116"/>
  <c r="V12" i="116" s="1"/>
  <c r="T12" i="89"/>
  <c r="L12" i="89"/>
  <c r="U12" i="89" s="1"/>
  <c r="M12" i="117"/>
  <c r="X12" i="117" s="1"/>
  <c r="L66" i="86"/>
  <c r="U66" i="86" s="1"/>
  <c r="T66" i="86"/>
  <c r="U66" i="115"/>
  <c r="M66" i="115"/>
  <c r="V66" i="115" s="1"/>
  <c r="U66" i="119"/>
  <c r="M66" i="119"/>
  <c r="V66" i="119" s="1"/>
  <c r="L44" i="88"/>
  <c r="U44" i="88" s="1"/>
  <c r="T44" i="88"/>
  <c r="T44" i="85"/>
  <c r="L44" i="85"/>
  <c r="U44" i="85" s="1"/>
  <c r="U44" i="116"/>
  <c r="M44" i="116"/>
  <c r="V44" i="116" s="1"/>
  <c r="U44" i="120"/>
  <c r="M44" i="120"/>
  <c r="V44" i="120" s="1"/>
  <c r="L44" i="87"/>
  <c r="W44" i="87" s="1"/>
  <c r="T44" i="92"/>
  <c r="L44" i="92"/>
  <c r="U44" i="92" s="1"/>
  <c r="U44" i="115"/>
  <c r="M44" i="115"/>
  <c r="V44" i="115" s="1"/>
  <c r="T16" i="85"/>
  <c r="L16" i="85"/>
  <c r="U16" i="85" s="1"/>
  <c r="U16" i="120"/>
  <c r="M16" i="120"/>
  <c r="V16" i="120" s="1"/>
  <c r="T16" i="92"/>
  <c r="L16" i="92"/>
  <c r="U16" i="92" s="1"/>
  <c r="U16" i="115"/>
  <c r="M16" i="115"/>
  <c r="V16" i="115" s="1"/>
  <c r="M45" i="117"/>
  <c r="X45" i="117" s="1"/>
  <c r="M45" i="113"/>
  <c r="X45" i="113" s="1"/>
  <c r="W45" i="113"/>
  <c r="T45" i="91"/>
  <c r="L45" i="91"/>
  <c r="U45" i="91" s="1"/>
  <c r="T45" i="92"/>
  <c r="L45" i="92"/>
  <c r="U45" i="92" s="1"/>
  <c r="U45" i="118"/>
  <c r="M45" i="118"/>
  <c r="V45" i="118" s="1"/>
  <c r="T11" i="88"/>
  <c r="L11" i="88"/>
  <c r="U11" i="88" s="1"/>
  <c r="V8" i="80"/>
  <c r="N8" i="80"/>
  <c r="W8" i="80" s="1"/>
  <c r="U11" i="118"/>
  <c r="M11" i="118"/>
  <c r="V11" i="118" s="1"/>
  <c r="L11" i="87"/>
  <c r="W11" i="87" s="1"/>
  <c r="L28" i="85"/>
  <c r="U28" i="85" s="1"/>
  <c r="T28" i="85"/>
  <c r="M28" i="116"/>
  <c r="V28" i="116" s="1"/>
  <c r="U28" i="116"/>
  <c r="L28" i="87"/>
  <c r="W28" i="87" s="1"/>
  <c r="U28" i="119"/>
  <c r="M28" i="119"/>
  <c r="V28" i="119" s="1"/>
  <c r="T9" i="88"/>
  <c r="L9" i="88"/>
  <c r="U9" i="88" s="1"/>
  <c r="V6" i="80"/>
  <c r="N6" i="80"/>
  <c r="W6" i="80" s="1"/>
  <c r="U9" i="114"/>
  <c r="M9" i="114"/>
  <c r="V9" i="114" s="1"/>
  <c r="U9" i="118"/>
  <c r="M9" i="118"/>
  <c r="V9" i="118" s="1"/>
  <c r="L9" i="87"/>
  <c r="W9" i="87" s="1"/>
  <c r="M9" i="117"/>
  <c r="X9" i="117" s="1"/>
  <c r="W9" i="113"/>
  <c r="M9" i="113"/>
  <c r="X9" i="113" s="1"/>
  <c r="T15" i="89"/>
  <c r="L15" i="89"/>
  <c r="U15" i="89" s="1"/>
  <c r="V12" i="76"/>
  <c r="N12" i="76"/>
  <c r="W12" i="76" s="1"/>
  <c r="T15" i="92"/>
  <c r="L15" i="92"/>
  <c r="U15" i="92" s="1"/>
  <c r="W15" i="113"/>
  <c r="M15" i="113"/>
  <c r="X15" i="113" s="1"/>
  <c r="V12" i="80"/>
  <c r="N12" i="80"/>
  <c r="W12" i="80" s="1"/>
  <c r="M15" i="116"/>
  <c r="V15" i="116" s="1"/>
  <c r="U15" i="116"/>
  <c r="U54" i="115"/>
  <c r="M54" i="115"/>
  <c r="V54" i="115" s="1"/>
  <c r="M54" i="119"/>
  <c r="V54" i="119" s="1"/>
  <c r="U54" i="119"/>
  <c r="T54" i="88"/>
  <c r="L54" i="88"/>
  <c r="U54" i="88" s="1"/>
  <c r="T54" i="85"/>
  <c r="L54" i="85"/>
  <c r="U54" i="85" s="1"/>
  <c r="V58" i="80"/>
  <c r="N58" i="80"/>
  <c r="W58" i="80" s="1"/>
  <c r="L18" i="87"/>
  <c r="W18" i="87" s="1"/>
  <c r="L18" i="92"/>
  <c r="U18" i="92" s="1"/>
  <c r="T18" i="92"/>
  <c r="L18" i="91"/>
  <c r="U18" i="91" s="1"/>
  <c r="T18" i="91"/>
  <c r="M18" i="119"/>
  <c r="V18" i="119" s="1"/>
  <c r="U18" i="119"/>
  <c r="L60" i="88"/>
  <c r="U60" i="88" s="1"/>
  <c r="T60" i="88"/>
  <c r="M60" i="116"/>
  <c r="V60" i="116" s="1"/>
  <c r="U60" i="116"/>
  <c r="U60" i="120"/>
  <c r="M60" i="120"/>
  <c r="V60" i="120" s="1"/>
  <c r="L60" i="87"/>
  <c r="W60" i="87" s="1"/>
  <c r="L60" i="92"/>
  <c r="U60" i="92" s="1"/>
  <c r="T60" i="92"/>
  <c r="L21" i="89"/>
  <c r="U21" i="89" s="1"/>
  <c r="T21" i="89"/>
  <c r="N18" i="80"/>
  <c r="W18" i="80" s="1"/>
  <c r="V18" i="80"/>
  <c r="M21" i="114"/>
  <c r="V21" i="114" s="1"/>
  <c r="U21" i="114"/>
  <c r="M21" i="118"/>
  <c r="V21" i="118" s="1"/>
  <c r="U21" i="118"/>
  <c r="L58" i="87"/>
  <c r="W58" i="87" s="1"/>
  <c r="U58" i="120"/>
  <c r="M58" i="120"/>
  <c r="V58" i="120" s="1"/>
  <c r="L57" i="88"/>
  <c r="U57" i="88" s="1"/>
  <c r="T57" i="88"/>
  <c r="M57" i="117"/>
  <c r="X57" i="117" s="1"/>
  <c r="W57" i="113"/>
  <c r="M57" i="113"/>
  <c r="X57" i="113" s="1"/>
  <c r="L57" i="92"/>
  <c r="U57" i="92" s="1"/>
  <c r="T57" i="92"/>
  <c r="L57" i="85"/>
  <c r="U57" i="85" s="1"/>
  <c r="T57" i="85"/>
  <c r="U57" i="116"/>
  <c r="M57" i="116"/>
  <c r="V57" i="116" s="1"/>
  <c r="T25" i="88"/>
  <c r="L25" i="88"/>
  <c r="U25" i="88" s="1"/>
  <c r="N22" i="80"/>
  <c r="W22" i="80" s="1"/>
  <c r="V22" i="80"/>
  <c r="U25" i="118"/>
  <c r="M25" i="118"/>
  <c r="V25" i="118" s="1"/>
  <c r="T25" i="85"/>
  <c r="L25" i="85"/>
  <c r="U25" i="85" s="1"/>
  <c r="M25" i="117"/>
  <c r="X25" i="117" s="1"/>
  <c r="T29" i="89"/>
  <c r="L29" i="89"/>
  <c r="U29" i="89" s="1"/>
  <c r="N26" i="76"/>
  <c r="W26" i="76" s="1"/>
  <c r="V26" i="76"/>
  <c r="M29" i="115"/>
  <c r="V29" i="115" s="1"/>
  <c r="U29" i="115"/>
  <c r="M29" i="114"/>
  <c r="V29" i="114" s="1"/>
  <c r="U29" i="114"/>
  <c r="M29" i="118"/>
  <c r="V29" i="118" s="1"/>
  <c r="U29" i="118"/>
  <c r="L63" i="88"/>
  <c r="U63" i="88" s="1"/>
  <c r="T63" i="88"/>
  <c r="N63" i="90"/>
  <c r="Y63" i="90" s="1"/>
  <c r="X63" i="90"/>
  <c r="M63" i="117"/>
  <c r="X63" i="117" s="1"/>
  <c r="L63" i="89"/>
  <c r="U63" i="89" s="1"/>
  <c r="T63" i="89"/>
  <c r="V60" i="80"/>
  <c r="N60" i="80"/>
  <c r="W60" i="80" s="1"/>
  <c r="N36" i="76"/>
  <c r="W36" i="76" s="1"/>
  <c r="V36" i="76"/>
  <c r="U39" i="115"/>
  <c r="M39" i="115"/>
  <c r="V39" i="115" s="1"/>
  <c r="L39" i="88"/>
  <c r="U39" i="88" s="1"/>
  <c r="T39" i="88"/>
  <c r="L50" i="91"/>
  <c r="U50" i="91" s="1"/>
  <c r="T50" i="91"/>
  <c r="N47" i="76"/>
  <c r="W47" i="76" s="1"/>
  <c r="V47" i="76"/>
  <c r="U50" i="116"/>
  <c r="M50" i="116"/>
  <c r="V50" i="116" s="1"/>
  <c r="V10" i="80"/>
  <c r="N10" i="80"/>
  <c r="W10" i="80" s="1"/>
  <c r="X13" i="90"/>
  <c r="N13" i="90"/>
  <c r="Y13" i="90" s="1"/>
  <c r="M13" i="117"/>
  <c r="X13" i="117" s="1"/>
  <c r="W13" i="113"/>
  <c r="M13" i="113"/>
  <c r="X13" i="113" s="1"/>
  <c r="T17" i="85"/>
  <c r="L17" i="85"/>
  <c r="U17" i="85" s="1"/>
  <c r="M17" i="120"/>
  <c r="V17" i="120" s="1"/>
  <c r="U17" i="120"/>
  <c r="L17" i="89"/>
  <c r="U17" i="89" s="1"/>
  <c r="T17" i="89"/>
  <c r="L17" i="92"/>
  <c r="U17" i="92" s="1"/>
  <c r="T17" i="92"/>
  <c r="U17" i="115"/>
  <c r="M17" i="115"/>
  <c r="V17" i="115" s="1"/>
  <c r="BY48" i="1"/>
  <c r="CF48" i="1"/>
  <c r="CD48" i="1"/>
  <c r="CF53" i="1"/>
  <c r="CD53" i="1"/>
  <c r="BY49" i="1"/>
  <c r="CD49" i="1"/>
  <c r="CF49" i="1"/>
  <c r="BY33" i="1"/>
  <c r="CF33" i="1"/>
  <c r="CD33" i="1"/>
  <c r="CD43" i="1"/>
  <c r="CF43" i="1"/>
  <c r="BY58" i="1"/>
  <c r="CD58" i="1"/>
  <c r="CF58" i="1"/>
  <c r="CF71" i="1"/>
  <c r="BY71" i="1"/>
  <c r="CD71" i="1"/>
  <c r="CD75" i="1"/>
  <c r="CF75" i="1"/>
  <c r="BY75" i="1"/>
  <c r="CF25" i="1"/>
  <c r="BY25" i="1"/>
  <c r="CD25" i="1"/>
  <c r="BY54" i="1"/>
  <c r="CF54" i="1"/>
  <c r="CD54" i="1"/>
  <c r="BY28" i="1"/>
  <c r="CD28" i="1"/>
  <c r="CF28" i="1"/>
  <c r="CD13" i="1"/>
  <c r="CF13" i="1"/>
  <c r="S53" i="33"/>
  <c r="AG53" i="33" s="1"/>
  <c r="R10" i="33"/>
  <c r="AG10" i="33" s="1"/>
  <c r="S55" i="33"/>
  <c r="R75" i="33"/>
  <c r="S62" i="33"/>
  <c r="R64" i="33"/>
  <c r="AG64" i="33" s="1"/>
  <c r="R28" i="33"/>
  <c r="AG54" i="33"/>
  <c r="BY34" i="1"/>
  <c r="BY22" i="1"/>
  <c r="AG11" i="33"/>
  <c r="R21" i="33"/>
  <c r="AG21" i="33" s="1"/>
  <c r="BY76" i="1"/>
  <c r="CI10" i="1"/>
  <c r="AG40" i="33" l="1"/>
  <c r="AG55" i="33"/>
  <c r="AG47" i="33"/>
  <c r="AG38" i="33"/>
  <c r="AG51" i="33"/>
  <c r="AG67" i="33"/>
  <c r="AG37" i="33"/>
  <c r="AG31" i="33"/>
  <c r="AG65" i="33"/>
  <c r="AG73" i="33"/>
  <c r="AG57" i="33"/>
  <c r="AG43" i="33"/>
  <c r="AG46" i="33"/>
  <c r="AG17" i="33"/>
  <c r="AG18" i="33"/>
  <c r="AG44" i="33"/>
  <c r="AG41" i="33"/>
  <c r="AG74" i="33"/>
  <c r="AG30" i="33"/>
  <c r="AG75" i="33"/>
  <c r="AG25" i="33"/>
  <c r="AG19" i="33"/>
  <c r="AG29" i="33"/>
  <c r="AG59" i="33"/>
  <c r="AG27" i="33"/>
  <c r="CE10" i="1"/>
  <c r="AG9" i="33"/>
  <c r="CD10" i="1"/>
  <c r="BX10" i="1"/>
  <c r="AG28" i="33"/>
  <c r="D5" i="76"/>
  <c r="I5" i="76" s="1"/>
  <c r="D5" i="80"/>
  <c r="I5" i="80" s="1"/>
  <c r="J44" i="46"/>
  <c r="V31" i="80"/>
  <c r="N31" i="80"/>
  <c r="W31" i="80" s="1"/>
  <c r="H31" i="46"/>
  <c r="I15" i="33"/>
  <c r="E63" i="81"/>
  <c r="N13" i="76"/>
  <c r="W13" i="76" s="1"/>
  <c r="V13" i="76"/>
  <c r="I23" i="33"/>
  <c r="AG23" i="33" s="1"/>
  <c r="H19" i="46"/>
  <c r="H38" i="46"/>
  <c r="E61" i="81"/>
  <c r="I42" i="46"/>
  <c r="K42" i="46" s="1"/>
  <c r="V34" i="80"/>
  <c r="N34" i="80"/>
  <c r="W34" i="80" s="1"/>
  <c r="N25" i="80"/>
  <c r="W25" i="80" s="1"/>
  <c r="V25" i="80"/>
  <c r="N49" i="76"/>
  <c r="W49" i="76" s="1"/>
  <c r="V49" i="76"/>
  <c r="K18" i="46"/>
  <c r="L17" i="46"/>
  <c r="I42" i="33"/>
  <c r="AG42" i="33" s="1"/>
  <c r="H72" i="31"/>
  <c r="E60" i="81"/>
  <c r="K30" i="46"/>
  <c r="L29" i="46"/>
  <c r="V37" i="76"/>
  <c r="N37" i="76"/>
  <c r="W37" i="76" s="1"/>
  <c r="D8" i="86"/>
  <c r="E8" i="86" s="1"/>
  <c r="G8" i="86" s="1"/>
  <c r="D8" i="88"/>
  <c r="E8" i="88" s="1"/>
  <c r="G8" i="88" s="1"/>
  <c r="D8" i="91"/>
  <c r="E8" i="91" s="1"/>
  <c r="G8" i="91" s="1"/>
  <c r="D8" i="85"/>
  <c r="E8" i="85" s="1"/>
  <c r="G8" i="85" s="1"/>
  <c r="D8" i="127"/>
  <c r="E8" i="127" s="1"/>
  <c r="H8" i="127" s="1"/>
  <c r="I8" i="127" s="1"/>
  <c r="J8" i="127" s="1"/>
  <c r="L8" i="127" s="1"/>
  <c r="D8" i="129"/>
  <c r="E8" i="129" s="1"/>
  <c r="H8" i="129" s="1"/>
  <c r="I8" i="129" s="1"/>
  <c r="J8" i="129" s="1"/>
  <c r="L8" i="129" s="1"/>
  <c r="D8" i="131"/>
  <c r="E8" i="131" s="1"/>
  <c r="H8" i="131" s="1"/>
  <c r="I8" i="131" s="1"/>
  <c r="J8" i="131" s="1"/>
  <c r="L8" i="131" s="1"/>
  <c r="D8" i="114"/>
  <c r="E8" i="114" s="1"/>
  <c r="H8" i="114" s="1"/>
  <c r="D8" i="116"/>
  <c r="E8" i="116" s="1"/>
  <c r="H8" i="116" s="1"/>
  <c r="D8" i="118"/>
  <c r="E8" i="118" s="1"/>
  <c r="H8" i="118" s="1"/>
  <c r="D8" i="120"/>
  <c r="E8" i="120" s="1"/>
  <c r="H8" i="120" s="1"/>
  <c r="D8" i="99"/>
  <c r="E8" i="99" s="1"/>
  <c r="H8" i="99" s="1"/>
  <c r="D8" i="84"/>
  <c r="E8" i="84" s="1"/>
  <c r="H8" i="84" s="1"/>
  <c r="M8" i="84" s="1"/>
  <c r="D8" i="67"/>
  <c r="E8" i="67" s="1"/>
  <c r="F8" i="67" s="1"/>
  <c r="G8" i="67" s="1"/>
  <c r="F8" i="90"/>
  <c r="G8" i="90" s="1"/>
  <c r="I8" i="90" s="1"/>
  <c r="D8" i="87"/>
  <c r="E8" i="87" s="1"/>
  <c r="G8" i="87" s="1"/>
  <c r="D8" i="89"/>
  <c r="E8" i="89" s="1"/>
  <c r="G8" i="89" s="1"/>
  <c r="D8" i="92"/>
  <c r="E8" i="92" s="1"/>
  <c r="G8" i="92" s="1"/>
  <c r="D8" i="126"/>
  <c r="E8" i="126" s="1"/>
  <c r="H8" i="126" s="1"/>
  <c r="I8" i="126" s="1"/>
  <c r="J8" i="126" s="1"/>
  <c r="L8" i="126" s="1"/>
  <c r="D8" i="128"/>
  <c r="E8" i="128" s="1"/>
  <c r="H8" i="128" s="1"/>
  <c r="I8" i="128" s="1"/>
  <c r="J8" i="128" s="1"/>
  <c r="L8" i="128" s="1"/>
  <c r="D8" i="130"/>
  <c r="E8" i="130" s="1"/>
  <c r="H8" i="130" s="1"/>
  <c r="I8" i="130" s="1"/>
  <c r="J8" i="130" s="1"/>
  <c r="L8" i="130" s="1"/>
  <c r="D8" i="125"/>
  <c r="E8" i="125" s="1"/>
  <c r="H8" i="125" s="1"/>
  <c r="I8" i="125" s="1"/>
  <c r="J8" i="125" s="1"/>
  <c r="L8" i="125" s="1"/>
  <c r="D8" i="115"/>
  <c r="E8" i="115" s="1"/>
  <c r="H8" i="115" s="1"/>
  <c r="D8" i="117"/>
  <c r="E8" i="117" s="1"/>
  <c r="H8" i="117" s="1"/>
  <c r="D8" i="119"/>
  <c r="E8" i="119" s="1"/>
  <c r="H8" i="119" s="1"/>
  <c r="D8" i="113"/>
  <c r="E8" i="113" s="1"/>
  <c r="H8" i="113" s="1"/>
  <c r="D8" i="98"/>
  <c r="E8" i="98" s="1"/>
  <c r="H8" i="98" s="1"/>
  <c r="D8" i="83"/>
  <c r="E8" i="83" s="1"/>
  <c r="H8" i="83" s="1"/>
  <c r="K8" i="83" s="1"/>
  <c r="O8" i="83" s="1"/>
  <c r="BY10" i="1" l="1"/>
  <c r="CF10" i="1"/>
  <c r="AD8" i="33"/>
  <c r="I8" i="83"/>
  <c r="P8" i="83" s="1"/>
  <c r="N8" i="33"/>
  <c r="I8" i="117"/>
  <c r="J8" i="117" s="1"/>
  <c r="L8" i="117" s="1"/>
  <c r="O8" i="117" s="1"/>
  <c r="W8" i="117" s="1"/>
  <c r="I8" i="98"/>
  <c r="N8" i="98" s="1"/>
  <c r="M8" i="98"/>
  <c r="AC8" i="33"/>
  <c r="P8" i="33"/>
  <c r="I8" i="119"/>
  <c r="J8" i="119" s="1"/>
  <c r="L8" i="119" s="1"/>
  <c r="L8" i="33"/>
  <c r="I8" i="115"/>
  <c r="J8" i="115" s="1"/>
  <c r="L8" i="115" s="1"/>
  <c r="U8" i="130"/>
  <c r="M8" i="130"/>
  <c r="V8" i="130" s="1"/>
  <c r="U8" i="126"/>
  <c r="M8" i="126"/>
  <c r="V8" i="126" s="1"/>
  <c r="H8" i="92"/>
  <c r="I8" i="92" s="1"/>
  <c r="K8" i="92" s="1"/>
  <c r="Z8" i="33"/>
  <c r="H8" i="87"/>
  <c r="V8" i="33"/>
  <c r="I8" i="87"/>
  <c r="K8" i="87" s="1"/>
  <c r="N8" i="87" s="1"/>
  <c r="V8" i="87" s="1"/>
  <c r="T8" i="67"/>
  <c r="J8" i="67"/>
  <c r="K8" i="67" s="1"/>
  <c r="W8" i="67" s="1"/>
  <c r="AB8" i="33"/>
  <c r="I8" i="99"/>
  <c r="N8" i="99" s="1"/>
  <c r="M8" i="99"/>
  <c r="O8" i="33"/>
  <c r="I8" i="118"/>
  <c r="J8" i="118" s="1"/>
  <c r="L8" i="118" s="1"/>
  <c r="K8" i="33"/>
  <c r="I8" i="114"/>
  <c r="J8" i="114" s="1"/>
  <c r="L8" i="114" s="1"/>
  <c r="U8" i="129"/>
  <c r="M8" i="129"/>
  <c r="V8" i="129" s="1"/>
  <c r="E5" i="76"/>
  <c r="H5" i="76" s="1"/>
  <c r="H8" i="91"/>
  <c r="Y8" i="33"/>
  <c r="I8" i="91"/>
  <c r="K8" i="91" s="1"/>
  <c r="U8" i="33"/>
  <c r="H8" i="86"/>
  <c r="I8" i="86" s="1"/>
  <c r="K8" i="86" s="1"/>
  <c r="G61" i="81"/>
  <c r="H61" i="81"/>
  <c r="G63" i="81"/>
  <c r="H63" i="81"/>
  <c r="K38" i="46"/>
  <c r="K44" i="46" s="1"/>
  <c r="I44" i="46"/>
  <c r="J8" i="33"/>
  <c r="I8" i="113"/>
  <c r="J8" i="113" s="1"/>
  <c r="L8" i="113" s="1"/>
  <c r="O8" i="113" s="1"/>
  <c r="M8" i="125"/>
  <c r="V8" i="125" s="1"/>
  <c r="U8" i="125"/>
  <c r="M8" i="128"/>
  <c r="V8" i="128" s="1"/>
  <c r="U8" i="128"/>
  <c r="E5" i="80"/>
  <c r="H5" i="80" s="1"/>
  <c r="H8" i="89"/>
  <c r="I8" i="89" s="1"/>
  <c r="K8" i="89" s="1"/>
  <c r="X8" i="33"/>
  <c r="J8" i="90"/>
  <c r="AA8" i="33"/>
  <c r="K8" i="90"/>
  <c r="M8" i="90" s="1"/>
  <c r="AE8" i="33"/>
  <c r="I8" i="84"/>
  <c r="N8" i="84" s="1"/>
  <c r="Q8" i="33"/>
  <c r="I8" i="120"/>
  <c r="J8" i="120" s="1"/>
  <c r="L8" i="120" s="1"/>
  <c r="I8" i="116"/>
  <c r="M8" i="33"/>
  <c r="J8" i="116"/>
  <c r="L8" i="116" s="1"/>
  <c r="U8" i="131"/>
  <c r="M8" i="131"/>
  <c r="V8" i="131" s="1"/>
  <c r="M8" i="127"/>
  <c r="V8" i="127" s="1"/>
  <c r="U8" i="127"/>
  <c r="T8" i="33"/>
  <c r="H8" i="85"/>
  <c r="I8" i="85" s="1"/>
  <c r="K8" i="85" s="1"/>
  <c r="H8" i="88"/>
  <c r="I8" i="88" s="1"/>
  <c r="K8" i="88" s="1"/>
  <c r="W8" i="33"/>
  <c r="G60" i="81"/>
  <c r="H60" i="81"/>
  <c r="E59" i="81"/>
  <c r="I76" i="33"/>
  <c r="E84" i="81" s="1"/>
  <c r="AG15" i="33"/>
  <c r="L18" i="46"/>
  <c r="L30" i="46"/>
  <c r="M8" i="114" l="1"/>
  <c r="V8" i="114" s="1"/>
  <c r="U8" i="114"/>
  <c r="M8" i="117"/>
  <c r="X8" i="117" s="1"/>
  <c r="T8" i="86"/>
  <c r="L8" i="86"/>
  <c r="U8" i="86" s="1"/>
  <c r="M8" i="119"/>
  <c r="V8" i="119" s="1"/>
  <c r="U8" i="119"/>
  <c r="G84" i="81"/>
  <c r="H84" i="81"/>
  <c r="L8" i="88"/>
  <c r="U8" i="88" s="1"/>
  <c r="T8" i="88"/>
  <c r="M8" i="116"/>
  <c r="V8" i="116" s="1"/>
  <c r="U8" i="116"/>
  <c r="L8" i="89"/>
  <c r="U8" i="89" s="1"/>
  <c r="T8" i="89"/>
  <c r="S8" i="33"/>
  <c r="J5" i="80"/>
  <c r="K5" i="80" s="1"/>
  <c r="M5" i="80" s="1"/>
  <c r="T8" i="91"/>
  <c r="L8" i="91"/>
  <c r="U8" i="91" s="1"/>
  <c r="R8" i="33"/>
  <c r="AG8" i="33" s="1"/>
  <c r="J5" i="76"/>
  <c r="K5" i="76" s="1"/>
  <c r="M5" i="76" s="1"/>
  <c r="M8" i="118"/>
  <c r="V8" i="118" s="1"/>
  <c r="U8" i="118"/>
  <c r="L8" i="87"/>
  <c r="W8" i="87" s="1"/>
  <c r="U8" i="115"/>
  <c r="M8" i="115"/>
  <c r="V8" i="115" s="1"/>
  <c r="G59" i="81"/>
  <c r="H59" i="81"/>
  <c r="T8" i="85"/>
  <c r="L8" i="85"/>
  <c r="U8" i="85" s="1"/>
  <c r="U8" i="120"/>
  <c r="M8" i="120"/>
  <c r="V8" i="120" s="1"/>
  <c r="X8" i="90"/>
  <c r="N8" i="90"/>
  <c r="Y8" i="90" s="1"/>
  <c r="W8" i="113"/>
  <c r="M8" i="113"/>
  <c r="X8" i="113" s="1"/>
  <c r="L8" i="92"/>
  <c r="U8" i="92" s="1"/>
  <c r="T8" i="92"/>
  <c r="L38" i="46"/>
  <c r="BS9" i="1"/>
  <c r="BU9" i="1" l="1"/>
  <c r="BV9" i="1" s="1"/>
  <c r="BT9" i="1"/>
  <c r="N5" i="76"/>
  <c r="W5" i="76" s="1"/>
  <c r="V5" i="76"/>
  <c r="V5" i="80"/>
  <c r="N5" i="80"/>
  <c r="W5" i="80" s="1"/>
  <c r="D7" i="67"/>
  <c r="E7" i="67" s="1"/>
  <c r="F7" i="67" s="1"/>
  <c r="G7" i="67" s="1"/>
  <c r="D7" i="115"/>
  <c r="E7" i="115" s="1"/>
  <c r="D7" i="125"/>
  <c r="E7" i="125" s="1"/>
  <c r="F7" i="90"/>
  <c r="G7" i="90" s="1"/>
  <c r="D7" i="127"/>
  <c r="E7" i="127" s="1"/>
  <c r="D7" i="117"/>
  <c r="E7" i="117" s="1"/>
  <c r="D7" i="126"/>
  <c r="E7" i="126" s="1"/>
  <c r="D7" i="114"/>
  <c r="E7" i="114" s="1"/>
  <c r="D7" i="99"/>
  <c r="E7" i="99" s="1"/>
  <c r="H7" i="99" s="1"/>
  <c r="BS78" i="1"/>
  <c r="BT78" i="1" s="1"/>
  <c r="D7" i="87" l="1"/>
  <c r="E7" i="87" s="1"/>
  <c r="D4" i="80"/>
  <c r="I4" i="80" s="1"/>
  <c r="D7" i="88"/>
  <c r="E7" i="88" s="1"/>
  <c r="G7" i="88" s="1"/>
  <c r="D7" i="120"/>
  <c r="E7" i="120" s="1"/>
  <c r="D7" i="98"/>
  <c r="E7" i="98" s="1"/>
  <c r="H7" i="98" s="1"/>
  <c r="D7" i="91"/>
  <c r="E7" i="91" s="1"/>
  <c r="D7" i="92"/>
  <c r="E7" i="92" s="1"/>
  <c r="G7" i="92" s="1"/>
  <c r="D7" i="83"/>
  <c r="E7" i="83" s="1"/>
  <c r="H7" i="83" s="1"/>
  <c r="D7" i="118"/>
  <c r="E7" i="118" s="1"/>
  <c r="H7" i="118" s="1"/>
  <c r="D7" i="130"/>
  <c r="E7" i="130" s="1"/>
  <c r="H7" i="130" s="1"/>
  <c r="D7" i="113"/>
  <c r="E7" i="113" s="1"/>
  <c r="E76" i="113" s="1"/>
  <c r="D7" i="131"/>
  <c r="E7" i="131" s="1"/>
  <c r="E76" i="131" s="1"/>
  <c r="D7" i="85"/>
  <c r="E7" i="85" s="1"/>
  <c r="G7" i="85" s="1"/>
  <c r="D7" i="89"/>
  <c r="E7" i="89" s="1"/>
  <c r="G7" i="89" s="1"/>
  <c r="D7" i="84"/>
  <c r="E7" i="84" s="1"/>
  <c r="D7" i="116"/>
  <c r="E7" i="116" s="1"/>
  <c r="H7" i="116" s="1"/>
  <c r="D7" i="128"/>
  <c r="E7" i="128" s="1"/>
  <c r="H7" i="128" s="1"/>
  <c r="D7" i="119"/>
  <c r="E7" i="119" s="1"/>
  <c r="E76" i="119" s="1"/>
  <c r="D7" i="129"/>
  <c r="E7" i="129" s="1"/>
  <c r="E76" i="129" s="1"/>
  <c r="D7" i="86"/>
  <c r="E7" i="86" s="1"/>
  <c r="E76" i="86" s="1"/>
  <c r="E4" i="80"/>
  <c r="D4" i="76"/>
  <c r="E76" i="99"/>
  <c r="H7" i="117"/>
  <c r="E76" i="117"/>
  <c r="E76" i="88"/>
  <c r="G7" i="91"/>
  <c r="E76" i="91"/>
  <c r="J7" i="67"/>
  <c r="T7" i="67"/>
  <c r="T76" i="67" s="1"/>
  <c r="G76" i="67"/>
  <c r="E67" i="81" s="1"/>
  <c r="H7" i="114"/>
  <c r="H7" i="126"/>
  <c r="E76" i="126"/>
  <c r="H7" i="127"/>
  <c r="E76" i="127"/>
  <c r="H7" i="131"/>
  <c r="I7" i="90"/>
  <c r="G76" i="90"/>
  <c r="H7" i="120"/>
  <c r="E76" i="120"/>
  <c r="H7" i="125"/>
  <c r="E76" i="125"/>
  <c r="H7" i="115"/>
  <c r="E76" i="115"/>
  <c r="G7" i="86"/>
  <c r="G7" i="87"/>
  <c r="E76" i="87"/>
  <c r="BW9" i="1"/>
  <c r="BU78" i="1"/>
  <c r="E76" i="92" l="1"/>
  <c r="I4" i="76"/>
  <c r="I73" i="76" s="1"/>
  <c r="E4" i="76"/>
  <c r="H4" i="76" s="1"/>
  <c r="E76" i="130"/>
  <c r="I73" i="80"/>
  <c r="H7" i="129"/>
  <c r="I7" i="129" s="1"/>
  <c r="I76" i="129" s="1"/>
  <c r="E76" i="85"/>
  <c r="H7" i="113"/>
  <c r="I7" i="113" s="1"/>
  <c r="I76" i="113" s="1"/>
  <c r="E76" i="118"/>
  <c r="E76" i="128"/>
  <c r="E76" i="84"/>
  <c r="H7" i="84"/>
  <c r="M7" i="84" s="1"/>
  <c r="M76" i="84" s="1"/>
  <c r="K7" i="83"/>
  <c r="O7" i="83" s="1"/>
  <c r="H7" i="119"/>
  <c r="P7" i="33" s="1"/>
  <c r="P76" i="33" s="1"/>
  <c r="E76" i="116"/>
  <c r="E76" i="89"/>
  <c r="E47" i="81"/>
  <c r="BV78" i="1"/>
  <c r="I7" i="98"/>
  <c r="AC7" i="33"/>
  <c r="AC76" i="33" s="1"/>
  <c r="M7" i="98"/>
  <c r="G76" i="87"/>
  <c r="H7" i="87"/>
  <c r="H76" i="87" s="1"/>
  <c r="V7" i="33"/>
  <c r="V76" i="33" s="1"/>
  <c r="G76" i="86"/>
  <c r="U7" i="33"/>
  <c r="U76" i="33" s="1"/>
  <c r="H7" i="86"/>
  <c r="H76" i="86" s="1"/>
  <c r="H76" i="115"/>
  <c r="L7" i="33"/>
  <c r="L76" i="33" s="1"/>
  <c r="I7" i="115"/>
  <c r="I76" i="115" s="1"/>
  <c r="I7" i="125"/>
  <c r="I76" i="125" s="1"/>
  <c r="H76" i="125"/>
  <c r="Q7" i="33"/>
  <c r="Q76" i="33" s="1"/>
  <c r="H76" i="120"/>
  <c r="I7" i="120"/>
  <c r="I76" i="120" s="1"/>
  <c r="J7" i="90"/>
  <c r="J76" i="90" s="1"/>
  <c r="J78" i="90" s="1"/>
  <c r="I76" i="90"/>
  <c r="I78" i="90" s="1"/>
  <c r="AA7" i="33"/>
  <c r="AA76" i="33" s="1"/>
  <c r="E73" i="80"/>
  <c r="E77" i="80" s="1"/>
  <c r="H4" i="80"/>
  <c r="G76" i="85"/>
  <c r="T7" i="33"/>
  <c r="T76" i="33" s="1"/>
  <c r="H7" i="85"/>
  <c r="H76" i="85" s="1"/>
  <c r="H76" i="113"/>
  <c r="I7" i="130"/>
  <c r="I76" i="130" s="1"/>
  <c r="H76" i="130"/>
  <c r="J7" i="130"/>
  <c r="H76" i="118"/>
  <c r="I7" i="118"/>
  <c r="I76" i="118" s="1"/>
  <c r="O7" i="33"/>
  <c r="O76" i="33" s="1"/>
  <c r="J7" i="118"/>
  <c r="AD7" i="33"/>
  <c r="AD76" i="33" s="1"/>
  <c r="I7" i="83"/>
  <c r="P7" i="83" s="1"/>
  <c r="I7" i="127"/>
  <c r="I76" i="127" s="1"/>
  <c r="H76" i="127"/>
  <c r="I7" i="126"/>
  <c r="I76" i="126" s="1"/>
  <c r="H76" i="126"/>
  <c r="J7" i="126"/>
  <c r="I7" i="114"/>
  <c r="K7" i="33"/>
  <c r="J7" i="114"/>
  <c r="H67" i="81"/>
  <c r="G67" i="81"/>
  <c r="K7" i="67"/>
  <c r="J76" i="67"/>
  <c r="G76" i="92"/>
  <c r="Z7" i="33"/>
  <c r="Z76" i="33" s="1"/>
  <c r="H7" i="92"/>
  <c r="H76" i="92" s="1"/>
  <c r="Y7" i="33"/>
  <c r="Y76" i="33" s="1"/>
  <c r="G76" i="91"/>
  <c r="H7" i="91"/>
  <c r="H76" i="91" s="1"/>
  <c r="M7" i="33"/>
  <c r="M76" i="33" s="1"/>
  <c r="H76" i="116"/>
  <c r="I7" i="116"/>
  <c r="I76" i="116" s="1"/>
  <c r="H76" i="84"/>
  <c r="E70" i="81" s="1"/>
  <c r="AE7" i="33"/>
  <c r="AE76" i="33" s="1"/>
  <c r="G76" i="89"/>
  <c r="X7" i="33"/>
  <c r="X76" i="33" s="1"/>
  <c r="H7" i="89"/>
  <c r="H76" i="89" s="1"/>
  <c r="G76" i="88"/>
  <c r="W7" i="33"/>
  <c r="W76" i="33" s="1"/>
  <c r="H7" i="88"/>
  <c r="H76" i="88" s="1"/>
  <c r="N7" i="33"/>
  <c r="N76" i="33" s="1"/>
  <c r="H76" i="117"/>
  <c r="I7" i="117"/>
  <c r="I76" i="117" s="1"/>
  <c r="I7" i="99"/>
  <c r="M7" i="99"/>
  <c r="M76" i="99" s="1"/>
  <c r="AB7" i="33"/>
  <c r="AB76" i="33" s="1"/>
  <c r="H76" i="99"/>
  <c r="E71" i="81" s="1"/>
  <c r="H76" i="131"/>
  <c r="I7" i="131"/>
  <c r="I76" i="131" s="1"/>
  <c r="H76" i="129"/>
  <c r="H76" i="128"/>
  <c r="I7" i="128"/>
  <c r="I76" i="128" s="1"/>
  <c r="G47" i="81"/>
  <c r="E48" i="81"/>
  <c r="BX9" i="1"/>
  <c r="CE9" i="1"/>
  <c r="C7" i="33"/>
  <c r="CI9" i="1"/>
  <c r="BW78" i="1"/>
  <c r="BY9" i="1"/>
  <c r="J7" i="127" l="1"/>
  <c r="J7" i="125"/>
  <c r="E73" i="76"/>
  <c r="E77" i="76" s="1"/>
  <c r="I7" i="87"/>
  <c r="I7" i="84"/>
  <c r="J7" i="33"/>
  <c r="J76" i="33" s="1"/>
  <c r="K7" i="90"/>
  <c r="K76" i="90" s="1"/>
  <c r="K78" i="90" s="1"/>
  <c r="J7" i="115"/>
  <c r="L7" i="115" s="1"/>
  <c r="I7" i="119"/>
  <c r="I76" i="119" s="1"/>
  <c r="H76" i="119"/>
  <c r="J7" i="128"/>
  <c r="J76" i="128" s="1"/>
  <c r="I7" i="92"/>
  <c r="I76" i="92" s="1"/>
  <c r="J7" i="116"/>
  <c r="J76" i="116" s="1"/>
  <c r="I7" i="91"/>
  <c r="K7" i="91" s="1"/>
  <c r="I7" i="89"/>
  <c r="I76" i="89" s="1"/>
  <c r="I76" i="99"/>
  <c r="N7" i="99"/>
  <c r="N76" i="99" s="1"/>
  <c r="N7" i="84"/>
  <c r="N76" i="84" s="1"/>
  <c r="I76" i="84"/>
  <c r="J76" i="127"/>
  <c r="L7" i="127"/>
  <c r="E86" i="81"/>
  <c r="H73" i="80"/>
  <c r="H77" i="80" s="1"/>
  <c r="S7" i="33"/>
  <c r="S76" i="33" s="1"/>
  <c r="J4" i="80"/>
  <c r="J73" i="80" s="1"/>
  <c r="M7" i="90"/>
  <c r="L7" i="125"/>
  <c r="J76" i="125"/>
  <c r="R7" i="33"/>
  <c r="R76" i="33" s="1"/>
  <c r="H73" i="76"/>
  <c r="H77" i="76" s="1"/>
  <c r="J4" i="76"/>
  <c r="J73" i="76" s="1"/>
  <c r="J7" i="113"/>
  <c r="I7" i="85"/>
  <c r="J7" i="120"/>
  <c r="E87" i="81"/>
  <c r="G71" i="81"/>
  <c r="H71" i="81"/>
  <c r="G70" i="81"/>
  <c r="E91" i="81"/>
  <c r="G91" i="81" s="1"/>
  <c r="H70" i="81"/>
  <c r="K76" i="67"/>
  <c r="W7" i="67"/>
  <c r="W76" i="67" s="1"/>
  <c r="L7" i="114"/>
  <c r="J76" i="126"/>
  <c r="L7" i="126"/>
  <c r="L7" i="118"/>
  <c r="J76" i="118"/>
  <c r="L7" i="130"/>
  <c r="J76" i="130"/>
  <c r="J76" i="115"/>
  <c r="I76" i="87"/>
  <c r="K7" i="87"/>
  <c r="N7" i="87" s="1"/>
  <c r="N7" i="98"/>
  <c r="C9" i="5"/>
  <c r="D9" i="5" s="1"/>
  <c r="G9" i="5" s="1"/>
  <c r="D76" i="98"/>
  <c r="E76" i="98" s="1"/>
  <c r="C8" i="5"/>
  <c r="D8" i="5" s="1"/>
  <c r="E76" i="114"/>
  <c r="D76" i="83"/>
  <c r="E76" i="83" s="1"/>
  <c r="D76" i="67"/>
  <c r="E76" i="67" s="1"/>
  <c r="F76" i="67" s="1"/>
  <c r="J7" i="129"/>
  <c r="J7" i="131"/>
  <c r="J7" i="117"/>
  <c r="I7" i="88"/>
  <c r="E68" i="81"/>
  <c r="E66" i="81"/>
  <c r="I7" i="86"/>
  <c r="G48" i="81"/>
  <c r="H48" i="81"/>
  <c r="BX78" i="1"/>
  <c r="E49" i="81" s="1"/>
  <c r="C76" i="33"/>
  <c r="BZ9" i="1"/>
  <c r="BZ62" i="1"/>
  <c r="BZ59" i="1"/>
  <c r="BZ20" i="1"/>
  <c r="BZ72" i="1"/>
  <c r="BZ65" i="1"/>
  <c r="BZ15" i="1"/>
  <c r="BZ44" i="1"/>
  <c r="BZ27" i="1"/>
  <c r="BZ51" i="1"/>
  <c r="BZ66" i="1"/>
  <c r="BZ74" i="1"/>
  <c r="BZ49" i="1"/>
  <c r="BZ33" i="1"/>
  <c r="BZ17" i="1"/>
  <c r="BZ23" i="1"/>
  <c r="BZ50" i="1"/>
  <c r="BZ36" i="1"/>
  <c r="BZ42" i="1"/>
  <c r="BZ22" i="1"/>
  <c r="BZ43" i="1"/>
  <c r="BZ46" i="1"/>
  <c r="BZ13" i="1"/>
  <c r="BZ56" i="1"/>
  <c r="BZ63" i="1"/>
  <c r="BZ41" i="1"/>
  <c r="BZ21" i="1"/>
  <c r="BZ35" i="1"/>
  <c r="BZ32" i="1"/>
  <c r="BZ54" i="1"/>
  <c r="BZ14" i="1"/>
  <c r="BZ11" i="1"/>
  <c r="BZ52" i="1"/>
  <c r="BZ12" i="1"/>
  <c r="BZ26" i="1"/>
  <c r="BZ28" i="1"/>
  <c r="BZ48" i="1"/>
  <c r="BZ24" i="1"/>
  <c r="BZ57" i="1"/>
  <c r="BZ60" i="1"/>
  <c r="BZ31" i="1"/>
  <c r="BZ67" i="1"/>
  <c r="BZ16" i="1"/>
  <c r="BZ29" i="1"/>
  <c r="BZ68" i="1"/>
  <c r="BZ58" i="1"/>
  <c r="BZ30" i="1"/>
  <c r="BZ73" i="1"/>
  <c r="BZ19" i="1"/>
  <c r="BZ53" i="1"/>
  <c r="BZ38" i="1"/>
  <c r="BZ76" i="1"/>
  <c r="BZ40" i="1"/>
  <c r="BZ47" i="1"/>
  <c r="BZ34" i="1"/>
  <c r="BZ75" i="1"/>
  <c r="BZ55" i="1"/>
  <c r="BZ39" i="1"/>
  <c r="BZ71" i="1"/>
  <c r="BZ70" i="1"/>
  <c r="BZ25" i="1"/>
  <c r="BZ77" i="1"/>
  <c r="BZ69" i="1"/>
  <c r="BZ64" i="1"/>
  <c r="BZ18" i="1"/>
  <c r="BZ61" i="1"/>
  <c r="BZ45" i="1"/>
  <c r="BZ37" i="1"/>
  <c r="BZ10" i="1"/>
  <c r="CI78" i="1"/>
  <c r="CF9" i="1"/>
  <c r="CE78" i="1"/>
  <c r="CD9" i="1"/>
  <c r="I76" i="91" l="1"/>
  <c r="N76" i="87"/>
  <c r="V7" i="87"/>
  <c r="V76" i="87" s="1"/>
  <c r="J7" i="119"/>
  <c r="K7" i="92"/>
  <c r="T7" i="92" s="1"/>
  <c r="T76" i="92" s="1"/>
  <c r="AG7" i="33"/>
  <c r="K7" i="89"/>
  <c r="L7" i="116"/>
  <c r="L7" i="128"/>
  <c r="L76" i="128" s="1"/>
  <c r="K7" i="86"/>
  <c r="I76" i="86"/>
  <c r="H68" i="81"/>
  <c r="G68" i="81"/>
  <c r="K7" i="88"/>
  <c r="I76" i="88"/>
  <c r="L7" i="131"/>
  <c r="J76" i="131"/>
  <c r="H76" i="114"/>
  <c r="E77" i="114"/>
  <c r="H76" i="98"/>
  <c r="E77" i="98"/>
  <c r="K76" i="87"/>
  <c r="L7" i="87"/>
  <c r="L76" i="115"/>
  <c r="M7" i="115"/>
  <c r="U7" i="115"/>
  <c r="U76" i="115" s="1"/>
  <c r="M7" i="126"/>
  <c r="U7" i="126"/>
  <c r="U76" i="126" s="1"/>
  <c r="L76" i="126"/>
  <c r="J76" i="120"/>
  <c r="L7" i="120"/>
  <c r="J75" i="76"/>
  <c r="K75" i="76" s="1"/>
  <c r="M75" i="76" s="1"/>
  <c r="V75" i="76" s="1"/>
  <c r="L76" i="125"/>
  <c r="U7" i="125"/>
  <c r="U76" i="125" s="1"/>
  <c r="M7" i="125"/>
  <c r="X7" i="90"/>
  <c r="X76" i="90" s="1"/>
  <c r="X78" i="90" s="1"/>
  <c r="M76" i="90"/>
  <c r="M78" i="90" s="1"/>
  <c r="N7" i="90"/>
  <c r="J75" i="80"/>
  <c r="K75" i="80" s="1"/>
  <c r="M75" i="80" s="1"/>
  <c r="V75" i="80" s="1"/>
  <c r="E92" i="81"/>
  <c r="G92" i="81" s="1"/>
  <c r="G66" i="81"/>
  <c r="H66" i="81"/>
  <c r="J76" i="117"/>
  <c r="L7" i="117"/>
  <c r="O7" i="117" s="1"/>
  <c r="L7" i="129"/>
  <c r="J76" i="129"/>
  <c r="H76" i="83"/>
  <c r="K76" i="83" s="1"/>
  <c r="E77" i="83"/>
  <c r="D10" i="5"/>
  <c r="G8" i="5"/>
  <c r="E58" i="81"/>
  <c r="L76" i="130"/>
  <c r="U7" i="130"/>
  <c r="U76" i="130" s="1"/>
  <c r="M7" i="130"/>
  <c r="U7" i="118"/>
  <c r="U76" i="118" s="1"/>
  <c r="L76" i="118"/>
  <c r="M7" i="118"/>
  <c r="U7" i="114"/>
  <c r="M7" i="114"/>
  <c r="G87" i="81"/>
  <c r="H87" i="81"/>
  <c r="I76" i="85"/>
  <c r="K7" i="85"/>
  <c r="L7" i="113"/>
  <c r="O7" i="113" s="1"/>
  <c r="O76" i="113" s="1"/>
  <c r="J76" i="113"/>
  <c r="G86" i="81"/>
  <c r="H86" i="81"/>
  <c r="M7" i="127"/>
  <c r="L76" i="127"/>
  <c r="U7" i="127"/>
  <c r="U76" i="127" s="1"/>
  <c r="L7" i="92"/>
  <c r="K76" i="91"/>
  <c r="L7" i="91"/>
  <c r="T7" i="91"/>
  <c r="T76" i="91" s="1"/>
  <c r="M7" i="116"/>
  <c r="K4" i="76"/>
  <c r="K4" i="80"/>
  <c r="H49" i="81"/>
  <c r="G49" i="81"/>
  <c r="CF78" i="1"/>
  <c r="CD78" i="1"/>
  <c r="CG9" i="1"/>
  <c r="CG44" i="1"/>
  <c r="CG65" i="1"/>
  <c r="CG73" i="1"/>
  <c r="CG19" i="1"/>
  <c r="CG15" i="1"/>
  <c r="CG23" i="1"/>
  <c r="CG31" i="1"/>
  <c r="CG20" i="1"/>
  <c r="CG59" i="1"/>
  <c r="CG62" i="1"/>
  <c r="CG63" i="1"/>
  <c r="CG50" i="1"/>
  <c r="CG27" i="1"/>
  <c r="CG72" i="1"/>
  <c r="CG60" i="1"/>
  <c r="CG52" i="1"/>
  <c r="CG41" i="1"/>
  <c r="CG30" i="1"/>
  <c r="CG68" i="1"/>
  <c r="CG67" i="1"/>
  <c r="CG57" i="1"/>
  <c r="CG51" i="1"/>
  <c r="CG71" i="1"/>
  <c r="CG55" i="1"/>
  <c r="CG25" i="1"/>
  <c r="CG45" i="1"/>
  <c r="CG11" i="1"/>
  <c r="CG14" i="1"/>
  <c r="CG54" i="1"/>
  <c r="CG53" i="1"/>
  <c r="CG56" i="1"/>
  <c r="CG58" i="1"/>
  <c r="CG29" i="1"/>
  <c r="CG16" i="1"/>
  <c r="CG17" i="1"/>
  <c r="CG66" i="1"/>
  <c r="CG26" i="1"/>
  <c r="CG12" i="1"/>
  <c r="CG18" i="1"/>
  <c r="CG61" i="1"/>
  <c r="CG37" i="1"/>
  <c r="CG76" i="1"/>
  <c r="CG38" i="1"/>
  <c r="CG46" i="1"/>
  <c r="CG42" i="1"/>
  <c r="CG74" i="1"/>
  <c r="CG33" i="1"/>
  <c r="CG48" i="1"/>
  <c r="CG77" i="1"/>
  <c r="CG70" i="1"/>
  <c r="CG64" i="1"/>
  <c r="CG34" i="1"/>
  <c r="CG47" i="1"/>
  <c r="CG40" i="1"/>
  <c r="CG35" i="1"/>
  <c r="CG21" i="1"/>
  <c r="CG13" i="1"/>
  <c r="CG43" i="1"/>
  <c r="CG22" i="1"/>
  <c r="CG36" i="1"/>
  <c r="CG28" i="1"/>
  <c r="CG24" i="1"/>
  <c r="CG49" i="1"/>
  <c r="CG75" i="1"/>
  <c r="CG69" i="1"/>
  <c r="CG39" i="1"/>
  <c r="CG32" i="1"/>
  <c r="CG10" i="1"/>
  <c r="BY78" i="1"/>
  <c r="O76" i="117" l="1"/>
  <c r="W7" i="117"/>
  <c r="K77" i="83"/>
  <c r="O76" i="83"/>
  <c r="U7" i="128"/>
  <c r="U76" i="128" s="1"/>
  <c r="K76" i="92"/>
  <c r="L7" i="89"/>
  <c r="U7" i="116"/>
  <c r="L7" i="119"/>
  <c r="J76" i="119"/>
  <c r="M7" i="128"/>
  <c r="M76" i="128" s="1"/>
  <c r="T7" i="89"/>
  <c r="M4" i="80"/>
  <c r="K73" i="80"/>
  <c r="K77" i="80" s="1"/>
  <c r="M76" i="127"/>
  <c r="V7" i="127"/>
  <c r="V76" i="127" s="1"/>
  <c r="L76" i="113"/>
  <c r="M7" i="113"/>
  <c r="W7" i="113"/>
  <c r="W76" i="113" s="1"/>
  <c r="M76" i="118"/>
  <c r="V7" i="118"/>
  <c r="V76" i="118" s="1"/>
  <c r="G10" i="5"/>
  <c r="I8" i="5"/>
  <c r="E57" i="81"/>
  <c r="W76" i="117"/>
  <c r="L76" i="117"/>
  <c r="M7" i="117"/>
  <c r="M76" i="125"/>
  <c r="V7" i="125"/>
  <c r="V76" i="125" s="1"/>
  <c r="L7" i="86"/>
  <c r="K76" i="86"/>
  <c r="T7" i="86"/>
  <c r="T76" i="86" s="1"/>
  <c r="M4" i="76"/>
  <c r="K73" i="76"/>
  <c r="K77" i="76" s="1"/>
  <c r="V7" i="116"/>
  <c r="U7" i="91"/>
  <c r="U76" i="91" s="1"/>
  <c r="L76" i="91"/>
  <c r="U7" i="92"/>
  <c r="U76" i="92" s="1"/>
  <c r="L76" i="92"/>
  <c r="K76" i="85"/>
  <c r="L7" i="85"/>
  <c r="T7" i="85"/>
  <c r="T76" i="85" s="1"/>
  <c r="V7" i="114"/>
  <c r="M76" i="130"/>
  <c r="V7" i="130"/>
  <c r="V76" i="130" s="1"/>
  <c r="G58" i="81"/>
  <c r="H58" i="81"/>
  <c r="I76" i="83"/>
  <c r="O77" i="83"/>
  <c r="H77" i="83"/>
  <c r="E69" i="81" s="1"/>
  <c r="L76" i="129"/>
  <c r="M7" i="129"/>
  <c r="U7" i="129"/>
  <c r="U76" i="129" s="1"/>
  <c r="N76" i="90"/>
  <c r="N78" i="90" s="1"/>
  <c r="Y7" i="90"/>
  <c r="Y76" i="90" s="1"/>
  <c r="Y78" i="90" s="1"/>
  <c r="U7" i="120"/>
  <c r="U76" i="120" s="1"/>
  <c r="L76" i="120"/>
  <c r="M7" i="120"/>
  <c r="U7" i="89"/>
  <c r="M76" i="126"/>
  <c r="V7" i="126"/>
  <c r="V76" i="126" s="1"/>
  <c r="M76" i="115"/>
  <c r="V7" i="115"/>
  <c r="V76" i="115" s="1"/>
  <c r="L76" i="87"/>
  <c r="W7" i="87"/>
  <c r="W76" i="87" s="1"/>
  <c r="I76" i="98"/>
  <c r="M76" i="98"/>
  <c r="M77" i="98" s="1"/>
  <c r="H77" i="98"/>
  <c r="E72" i="81" s="1"/>
  <c r="I76" i="114"/>
  <c r="K62" i="33"/>
  <c r="H77" i="114"/>
  <c r="E65" i="81" s="1"/>
  <c r="L76" i="131"/>
  <c r="M7" i="131"/>
  <c r="U7" i="131"/>
  <c r="U76" i="131" s="1"/>
  <c r="K76" i="88"/>
  <c r="L7" i="88"/>
  <c r="T7" i="88"/>
  <c r="T76" i="88" s="1"/>
  <c r="J77" i="80"/>
  <c r="J77" i="76"/>
  <c r="L76" i="119" l="1"/>
  <c r="M7" i="119"/>
  <c r="U7" i="119"/>
  <c r="U76" i="119" s="1"/>
  <c r="V7" i="128"/>
  <c r="V76" i="128" s="1"/>
  <c r="L8" i="5"/>
  <c r="M76" i="131"/>
  <c r="V7" i="131"/>
  <c r="V76" i="131" s="1"/>
  <c r="H65" i="81"/>
  <c r="G65" i="81"/>
  <c r="J76" i="114"/>
  <c r="I77" i="114"/>
  <c r="M76" i="120"/>
  <c r="V7" i="120"/>
  <c r="V76" i="120" s="1"/>
  <c r="M76" i="129"/>
  <c r="V7" i="129"/>
  <c r="V76" i="129" s="1"/>
  <c r="H69" i="81"/>
  <c r="E90" i="81"/>
  <c r="G90" i="81" s="1"/>
  <c r="G69" i="81"/>
  <c r="P76" i="83"/>
  <c r="P77" i="83" s="1"/>
  <c r="I77" i="83"/>
  <c r="U7" i="85"/>
  <c r="U76" i="85" s="1"/>
  <c r="L76" i="85"/>
  <c r="X7" i="117"/>
  <c r="X76" i="117" s="1"/>
  <c r="M76" i="117"/>
  <c r="J8" i="5"/>
  <c r="M73" i="80"/>
  <c r="M77" i="80" s="1"/>
  <c r="V4" i="80"/>
  <c r="V73" i="80" s="1"/>
  <c r="V77" i="80" s="1"/>
  <c r="N4" i="80"/>
  <c r="L76" i="88"/>
  <c r="U7" i="88"/>
  <c r="U76" i="88" s="1"/>
  <c r="AG62" i="33"/>
  <c r="K76" i="33"/>
  <c r="E88" i="81"/>
  <c r="H72" i="81"/>
  <c r="G72" i="81"/>
  <c r="N76" i="98"/>
  <c r="N77" i="98" s="1"/>
  <c r="I77" i="98"/>
  <c r="M73" i="76"/>
  <c r="M77" i="76" s="1"/>
  <c r="N4" i="76"/>
  <c r="V4" i="76"/>
  <c r="V73" i="76" s="1"/>
  <c r="V77" i="76" s="1"/>
  <c r="U7" i="86"/>
  <c r="U76" i="86" s="1"/>
  <c r="L76" i="86"/>
  <c r="E56" i="81"/>
  <c r="H57" i="81"/>
  <c r="G57" i="81"/>
  <c r="X7" i="113"/>
  <c r="X76" i="113" s="1"/>
  <c r="M76" i="113"/>
  <c r="M76" i="119" l="1"/>
  <c r="V7" i="119"/>
  <c r="V76" i="119" s="1"/>
  <c r="G56" i="81"/>
  <c r="H56" i="81"/>
  <c r="N73" i="76"/>
  <c r="W4" i="76"/>
  <c r="W73" i="76" s="1"/>
  <c r="G88" i="81"/>
  <c r="H88" i="81"/>
  <c r="AG76" i="33"/>
  <c r="W4" i="80"/>
  <c r="W73" i="80" s="1"/>
  <c r="N73" i="80"/>
  <c r="L76" i="114"/>
  <c r="J77" i="114"/>
  <c r="E85" i="81"/>
  <c r="H85" i="81" l="1"/>
  <c r="G85" i="81"/>
  <c r="U76" i="114"/>
  <c r="U77" i="114" s="1"/>
  <c r="M76" i="114"/>
  <c r="L77" i="114"/>
  <c r="V76" i="114" l="1"/>
  <c r="V77" i="114" s="1"/>
  <c r="M77" i="114"/>
  <c r="AK28" i="100"/>
  <c r="AK18" i="100"/>
  <c r="AK57" i="100"/>
  <c r="AK36" i="100"/>
  <c r="AK26" i="100"/>
  <c r="AK42" i="100"/>
  <c r="AK20" i="100"/>
  <c r="AK62" i="100"/>
  <c r="AK65" i="100"/>
  <c r="AK50" i="100"/>
  <c r="AK74" i="100"/>
  <c r="AK59" i="100"/>
  <c r="AK11" i="100"/>
  <c r="AK61" i="100"/>
  <c r="AK16" i="100"/>
  <c r="AK71" i="100"/>
  <c r="AK69" i="100"/>
  <c r="AK35" i="100"/>
  <c r="AK30" i="100"/>
  <c r="AK60" i="100"/>
  <c r="AK33" i="100"/>
  <c r="AK48" i="100"/>
  <c r="AK54" i="100"/>
  <c r="AK34" i="100"/>
  <c r="AK49" i="100"/>
  <c r="AK9" i="100"/>
  <c r="AK15" i="100"/>
  <c r="AK70" i="100"/>
  <c r="AK63" i="100"/>
  <c r="AK64" i="100"/>
  <c r="AK12" i="100"/>
  <c r="AK37" i="100"/>
  <c r="AK27" i="100"/>
  <c r="AK53" i="100"/>
  <c r="AK32" i="100"/>
  <c r="AK21" i="100"/>
  <c r="AK25" i="100"/>
  <c r="AK66" i="100"/>
  <c r="AK68" i="100"/>
  <c r="AK46" i="100"/>
  <c r="AK23" i="100"/>
  <c r="AK8" i="100"/>
  <c r="AK55" i="100"/>
  <c r="AK72" i="100"/>
  <c r="AK45" i="100"/>
  <c r="AK13" i="100"/>
  <c r="AK29" i="100"/>
  <c r="AK6" i="100"/>
  <c r="AK58" i="100"/>
  <c r="AK39" i="100"/>
  <c r="AK40" i="100"/>
  <c r="AK52" i="100"/>
  <c r="AK73" i="100"/>
  <c r="AK7" i="100"/>
  <c r="AK43" i="100"/>
  <c r="AK17" i="100"/>
  <c r="AK67" i="100"/>
  <c r="AK56" i="100"/>
  <c r="AK38" i="100"/>
  <c r="AK19" i="100"/>
  <c r="AK10" i="100"/>
  <c r="AK24" i="100"/>
  <c r="V29" i="46" l="1"/>
  <c r="W29" i="46" s="1"/>
  <c r="X29" i="46" s="1"/>
  <c r="R32" i="116"/>
  <c r="M31" i="100" l="1"/>
  <c r="S32" i="116"/>
  <c r="R76" i="116"/>
  <c r="AK31" i="100" l="1"/>
  <c r="M75" i="100"/>
  <c r="S76" i="116"/>
  <c r="T32" i="116"/>
  <c r="Q16" i="31"/>
  <c r="R16" i="31" s="1"/>
  <c r="S16" i="31" s="1"/>
  <c r="Q17" i="31"/>
  <c r="R17" i="31" s="1"/>
  <c r="S17" i="31" s="1"/>
  <c r="Q18" i="31"/>
  <c r="R18" i="31" s="1"/>
  <c r="S18" i="31" s="1"/>
  <c r="Q35" i="31"/>
  <c r="R35" i="31" s="1"/>
  <c r="S35" i="31" s="1"/>
  <c r="Q36" i="31"/>
  <c r="R36" i="31" s="1"/>
  <c r="S36" i="31" s="1"/>
  <c r="V15" i="46"/>
  <c r="W15" i="46" s="1"/>
  <c r="X15" i="46" s="1"/>
  <c r="Q48" i="89"/>
  <c r="Q76" i="89" l="1"/>
  <c r="AE47" i="100"/>
  <c r="R48" i="89"/>
  <c r="I31" i="72"/>
  <c r="I75" i="72" s="1"/>
  <c r="T76" i="116"/>
  <c r="I18" i="31"/>
  <c r="J18" i="31" s="1"/>
  <c r="I17" i="31"/>
  <c r="J17" i="31" s="1"/>
  <c r="I16" i="31"/>
  <c r="J16" i="31" s="1"/>
  <c r="S48" i="89" l="1"/>
  <c r="R76" i="89"/>
  <c r="AE75" i="100"/>
  <c r="AK47" i="100"/>
  <c r="M15" i="46"/>
  <c r="N15" i="46" s="1"/>
  <c r="S76" i="89" l="1"/>
  <c r="AB47" i="72"/>
  <c r="AB75" i="72" s="1"/>
  <c r="Y15" i="46"/>
  <c r="O15" i="46"/>
  <c r="Z15" i="46" s="1"/>
  <c r="E8" i="33" l="1"/>
  <c r="K32" i="116" l="1"/>
  <c r="H9" i="5"/>
  <c r="D75" i="33"/>
  <c r="D74" i="33"/>
  <c r="D73" i="33"/>
  <c r="D72" i="33"/>
  <c r="D71" i="33"/>
  <c r="D70" i="33"/>
  <c r="D69" i="33"/>
  <c r="D68" i="33"/>
  <c r="D67" i="33"/>
  <c r="D66" i="33"/>
  <c r="D65" i="33"/>
  <c r="D64" i="33"/>
  <c r="D63" i="33"/>
  <c r="D62" i="33"/>
  <c r="D61" i="33"/>
  <c r="D60" i="33"/>
  <c r="D59" i="33"/>
  <c r="D58" i="33"/>
  <c r="D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8" i="33"/>
  <c r="F8" i="33" s="1"/>
  <c r="D7" i="33"/>
  <c r="H8" i="33" l="1"/>
  <c r="G8" i="33"/>
  <c r="AH8" i="33"/>
  <c r="K76" i="116"/>
  <c r="E79" i="81" s="1"/>
  <c r="L32" i="116"/>
  <c r="D76" i="33"/>
  <c r="I9" i="5"/>
  <c r="H10" i="5"/>
  <c r="E77" i="81" s="1"/>
  <c r="G79" i="81" l="1"/>
  <c r="H79" i="81"/>
  <c r="AM8" i="33"/>
  <c r="AI8" i="33"/>
  <c r="C7" i="72" s="1"/>
  <c r="AL7" i="72" s="1"/>
  <c r="BO7" i="72" s="1"/>
  <c r="J9" i="5"/>
  <c r="J10" i="5" s="1"/>
  <c r="L9" i="5"/>
  <c r="L10" i="5" s="1"/>
  <c r="I10" i="5"/>
  <c r="G77" i="81"/>
  <c r="H77" i="81"/>
  <c r="M32" i="116"/>
  <c r="L76" i="116"/>
  <c r="U32" i="116"/>
  <c r="U76" i="116" s="1"/>
  <c r="V32" i="116" l="1"/>
  <c r="V76" i="116" s="1"/>
  <c r="M76" i="116"/>
  <c r="C7" i="100"/>
  <c r="AL7" i="100" s="1"/>
  <c r="V23" i="46" l="1"/>
  <c r="V14" i="46"/>
  <c r="W14" i="46" s="1"/>
  <c r="X14" i="46" s="1"/>
  <c r="V13" i="46"/>
  <c r="W13" i="46" s="1"/>
  <c r="X13" i="46" s="1"/>
  <c r="V12" i="46"/>
  <c r="W12" i="46" s="1"/>
  <c r="X12" i="46" s="1"/>
  <c r="V11" i="46"/>
  <c r="W11" i="46" s="1"/>
  <c r="X11" i="46" s="1"/>
  <c r="V10" i="46"/>
  <c r="Q65" i="31"/>
  <c r="R65" i="31" s="1"/>
  <c r="S65" i="31" s="1"/>
  <c r="Q64" i="31"/>
  <c r="R64" i="31" s="1"/>
  <c r="S64" i="31" s="1"/>
  <c r="Q63" i="31"/>
  <c r="R63" i="31" s="1"/>
  <c r="S63" i="31" s="1"/>
  <c r="Q62" i="31"/>
  <c r="R62" i="31" s="1"/>
  <c r="S62" i="31" s="1"/>
  <c r="Q61" i="31"/>
  <c r="R61" i="31" s="1"/>
  <c r="S61" i="31" s="1"/>
  <c r="Q60" i="31"/>
  <c r="R60" i="31" s="1"/>
  <c r="S60" i="31" s="1"/>
  <c r="Q59" i="31"/>
  <c r="R59" i="31" s="1"/>
  <c r="S59" i="31" s="1"/>
  <c r="Q58" i="31"/>
  <c r="R58" i="31" s="1"/>
  <c r="S58" i="31" s="1"/>
  <c r="Q57" i="31"/>
  <c r="R57" i="31" s="1"/>
  <c r="S57" i="31" s="1"/>
  <c r="Q56" i="31"/>
  <c r="R56" i="31" s="1"/>
  <c r="Q55" i="31"/>
  <c r="R55" i="31" s="1"/>
  <c r="S55" i="31" s="1"/>
  <c r="R54" i="31"/>
  <c r="S54" i="31" s="1"/>
  <c r="Q53" i="31"/>
  <c r="R53" i="31" s="1"/>
  <c r="S53" i="31" s="1"/>
  <c r="R52" i="31"/>
  <c r="S52" i="31" s="1"/>
  <c r="Q51" i="31"/>
  <c r="R51" i="31" s="1"/>
  <c r="S51" i="31" s="1"/>
  <c r="Q50" i="31"/>
  <c r="R50" i="31" s="1"/>
  <c r="S50" i="31" s="1"/>
  <c r="Q49" i="31"/>
  <c r="R49" i="31" s="1"/>
  <c r="S49" i="31" s="1"/>
  <c r="Q48" i="31"/>
  <c r="R48" i="31" s="1"/>
  <c r="S48" i="31" s="1"/>
  <c r="Q47" i="31"/>
  <c r="R47" i="31" s="1"/>
  <c r="S47" i="31" s="1"/>
  <c r="Q46" i="31"/>
  <c r="R46" i="31" s="1"/>
  <c r="S46" i="31" s="1"/>
  <c r="Q45" i="31"/>
  <c r="R45" i="31" s="1"/>
  <c r="S45" i="31" s="1"/>
  <c r="Q43" i="31"/>
  <c r="R43" i="31" s="1"/>
  <c r="S43" i="31" s="1"/>
  <c r="Q42" i="31"/>
  <c r="R42" i="31" s="1"/>
  <c r="S42" i="31" s="1"/>
  <c r="Q41" i="31"/>
  <c r="R41" i="31" s="1"/>
  <c r="S41" i="31" s="1"/>
  <c r="Q66" i="31"/>
  <c r="R66" i="31" s="1"/>
  <c r="S66" i="31" s="1"/>
  <c r="Q38" i="31"/>
  <c r="R38" i="31" s="1"/>
  <c r="S38" i="31" s="1"/>
  <c r="Q37" i="31"/>
  <c r="R37" i="31" s="1"/>
  <c r="S37" i="31" s="1"/>
  <c r="Q34" i="31"/>
  <c r="R34" i="31" s="1"/>
  <c r="S34" i="31" s="1"/>
  <c r="Q33" i="31"/>
  <c r="R33" i="31" s="1"/>
  <c r="S33" i="31" s="1"/>
  <c r="Q32" i="31"/>
  <c r="R32" i="31" s="1"/>
  <c r="S32" i="31" s="1"/>
  <c r="Q30" i="31"/>
  <c r="R30" i="31" s="1"/>
  <c r="S30" i="31" s="1"/>
  <c r="Q28" i="31"/>
  <c r="R28" i="31" s="1"/>
  <c r="S28" i="31" s="1"/>
  <c r="Q27" i="31"/>
  <c r="R27" i="31" s="1"/>
  <c r="S27" i="31" s="1"/>
  <c r="Q26" i="31"/>
  <c r="R26" i="31" s="1"/>
  <c r="S26" i="31" s="1"/>
  <c r="Q25" i="31"/>
  <c r="R25" i="31" s="1"/>
  <c r="S25" i="31" s="1"/>
  <c r="Q24" i="31"/>
  <c r="R24" i="31" s="1"/>
  <c r="S24" i="31" s="1"/>
  <c r="Q23" i="31"/>
  <c r="R23" i="31" s="1"/>
  <c r="S23" i="31" s="1"/>
  <c r="Q22" i="31"/>
  <c r="R22" i="31" s="1"/>
  <c r="S22" i="31" s="1"/>
  <c r="Q21" i="31"/>
  <c r="R21" i="31" s="1"/>
  <c r="S21" i="31" s="1"/>
  <c r="Q20" i="31"/>
  <c r="R20" i="31" s="1"/>
  <c r="S20" i="31" s="1"/>
  <c r="Q19" i="31"/>
  <c r="R19" i="31" s="1"/>
  <c r="S19" i="31" s="1"/>
  <c r="Q15" i="31"/>
  <c r="R15" i="31" s="1"/>
  <c r="S15" i="31" s="1"/>
  <c r="Q14" i="31"/>
  <c r="R14" i="31" s="1"/>
  <c r="S14" i="31" s="1"/>
  <c r="Q13" i="31"/>
  <c r="R13" i="31" s="1"/>
  <c r="S13" i="31" s="1"/>
  <c r="Q12" i="31"/>
  <c r="V16" i="46"/>
  <c r="W16" i="46" s="1"/>
  <c r="X16" i="46" s="1"/>
  <c r="V35" i="46"/>
  <c r="V28" i="46"/>
  <c r="Q9" i="31"/>
  <c r="R9" i="31" s="1"/>
  <c r="S9" i="31" s="1"/>
  <c r="J48" i="89"/>
  <c r="W35" i="46" l="1"/>
  <c r="X35" i="46" s="1"/>
  <c r="D51" i="72" s="1"/>
  <c r="H51" i="100"/>
  <c r="AK51" i="100" s="1"/>
  <c r="R12" i="31"/>
  <c r="Q69" i="31"/>
  <c r="Q70" i="31" s="1"/>
  <c r="I41" i="100" s="1"/>
  <c r="S56" i="31"/>
  <c r="U57" i="31" s="1"/>
  <c r="T57" i="31"/>
  <c r="W10" i="46"/>
  <c r="V18" i="46"/>
  <c r="W23" i="46"/>
  <c r="X23" i="46" s="1"/>
  <c r="D44" i="72" s="1"/>
  <c r="H44" i="100"/>
  <c r="AK44" i="100" s="1"/>
  <c r="K48" i="89"/>
  <c r="J76" i="89"/>
  <c r="E80" i="81" s="1"/>
  <c r="W28" i="46"/>
  <c r="V30" i="46"/>
  <c r="H14" i="100" s="1"/>
  <c r="G80" i="81" l="1"/>
  <c r="H80" i="81"/>
  <c r="X28" i="46"/>
  <c r="X30" i="46" s="1"/>
  <c r="D14" i="72" s="1"/>
  <c r="W30" i="46"/>
  <c r="T48" i="89"/>
  <c r="T76" i="89" s="1"/>
  <c r="L48" i="89"/>
  <c r="K76" i="89"/>
  <c r="X10" i="46"/>
  <c r="X18" i="46" s="1"/>
  <c r="W18" i="46"/>
  <c r="W38" i="46" s="1"/>
  <c r="S12" i="31"/>
  <c r="S69" i="31" s="1"/>
  <c r="S70" i="31" s="1"/>
  <c r="R69" i="31"/>
  <c r="R70" i="31" s="1"/>
  <c r="AK14" i="100"/>
  <c r="V38" i="46"/>
  <c r="H22" i="100"/>
  <c r="AK22" i="100" s="1"/>
  <c r="I75" i="100"/>
  <c r="AK41" i="100"/>
  <c r="E41" i="72" l="1"/>
  <c r="E75" i="72" s="1"/>
  <c r="AK75" i="100"/>
  <c r="D22" i="72"/>
  <c r="D75" i="72" s="1"/>
  <c r="X38" i="46"/>
  <c r="L76" i="89"/>
  <c r="U48" i="89"/>
  <c r="U76" i="89" s="1"/>
  <c r="H75" i="100"/>
  <c r="M23" i="46" l="1"/>
  <c r="N23" i="46" s="1"/>
  <c r="M29" i="46"/>
  <c r="N29" i="46" s="1"/>
  <c r="M14" i="46"/>
  <c r="N14" i="46" s="1"/>
  <c r="M13" i="46"/>
  <c r="N13" i="46" s="1"/>
  <c r="M12" i="46"/>
  <c r="N12" i="46" s="1"/>
  <c r="M11" i="46"/>
  <c r="N11" i="46" s="1"/>
  <c r="M10" i="46"/>
  <c r="I65" i="31"/>
  <c r="J65" i="31" s="1"/>
  <c r="I64" i="31"/>
  <c r="J64" i="31" s="1"/>
  <c r="I63" i="31"/>
  <c r="J63" i="31" s="1"/>
  <c r="I62" i="31"/>
  <c r="J62" i="31" s="1"/>
  <c r="I61" i="31"/>
  <c r="J61" i="31" s="1"/>
  <c r="I60" i="31"/>
  <c r="J60" i="31" s="1"/>
  <c r="I59" i="31"/>
  <c r="J59" i="31" s="1"/>
  <c r="I58" i="31"/>
  <c r="J58" i="31" s="1"/>
  <c r="I57" i="31"/>
  <c r="J57" i="31" s="1"/>
  <c r="I56" i="31"/>
  <c r="J56" i="31" s="1"/>
  <c r="I55" i="31"/>
  <c r="J55" i="31" s="1"/>
  <c r="I54" i="31"/>
  <c r="J54" i="31" s="1"/>
  <c r="I53" i="31"/>
  <c r="J53" i="31" s="1"/>
  <c r="I52" i="31"/>
  <c r="J52" i="31" s="1"/>
  <c r="I51" i="31"/>
  <c r="J51" i="31" s="1"/>
  <c r="I50" i="31"/>
  <c r="J50" i="31" s="1"/>
  <c r="I49" i="31"/>
  <c r="J49" i="31" s="1"/>
  <c r="I48" i="31"/>
  <c r="J48" i="31" s="1"/>
  <c r="I47" i="31"/>
  <c r="J47" i="31" s="1"/>
  <c r="I46" i="31"/>
  <c r="J46" i="31" s="1"/>
  <c r="I45" i="31"/>
  <c r="J45" i="31" s="1"/>
  <c r="I43" i="31"/>
  <c r="J43" i="31" s="1"/>
  <c r="I42" i="31"/>
  <c r="J42" i="31" s="1"/>
  <c r="I41" i="31"/>
  <c r="J41" i="31" s="1"/>
  <c r="I66" i="31"/>
  <c r="J66" i="31" s="1"/>
  <c r="I38" i="31"/>
  <c r="J38" i="31" s="1"/>
  <c r="I37" i="31"/>
  <c r="J37" i="31" s="1"/>
  <c r="I34" i="31"/>
  <c r="J34" i="31" s="1"/>
  <c r="I33" i="31"/>
  <c r="J33" i="31" s="1"/>
  <c r="I32" i="31"/>
  <c r="J32" i="31" s="1"/>
  <c r="I30" i="31"/>
  <c r="J30" i="31" s="1"/>
  <c r="I28" i="31"/>
  <c r="J28" i="31" s="1"/>
  <c r="I27" i="31"/>
  <c r="J27" i="31" s="1"/>
  <c r="I26" i="31"/>
  <c r="J26" i="31" s="1"/>
  <c r="I25" i="31"/>
  <c r="J25" i="31" s="1"/>
  <c r="I24" i="31"/>
  <c r="J24" i="31" s="1"/>
  <c r="I23" i="31"/>
  <c r="J23" i="31" s="1"/>
  <c r="I22" i="31"/>
  <c r="J22" i="31" s="1"/>
  <c r="I21" i="31"/>
  <c r="J21" i="31" s="1"/>
  <c r="I20" i="31"/>
  <c r="J20" i="31" s="1"/>
  <c r="I19" i="31"/>
  <c r="J19" i="31" s="1"/>
  <c r="I15" i="31"/>
  <c r="J15" i="31" s="1"/>
  <c r="I14" i="31"/>
  <c r="J14" i="31" s="1"/>
  <c r="I13" i="31"/>
  <c r="J13" i="31" s="1"/>
  <c r="I12" i="31"/>
  <c r="M16" i="46"/>
  <c r="N16" i="46" s="1"/>
  <c r="M35" i="46"/>
  <c r="N35" i="46" s="1"/>
  <c r="M28" i="46"/>
  <c r="I9" i="31"/>
  <c r="J9" i="31" s="1"/>
  <c r="E75" i="33"/>
  <c r="F75" i="33" s="1"/>
  <c r="E74" i="33"/>
  <c r="F74" i="33" s="1"/>
  <c r="E73" i="33"/>
  <c r="F73" i="33" s="1"/>
  <c r="E72" i="33"/>
  <c r="F72" i="33" s="1"/>
  <c r="E71" i="33"/>
  <c r="F71" i="33" s="1"/>
  <c r="E70" i="33"/>
  <c r="F70" i="33" s="1"/>
  <c r="E69" i="33"/>
  <c r="F69" i="33" s="1"/>
  <c r="E68" i="33"/>
  <c r="F68" i="33" s="1"/>
  <c r="E67" i="33"/>
  <c r="F67" i="33" s="1"/>
  <c r="E66" i="33"/>
  <c r="F66" i="33" s="1"/>
  <c r="E65" i="33"/>
  <c r="F65" i="33" s="1"/>
  <c r="E64" i="33"/>
  <c r="F64" i="33" s="1"/>
  <c r="E63" i="33"/>
  <c r="F63" i="33" s="1"/>
  <c r="E62" i="33"/>
  <c r="F62" i="33" s="1"/>
  <c r="E61" i="33"/>
  <c r="F61" i="33" s="1"/>
  <c r="E60" i="33"/>
  <c r="F60" i="33" s="1"/>
  <c r="E59" i="33"/>
  <c r="F59" i="33" s="1"/>
  <c r="E58" i="33"/>
  <c r="F58" i="33" s="1"/>
  <c r="E57" i="33"/>
  <c r="F57" i="33" s="1"/>
  <c r="E56" i="33"/>
  <c r="F56" i="33" s="1"/>
  <c r="E55" i="33"/>
  <c r="F55" i="33" s="1"/>
  <c r="E54" i="33"/>
  <c r="F54" i="33" s="1"/>
  <c r="E53" i="33"/>
  <c r="F53" i="33" s="1"/>
  <c r="E52" i="33"/>
  <c r="F52" i="33" s="1"/>
  <c r="E51" i="33"/>
  <c r="F51" i="33" s="1"/>
  <c r="E50" i="33"/>
  <c r="F50" i="33" s="1"/>
  <c r="E49" i="33"/>
  <c r="F49" i="33" s="1"/>
  <c r="E48" i="33"/>
  <c r="F48" i="33" s="1"/>
  <c r="E47" i="33"/>
  <c r="F47" i="33" s="1"/>
  <c r="E46" i="33"/>
  <c r="F46" i="33" s="1"/>
  <c r="E45" i="33"/>
  <c r="F45" i="33" s="1"/>
  <c r="E44" i="33"/>
  <c r="F44" i="33" s="1"/>
  <c r="E43" i="33"/>
  <c r="F43" i="33" s="1"/>
  <c r="E42" i="33"/>
  <c r="F42" i="33" s="1"/>
  <c r="E41" i="33"/>
  <c r="F41" i="33" s="1"/>
  <c r="E40" i="33"/>
  <c r="F40" i="33" s="1"/>
  <c r="E39" i="33"/>
  <c r="F39" i="33" s="1"/>
  <c r="E38" i="33"/>
  <c r="F38" i="33" s="1"/>
  <c r="E37" i="33"/>
  <c r="F37" i="33" s="1"/>
  <c r="E36" i="33"/>
  <c r="F36" i="33" s="1"/>
  <c r="E35" i="33"/>
  <c r="F35" i="33" s="1"/>
  <c r="E34" i="33"/>
  <c r="F34" i="33" s="1"/>
  <c r="E33" i="33"/>
  <c r="F33" i="33" s="1"/>
  <c r="E32" i="33"/>
  <c r="F32" i="33" s="1"/>
  <c r="E31" i="33"/>
  <c r="F31" i="33" s="1"/>
  <c r="E30" i="33"/>
  <c r="F30" i="33" s="1"/>
  <c r="E29" i="33"/>
  <c r="F29" i="33" s="1"/>
  <c r="E28" i="33"/>
  <c r="F28" i="33" s="1"/>
  <c r="E27" i="33"/>
  <c r="F27" i="33" s="1"/>
  <c r="E26" i="33"/>
  <c r="F26" i="33" s="1"/>
  <c r="E25" i="33"/>
  <c r="F25" i="33" s="1"/>
  <c r="E24" i="33"/>
  <c r="F24" i="33" s="1"/>
  <c r="E23" i="33"/>
  <c r="F23" i="33" s="1"/>
  <c r="E22" i="33"/>
  <c r="F22" i="33" s="1"/>
  <c r="E21" i="33"/>
  <c r="F21" i="33" s="1"/>
  <c r="E20" i="33"/>
  <c r="F20" i="33" s="1"/>
  <c r="E19" i="33"/>
  <c r="F19" i="33" s="1"/>
  <c r="E18" i="33"/>
  <c r="F18" i="33" s="1"/>
  <c r="E17" i="33"/>
  <c r="F17" i="33" s="1"/>
  <c r="E16" i="33"/>
  <c r="F16" i="33" s="1"/>
  <c r="E15" i="33"/>
  <c r="F15" i="33" s="1"/>
  <c r="E14" i="33"/>
  <c r="F14" i="33" s="1"/>
  <c r="E13" i="33"/>
  <c r="F13" i="33" s="1"/>
  <c r="E12" i="33"/>
  <c r="F12" i="33" s="1"/>
  <c r="E11" i="33"/>
  <c r="F11" i="33" s="1"/>
  <c r="E10" i="33"/>
  <c r="F10" i="33" s="1"/>
  <c r="E9" i="33"/>
  <c r="F9" i="33" s="1"/>
  <c r="E7" i="33"/>
  <c r="AH10" i="33" l="1"/>
  <c r="G10" i="33"/>
  <c r="H10" i="33"/>
  <c r="AH12" i="33"/>
  <c r="G12" i="33"/>
  <c r="H12" i="33"/>
  <c r="AH14" i="33"/>
  <c r="H14" i="33"/>
  <c r="G14" i="33"/>
  <c r="AH16" i="33"/>
  <c r="H16" i="33"/>
  <c r="G16" i="33"/>
  <c r="AH18" i="33"/>
  <c r="G18" i="33"/>
  <c r="H18" i="33"/>
  <c r="AH20" i="33"/>
  <c r="G20" i="33"/>
  <c r="H20" i="33"/>
  <c r="AH22" i="33"/>
  <c r="H22" i="33"/>
  <c r="G22" i="33"/>
  <c r="AH24" i="33"/>
  <c r="H24" i="33"/>
  <c r="G24" i="33"/>
  <c r="AH26" i="33"/>
  <c r="H26" i="33"/>
  <c r="G26" i="33"/>
  <c r="AH28" i="33"/>
  <c r="H28" i="33"/>
  <c r="G28" i="33"/>
  <c r="AH30" i="33"/>
  <c r="H30" i="33"/>
  <c r="G30" i="33"/>
  <c r="AH32" i="33"/>
  <c r="H32" i="33"/>
  <c r="G32" i="33"/>
  <c r="AH34" i="33"/>
  <c r="H34" i="33"/>
  <c r="G34" i="33"/>
  <c r="AH36" i="33"/>
  <c r="G36" i="33"/>
  <c r="H36" i="33"/>
  <c r="AH38" i="33"/>
  <c r="H38" i="33"/>
  <c r="G38" i="33"/>
  <c r="AH40" i="33"/>
  <c r="H40" i="33"/>
  <c r="G40" i="33"/>
  <c r="AH42" i="33"/>
  <c r="G42" i="33"/>
  <c r="H42" i="33"/>
  <c r="AH44" i="33"/>
  <c r="G44" i="33"/>
  <c r="H44" i="33"/>
  <c r="AH46" i="33"/>
  <c r="H46" i="33"/>
  <c r="G46" i="33"/>
  <c r="AH48" i="33"/>
  <c r="H48" i="33"/>
  <c r="G48" i="33"/>
  <c r="AH50" i="33"/>
  <c r="H50" i="33"/>
  <c r="G50" i="33"/>
  <c r="AH52" i="33"/>
  <c r="G52" i="33"/>
  <c r="H52" i="33"/>
  <c r="AH54" i="33"/>
  <c r="H54" i="33"/>
  <c r="G54" i="33"/>
  <c r="AH56" i="33"/>
  <c r="G56" i="33"/>
  <c r="H56" i="33"/>
  <c r="AH58" i="33"/>
  <c r="G58" i="33"/>
  <c r="H58" i="33"/>
  <c r="AH60" i="33"/>
  <c r="G60" i="33"/>
  <c r="H60" i="33"/>
  <c r="AH62" i="33"/>
  <c r="H62" i="33"/>
  <c r="G62" i="33"/>
  <c r="AH64" i="33"/>
  <c r="H64" i="33"/>
  <c r="G64" i="33"/>
  <c r="AH66" i="33"/>
  <c r="H66" i="33"/>
  <c r="G66" i="33"/>
  <c r="AH68" i="33"/>
  <c r="G68" i="33"/>
  <c r="H68" i="33"/>
  <c r="AH70" i="33"/>
  <c r="G70" i="33"/>
  <c r="H70" i="33"/>
  <c r="AH72" i="33"/>
  <c r="H72" i="33"/>
  <c r="G72" i="33"/>
  <c r="AH74" i="33"/>
  <c r="G74" i="33"/>
  <c r="H74" i="33"/>
  <c r="N28" i="46"/>
  <c r="M30" i="46"/>
  <c r="O16" i="46"/>
  <c r="Z16" i="46" s="1"/>
  <c r="Y16" i="46"/>
  <c r="Y11" i="46"/>
  <c r="O11" i="46"/>
  <c r="Z11" i="46" s="1"/>
  <c r="O13" i="46"/>
  <c r="Z13" i="46" s="1"/>
  <c r="Y13" i="46"/>
  <c r="Y29" i="46"/>
  <c r="O29" i="46"/>
  <c r="Z29" i="46" s="1"/>
  <c r="O23" i="46"/>
  <c r="Z23" i="46" s="1"/>
  <c r="Y23" i="46"/>
  <c r="E76" i="33"/>
  <c r="F77" i="33" s="1"/>
  <c r="F7" i="33"/>
  <c r="G9" i="33"/>
  <c r="H9" i="33"/>
  <c r="AH9" i="33"/>
  <c r="G11" i="33"/>
  <c r="H11" i="33"/>
  <c r="AH11" i="33"/>
  <c r="G13" i="33"/>
  <c r="H13" i="33"/>
  <c r="AH13" i="33"/>
  <c r="G15" i="33"/>
  <c r="H15" i="33"/>
  <c r="AH15" i="33"/>
  <c r="H17" i="33"/>
  <c r="G17" i="33"/>
  <c r="AH17" i="33"/>
  <c r="G19" i="33"/>
  <c r="H19" i="33"/>
  <c r="AH19" i="33"/>
  <c r="G21" i="33"/>
  <c r="H21" i="33"/>
  <c r="AH21" i="33"/>
  <c r="G23" i="33"/>
  <c r="H23" i="33"/>
  <c r="AH23" i="33"/>
  <c r="G25" i="33"/>
  <c r="H25" i="33"/>
  <c r="AH25" i="33"/>
  <c r="H27" i="33"/>
  <c r="G27" i="33"/>
  <c r="AH27" i="33"/>
  <c r="G29" i="33"/>
  <c r="H29" i="33"/>
  <c r="AH29" i="33"/>
  <c r="G31" i="33"/>
  <c r="H31" i="33"/>
  <c r="AH31" i="33"/>
  <c r="G33" i="33"/>
  <c r="H33" i="33"/>
  <c r="AH33" i="33"/>
  <c r="G35" i="33"/>
  <c r="H35" i="33"/>
  <c r="AH35" i="33"/>
  <c r="G37" i="33"/>
  <c r="H37" i="33"/>
  <c r="AH37" i="33"/>
  <c r="G39" i="33"/>
  <c r="H39" i="33"/>
  <c r="AH39" i="33"/>
  <c r="H41" i="33"/>
  <c r="G41" i="33"/>
  <c r="AH41" i="33"/>
  <c r="G43" i="33"/>
  <c r="H43" i="33"/>
  <c r="AH43" i="33"/>
  <c r="H45" i="33"/>
  <c r="G45" i="33"/>
  <c r="AH45" i="33"/>
  <c r="G47" i="33"/>
  <c r="H47" i="33"/>
  <c r="AH47" i="33"/>
  <c r="H49" i="33"/>
  <c r="G49" i="33"/>
  <c r="AH49" i="33"/>
  <c r="G51" i="33"/>
  <c r="H51" i="33"/>
  <c r="AH51" i="33"/>
  <c r="H53" i="33"/>
  <c r="G53" i="33"/>
  <c r="AH53" i="33"/>
  <c r="G55" i="33"/>
  <c r="H55" i="33"/>
  <c r="AH55" i="33"/>
  <c r="G57" i="33"/>
  <c r="H57" i="33"/>
  <c r="AH57" i="33"/>
  <c r="G59" i="33"/>
  <c r="H59" i="33"/>
  <c r="AH59" i="33"/>
  <c r="H61" i="33"/>
  <c r="G61" i="33"/>
  <c r="AH61" i="33"/>
  <c r="G63" i="33"/>
  <c r="H63" i="33"/>
  <c r="AH63" i="33"/>
  <c r="H65" i="33"/>
  <c r="G65" i="33"/>
  <c r="AH65" i="33"/>
  <c r="G67" i="33"/>
  <c r="H67" i="33"/>
  <c r="AH67" i="33"/>
  <c r="H69" i="33"/>
  <c r="G69" i="33"/>
  <c r="AH69" i="33"/>
  <c r="G71" i="33"/>
  <c r="H71" i="33"/>
  <c r="AH71" i="33"/>
  <c r="H73" i="33"/>
  <c r="G73" i="33"/>
  <c r="AH73" i="33"/>
  <c r="H75" i="33"/>
  <c r="G75" i="33"/>
  <c r="AH75" i="33"/>
  <c r="Y35" i="46"/>
  <c r="O35" i="46"/>
  <c r="Z35" i="46" s="1"/>
  <c r="J12" i="31"/>
  <c r="J69" i="31" s="1"/>
  <c r="J70" i="31" s="1"/>
  <c r="I69" i="31"/>
  <c r="I70" i="31" s="1"/>
  <c r="N10" i="46"/>
  <c r="Y12" i="46"/>
  <c r="O12" i="46"/>
  <c r="Z12" i="46" s="1"/>
  <c r="Y14" i="46"/>
  <c r="O14" i="46"/>
  <c r="Z14" i="46" s="1"/>
  <c r="M17" i="46"/>
  <c r="N17" i="46" s="1"/>
  <c r="Y17" i="46" l="1"/>
  <c r="O17" i="46"/>
  <c r="Z17" i="46" s="1"/>
  <c r="O10" i="46"/>
  <c r="Y10" i="46"/>
  <c r="Y18" i="46" s="1"/>
  <c r="N18" i="46"/>
  <c r="AI75" i="33"/>
  <c r="C74" i="72" s="1"/>
  <c r="AL74" i="72" s="1"/>
  <c r="BO74" i="72" s="1"/>
  <c r="AM75" i="33"/>
  <c r="AI71" i="33"/>
  <c r="C70" i="72" s="1"/>
  <c r="AL70" i="72" s="1"/>
  <c r="BO70" i="72" s="1"/>
  <c r="AM71" i="33"/>
  <c r="AM69" i="33"/>
  <c r="AI69" i="33"/>
  <c r="C68" i="72" s="1"/>
  <c r="AL68" i="72" s="1"/>
  <c r="BO68" i="72" s="1"/>
  <c r="AM65" i="33"/>
  <c r="AI65" i="33"/>
  <c r="C64" i="72" s="1"/>
  <c r="AL64" i="72" s="1"/>
  <c r="BO64" i="72" s="1"/>
  <c r="AI61" i="33"/>
  <c r="C60" i="72" s="1"/>
  <c r="AL60" i="72" s="1"/>
  <c r="BO60" i="72" s="1"/>
  <c r="AM61" i="33"/>
  <c r="AM57" i="33"/>
  <c r="AI57" i="33"/>
  <c r="C56" i="72" s="1"/>
  <c r="AL56" i="72" s="1"/>
  <c r="BO56" i="72" s="1"/>
  <c r="AM55" i="33"/>
  <c r="AI55" i="33"/>
  <c r="C54" i="72" s="1"/>
  <c r="AL54" i="72" s="1"/>
  <c r="BO54" i="72" s="1"/>
  <c r="AM51" i="33"/>
  <c r="AI51" i="33"/>
  <c r="C50" i="72" s="1"/>
  <c r="AL50" i="72" s="1"/>
  <c r="BO50" i="72" s="1"/>
  <c r="AM49" i="33"/>
  <c r="AI49" i="33"/>
  <c r="C48" i="72" s="1"/>
  <c r="AL48" i="72" s="1"/>
  <c r="BO48" i="72" s="1"/>
  <c r="AI47" i="33"/>
  <c r="C46" i="72" s="1"/>
  <c r="AL46" i="72" s="1"/>
  <c r="BO46" i="72" s="1"/>
  <c r="AM47" i="33"/>
  <c r="AM45" i="33"/>
  <c r="AI45" i="33"/>
  <c r="C44" i="72" s="1"/>
  <c r="AL44" i="72" s="1"/>
  <c r="BO44" i="72" s="1"/>
  <c r="AI43" i="33"/>
  <c r="C42" i="72" s="1"/>
  <c r="AL42" i="72" s="1"/>
  <c r="BO42" i="72" s="1"/>
  <c r="AM43" i="33"/>
  <c r="AM41" i="33"/>
  <c r="AI41" i="33"/>
  <c r="C40" i="72" s="1"/>
  <c r="AL40" i="72" s="1"/>
  <c r="BO40" i="72" s="1"/>
  <c r="AI39" i="33"/>
  <c r="C38" i="72" s="1"/>
  <c r="AL38" i="72" s="1"/>
  <c r="BO38" i="72" s="1"/>
  <c r="AM39" i="33"/>
  <c r="AM37" i="33"/>
  <c r="AI37" i="33"/>
  <c r="C36" i="72" s="1"/>
  <c r="AL36" i="72" s="1"/>
  <c r="BO36" i="72" s="1"/>
  <c r="AI35" i="33"/>
  <c r="C34" i="72" s="1"/>
  <c r="AL34" i="72" s="1"/>
  <c r="BO34" i="72" s="1"/>
  <c r="AM35" i="33"/>
  <c r="AM33" i="33"/>
  <c r="AI33" i="33"/>
  <c r="C32" i="72" s="1"/>
  <c r="AL32" i="72" s="1"/>
  <c r="BO32" i="72" s="1"/>
  <c r="AI31" i="33"/>
  <c r="C30" i="72" s="1"/>
  <c r="AL30" i="72" s="1"/>
  <c r="BO30" i="72" s="1"/>
  <c r="AM31" i="33"/>
  <c r="AI29" i="33"/>
  <c r="C28" i="72" s="1"/>
  <c r="AL28" i="72" s="1"/>
  <c r="BO28" i="72" s="1"/>
  <c r="AM29" i="33"/>
  <c r="AM27" i="33"/>
  <c r="AI27" i="33"/>
  <c r="C26" i="72" s="1"/>
  <c r="AL26" i="72" s="1"/>
  <c r="BO26" i="72" s="1"/>
  <c r="AI25" i="33"/>
  <c r="C24" i="72" s="1"/>
  <c r="AL24" i="72" s="1"/>
  <c r="BO24" i="72" s="1"/>
  <c r="AM25" i="33"/>
  <c r="AM23" i="33"/>
  <c r="AI23" i="33"/>
  <c r="C22" i="72" s="1"/>
  <c r="AL22" i="72" s="1"/>
  <c r="BO22" i="72" s="1"/>
  <c r="AI21" i="33"/>
  <c r="C20" i="72" s="1"/>
  <c r="AL20" i="72" s="1"/>
  <c r="BO20" i="72" s="1"/>
  <c r="AM21" i="33"/>
  <c r="AI19" i="33"/>
  <c r="C18" i="72" s="1"/>
  <c r="AL18" i="72" s="1"/>
  <c r="BO18" i="72" s="1"/>
  <c r="AM19" i="33"/>
  <c r="AI17" i="33"/>
  <c r="C16" i="72" s="1"/>
  <c r="AL16" i="72" s="1"/>
  <c r="BO16" i="72" s="1"/>
  <c r="AM17" i="33"/>
  <c r="AI15" i="33"/>
  <c r="C14" i="72" s="1"/>
  <c r="AL14" i="72" s="1"/>
  <c r="BO14" i="72" s="1"/>
  <c r="AM15" i="33"/>
  <c r="AM13" i="33"/>
  <c r="AI13" i="33"/>
  <c r="C12" i="72" s="1"/>
  <c r="AL12" i="72" s="1"/>
  <c r="BO12" i="72" s="1"/>
  <c r="AM11" i="33"/>
  <c r="AI11" i="33"/>
  <c r="C10" i="72" s="1"/>
  <c r="AL10" i="72" s="1"/>
  <c r="BO10" i="72" s="1"/>
  <c r="AM9" i="33"/>
  <c r="AI9" i="33"/>
  <c r="C8" i="72" s="1"/>
  <c r="AL8" i="72" s="1"/>
  <c r="BO8" i="72" s="1"/>
  <c r="N30" i="46"/>
  <c r="Y28" i="46"/>
  <c r="Y30" i="46" s="1"/>
  <c r="Y38" i="46" s="1"/>
  <c r="O28" i="46"/>
  <c r="AM74" i="33"/>
  <c r="AI74" i="33"/>
  <c r="C73" i="72" s="1"/>
  <c r="AL73" i="72" s="1"/>
  <c r="BO73" i="72" s="1"/>
  <c r="AM72" i="33"/>
  <c r="AI72" i="33"/>
  <c r="C71" i="72" s="1"/>
  <c r="AL71" i="72" s="1"/>
  <c r="BO71" i="72" s="1"/>
  <c r="AI70" i="33"/>
  <c r="C69" i="72" s="1"/>
  <c r="AL69" i="72" s="1"/>
  <c r="BO69" i="72" s="1"/>
  <c r="AM70" i="33"/>
  <c r="AI68" i="33"/>
  <c r="C67" i="72" s="1"/>
  <c r="AL67" i="72" s="1"/>
  <c r="BO67" i="72" s="1"/>
  <c r="AM68" i="33"/>
  <c r="AM66" i="33"/>
  <c r="AI66" i="33"/>
  <c r="C65" i="72" s="1"/>
  <c r="AL65" i="72" s="1"/>
  <c r="BO65" i="72" s="1"/>
  <c r="AI64" i="33"/>
  <c r="C63" i="72" s="1"/>
  <c r="AL63" i="72" s="1"/>
  <c r="BO63" i="72" s="1"/>
  <c r="AM64" i="33"/>
  <c r="AI62" i="33"/>
  <c r="C61" i="72" s="1"/>
  <c r="AL61" i="72" s="1"/>
  <c r="BO61" i="72" s="1"/>
  <c r="AM62" i="33"/>
  <c r="AI60" i="33"/>
  <c r="C59" i="72" s="1"/>
  <c r="AL59" i="72" s="1"/>
  <c r="BO59" i="72" s="1"/>
  <c r="AM60" i="33"/>
  <c r="AI58" i="33"/>
  <c r="C57" i="72" s="1"/>
  <c r="AL57" i="72" s="1"/>
  <c r="BO57" i="72" s="1"/>
  <c r="AM58" i="33"/>
  <c r="AI56" i="33"/>
  <c r="C55" i="72" s="1"/>
  <c r="AL55" i="72" s="1"/>
  <c r="BO55" i="72" s="1"/>
  <c r="AM56" i="33"/>
  <c r="AM54" i="33"/>
  <c r="AI54" i="33"/>
  <c r="C53" i="72" s="1"/>
  <c r="AL53" i="72" s="1"/>
  <c r="BO53" i="72" s="1"/>
  <c r="AI52" i="33"/>
  <c r="C51" i="72" s="1"/>
  <c r="AL51" i="72" s="1"/>
  <c r="BO51" i="72" s="1"/>
  <c r="AM52" i="33"/>
  <c r="AI50" i="33"/>
  <c r="C49" i="72" s="1"/>
  <c r="AL49" i="72" s="1"/>
  <c r="BO49" i="72" s="1"/>
  <c r="AM50" i="33"/>
  <c r="AI48" i="33"/>
  <c r="C47" i="72" s="1"/>
  <c r="AL47" i="72" s="1"/>
  <c r="BO47" i="72" s="1"/>
  <c r="AM48" i="33"/>
  <c r="AM46" i="33"/>
  <c r="AI46" i="33"/>
  <c r="C45" i="72" s="1"/>
  <c r="AL45" i="72" s="1"/>
  <c r="BO45" i="72" s="1"/>
  <c r="AM44" i="33"/>
  <c r="AI44" i="33"/>
  <c r="C43" i="72" s="1"/>
  <c r="AL43" i="72" s="1"/>
  <c r="BO43" i="72" s="1"/>
  <c r="AM42" i="33"/>
  <c r="AI42" i="33"/>
  <c r="C41" i="72" s="1"/>
  <c r="AL41" i="72" s="1"/>
  <c r="BO41" i="72" s="1"/>
  <c r="AM40" i="33"/>
  <c r="AI40" i="33"/>
  <c r="C39" i="72" s="1"/>
  <c r="AL39" i="72" s="1"/>
  <c r="BO39" i="72" s="1"/>
  <c r="AI38" i="33"/>
  <c r="C37" i="72" s="1"/>
  <c r="AL37" i="72" s="1"/>
  <c r="BO37" i="72" s="1"/>
  <c r="AM38" i="33"/>
  <c r="AM36" i="33"/>
  <c r="AI36" i="33"/>
  <c r="C35" i="72" s="1"/>
  <c r="AL35" i="72" s="1"/>
  <c r="BO35" i="72" s="1"/>
  <c r="AI34" i="33"/>
  <c r="C33" i="72" s="1"/>
  <c r="AL33" i="72" s="1"/>
  <c r="BO33" i="72" s="1"/>
  <c r="AM34" i="33"/>
  <c r="AM32" i="33"/>
  <c r="AI32" i="33"/>
  <c r="C31" i="72" s="1"/>
  <c r="AL31" i="72" s="1"/>
  <c r="BO31" i="72" s="1"/>
  <c r="AM30" i="33"/>
  <c r="AI30" i="33"/>
  <c r="C29" i="72" s="1"/>
  <c r="AL29" i="72" s="1"/>
  <c r="BO29" i="72" s="1"/>
  <c r="AM28" i="33"/>
  <c r="AI28" i="33"/>
  <c r="C27" i="72" s="1"/>
  <c r="AL27" i="72" s="1"/>
  <c r="BO27" i="72" s="1"/>
  <c r="AM26" i="33"/>
  <c r="AI26" i="33"/>
  <c r="C25" i="72" s="1"/>
  <c r="AL25" i="72" s="1"/>
  <c r="BO25" i="72" s="1"/>
  <c r="AM24" i="33"/>
  <c r="AI24" i="33"/>
  <c r="C23" i="72" s="1"/>
  <c r="AL23" i="72" s="1"/>
  <c r="BO23" i="72" s="1"/>
  <c r="AI22" i="33"/>
  <c r="C21" i="72" s="1"/>
  <c r="AL21" i="72" s="1"/>
  <c r="BO21" i="72" s="1"/>
  <c r="AM22" i="33"/>
  <c r="AI20" i="33"/>
  <c r="C19" i="72" s="1"/>
  <c r="AL19" i="72" s="1"/>
  <c r="BO19" i="72" s="1"/>
  <c r="AM20" i="33"/>
  <c r="AI18" i="33"/>
  <c r="C17" i="72" s="1"/>
  <c r="AL17" i="72" s="1"/>
  <c r="BO17" i="72" s="1"/>
  <c r="AM18" i="33"/>
  <c r="AI16" i="33"/>
  <c r="C15" i="72" s="1"/>
  <c r="AL15" i="72" s="1"/>
  <c r="BO15" i="72" s="1"/>
  <c r="AM16" i="33"/>
  <c r="AI14" i="33"/>
  <c r="C13" i="72" s="1"/>
  <c r="AL13" i="72" s="1"/>
  <c r="BO13" i="72" s="1"/>
  <c r="AM14" i="33"/>
  <c r="AI12" i="33"/>
  <c r="C11" i="72" s="1"/>
  <c r="AL11" i="72" s="1"/>
  <c r="BO11" i="72" s="1"/>
  <c r="AM12" i="33"/>
  <c r="AI10" i="33"/>
  <c r="C9" i="72" s="1"/>
  <c r="AL9" i="72" s="1"/>
  <c r="BO9" i="72" s="1"/>
  <c r="AM10" i="33"/>
  <c r="AI73" i="33"/>
  <c r="C72" i="72" s="1"/>
  <c r="AL72" i="72" s="1"/>
  <c r="BO72" i="72" s="1"/>
  <c r="AM73" i="33"/>
  <c r="AI67" i="33"/>
  <c r="C66" i="72" s="1"/>
  <c r="AL66" i="72" s="1"/>
  <c r="BO66" i="72" s="1"/>
  <c r="AM67" i="33"/>
  <c r="AM63" i="33"/>
  <c r="AI63" i="33"/>
  <c r="C62" i="72" s="1"/>
  <c r="AL62" i="72" s="1"/>
  <c r="BO62" i="72" s="1"/>
  <c r="AM59" i="33"/>
  <c r="AI59" i="33"/>
  <c r="C58" i="72" s="1"/>
  <c r="AL58" i="72" s="1"/>
  <c r="BO58" i="72" s="1"/>
  <c r="AM53" i="33"/>
  <c r="AI53" i="33"/>
  <c r="C52" i="72" s="1"/>
  <c r="AL52" i="72" s="1"/>
  <c r="BO52" i="72" s="1"/>
  <c r="H7" i="33"/>
  <c r="H76" i="33" s="1"/>
  <c r="F76" i="33"/>
  <c r="E76" i="81" s="1"/>
  <c r="AH7" i="33"/>
  <c r="G7" i="33"/>
  <c r="G76" i="33" s="1"/>
  <c r="M18" i="46"/>
  <c r="M38" i="46" s="1"/>
  <c r="E78" i="81" s="1"/>
  <c r="G78" i="81" l="1"/>
  <c r="H78" i="81"/>
  <c r="H76" i="81"/>
  <c r="G76" i="81"/>
  <c r="E75" i="81"/>
  <c r="C52" i="100"/>
  <c r="AL52" i="100" s="1"/>
  <c r="C62" i="100"/>
  <c r="AL62" i="100" s="1"/>
  <c r="C9" i="100"/>
  <c r="AL9" i="100" s="1"/>
  <c r="C17" i="100"/>
  <c r="AL17" i="100" s="1"/>
  <c r="C19" i="100"/>
  <c r="AL19" i="100" s="1"/>
  <c r="C25" i="100"/>
  <c r="AL25" i="100" s="1"/>
  <c r="C27" i="100"/>
  <c r="AL27" i="100" s="1"/>
  <c r="C29" i="100"/>
  <c r="AL29" i="100" s="1"/>
  <c r="C35" i="100"/>
  <c r="AL35" i="100" s="1"/>
  <c r="C39" i="100"/>
  <c r="AL39" i="100" s="1"/>
  <c r="C43" i="100"/>
  <c r="AL43" i="100" s="1"/>
  <c r="C47" i="100"/>
  <c r="AL47" i="100" s="1"/>
  <c r="C51" i="100"/>
  <c r="AL51" i="100" s="1"/>
  <c r="C59" i="100"/>
  <c r="AL59" i="100" s="1"/>
  <c r="C61" i="100"/>
  <c r="AL61" i="100" s="1"/>
  <c r="C63" i="100"/>
  <c r="AL63" i="100" s="1"/>
  <c r="C67" i="100"/>
  <c r="AL67" i="100" s="1"/>
  <c r="C69" i="100"/>
  <c r="AL69" i="100" s="1"/>
  <c r="C71" i="100"/>
  <c r="AL71" i="100" s="1"/>
  <c r="Z28" i="46"/>
  <c r="Z30" i="46" s="1"/>
  <c r="O30" i="46"/>
  <c r="C10" i="100"/>
  <c r="AL10" i="100" s="1"/>
  <c r="C12" i="100"/>
  <c r="AL12" i="100" s="1"/>
  <c r="C16" i="100"/>
  <c r="AL16" i="100" s="1"/>
  <c r="C18" i="100"/>
  <c r="AL18" i="100" s="1"/>
  <c r="C20" i="100"/>
  <c r="AL20" i="100" s="1"/>
  <c r="C22" i="100"/>
  <c r="AL22" i="100" s="1"/>
  <c r="C26" i="100"/>
  <c r="AL26" i="100" s="1"/>
  <c r="C28" i="100"/>
  <c r="AL28" i="100" s="1"/>
  <c r="C38" i="100"/>
  <c r="AL38" i="100" s="1"/>
  <c r="C40" i="100"/>
  <c r="AL40" i="100" s="1"/>
  <c r="C42" i="100"/>
  <c r="AL42" i="100" s="1"/>
  <c r="C46" i="100"/>
  <c r="AL46" i="100" s="1"/>
  <c r="C48" i="100"/>
  <c r="AL48" i="100" s="1"/>
  <c r="C50" i="100"/>
  <c r="AL50" i="100" s="1"/>
  <c r="C54" i="100"/>
  <c r="AL54" i="100" s="1"/>
  <c r="C56" i="100"/>
  <c r="AL56" i="100" s="1"/>
  <c r="C60" i="100"/>
  <c r="AL60" i="100" s="1"/>
  <c r="C64" i="100"/>
  <c r="AL64" i="100" s="1"/>
  <c r="C70" i="100"/>
  <c r="AL70" i="100" s="1"/>
  <c r="O18" i="46"/>
  <c r="O38" i="46" s="1"/>
  <c r="Z10" i="46"/>
  <c r="Z18" i="46" s="1"/>
  <c r="Z38" i="46" s="1"/>
  <c r="N38" i="46"/>
  <c r="AI7" i="33"/>
  <c r="AH76" i="33"/>
  <c r="AM7" i="33"/>
  <c r="C58" i="100"/>
  <c r="AL58" i="100" s="1"/>
  <c r="C66" i="100"/>
  <c r="AL66" i="100" s="1"/>
  <c r="C72" i="100"/>
  <c r="AL72" i="100" s="1"/>
  <c r="C11" i="100"/>
  <c r="AL11" i="100" s="1"/>
  <c r="C13" i="100"/>
  <c r="AL13" i="100" s="1"/>
  <c r="C15" i="100"/>
  <c r="AL15" i="100" s="1"/>
  <c r="C21" i="100"/>
  <c r="AL21" i="100" s="1"/>
  <c r="C23" i="100"/>
  <c r="AL23" i="100" s="1"/>
  <c r="C31" i="100"/>
  <c r="AL31" i="100" s="1"/>
  <c r="C33" i="100"/>
  <c r="AL33" i="100" s="1"/>
  <c r="C37" i="100"/>
  <c r="AL37" i="100" s="1"/>
  <c r="C41" i="100"/>
  <c r="AL41" i="100" s="1"/>
  <c r="C45" i="100"/>
  <c r="AL45" i="100" s="1"/>
  <c r="C49" i="100"/>
  <c r="AL49" i="100" s="1"/>
  <c r="C53" i="100"/>
  <c r="AL53" i="100" s="1"/>
  <c r="C55" i="100"/>
  <c r="AL55" i="100" s="1"/>
  <c r="C57" i="100"/>
  <c r="AL57" i="100" s="1"/>
  <c r="C65" i="100"/>
  <c r="AL65" i="100" s="1"/>
  <c r="C73" i="100"/>
  <c r="AL73" i="100" s="1"/>
  <c r="C8" i="100"/>
  <c r="AL8" i="100" s="1"/>
  <c r="C14" i="100"/>
  <c r="AL14" i="100" s="1"/>
  <c r="C24" i="100"/>
  <c r="AL24" i="100" s="1"/>
  <c r="C30" i="100"/>
  <c r="AL30" i="100" s="1"/>
  <c r="C32" i="100"/>
  <c r="AL32" i="100" s="1"/>
  <c r="C34" i="100"/>
  <c r="AL34" i="100" s="1"/>
  <c r="C36" i="100"/>
  <c r="AL36" i="100" s="1"/>
  <c r="C44" i="100"/>
  <c r="AL44" i="100" s="1"/>
  <c r="C68" i="100"/>
  <c r="AL68" i="100" s="1"/>
  <c r="C74" i="100"/>
  <c r="AL74" i="100" s="1"/>
  <c r="H75" i="81" l="1"/>
  <c r="G75" i="81"/>
  <c r="AM76" i="33"/>
  <c r="C6" i="100"/>
  <c r="C6" i="72"/>
  <c r="AI76" i="33"/>
  <c r="C75" i="72" l="1"/>
  <c r="AL77" i="72" s="1"/>
  <c r="AL6" i="72"/>
  <c r="C75" i="100"/>
  <c r="AL77" i="100" s="1"/>
  <c r="AL6" i="100"/>
  <c r="AL75" i="100" s="1"/>
  <c r="AL75" i="72" l="1"/>
  <c r="BO77" i="72" s="1"/>
  <c r="BO6" i="72"/>
  <c r="BO75" i="72" s="1"/>
  <c r="E53" i="81" l="1"/>
  <c r="G53" i="81" s="1"/>
  <c r="E74" i="81" l="1"/>
  <c r="H53" i="81"/>
  <c r="E50" i="81"/>
  <c r="G74" i="81" l="1"/>
  <c r="E94" i="81"/>
  <c r="H74" i="81"/>
  <c r="E54" i="81"/>
  <c r="H50" i="81"/>
  <c r="G50" i="81"/>
  <c r="G94" i="81" l="1"/>
  <c r="H94" i="81"/>
  <c r="E96" i="81"/>
  <c r="G96" i="81" l="1"/>
</calcChain>
</file>

<file path=xl/sharedStrings.xml><?xml version="1.0" encoding="utf-8"?>
<sst xmlns="http://schemas.openxmlformats.org/spreadsheetml/2006/main" count="8430" uniqueCount="1458">
  <si>
    <t>Pay Raise
&amp; Insurance
Supplement
Amounts
from Prior
Years</t>
  </si>
  <si>
    <t>FY2006/07
Hold 
Harmless 
Amount</t>
  </si>
  <si>
    <t>School 
System</t>
  </si>
  <si>
    <t>AD VALOREM 
CONSTITUTIONAL TAX</t>
  </si>
  <si>
    <t>COMBINED 
SALES 
PERCENT</t>
  </si>
  <si>
    <t>SALES
REVENUE 
(NON-DEBT)</t>
  </si>
  <si>
    <t>SALES 
REVENUE 
(DEBT)</t>
  </si>
  <si>
    <t>PARISH 
MILL 
RATE</t>
  </si>
  <si>
    <t>DIST 
MILL 
LOW</t>
  </si>
  <si>
    <t>DIST 
MILL 
HIGH</t>
  </si>
  <si>
    <t># 
OF 
DISTS.</t>
  </si>
  <si>
    <t>DIST 
REVENUE 
AMOUNT</t>
  </si>
  <si>
    <t>PARISH 
REVENUE 
AMOUNT</t>
  </si>
  <si>
    <t>TOTAL AVG. 
MILL RATE 
(NON DEBT)</t>
  </si>
  <si>
    <t>TOTAL AVG.
MILL RATE 
(DEBT)</t>
  </si>
  <si>
    <t>REVENUE
DISTRICT 
INCL. DEBT</t>
  </si>
  <si>
    <t>REVENUE
PARISHWIDE
INCL. DEBT</t>
  </si>
  <si>
    <t>PARISHWIDE  
MILLAGE 
INCL. DEBT</t>
  </si>
  <si>
    <t>TOTAL AVG.
MILL RATE 
INCLUDING
DEBT</t>
  </si>
  <si>
    <t>DEBT 
RATE</t>
  </si>
  <si>
    <t>% 
Change</t>
  </si>
  <si>
    <t>col. 34+col.30+col. 26</t>
  </si>
  <si>
    <t>set by resolution</t>
  </si>
  <si>
    <t>col. 5 + col. 7 + col. 11</t>
  </si>
  <si>
    <t>col. 14 + col. 18</t>
  </si>
  <si>
    <t>La. Tax Commission Tables 41 &amp; 43</t>
  </si>
  <si>
    <t>(col. 26/ col. 3)*1000</t>
  </si>
  <si>
    <t>col. 30/ col 27</t>
  </si>
  <si>
    <t>col. 28/ col. 31</t>
  </si>
  <si>
    <t>col. 29/ col. 31</t>
  </si>
  <si>
    <t>City of Baker</t>
  </si>
  <si>
    <t>Foreign Language Associates</t>
  </si>
  <si>
    <t>Zachary Community</t>
  </si>
  <si>
    <t>col. 4 + col. 6 + col 13</t>
  </si>
  <si>
    <t>col. 5 + col. 7 + col 14</t>
  </si>
  <si>
    <t>col. 11 + col. 18</t>
  </si>
  <si>
    <t>(col. 19/ col. 3)*1000</t>
  </si>
  <si>
    <t>(col. 12/ col. 3)*1000</t>
  </si>
  <si>
    <t>SUMMARY OF AD VALOREM TAXES</t>
  </si>
  <si>
    <t>AFR-kpc 62220 col. 3</t>
  </si>
  <si>
    <t>AFR-kpc 62220 col. 4</t>
  </si>
  <si>
    <t>AFR-kpc 62320 col. 3</t>
  </si>
  <si>
    <t>AFR-kpc 62320 col. 4</t>
  </si>
  <si>
    <t>AFR-kpc 62320 col. 5</t>
  </si>
  <si>
    <t>AFR-kpc 62320 col. 6</t>
  </si>
  <si>
    <t>AFR-kpc 62320 col. 7</t>
  </si>
  <si>
    <t>AFR-kpc 62320 col. 8</t>
  </si>
  <si>
    <t>AFR-kpc 62620 col. 3</t>
  </si>
  <si>
    <t>AFR-kpc 62620 col. 4</t>
  </si>
  <si>
    <t>AFR-kpc 62620 col. 5</t>
  </si>
  <si>
    <t>AFR-kpc 62620 col. 6</t>
  </si>
  <si>
    <t>AFR-kpc 62620 col. 7</t>
  </si>
  <si>
    <t>AFR-kpc 62620 col. 8</t>
  </si>
  <si>
    <t>AD VALOREM RENEWABLE TAXES</t>
  </si>
  <si>
    <t>DEBT SERVICE TAXES</t>
  </si>
  <si>
    <t>TOTAL AD VALOREM TAXES         (DEBT)</t>
  </si>
  <si>
    <t>PARISH REVENUE AMOUNT</t>
  </si>
  <si>
    <t>DIST. MILL LOW</t>
  </si>
  <si>
    <t>DIST. MILL HIGH</t>
  </si>
  <si>
    <t># OF DISTS.</t>
  </si>
  <si>
    <t>("Table 7 state total col. 25" x "Tbl 7 col. 3") / 1000</t>
  </si>
  <si>
    <t>"Table 7 total col. 27" * "Tbl 7 col. 31"</t>
  </si>
  <si>
    <t>Input from SIS</t>
  </si>
  <si>
    <t>K.</t>
  </si>
  <si>
    <t>Foreign Associate Teacher Stipends</t>
  </si>
  <si>
    <t>See 
Table 2</t>
  </si>
  <si>
    <t>col.13 x Tbl 3, col.1 (Oct 1 membership)</t>
  </si>
  <si>
    <t>If col 14 &gt;col. 15 then col. 15, otherwise col. 14</t>
  </si>
  <si>
    <t>AFR-kpc 63320 col.3</t>
  </si>
  <si>
    <t>AFR kpc 63320 col.4</t>
  </si>
  <si>
    <t>Input from LANSER</t>
  </si>
  <si>
    <t>Input from ASR</t>
  </si>
  <si>
    <t>SUMMARY OF SALES TAXES</t>
  </si>
  <si>
    <t>Col.31 X 5%</t>
  </si>
  <si>
    <t>Col.5a X  60%</t>
  </si>
  <si>
    <t>Per HCR 235</t>
  </si>
  <si>
    <t>SIS</t>
  </si>
  <si>
    <t>AFR kpcs (50% of 1210, 1220) 8231, 8232, 8233, 8234, 8240, 14200, 14300, 14400</t>
  </si>
  <si>
    <t>Col.35 / Tab.3 col.1</t>
  </si>
  <si>
    <t>Recovery School District Funding</t>
  </si>
  <si>
    <t>Sitecode</t>
  </si>
  <si>
    <t>RSD Chartered</t>
  </si>
  <si>
    <t>Total RSD Chartered</t>
  </si>
  <si>
    <t>TOTAL RSD 
(Operated + Chartered)</t>
  </si>
  <si>
    <t xml:space="preserve">Percent 
State </t>
  </si>
  <si>
    <t>O.</t>
  </si>
  <si>
    <t>Adjustments</t>
  </si>
  <si>
    <t>P.</t>
  </si>
  <si>
    <t>Total 
Stipends
for Foreign
Associate
Teachers</t>
  </si>
  <si>
    <t>See Table 2</t>
  </si>
  <si>
    <t xml:space="preserve">COMPUTED SALES
TAX BASE with GROWTH CAP OF </t>
  </si>
  <si>
    <t>STATE TOTAL</t>
  </si>
  <si>
    <t>COMPUTED SALES TAX BASE</t>
  </si>
  <si>
    <t>NON-DEBT RATE</t>
  </si>
  <si>
    <t>Hide</t>
  </si>
  <si>
    <t>Acadia</t>
  </si>
  <si>
    <t>Allen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</si>
  <si>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</si>
  <si>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</si>
  <si>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</si>
  <si>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</si>
  <si>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</si>
  <si>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</si>
  <si>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</si>
  <si>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</si>
  <si>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Caldwell</t>
  </si>
  <si>
    <t>Cameron</t>
  </si>
  <si>
    <t>Catahoula</t>
  </si>
  <si>
    <t>Claiborne</t>
  </si>
  <si>
    <t>Concordia</t>
  </si>
  <si>
    <t>DeSoto</t>
  </si>
  <si>
    <t>East Baton Rouge</t>
  </si>
  <si>
    <t>East Carroll</t>
  </si>
  <si>
    <t>East Feliciana</t>
  </si>
  <si>
    <t>Evangeline</t>
  </si>
  <si>
    <t>Franklin</t>
  </si>
  <si>
    <t>Grant</t>
  </si>
  <si>
    <t>Iberia</t>
  </si>
  <si>
    <t>Iberville</t>
  </si>
  <si>
    <t>Jackson</t>
  </si>
  <si>
    <t>Jefferson</t>
  </si>
  <si>
    <t>Jefferson Davis</t>
  </si>
  <si>
    <t>Lafayette</t>
  </si>
  <si>
    <t>Lafourche</t>
  </si>
  <si>
    <t>LaSalle</t>
  </si>
  <si>
    <t>Lincoln</t>
  </si>
  <si>
    <t>Livingston</t>
  </si>
  <si>
    <t>Madison</t>
  </si>
  <si>
    <t>Morehouse</t>
  </si>
  <si>
    <t>Natchitoches</t>
  </si>
  <si>
    <t>Orleans</t>
  </si>
  <si>
    <t>Ouachita</t>
  </si>
  <si>
    <t>Plaquemines</t>
  </si>
  <si>
    <t>Pointe Coupee</t>
  </si>
  <si>
    <t>Rapides</t>
  </si>
  <si>
    <t>Red River</t>
  </si>
  <si>
    <t>Richland</t>
  </si>
  <si>
    <t>Sabine</t>
  </si>
  <si>
    <t>St. Bernard</t>
  </si>
  <si>
    <t>St. Charles</t>
  </si>
  <si>
    <t>St. Helena</t>
  </si>
  <si>
    <t>St. James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</si>
  <si>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</si>
  <si>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</si>
  <si>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</si>
  <si>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</si>
  <si>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</si>
  <si>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</si>
  <si>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</si>
  <si>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Union</t>
  </si>
  <si>
    <t>Vermilion</t>
  </si>
  <si>
    <t>Vernon</t>
  </si>
  <si>
    <t>Washington</t>
  </si>
  <si>
    <t>Webster</t>
  </si>
  <si>
    <t>West Baton Rouge</t>
  </si>
  <si>
    <t>West Carroll</t>
  </si>
  <si>
    <t>West Feliciana</t>
  </si>
  <si>
    <t>Winn</t>
  </si>
  <si>
    <t>City of Monroe</t>
  </si>
  <si>
    <t>City of Bogalusa</t>
  </si>
  <si>
    <t>STATE TOTALS</t>
  </si>
  <si>
    <t>Level 1 Base Per Pupil Amount</t>
  </si>
  <si>
    <t>1.</t>
  </si>
  <si>
    <t>2.</t>
  </si>
  <si>
    <t>3.</t>
  </si>
  <si>
    <t>4.</t>
  </si>
  <si>
    <t>5.</t>
  </si>
  <si>
    <t>6.</t>
  </si>
  <si>
    <t>Total Level 1 State and Local Costs (A X B)</t>
  </si>
  <si>
    <t>Level 2 Eligible Local Revenue</t>
  </si>
  <si>
    <t>A.</t>
  </si>
  <si>
    <t>B.</t>
  </si>
  <si>
    <t>C.</t>
  </si>
  <si>
    <t>D.</t>
  </si>
  <si>
    <t>E.</t>
  </si>
  <si>
    <t>G.</t>
  </si>
  <si>
    <t>H.</t>
  </si>
  <si>
    <t>I.</t>
  </si>
  <si>
    <t>J.</t>
  </si>
  <si>
    <t>M.</t>
  </si>
  <si>
    <t xml:space="preserve">TOTAL </t>
  </si>
  <si>
    <t>MFP Formula Items</t>
  </si>
  <si>
    <t xml:space="preserve">Economy-of-Scale Weight Factor </t>
  </si>
  <si>
    <t>Total Local Revenues in MFP</t>
  </si>
  <si>
    <t>Average Equivalent Millage Rate</t>
  </si>
  <si>
    <t>Average Equivalent Sales Tax Rate</t>
  </si>
  <si>
    <t>Property Tax Revenue</t>
  </si>
  <si>
    <t>Sales Tax Revenue</t>
  </si>
  <si>
    <t>7.</t>
  </si>
  <si>
    <t>Other Revenues Considered</t>
  </si>
  <si>
    <t>LEA</t>
  </si>
  <si>
    <t xml:space="preserve">cols. + 2+  3 + 4 + 5 + 6 </t>
  </si>
  <si>
    <t>AFR kpc 63320 col. 5</t>
  </si>
  <si>
    <t>if col 1 is less than 7500, then 7500 less col 1, otherwise 0</t>
  </si>
  <si>
    <t>col 6a / 37,500 max of 20% (7,500/37,500)</t>
  </si>
  <si>
    <t>col. 6b x  col. 1</t>
  </si>
  <si>
    <t>col. 8 x col. 9</t>
  </si>
  <si>
    <t>col. 1 + col. 7</t>
  </si>
  <si>
    <t>School</t>
  </si>
  <si>
    <t>Mandated Cost Adjustment ($100)</t>
  </si>
  <si>
    <t>Rank</t>
  </si>
  <si>
    <t>Level 3 State Funding for Foreign Associate Teachers</t>
  </si>
  <si>
    <t>St. John the Baptist</t>
  </si>
  <si>
    <t>MFP Simulation Summary (6-11-07)</t>
  </si>
  <si>
    <t>F.</t>
  </si>
  <si>
    <t>Table 3, total of col.33</t>
  </si>
  <si>
    <t>R.S. 17:350.21 Lab School Funding</t>
  </si>
  <si>
    <t>TABLE 1: STATE LEVEL COMPARISON</t>
  </si>
  <si>
    <t xml:space="preserve">
COMPUTED SALES 
TAX BASE
 PERCENT CHANGE</t>
  </si>
  <si>
    <t xml:space="preserve">Economy-of-Scale 
Weighted 
Add-On Units </t>
  </si>
  <si>
    <t>ELIGIBLE
 LOCAL REVENUE
 LEVEL 2</t>
  </si>
  <si>
    <t xml:space="preserve"> Local Deduction (Property, Sales &amp; Other Revenue)(continued)</t>
  </si>
  <si>
    <t>For Information Only</t>
  </si>
  <si>
    <t>Central Community</t>
  </si>
  <si>
    <t>% Change</t>
  </si>
  <si>
    <t xml:space="preserve">TOTAL
LEVEL 1
COSTS </t>
  </si>
  <si>
    <t xml:space="preserve">Local Revenue
 Limit on 
Level 2 State Support </t>
  </si>
  <si>
    <t>MFP 
State Average
 Per Pupil (L1,L2+L3)</t>
  </si>
  <si>
    <t>Projected Yield of Sales Tax Rate of</t>
  </si>
  <si>
    <t xml:space="preserve">Projected Yield of Property Tax Millage Rate of </t>
  </si>
  <si>
    <t>11a</t>
  </si>
  <si>
    <t>3a</t>
  </si>
  <si>
    <t>3b</t>
  </si>
  <si>
    <t>3c</t>
  </si>
  <si>
    <t>Hold Harmless (Total)</t>
  </si>
  <si>
    <t>TOTAL AD VALOREM TAXES
(NON DEBT)</t>
  </si>
  <si>
    <t xml:space="preserve">Rank
</t>
  </si>
  <si>
    <t>Local Revenue as Percent of Total State and Local</t>
  </si>
  <si>
    <t>Table 6:  Calculation of the Local Deduction</t>
  </si>
  <si>
    <t>Per Pupil based on February 1 Membership</t>
  </si>
  <si>
    <t>Remaining
Hold 
Harmless
(FY2007/08)</t>
  </si>
  <si>
    <t>Total Net Assessed Property (capped at 10%)</t>
  </si>
  <si>
    <t>Total Est. Sales Tax Base (capped at 15%)</t>
  </si>
  <si>
    <t xml:space="preserve">Level 2 State Support </t>
  </si>
  <si>
    <t>Orleans Parish School Board</t>
  </si>
  <si>
    <t xml:space="preserve">Total Weighted 
Add-On 
Students
and/or Units </t>
  </si>
  <si>
    <t xml:space="preserve">Total 
Weighted
Membership
and/or Units </t>
  </si>
  <si>
    <t>DIST. 
REVENUE 
AMOUNT</t>
  </si>
  <si>
    <t>Stipend for First Year Foreign Associate Teachers</t>
  </si>
  <si>
    <t>Stipend for Second and Third Year Foreign Associate Teachers</t>
  </si>
  <si>
    <t>East Baton Rouge Parish School Board</t>
  </si>
  <si>
    <t>Lincoln Parish School Board</t>
  </si>
  <si>
    <t>Ouachita Parish School Board</t>
  </si>
  <si>
    <t>Union Parish School Board</t>
  </si>
  <si>
    <t>for Livingston</t>
  </si>
  <si>
    <t>ECONOMY-
OF-SCALE 
PERCENT 
SUPPORT</t>
  </si>
  <si>
    <t>ECONOMY-OF-SCALE:
If &lt; 7500, then 
7500 less 
February
Membership</t>
  </si>
  <si>
    <t>*</t>
  </si>
  <si>
    <t>Total Revenue 
(for Use in MFP Level 1 and 2)</t>
  </si>
  <si>
    <t>Local Deduction (Property, Sales &amp; Other Revenue)</t>
  </si>
  <si>
    <t>Other Revenue</t>
  </si>
  <si>
    <t>(actual revenues using rates)</t>
  </si>
  <si>
    <t>local deduct percentage calculation</t>
  </si>
  <si>
    <r>
      <t>LSU</t>
    </r>
    <r>
      <rPr>
        <sz val="10"/>
        <rFont val="Arial"/>
        <family val="2"/>
      </rPr>
      <t xml:space="preserve">
Lab. School</t>
    </r>
  </si>
  <si>
    <r>
      <t>Southern Univ.</t>
    </r>
    <r>
      <rPr>
        <sz val="10"/>
        <rFont val="Arial"/>
        <family val="2"/>
      </rPr>
      <t xml:space="preserve">
Lab. School</t>
    </r>
  </si>
  <si>
    <t>School
System</t>
  </si>
  <si>
    <t>Adjustments Due to Student, 
CAFR/AFR and PEP Audits</t>
  </si>
  <si>
    <t>Due 
District
(+)</t>
  </si>
  <si>
    <t>Due 
State
(-)</t>
  </si>
  <si>
    <t>Per Pupil 
Amount</t>
  </si>
  <si>
    <t xml:space="preserve">Actual 
Sales and Property
Tax Revenues
(Including Debt) 
Plus Other Revenue </t>
  </si>
  <si>
    <t xml:space="preserve">Local Revenue
Over
Level 1 </t>
  </si>
  <si>
    <t xml:space="preserve">Local Revenue 
Under Level 1 </t>
  </si>
  <si>
    <t>Per Pupil
Amount</t>
  </si>
  <si>
    <t>Plus/(Minus) Prior Year Adjustments - LSU/SU Lab Schools</t>
  </si>
  <si>
    <t>Total Type 5 Charters 
East Baton Rouge Parish</t>
  </si>
  <si>
    <t>Total Type 5 Charters 
Caddo Parish</t>
  </si>
  <si>
    <t>Total RSD LA</t>
  </si>
  <si>
    <t>See
Table 2</t>
  </si>
  <si>
    <t>Total 
Local Deduction
(sales,prop,
other)</t>
  </si>
  <si>
    <r>
      <t xml:space="preserve">N.O. College Prep Academies
</t>
    </r>
    <r>
      <rPr>
        <sz val="11"/>
        <rFont val="Futura Lt BT"/>
        <family val="2"/>
      </rPr>
      <t>(N. O. College Prep /S. Williams)</t>
    </r>
  </si>
  <si>
    <r>
      <t xml:space="preserve">Broadmoor Charter
</t>
    </r>
    <r>
      <rPr>
        <sz val="11"/>
        <rFont val="Futura Lt BT"/>
        <family val="2"/>
      </rPr>
      <t xml:space="preserve"> (Andrew H. Wilson/Mc #7)</t>
    </r>
  </si>
  <si>
    <r>
      <t xml:space="preserve">KIPP New Orleans
</t>
    </r>
    <r>
      <rPr>
        <sz val="11"/>
        <rFont val="Futura Lt BT"/>
        <family val="2"/>
      </rPr>
      <t>(KIPP Central City Academy)</t>
    </r>
  </si>
  <si>
    <r>
      <t xml:space="preserve">KIPP New Orleans
</t>
    </r>
    <r>
      <rPr>
        <sz val="11"/>
        <rFont val="Futura Lt BT"/>
        <family val="2"/>
      </rPr>
      <t>(Edward Phillips/Kipp Believe)</t>
    </r>
  </si>
  <si>
    <r>
      <t xml:space="preserve">KIPP New Orleans
</t>
    </r>
    <r>
      <rPr>
        <sz val="11"/>
        <rFont val="Futura Lt BT"/>
        <family val="2"/>
      </rPr>
      <t>(McDonogh #15)</t>
    </r>
  </si>
  <si>
    <r>
      <t xml:space="preserve">Instititute of Academic Excellence,
</t>
    </r>
    <r>
      <rPr>
        <sz val="11"/>
        <rFont val="Futura Lt BT"/>
        <family val="2"/>
      </rPr>
      <t>SUNO  (Sophie B. Wright)</t>
    </r>
  </si>
  <si>
    <r>
      <t xml:space="preserve">Algiers Charter School Assoc. 
</t>
    </r>
    <r>
      <rPr>
        <sz val="11"/>
        <rFont val="Futura Lt BT"/>
        <family val="2"/>
      </rPr>
      <t>(ACSA Tech High at Rosenwald)</t>
    </r>
  </si>
  <si>
    <r>
      <t xml:space="preserve">Algiers Charter School Assoc. 
</t>
    </r>
    <r>
      <rPr>
        <sz val="11"/>
        <rFont val="Futura Lt BT"/>
        <family val="2"/>
      </rPr>
      <t>(Martin Behrman)</t>
    </r>
  </si>
  <si>
    <r>
      <t xml:space="preserve">Algiers Charter School Assoc. 
</t>
    </r>
    <r>
      <rPr>
        <sz val="11"/>
        <rFont val="Futura Lt BT"/>
        <family val="2"/>
      </rPr>
      <t>(Dwight D. Eisenhower)</t>
    </r>
  </si>
  <si>
    <r>
      <t xml:space="preserve">Algiers Charter School Assoc. 
</t>
    </r>
    <r>
      <rPr>
        <sz val="11"/>
        <rFont val="Futura Lt BT"/>
        <family val="2"/>
      </rPr>
      <t>(William J. Fischer)</t>
    </r>
  </si>
  <si>
    <r>
      <t xml:space="preserve">Algiers Charter School Assoc.
</t>
    </r>
    <r>
      <rPr>
        <sz val="11"/>
        <rFont val="Futura Lt BT"/>
        <family val="2"/>
      </rPr>
      <t xml:space="preserve"> (McDonogh #32)</t>
    </r>
  </si>
  <si>
    <r>
      <t xml:space="preserve">Algiers Charter School Assoc.
</t>
    </r>
    <r>
      <rPr>
        <sz val="11"/>
        <rFont val="Futura Lt BT"/>
        <family val="2"/>
      </rPr>
      <t>(O. P. Walker Sr. High)</t>
    </r>
  </si>
  <si>
    <r>
      <t xml:space="preserve">Choice Foundation
</t>
    </r>
    <r>
      <rPr>
        <sz val="11"/>
        <rFont val="Futura Lt BT"/>
        <family val="2"/>
      </rPr>
      <t>(Lafayette Academy)</t>
    </r>
  </si>
  <si>
    <r>
      <t xml:space="preserve">New Orleans Charter School Fdtn.
</t>
    </r>
    <r>
      <rPr>
        <sz val="11"/>
        <rFont val="Futura Lt BT"/>
        <family val="2"/>
      </rPr>
      <t xml:space="preserve"> (Mc #28 City Park)</t>
    </r>
  </si>
  <si>
    <r>
      <t xml:space="preserve">Friends of King 
</t>
    </r>
    <r>
      <rPr>
        <sz val="11"/>
        <rFont val="Futura Lt BT"/>
        <family val="2"/>
      </rPr>
      <t>(Martin Luther King Elem.)</t>
    </r>
  </si>
  <si>
    <r>
      <t xml:space="preserve">New Beginnings, UNO 
</t>
    </r>
    <r>
      <rPr>
        <sz val="11"/>
        <rFont val="Futura Lt BT"/>
        <family val="2"/>
      </rPr>
      <t>(Medard Nelson)</t>
    </r>
  </si>
  <si>
    <r>
      <t xml:space="preserve">New Beginnings, UNO 
</t>
    </r>
    <r>
      <rPr>
        <sz val="11"/>
        <rFont val="Futura Lt BT"/>
        <family val="2"/>
      </rPr>
      <t>(Capdau without Early College H.S.)</t>
    </r>
  </si>
  <si>
    <t xml:space="preserve">     Prior Year Pay Raise/Insurance Supplements</t>
  </si>
  <si>
    <t xml:space="preserve">     Remaining Hold Harmless</t>
  </si>
  <si>
    <t xml:space="preserve">     Redistribution of Hold Harmless Phase-out</t>
  </si>
  <si>
    <t>Q.</t>
  </si>
  <si>
    <t>Total OPSB + RSD + DOE</t>
  </si>
  <si>
    <t>Total EBR Parish + 
RSD Charters</t>
  </si>
  <si>
    <t>Plus/(Minus) Prior Year Adjustments - RSD</t>
  </si>
  <si>
    <t>Mid-Year - Normal Student Growth</t>
  </si>
  <si>
    <t>R.</t>
  </si>
  <si>
    <t>001</t>
  </si>
  <si>
    <t>003</t>
  </si>
  <si>
    <t>004</t>
  </si>
  <si>
    <t>006</t>
  </si>
  <si>
    <t>007</t>
  </si>
  <si>
    <t>008</t>
  </si>
  <si>
    <t>009</t>
  </si>
  <si>
    <t>010</t>
  </si>
  <si>
    <t>011</t>
  </si>
  <si>
    <t>017</t>
  </si>
  <si>
    <t>019</t>
  </si>
  <si>
    <t>021</t>
  </si>
  <si>
    <t>022</t>
  </si>
  <si>
    <t>023</t>
  </si>
  <si>
    <t>024</t>
  </si>
  <si>
    <t>025</t>
  </si>
  <si>
    <t>026</t>
  </si>
  <si>
    <t>028</t>
  </si>
  <si>
    <t>029</t>
  </si>
  <si>
    <t>031</t>
  </si>
  <si>
    <t>032</t>
  </si>
  <si>
    <t>034</t>
  </si>
  <si>
    <t>035</t>
  </si>
  <si>
    <t>036</t>
  </si>
  <si>
    <t>037</t>
  </si>
  <si>
    <t>038</t>
  </si>
  <si>
    <t>039</t>
  </si>
  <si>
    <t>040</t>
  </si>
  <si>
    <t>042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</si>
  <si>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</si>
  <si>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</si>
  <si>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</si>
  <si>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</si>
  <si>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</si>
  <si>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</si>
  <si>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</si>
  <si>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</si>
  <si>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</si>
  <si>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</si>
  <si>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055</t>
  </si>
  <si>
    <t>056</t>
  </si>
  <si>
    <t>057</t>
  </si>
  <si>
    <t>059</t>
  </si>
  <si>
    <t>061</t>
  </si>
  <si>
    <t>065</t>
  </si>
  <si>
    <t>066</t>
  </si>
  <si>
    <t>068</t>
  </si>
  <si>
    <t>389002</t>
  </si>
  <si>
    <t>TIF Revenues</t>
  </si>
  <si>
    <t>Includes</t>
  </si>
  <si>
    <r>
      <t xml:space="preserve">New Beginnings, UNO
</t>
    </r>
    <r>
      <rPr>
        <sz val="11"/>
        <rFont val="Futura Lt BT"/>
        <family val="2"/>
      </rPr>
      <t>(Thurgood Marshall Early College HS)</t>
    </r>
  </si>
  <si>
    <r>
      <t xml:space="preserve">Miller-McCoy Academy
</t>
    </r>
    <r>
      <rPr>
        <sz val="11"/>
        <rFont val="Futura Lt BT"/>
        <family val="2"/>
      </rPr>
      <t>(Miller-McCoy Academy)</t>
    </r>
  </si>
  <si>
    <r>
      <t>KIPP New Orleans, Inc.
(</t>
    </r>
    <r>
      <rPr>
        <sz val="11"/>
        <rFont val="Futura Lt BT"/>
        <family val="2"/>
      </rPr>
      <t>Kipp Renaissance High School)</t>
    </r>
  </si>
  <si>
    <r>
      <t xml:space="preserve">KIPP New Orleans, Inc.
</t>
    </r>
    <r>
      <rPr>
        <sz val="11"/>
        <rFont val="Futura Lt BT"/>
        <family val="2"/>
      </rPr>
      <t>Kipp N. O. Leadership Academy)</t>
    </r>
  </si>
  <si>
    <r>
      <t xml:space="preserve">KIPP New Orleans, Inc.
</t>
    </r>
    <r>
      <rPr>
        <sz val="11"/>
        <rFont val="Futura Lt BT"/>
        <family val="2"/>
      </rPr>
      <t>(Kipp Central City Primary)</t>
    </r>
  </si>
  <si>
    <t>Firstline Schools, Inc.
(Samuel J. Green)</t>
  </si>
  <si>
    <r>
      <t xml:space="preserve">Firstline Schools, Inc.
</t>
    </r>
    <r>
      <rPr>
        <sz val="11"/>
        <rFont val="Futura Lt BT"/>
        <family val="2"/>
      </rPr>
      <t>(N. O. Charter Middle at Ashe)</t>
    </r>
  </si>
  <si>
    <r>
      <t xml:space="preserve">Firstline Schools, Inc.
</t>
    </r>
    <r>
      <rPr>
        <sz val="11"/>
        <rFont val="Futura Lt BT"/>
        <family val="2"/>
      </rPr>
      <t>(Dibert School)</t>
    </r>
  </si>
  <si>
    <r>
      <t xml:space="preserve">ReNew Schools
</t>
    </r>
    <r>
      <rPr>
        <sz val="11"/>
        <rFont val="Futura Lt BT"/>
        <family val="2"/>
      </rPr>
      <t>(Live Oak Elementary)</t>
    </r>
  </si>
  <si>
    <r>
      <t xml:space="preserve">ReNew Schools
</t>
    </r>
    <r>
      <rPr>
        <sz val="11"/>
        <rFont val="Futura Lt BT"/>
        <family val="2"/>
      </rPr>
      <t>(Laurel Elementary)</t>
    </r>
  </si>
  <si>
    <r>
      <t xml:space="preserve">Pelican Foundation
</t>
    </r>
    <r>
      <rPr>
        <sz val="11"/>
        <rFont val="Arial"/>
        <family val="2"/>
      </rPr>
      <t>(Kenilworth Middle)</t>
    </r>
  </si>
  <si>
    <r>
      <t xml:space="preserve">Shreveport Charter, Inc.
</t>
    </r>
    <r>
      <rPr>
        <sz val="11"/>
        <rFont val="Arial"/>
        <family val="2"/>
      </rPr>
      <t>(Linwood M iddle)</t>
    </r>
  </si>
  <si>
    <t>L.</t>
  </si>
  <si>
    <t>Office of Juvenile Justice</t>
  </si>
  <si>
    <t>SCHOOL 
SYSTEM</t>
  </si>
  <si>
    <t>Per Pupil Amount
Adjusted for
 Year-Round
School</t>
  </si>
  <si>
    <t>Per Pupil Amount
Adjusted for
 Year-Round
School and 
50% Special Ed</t>
  </si>
  <si>
    <t>MFP 
Budget Ltr</t>
  </si>
  <si>
    <t>col 2 X 1.3164</t>
  </si>
  <si>
    <t>col 3 + $1,470</t>
  </si>
  <si>
    <t>col 1 X col 4</t>
  </si>
  <si>
    <t>MFP
Budget Ltr</t>
  </si>
  <si>
    <t>Includes Continuation of FY2007/08 and FY08-09 Pay Raise</t>
  </si>
  <si>
    <t>**</t>
  </si>
  <si>
    <t>State Average is used in the calculation of students with prior residency of "Out of State" or "Unknown"</t>
  </si>
  <si>
    <t xml:space="preserve">Note:  </t>
  </si>
  <si>
    <t>The State may have to fund the local portion of students identified as being from out of the state</t>
  </si>
  <si>
    <t>(=56/177))</t>
  </si>
  <si>
    <t>Special Ed Students on 2/1/09 (state)</t>
  </si>
  <si>
    <t>base students 2/1/09 (state)</t>
  </si>
  <si>
    <t>percentage special ed students to base students (state average)</t>
  </si>
  <si>
    <t>weigted add on special ed students 2/1/09</t>
  </si>
  <si>
    <t>total weighted students 2/1/09</t>
  </si>
  <si>
    <t>percentage special ed add on students to total weighted students</t>
  </si>
  <si>
    <t>total Level 1 and Level 2 state dollars</t>
  </si>
  <si>
    <t>Total L1 &amp; L2 dollars time 14.1%</t>
  </si>
  <si>
    <t>For 14% to increase to 50%, that is a 3572% increase</t>
  </si>
  <si>
    <t>14.1% of L1 &amp; L2 dolalrs x 354%</t>
  </si>
  <si>
    <t>base students on 2/1/09</t>
  </si>
  <si>
    <t>per pupil amount of special ed funding</t>
  </si>
  <si>
    <t>minus per pupil amount of original special ed funding ($375,552,036/650,290)</t>
  </si>
  <si>
    <t>Per pupil amount to increase funding for OJJ per pupil amounts</t>
  </si>
  <si>
    <t xml:space="preserve">Increase 
Cost 
Adjustment </t>
  </si>
  <si>
    <t>Continuation of
Prior Year
Pay Raises</t>
  </si>
  <si>
    <t>Continuation of Prior Year Pay Raises</t>
  </si>
  <si>
    <t>Continuation 
of
Prior Year
Pay Raises</t>
  </si>
  <si>
    <t>Mandated Cost 
Adjustment</t>
  </si>
  <si>
    <t>Continuation 
of 
Prior Year
Pay 
Raises</t>
  </si>
  <si>
    <t>Continuation of Prior Year 
Pay Raises</t>
  </si>
  <si>
    <t>Prior Year Pay Raises (FY01-02 through FY08-09)</t>
  </si>
  <si>
    <t xml:space="preserve">
Continuation
of
Prior Year 
Pay Raises
(FY2001-02 
through
FY2008-09)
Per Pupil
Amount</t>
  </si>
  <si>
    <t>Continuation
of Prior Year 
Pay Raises
(FY2001-02 
through
FY2008-09)
Per Pupil
Amount</t>
  </si>
  <si>
    <t>Continuation
of
Prior Year 
Pay Raises
(FY2001-02 
through
FY2008-09)
Per Pupil
Amount</t>
  </si>
  <si>
    <r>
      <t xml:space="preserve">New Beginnings, UNO
</t>
    </r>
    <r>
      <rPr>
        <sz val="11"/>
        <rFont val="Futura Lt BT"/>
        <family val="2"/>
      </rPr>
      <t>Gentilly Terrace Charter School</t>
    </r>
  </si>
  <si>
    <r>
      <t xml:space="preserve">Continuation of Prior Year Pay Raises
</t>
    </r>
    <r>
      <rPr>
        <b/>
        <sz val="10"/>
        <color indexed="18"/>
        <rFont val="Arial"/>
        <family val="2"/>
      </rPr>
      <t>(2001-02 Certificated, 2002-03 Support Worker, 
2006-07 Certificated and Support Worker,
2007-08 Certificated and Support Worker, and
FY2008-09 Certificated)</t>
    </r>
  </si>
  <si>
    <r>
      <t xml:space="preserve">
Level 3 State 
Funding 
</t>
    </r>
    <r>
      <rPr>
        <b/>
        <sz val="10"/>
        <color indexed="10"/>
        <rFont val="Arial"/>
        <family val="2"/>
      </rPr>
      <t xml:space="preserve">without
</t>
    </r>
    <r>
      <rPr>
        <b/>
        <sz val="10"/>
        <color indexed="18"/>
        <rFont val="Arial"/>
        <family val="2"/>
      </rPr>
      <t>Continuation 
of Prior Year
Pay Raises</t>
    </r>
  </si>
  <si>
    <r>
      <t xml:space="preserve">
Level 3 
State 
Funding
</t>
    </r>
    <r>
      <rPr>
        <b/>
        <sz val="10"/>
        <color indexed="10"/>
        <rFont val="Arial"/>
        <family val="2"/>
      </rPr>
      <t xml:space="preserve">with 
Continuation of
 Prior Year
Pay Raises </t>
    </r>
  </si>
  <si>
    <t>State Funds 
(with Continuation of Prior Year Pay Raises)
as Percent 
of Total State
and Local</t>
  </si>
  <si>
    <t>Without Continuation of Prior Year Pay Raises</t>
  </si>
  <si>
    <t>With Continuation of Prior Year Pay Raises</t>
  </si>
  <si>
    <t>Total Students Funded through the MFP</t>
  </si>
  <si>
    <t xml:space="preserve">     LSU and Southern Lab Schools</t>
  </si>
  <si>
    <t xml:space="preserve">     Office of Juvenile Justice</t>
  </si>
  <si>
    <t>Plus/(Minus) Prior Year Adjustments - City/Parish Schools</t>
  </si>
  <si>
    <r>
      <t xml:space="preserve">
</t>
    </r>
    <r>
      <rPr>
        <sz val="12"/>
        <rFont val="Arial"/>
        <family val="2"/>
      </rPr>
      <t>Pointe Coupee Parish
School Board</t>
    </r>
  </si>
  <si>
    <t xml:space="preserve">
Caddo Parish School Board</t>
  </si>
  <si>
    <t>East Baton Rouge 
Parish School Board</t>
  </si>
  <si>
    <t>St. Helena Parish 
School Board</t>
  </si>
  <si>
    <t>Total Pointe Coupee
Parish + RSD Charters</t>
  </si>
  <si>
    <t>Total Caddo Parish + RSD Charters</t>
  </si>
  <si>
    <t>Total St. Helena Parish
+ RSD LA Operated</t>
  </si>
  <si>
    <t>RSD LA Operated
St. Helena Central Middle</t>
  </si>
  <si>
    <t xml:space="preserve">LSU Lab. School </t>
  </si>
  <si>
    <r>
      <t>Southern Univ. Lab. School</t>
    </r>
    <r>
      <rPr>
        <sz val="12"/>
        <rFont val="Arial Narrow"/>
        <family val="2"/>
      </rPr>
      <t xml:space="preserve"> </t>
    </r>
  </si>
  <si>
    <r>
      <t xml:space="preserve">Spirit of Excellence Academy
</t>
    </r>
    <r>
      <rPr>
        <sz val="11"/>
        <rFont val="Futura Lt BT"/>
        <family val="2"/>
      </rPr>
      <t>(Spirit of Exc. Academy)(Harney)</t>
    </r>
  </si>
  <si>
    <t xml:space="preserve">Other Local School System Funding </t>
  </si>
  <si>
    <r>
      <t xml:space="preserve">State </t>
    </r>
    <r>
      <rPr>
        <b/>
        <sz val="10"/>
        <color indexed="18"/>
        <rFont val="Arial"/>
        <family val="2"/>
      </rPr>
      <t xml:space="preserve">
Admin 
Fee to
Dept. of
Education
(.25%)</t>
    </r>
  </si>
  <si>
    <t>Total 
State 
Allocation 
minus Admin.
Fee 
+/- Audit
Adjustments</t>
  </si>
  <si>
    <r>
      <rPr>
        <b/>
        <sz val="10"/>
        <color indexed="18"/>
        <rFont val="Arial"/>
        <family val="2"/>
      </rPr>
      <t>Local</t>
    </r>
    <r>
      <rPr>
        <b/>
        <sz val="10"/>
        <color indexed="18"/>
        <rFont val="Arial"/>
        <family val="2"/>
      </rPr>
      <t xml:space="preserve">
Admin 
Fee to
</t>
    </r>
    <r>
      <rPr>
        <b/>
        <sz val="10"/>
        <color indexed="18"/>
        <rFont val="Arial"/>
        <family val="2"/>
      </rPr>
      <t>Dept.</t>
    </r>
    <r>
      <rPr>
        <b/>
        <sz val="10"/>
        <color indexed="18"/>
        <rFont val="Arial"/>
        <family val="2"/>
      </rPr>
      <t xml:space="preserve"> of
Education
(.25%)</t>
    </r>
  </si>
  <si>
    <t>L
E
A</t>
  </si>
  <si>
    <t>col 11 ÷ 12</t>
  </si>
  <si>
    <t>Redistribution
of Hold Harmless 
Phase-out
(FY2007/08 - FY2011/12)</t>
  </si>
  <si>
    <t>LA School for Math, Science &amp; the Arts (LSMSA)</t>
  </si>
  <si>
    <t xml:space="preserve">     LA School for Math, Science and the Arts (LSMSA)</t>
  </si>
  <si>
    <t xml:space="preserve">     New Orleans Center for Creative Arts (NOCCA)</t>
  </si>
  <si>
    <t>New Orleans Center for Creative Arts (NOCCA)(full-day students)</t>
  </si>
  <si>
    <t>S.</t>
  </si>
  <si>
    <t>T.</t>
  </si>
  <si>
    <r>
      <t xml:space="preserve">Arise Academy
</t>
    </r>
    <r>
      <rPr>
        <sz val="11"/>
        <rFont val="Futura Lt BT"/>
        <family val="2"/>
      </rPr>
      <t>(Arise Academy)</t>
    </r>
  </si>
  <si>
    <t>Success Preparatory Academy
(Success Prep)</t>
  </si>
  <si>
    <r>
      <t xml:space="preserve">Choice Foundation 
</t>
    </r>
    <r>
      <rPr>
        <sz val="11"/>
        <rFont val="Futura Lt BT"/>
        <family val="2"/>
      </rPr>
      <t>(Esperanza/Crossman)</t>
    </r>
  </si>
  <si>
    <r>
      <t>RSD LA Operated
(</t>
    </r>
    <r>
      <rPr>
        <sz val="11"/>
        <rFont val="Arial"/>
        <family val="2"/>
      </rPr>
      <t>Linear Middle)</t>
    </r>
  </si>
  <si>
    <t>3960xx</t>
  </si>
  <si>
    <t>036xxx</t>
  </si>
  <si>
    <t>Calcasieu Parish School Board</t>
  </si>
  <si>
    <t>Per SIS</t>
  </si>
  <si>
    <t>State Admin Fee</t>
  </si>
  <si>
    <t>Admin.
Fee
to
RSD</t>
  </si>
  <si>
    <t>Admin.
Fee
to 
LDOE</t>
  </si>
  <si>
    <t>Total
Admin.  
Fee</t>
  </si>
  <si>
    <t>Site
Code</t>
  </si>
  <si>
    <t>Local Admin Fee</t>
  </si>
  <si>
    <t>RSD Operated (Orleans Only)</t>
  </si>
  <si>
    <t>FY10-11
Audit 
Adjustments</t>
  </si>
  <si>
    <t>Jefferson Parish School Board</t>
  </si>
  <si>
    <t>St. Tammany Parish School Board</t>
  </si>
  <si>
    <t>orleans decreased 54,750</t>
  </si>
  <si>
    <t>8.</t>
  </si>
  <si>
    <t>V.</t>
  </si>
  <si>
    <t>First Year Non-Legacy Type 2 Charter Schools</t>
  </si>
  <si>
    <t>* does not include First Year Non-Legacy Type 2 Charters</t>
  </si>
  <si>
    <t>Non-Legacy Type 2 Charters (Not 1st Year)</t>
  </si>
  <si>
    <t>ReNew Schools*
(K-8 Charter School/Sarah Reed)</t>
  </si>
  <si>
    <t xml:space="preserve">     Years 1 - 4/Years 1 - 5 Reduction of Remaining Hold Harmless</t>
  </si>
  <si>
    <t xml:space="preserve">Legacy Type 2 Charter Schools </t>
  </si>
  <si>
    <t>Plus/(Minus) Prior Year Adjustments - Non-Legacy Type 2 Charters</t>
  </si>
  <si>
    <t>Calculation for Prior Year Pay Raises</t>
  </si>
  <si>
    <r>
      <t xml:space="preserve">LA Dept. of Education
</t>
    </r>
    <r>
      <rPr>
        <sz val="12"/>
        <rFont val="Arial"/>
        <family val="2"/>
      </rPr>
      <t>Administrative Fee (.25%)</t>
    </r>
  </si>
  <si>
    <r>
      <t xml:space="preserve">RSD LA
</t>
    </r>
    <r>
      <rPr>
        <sz val="12"/>
        <rFont val="Arial"/>
        <family val="2"/>
      </rPr>
      <t>Administrative Fee (1.75%)</t>
    </r>
  </si>
  <si>
    <t>Firstline Schools, Inc.*
(Firstline H.S. Charter)(Clark)</t>
  </si>
  <si>
    <t>N/A</t>
  </si>
  <si>
    <t>Greater Gentilly H.S.</t>
  </si>
  <si>
    <r>
      <t xml:space="preserve">
 State 
Per Pupil 
Levels
1, 2 &amp; 3
</t>
    </r>
    <r>
      <rPr>
        <sz val="10"/>
        <color indexed="18"/>
        <rFont val="Arial"/>
        <family val="2"/>
      </rPr>
      <t>(90%)</t>
    </r>
    <r>
      <rPr>
        <b/>
        <sz val="10"/>
        <color indexed="18"/>
        <rFont val="Arial"/>
        <family val="2"/>
      </rPr>
      <t xml:space="preserve">
(per Budget 
Letter)</t>
    </r>
  </si>
  <si>
    <r>
      <t xml:space="preserve">Continuation
of
Prior Year
Pay 
Raises
</t>
    </r>
    <r>
      <rPr>
        <sz val="10"/>
        <color indexed="18"/>
        <rFont val="Arial"/>
        <family val="2"/>
      </rPr>
      <t>(90%)</t>
    </r>
  </si>
  <si>
    <t>Total LAVCA</t>
  </si>
  <si>
    <t>TOTAL LAVCA and
LA Dept. of Education</t>
  </si>
  <si>
    <t>LA. Dept. of Ed. Admin Fee</t>
  </si>
  <si>
    <t>TOTAL LA Connections &amp;
LA Dept. of Education</t>
  </si>
  <si>
    <t xml:space="preserve">Total LA Connections </t>
  </si>
  <si>
    <r>
      <t xml:space="preserve">July ONLY:
Local
Admin Fee
Payable 
to DOE
(.25%)
RSD LA
</t>
    </r>
    <r>
      <rPr>
        <sz val="10"/>
        <color indexed="18"/>
        <rFont val="Arial"/>
        <family val="2"/>
      </rPr>
      <t>(Table 5B-2,
column 17)</t>
    </r>
  </si>
  <si>
    <r>
      <t xml:space="preserve">July ONLY:
Local
Admin Fee
Payable 
to RSD
(1.75%)
RSD LA
</t>
    </r>
    <r>
      <rPr>
        <sz val="10"/>
        <color indexed="18"/>
        <rFont val="Arial"/>
        <family val="2"/>
      </rPr>
      <t>(Table 5B-2,
column 16)</t>
    </r>
  </si>
  <si>
    <t>Plus/(Minus) Prior Year Adjustments - Legacy Type 2 Charters</t>
  </si>
  <si>
    <t>ReNew Schools*
(ReNew Accel. H.S., City Park)</t>
  </si>
  <si>
    <t>ReNew Schools*
(ReNew Accel. H.S., West Bank)</t>
  </si>
  <si>
    <t>St. Landry Parish School Board</t>
  </si>
  <si>
    <t>Concordia Parish School Board</t>
  </si>
  <si>
    <t>LSMSA</t>
  </si>
  <si>
    <r>
      <t xml:space="preserve">MFP State Share of Educational Cost 
</t>
    </r>
    <r>
      <rPr>
        <b/>
        <sz val="10"/>
        <color indexed="18"/>
        <rFont val="Arial"/>
        <family val="2"/>
      </rPr>
      <t>Based on Estimated 10.1.11 Residency Data</t>
    </r>
  </si>
  <si>
    <t>NOCCA</t>
  </si>
  <si>
    <t>New Vision
(Not in a District Bldg)</t>
  </si>
  <si>
    <t>Glencoe
(Not in a District Bldg)</t>
  </si>
  <si>
    <t>Avoyelles
(Not in a District Bldg)</t>
  </si>
  <si>
    <t>Delhi
(Not in a District Bldg)</t>
  </si>
  <si>
    <t>Belle Chasse
(Not in a District Bldg)</t>
  </si>
  <si>
    <t>Milestone SABIS
(Not in a District Bldg)</t>
  </si>
  <si>
    <t>The MAX
(Not in a District Bldg)</t>
  </si>
  <si>
    <t>Continuation
of
Prior
Year
Pay Raises</t>
  </si>
  <si>
    <t>col 3 + col 4</t>
  </si>
  <si>
    <t>col 1 x
per pupil</t>
  </si>
  <si>
    <t>Crescent City Schools, Inc.
(Crescent City School)(Tubman)</t>
  </si>
  <si>
    <t>Comm. Leaders Adv. Student Suc
(Fannie C. Williams)</t>
  </si>
  <si>
    <t>Future is Now
(John McDonogh Senior H.S.)</t>
  </si>
  <si>
    <t>Friends of King
(Joseph A. Craig)</t>
  </si>
  <si>
    <t>Collegiate Academies
(Collegiate Academy 2)</t>
  </si>
  <si>
    <t>N. O. College Prep
(Cohen College Prep)</t>
  </si>
  <si>
    <r>
      <t xml:space="preserve">Choice Foundation (Takeover)
</t>
    </r>
    <r>
      <rPr>
        <sz val="11"/>
        <rFont val="Futura Lt BT"/>
        <family val="2"/>
      </rPr>
      <t xml:space="preserve"> (McDonogh #42)</t>
    </r>
  </si>
  <si>
    <t>FY11-12
Audit 
Adjustments</t>
  </si>
  <si>
    <t xml:space="preserve">Local
Admin
Fee
</t>
  </si>
  <si>
    <t xml:space="preserve">To Be Distributed as Rewards </t>
  </si>
  <si>
    <t>col 6 / 12</t>
  </si>
  <si>
    <t>col 6 +
 col 9</t>
  </si>
  <si>
    <t>W.</t>
  </si>
  <si>
    <t>X.</t>
  </si>
  <si>
    <t>LA School for the Deaf and Visually Impaired (LSDVI)</t>
  </si>
  <si>
    <t>State
Admin Fee
to the 
Dept. of
Education</t>
  </si>
  <si>
    <t>col 5 X .25%</t>
  </si>
  <si>
    <t>Local
Admin Fee
to the 
Dept. of
Educaton</t>
  </si>
  <si>
    <t>col 5 + col 6</t>
  </si>
  <si>
    <t>col 7 ÷ 12</t>
  </si>
  <si>
    <t>Y.</t>
  </si>
  <si>
    <t>SSD</t>
  </si>
  <si>
    <t>Special School District (SSD)</t>
  </si>
  <si>
    <t>U.</t>
  </si>
  <si>
    <t>Grand Total State</t>
  </si>
  <si>
    <t>Z.</t>
  </si>
  <si>
    <t xml:space="preserve">
Pay Raise
Continuation
</t>
  </si>
  <si>
    <t>LA School for the Deaf and Visually Impaired 
(LSDVI)</t>
  </si>
  <si>
    <t>State Payment of 
Local Share for
Students Living on Base</t>
  </si>
  <si>
    <t>Actual Cost of Tuition</t>
  </si>
  <si>
    <t>Transfers</t>
  </si>
  <si>
    <t>1.  RSD</t>
  </si>
  <si>
    <t>2. Non-Legacy Type 2 Charter Transfers (Not 1st Year)</t>
  </si>
  <si>
    <t>3. Legacy Type 2 Charters</t>
  </si>
  <si>
    <t>4. LA School for the Deaf and Visually Impaired (LSDVI)</t>
  </si>
  <si>
    <t>5. Special School District (SSD)</t>
  </si>
  <si>
    <t>NOTE:  RSD Orleans is funded using the RSD's Differentiated Funding Formula for Special Education Students</t>
  </si>
  <si>
    <t>col 1 X col 2</t>
  </si>
  <si>
    <t>col 3 X col 4</t>
  </si>
  <si>
    <t>col 3 x
per pupil</t>
  </si>
  <si>
    <t>col 7 X .25%</t>
  </si>
  <si>
    <t>col 7 + col 8</t>
  </si>
  <si>
    <t>col 9 ÷ 12</t>
  </si>
  <si>
    <t>col 1   X 
col 11</t>
  </si>
  <si>
    <t>col 14 +
col 15</t>
  </si>
  <si>
    <t>col 16 ÷ 12</t>
  </si>
  <si>
    <t>col 9 +
 col 16</t>
  </si>
  <si>
    <t>col 10 +
col 17</t>
  </si>
  <si>
    <t>Allocation for Lab Schools</t>
  </si>
  <si>
    <t>School System</t>
  </si>
  <si>
    <t>Acadia Parish School Board</t>
  </si>
  <si>
    <t>Allen Parish School Board</t>
  </si>
  <si>
    <t>Ascension Parish School Board</t>
  </si>
  <si>
    <t>Assumption Parish School Board</t>
  </si>
  <si>
    <t>Avoyelles Parish School Board</t>
  </si>
  <si>
    <t>Beauregard Parish School Board</t>
  </si>
  <si>
    <t>Bienville Parish School Board</t>
  </si>
  <si>
    <t>Bossier Parish School Board</t>
  </si>
  <si>
    <t>Caddo Parish School Board</t>
  </si>
  <si>
    <t>Caldwell Parish School Board</t>
  </si>
  <si>
    <t>Cameron Parish School Board</t>
  </si>
  <si>
    <t>Catahoula Parish School Board</t>
  </si>
  <si>
    <t>Claiborne Parish School Board</t>
  </si>
  <si>
    <t>DeSoto Parish School Board</t>
  </si>
  <si>
    <t>East Carroll Parish School Board</t>
  </si>
  <si>
    <t>East Feliciana Parish School Board</t>
  </si>
  <si>
    <t>Evangeline Parish School Board</t>
  </si>
  <si>
    <t>Franklin Parish School Board</t>
  </si>
  <si>
    <t>Grant Parish School Board</t>
  </si>
  <si>
    <t>Iberia Parish School Board</t>
  </si>
  <si>
    <t>Iberville Parish School Board</t>
  </si>
  <si>
    <t>Jackson Parish School Board</t>
  </si>
  <si>
    <t>Jefferson Davis Parish School Board</t>
  </si>
  <si>
    <t>Lafayette Parish School Board</t>
  </si>
  <si>
    <t>Lafourche Parish School Board</t>
  </si>
  <si>
    <t>LaSalle Parish School Board</t>
  </si>
  <si>
    <t>Livingston Parish School Board</t>
  </si>
  <si>
    <t>Madison Parish School Board</t>
  </si>
  <si>
    <t>Morehouse Parish School Board</t>
  </si>
  <si>
    <t>Natchitoches Parish School Board</t>
  </si>
  <si>
    <t>Plaquemines Parish School Board</t>
  </si>
  <si>
    <t>Pointe Coupee Parish School Board</t>
  </si>
  <si>
    <t>Rapides Parish School Board</t>
  </si>
  <si>
    <t>Red River Parish School Board</t>
  </si>
  <si>
    <t>Richland Parish School Board</t>
  </si>
  <si>
    <t>Sabine Parish School Board</t>
  </si>
  <si>
    <t>St. Bernard Parish School Board</t>
  </si>
  <si>
    <t>St. Charles Parish School Board</t>
  </si>
  <si>
    <t>St. Helena Parish School Board</t>
  </si>
  <si>
    <t>St. James Parish School Board</t>
  </si>
  <si>
    <t>St. John the Baptist Parish School Board</t>
  </si>
  <si>
    <t>St. Martin Parish School Board</t>
  </si>
  <si>
    <t>St. Mary Parish School Board</t>
  </si>
  <si>
    <t>Tangipahoa Parish School Board</t>
  </si>
  <si>
    <t>Tensas Parish School Board</t>
  </si>
  <si>
    <t>Terrebonne Parish School Board</t>
  </si>
  <si>
    <t>Vermilion Parish School Board</t>
  </si>
  <si>
    <t>Vernon Parish School Board</t>
  </si>
  <si>
    <t>Washington Parish School Board</t>
  </si>
  <si>
    <t>Webster Parish School Board</t>
  </si>
  <si>
    <t>West Baton Rouge Parish School Board</t>
  </si>
  <si>
    <t>West Carroll Parish School Board</t>
  </si>
  <si>
    <t>West Feliciana Parish School Board</t>
  </si>
  <si>
    <t>Winn Parish School Board</t>
  </si>
  <si>
    <t>City of Monroe School Board</t>
  </si>
  <si>
    <t>City of Bogalusa School Board</t>
  </si>
  <si>
    <t>Zachary Community School Board</t>
  </si>
  <si>
    <t>City of Baker School Board</t>
  </si>
  <si>
    <t>Central Community School Board</t>
  </si>
  <si>
    <t>LEA TOTALS</t>
  </si>
  <si>
    <t>321</t>
  </si>
  <si>
    <t>329</t>
  </si>
  <si>
    <t>331</t>
  </si>
  <si>
    <t>333</t>
  </si>
  <si>
    <t>336</t>
  </si>
  <si>
    <t>337</t>
  </si>
  <si>
    <t>339</t>
  </si>
  <si>
    <t>340</t>
  </si>
  <si>
    <t>Lake Charles Charter Academy</t>
  </si>
  <si>
    <t xml:space="preserve">  b.</t>
  </si>
  <si>
    <t xml:space="preserve">  c.</t>
  </si>
  <si>
    <t xml:space="preserve">  d.</t>
  </si>
  <si>
    <t xml:space="preserve">  e.</t>
  </si>
  <si>
    <t xml:space="preserve">  f.</t>
  </si>
  <si>
    <t xml:space="preserve">  g.</t>
  </si>
  <si>
    <t xml:space="preserve">   a.</t>
  </si>
  <si>
    <t>Ouachita -5,774,612</t>
  </si>
  <si>
    <t>Ouachita + 5,774,612</t>
  </si>
  <si>
    <t>St. James - 12,147</t>
  </si>
  <si>
    <t>St. James - 17,033</t>
  </si>
  <si>
    <t>Out of State</t>
  </si>
  <si>
    <r>
      <t xml:space="preserve">Lagniappe Academies, Inc.
(Lagniappe Academies)
</t>
    </r>
    <r>
      <rPr>
        <sz val="12"/>
        <color rgb="FFFF0000"/>
        <rFont val="Futura Lt BT"/>
        <family val="2"/>
      </rPr>
      <t>Not in a District Building</t>
    </r>
  </si>
  <si>
    <r>
      <t xml:space="preserve">Dryades YMCA
</t>
    </r>
    <r>
      <rPr>
        <sz val="11"/>
        <rFont val="Futura Lt BT"/>
        <family val="2"/>
      </rPr>
      <t xml:space="preserve">(James M. Singleton Charter Middle)
</t>
    </r>
    <r>
      <rPr>
        <sz val="11"/>
        <color rgb="FFFF0000"/>
        <rFont val="Futura Lt BT"/>
        <family val="2"/>
      </rPr>
      <t>Not in a District Building</t>
    </r>
  </si>
  <si>
    <t>Total local
allocation</t>
  </si>
  <si>
    <t>Total local
payment amount</t>
  </si>
  <si>
    <t>Out of state</t>
  </si>
  <si>
    <t>col 1 x
col 2</t>
  </si>
  <si>
    <t>col 1 x
col 4</t>
  </si>
  <si>
    <t>col 3 +
col 5</t>
  </si>
  <si>
    <t>col 6 ÷ 12</t>
  </si>
  <si>
    <t>col 1   X 
col 8</t>
  </si>
  <si>
    <t>col 7 +
col 10</t>
  </si>
  <si>
    <t>Plus/(Minus) Prior Year Adjustments - OJJ</t>
  </si>
  <si>
    <t>9.</t>
  </si>
  <si>
    <t>International
School of LA
(In a District Bldg)</t>
  </si>
  <si>
    <t>col 12 + col 13</t>
  </si>
  <si>
    <t>col 14 + col 15</t>
  </si>
  <si>
    <t>col 7+ col 8</t>
  </si>
  <si>
    <t>col 12 X .25%</t>
  </si>
  <si>
    <t>col 9 + col 10</t>
  </si>
  <si>
    <t>col 1   X 
col 13</t>
  </si>
  <si>
    <t>col 2 X
col 13</t>
  </si>
  <si>
    <t>col 18 + col 19</t>
  </si>
  <si>
    <t>col 11 +
 col 20</t>
  </si>
  <si>
    <t>col 12 +
col 21</t>
  </si>
  <si>
    <t>col 5 +
 col 13</t>
  </si>
  <si>
    <t>col 8 +
col 16</t>
  </si>
  <si>
    <t>col 15 ÷ 12</t>
  </si>
  <si>
    <t>col 13 + col 14</t>
  </si>
  <si>
    <t>col 1 + col 10</t>
  </si>
  <si>
    <t>col 9 ÷
col 11</t>
  </si>
  <si>
    <t>col 1   X 
col 12</t>
  </si>
  <si>
    <t>Continuation of Prior Year  Pay Raises
(FY2001-02 through
FY2008-09) 
90% Per Pupil
Amount</t>
  </si>
  <si>
    <t>Continuation of Prior Year  Pay Raises
(FY2001-02 through
FY2008-09)  
90% Per Pupil
Amount</t>
  </si>
  <si>
    <t>State MFP Appropriation/Executive Budget</t>
  </si>
  <si>
    <t>Estimated need in excess of MFP Appropriation/Executive Budget</t>
  </si>
  <si>
    <t xml:space="preserve">MFP State Share of Educational Cost 
</t>
  </si>
  <si>
    <t>Continuation
of
Prior
Year
Pay Raises
Per Pupil Amount</t>
  </si>
  <si>
    <t>Educators for Quality Alternatives 
(The NET Charter School)</t>
  </si>
  <si>
    <t>Collegiate Academies
(Collegiate Academy 3)</t>
  </si>
  <si>
    <r>
      <t xml:space="preserve">Firstline Schools, Inc.
</t>
    </r>
    <r>
      <rPr>
        <sz val="11"/>
        <rFont val="Futura Lt BT"/>
        <family val="2"/>
      </rPr>
      <t>(Langston Hughes Academy)</t>
    </r>
  </si>
  <si>
    <r>
      <t xml:space="preserve">Lake Charles Charter Academy
(Lake Charles Charter School Assoc., Inc)
</t>
    </r>
    <r>
      <rPr>
        <sz val="11"/>
        <color indexed="18"/>
        <rFont val="Arial"/>
        <family val="2"/>
      </rPr>
      <t>(Site Code 346001)
(Opened 11/12)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</si>
  <si>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t xml:space="preserve">LA Virtual Charter Academy 
(LAVCA)
(Community School of 
Apprenticeship Learning,)
(CSAL)
</t>
    </r>
    <r>
      <rPr>
        <sz val="11"/>
        <color indexed="18"/>
        <rFont val="Arial"/>
        <family val="2"/>
      </rPr>
      <t>(Site Code 343002)
(Opened 11/12)
(Not in a District Bldg.)</t>
    </r>
  </si>
  <si>
    <r>
      <t xml:space="preserve">Louisiana Connections 
Academy
(Friends of LA Connections Academy)
</t>
    </r>
    <r>
      <rPr>
        <sz val="11"/>
        <color indexed="18"/>
        <rFont val="Arial"/>
        <family val="2"/>
      </rPr>
      <t>(Virtual)
(Site Code 345001)
(Opened 11/12)
(Not in a District Bldg.)</t>
    </r>
  </si>
  <si>
    <r>
      <t xml:space="preserve">J. S. Clark Leadership Academy
(Outreach Community Development Corporation)
</t>
    </r>
    <r>
      <rPr>
        <sz val="10"/>
        <color indexed="18"/>
        <rFont val="Arial"/>
        <family val="2"/>
      </rPr>
      <t>(Site Code 349001)</t>
    </r>
    <r>
      <rPr>
        <b/>
        <sz val="10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(Opened 12/13)</t>
    </r>
    <r>
      <rPr>
        <b/>
        <sz val="10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(Not in a District Building)</t>
    </r>
  </si>
  <si>
    <r>
      <t xml:space="preserve">Lycee Francais de la Nouvelle Orleans
(LFNO, Inc.)
</t>
    </r>
    <r>
      <rPr>
        <sz val="11"/>
        <color indexed="18"/>
        <rFont val="Arial"/>
        <family val="2"/>
      </rPr>
      <t>(Site Code 347001)
(Opened 11/12)
(Not in a District Building)</t>
    </r>
  </si>
  <si>
    <r>
      <t xml:space="preserve">New Orleans Military/Maritime Academy
</t>
    </r>
    <r>
      <rPr>
        <sz val="11"/>
        <color indexed="18"/>
        <rFont val="Arial"/>
        <family val="2"/>
      </rPr>
      <t>(Site Code 348001)
(Opened 11/12)
(Not in a District Building)</t>
    </r>
  </si>
  <si>
    <r>
      <t xml:space="preserve">International High School of N. O.
(VIBE:  Voices for Int'l Business &amp; Education)
</t>
    </r>
    <r>
      <rPr>
        <sz val="11"/>
        <color indexed="18"/>
        <rFont val="Arial"/>
        <family val="2"/>
      </rPr>
      <t>(Site Code 344001)
(Opened 10/11)
(In a District Building)</t>
    </r>
    <r>
      <rPr>
        <b/>
        <sz val="11"/>
        <color indexed="18"/>
        <rFont val="Arial"/>
        <family val="2"/>
      </rPr>
      <t xml:space="preserve">
</t>
    </r>
  </si>
  <si>
    <r>
      <t xml:space="preserve">D'Arbonne Woods Charter School, Inc.
(D'Arbonne Woods Charter)
</t>
    </r>
    <r>
      <rPr>
        <sz val="11"/>
        <color indexed="18"/>
        <rFont val="Arial"/>
        <family val="2"/>
      </rPr>
      <t>(Site Code 341001)
(Opened 09/10)
(Not in a District Building)</t>
    </r>
  </si>
  <si>
    <r>
      <t xml:space="preserve">Madison Prep  Academy 
(CSAL:  Community Schools for Apprenticeship 
Learning)
</t>
    </r>
    <r>
      <rPr>
        <sz val="11"/>
        <color indexed="18"/>
        <rFont val="Arial"/>
        <family val="2"/>
      </rPr>
      <t>(Site Code 343001)
(Opened 09/10)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</si>
  <si>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t xml:space="preserve">RSD Operated
</t>
    </r>
    <r>
      <rPr>
        <sz val="11"/>
        <rFont val="Arial"/>
        <family val="2"/>
      </rPr>
      <t>(Lanier Elementary )</t>
    </r>
  </si>
  <si>
    <t>RSD Operated
(Istrouma High School)</t>
  </si>
  <si>
    <r>
      <t xml:space="preserve">RSD Operated
</t>
    </r>
    <r>
      <rPr>
        <sz val="11"/>
        <rFont val="Arial"/>
        <family val="2"/>
      </rPr>
      <t>(Capitol High School)</t>
    </r>
  </si>
  <si>
    <r>
      <t xml:space="preserve">RSD Operated
</t>
    </r>
    <r>
      <rPr>
        <sz val="11"/>
        <rFont val="Arial"/>
        <family val="2"/>
      </rPr>
      <t>(Dalton Elementary)</t>
    </r>
  </si>
  <si>
    <r>
      <t xml:space="preserve">RSD Operated
</t>
    </r>
    <r>
      <rPr>
        <sz val="11"/>
        <rFont val="Arial"/>
        <family val="2"/>
      </rPr>
      <t>(Prescott Middle)</t>
    </r>
  </si>
  <si>
    <r>
      <t xml:space="preserve">RSD Operated
</t>
    </r>
    <r>
      <rPr>
        <sz val="11"/>
        <rFont val="Arial"/>
        <family val="2"/>
      </rPr>
      <t>(Glen Oaks Middle)</t>
    </r>
  </si>
  <si>
    <r>
      <t xml:space="preserve">RSD Operated
</t>
    </r>
    <r>
      <rPr>
        <sz val="11"/>
        <rFont val="Arial"/>
        <family val="2"/>
      </rPr>
      <t>(Pointe Coupee Central High)</t>
    </r>
  </si>
  <si>
    <r>
      <t xml:space="preserve">RSD Operated
</t>
    </r>
    <r>
      <rPr>
        <sz val="11"/>
        <rFont val="Arial"/>
        <family val="2"/>
      </rPr>
      <t>(Crestworth Middle)</t>
    </r>
  </si>
  <si>
    <r>
      <t xml:space="preserve">Southwest LA Charter Academy
(Southwest LA Charter Academy Foundation, Inc.)
</t>
    </r>
    <r>
      <rPr>
        <sz val="10"/>
        <color indexed="18"/>
        <rFont val="Arial"/>
        <family val="2"/>
      </rPr>
      <t>(Site Code 328001)
(Opened 12/13)
(Not in a District Building)</t>
    </r>
  </si>
  <si>
    <t>N.</t>
  </si>
  <si>
    <r>
      <t xml:space="preserve">OPSB
</t>
    </r>
    <r>
      <rPr>
        <sz val="12"/>
        <rFont val="Futura Lt BT"/>
        <family val="2"/>
      </rPr>
      <t xml:space="preserve">Orleans Parish </t>
    </r>
  </si>
  <si>
    <r>
      <t xml:space="preserve">Crescent Leadership Academy
</t>
    </r>
    <r>
      <rPr>
        <sz val="10"/>
        <rFont val="Futura Lt BT"/>
        <family val="2"/>
      </rPr>
      <t xml:space="preserve">(Crescent Leadership Acad./Schwarz)
</t>
    </r>
    <r>
      <rPr>
        <sz val="10"/>
        <color rgb="FFFF0000"/>
        <rFont val="Futura Lt BT"/>
        <family val="2"/>
      </rPr>
      <t>Not in a District Building</t>
    </r>
  </si>
  <si>
    <t>Return 
of 
10%
Per Pupil 
Amount 
to State</t>
  </si>
  <si>
    <t>Crescent City Schools, Inc.
(Akili Academy)</t>
  </si>
  <si>
    <r>
      <t xml:space="preserve">
ADM
for Youth  in Secure Care 
</t>
    </r>
    <r>
      <rPr>
        <sz val="10"/>
        <color indexed="18"/>
        <rFont val="Arial"/>
        <family val="2"/>
      </rPr>
      <t>(Preliminary 
11/12 ADM Data)</t>
    </r>
    <r>
      <rPr>
        <b/>
        <sz val="8"/>
        <color indexed="10"/>
        <rFont val="Arial"/>
        <family val="2"/>
      </rPr>
      <t xml:space="preserve">
</t>
    </r>
    <r>
      <rPr>
        <b/>
        <sz val="10"/>
        <color indexed="56"/>
        <rFont val="Arial"/>
        <family val="2"/>
      </rPr>
      <t/>
    </r>
  </si>
  <si>
    <r>
      <t xml:space="preserve">MFP State Share of Educational Cost for Youth in Secure Care 
</t>
    </r>
    <r>
      <rPr>
        <b/>
        <sz val="10"/>
        <color indexed="18"/>
        <rFont val="Arial"/>
        <family val="2"/>
      </rPr>
      <t xml:space="preserve">Based on Preliminary FY2011-12 Average Daily Membership (ADM) </t>
    </r>
  </si>
  <si>
    <t>FY2012-13
Budget Letter
July 2012
Circular No. 1148</t>
  </si>
  <si>
    <r>
      <t xml:space="preserve">Initial
Local
Per Pupil
</t>
    </r>
    <r>
      <rPr>
        <sz val="10"/>
        <color indexed="18"/>
        <rFont val="Arial"/>
        <family val="2"/>
      </rPr>
      <t xml:space="preserve">(per charter law)
</t>
    </r>
  </si>
  <si>
    <r>
      <t xml:space="preserve">Initial
Local
Per Pupil
</t>
    </r>
    <r>
      <rPr>
        <sz val="10"/>
        <color indexed="18"/>
        <rFont val="Arial"/>
        <family val="2"/>
      </rPr>
      <t>(per charter law)
(in a district bldg)</t>
    </r>
  </si>
  <si>
    <r>
      <t xml:space="preserve">Initial
Local
Per Pupil
</t>
    </r>
    <r>
      <rPr>
        <sz val="10"/>
        <color indexed="18"/>
        <rFont val="Arial"/>
        <family val="2"/>
      </rPr>
      <t>(per charter law)</t>
    </r>
  </si>
  <si>
    <t>Initial
Local 
Per Pupil 
(90%)
(per Calcul-ation)</t>
  </si>
  <si>
    <r>
      <t xml:space="preserve">
Initial
Local 
Per Pupil 
</t>
    </r>
    <r>
      <rPr>
        <sz val="10"/>
        <color indexed="18"/>
        <rFont val="Arial"/>
        <family val="2"/>
      </rPr>
      <t>(90%)</t>
    </r>
    <r>
      <rPr>
        <b/>
        <sz val="10"/>
        <color indexed="18"/>
        <rFont val="Arial"/>
        <family val="2"/>
      </rPr>
      <t xml:space="preserve">
(per Calcul-ation)</t>
    </r>
  </si>
  <si>
    <t>FY2012-13 
Initial
Per Pupil
Amount</t>
  </si>
  <si>
    <r>
      <t xml:space="preserve">Initial
Local
Per Pupil
</t>
    </r>
    <r>
      <rPr>
        <sz val="10"/>
        <color indexed="18"/>
        <rFont val="Arial"/>
        <family val="2"/>
      </rPr>
      <t>(Initial 
per pupil 
amount)</t>
    </r>
  </si>
  <si>
    <r>
      <t xml:space="preserve">Collegiate Academies
</t>
    </r>
    <r>
      <rPr>
        <sz val="10"/>
        <rFont val="Futura Lt BT"/>
        <family val="2"/>
      </rPr>
      <t>(N.O. Charter Science)(Sci Academy)</t>
    </r>
  </si>
  <si>
    <t>col 14 X
.25%</t>
  </si>
  <si>
    <t>Total
Enrollment</t>
  </si>
  <si>
    <t xml:space="preserve">MFP State Share of Educational Cost </t>
  </si>
  <si>
    <r>
      <t xml:space="preserve">Local
Admin Fee
to the Dept. of Educaton
</t>
    </r>
    <r>
      <rPr>
        <sz val="8"/>
        <color indexed="18"/>
        <rFont val="Arial"/>
        <family val="2"/>
      </rPr>
      <t>(Students Not on Base)</t>
    </r>
  </si>
  <si>
    <t>(Students Not on Base)</t>
  </si>
  <si>
    <t>col 14 +
col 17</t>
  </si>
  <si>
    <t>col 20 ÷ 12</t>
  </si>
  <si>
    <r>
      <rPr>
        <b/>
        <sz val="10"/>
        <color rgb="FF000066"/>
        <rFont val="Arial"/>
        <family val="2"/>
      </rPr>
      <t>City/Parish</t>
    </r>
    <r>
      <rPr>
        <b/>
        <sz val="10"/>
        <color indexed="18"/>
        <rFont val="Arial"/>
        <family val="2"/>
      </rPr>
      <t xml:space="preserve">
Pay Raise
Continuation
Per Pupil 
Amount
</t>
    </r>
  </si>
  <si>
    <t xml:space="preserve">Local
Monthly
Payment
</t>
  </si>
  <si>
    <t xml:space="preserve">Total
State and
Local
Payment
</t>
  </si>
  <si>
    <t xml:space="preserve">Total
State and
Local
Monthly 
Payment
</t>
  </si>
  <si>
    <t xml:space="preserve">Monthly Payment </t>
  </si>
  <si>
    <r>
      <t xml:space="preserve">Total Audit 
Adjustments
</t>
    </r>
    <r>
      <rPr>
        <sz val="10"/>
        <color indexed="18"/>
        <rFont val="Arial"/>
        <family val="2"/>
      </rPr>
      <t>(For City/Parish LEAs only)</t>
    </r>
  </si>
  <si>
    <t>This Table provides the State's funding to the RSD.  The RSD distributes funds to the Type 5 Charter Schools in Orleans Parish using the RSD's Differentiated Funding Formula for Special Education Students.  Refer to correspondence from the RSD for individual school allocations.</t>
  </si>
  <si>
    <r>
      <t xml:space="preserve">July ONLY:
Local Admin
 Fee Payable 
to DOE
(.25%)
New Vision
Charter
(Legacy
Type 2)
</t>
    </r>
    <r>
      <rPr>
        <sz val="9"/>
        <color indexed="18"/>
        <rFont val="Arial"/>
        <family val="2"/>
      </rPr>
      <t>(Table 5D1
col 13)</t>
    </r>
  </si>
  <si>
    <r>
      <t xml:space="preserve">July ONLY:
Local Admin
 Fee Payable 
to DOE
(.25%)
Glencoe
Charter
(Legacy
Type 2)
</t>
    </r>
    <r>
      <rPr>
        <sz val="9"/>
        <color indexed="18"/>
        <rFont val="Arial"/>
        <family val="2"/>
      </rPr>
      <t>(Table 5D2
col 13</t>
    </r>
    <r>
      <rPr>
        <sz val="10"/>
        <color indexed="18"/>
        <rFont val="Arial"/>
        <family val="2"/>
      </rPr>
      <t>)</t>
    </r>
  </si>
  <si>
    <r>
      <t xml:space="preserve">July ONLY:
Local Admin
 Fee Payable 
to DOE
(.25%)
Avoyelles
Charter
(Legacy
Type 2)
</t>
    </r>
    <r>
      <rPr>
        <sz val="9"/>
        <color indexed="18"/>
        <rFont val="Arial"/>
        <family val="2"/>
      </rPr>
      <t>(Table 5D4
 col 13)</t>
    </r>
  </si>
  <si>
    <r>
      <t xml:space="preserve">July ONLY:
Local Admin
 Fee Payable 
to DOE
(.25%)
Delhi
Charter
(Legacy
Type 2)
</t>
    </r>
    <r>
      <rPr>
        <b/>
        <sz val="9"/>
        <color indexed="18"/>
        <rFont val="Arial"/>
        <family val="2"/>
      </rPr>
      <t xml:space="preserve">
</t>
    </r>
    <r>
      <rPr>
        <sz val="9"/>
        <color indexed="18"/>
        <rFont val="Arial"/>
        <family val="2"/>
      </rPr>
      <t>(Table 5D5
 col 13)</t>
    </r>
  </si>
  <si>
    <r>
      <t xml:space="preserve">July ONLY:
Local Admin
 Fee Payable 
to DOE
(.25%)
Milestone
Charter
(Legacy
Type 2)
</t>
    </r>
    <r>
      <rPr>
        <sz val="9"/>
        <color indexed="18"/>
        <rFont val="Arial"/>
        <family val="2"/>
      </rPr>
      <t>(Table 5D6
 col 13))</t>
    </r>
  </si>
  <si>
    <r>
      <t xml:space="preserve">July ONLY:
Local Admin
 Fee Payable 
to DOE
(.25%)
The MAX
Charter
(Legacy
Type 2)
</t>
    </r>
    <r>
      <rPr>
        <sz val="9"/>
        <color indexed="18"/>
        <rFont val="Arial"/>
        <family val="2"/>
      </rPr>
      <t>(Table 5D7
 col 13)</t>
    </r>
  </si>
  <si>
    <r>
      <t xml:space="preserve">July ONLY:
Local Admin
 Fee Payable 
to DOE
(.25%)
Belle Chasse
Charter
(Legacy
Type 2)
</t>
    </r>
    <r>
      <rPr>
        <sz val="9"/>
        <color indexed="18"/>
        <rFont val="Arial"/>
        <family val="2"/>
      </rPr>
      <t>(Table 5D8
 col 17)</t>
    </r>
  </si>
  <si>
    <r>
      <t xml:space="preserve">July ONLY:
Local
Admin Fee
Payable 
to DOE
(.25%)
D'Arbonne
Woods
</t>
    </r>
    <r>
      <rPr>
        <sz val="10"/>
        <color indexed="18"/>
        <rFont val="Arial"/>
        <family val="2"/>
      </rPr>
      <t>(Table 5C1B,
column 14)</t>
    </r>
  </si>
  <si>
    <t>4a</t>
  </si>
  <si>
    <t>40.24/17.33</t>
  </si>
  <si>
    <t>1.98%/.85%</t>
  </si>
  <si>
    <t xml:space="preserve">Student Performance Weight </t>
  </si>
  <si>
    <t>5a</t>
  </si>
  <si>
    <t>6a</t>
  </si>
  <si>
    <t>7a</t>
  </si>
  <si>
    <t>8a</t>
  </si>
  <si>
    <t>9a</t>
  </si>
  <si>
    <t>10a</t>
  </si>
  <si>
    <t>14a</t>
  </si>
  <si>
    <t>17a</t>
  </si>
  <si>
    <t>2a</t>
  </si>
  <si>
    <t>13a</t>
  </si>
  <si>
    <t>16a</t>
  </si>
  <si>
    <t>Gifted and Talented</t>
  </si>
  <si>
    <t>col 1 X 
col 2</t>
  </si>
  <si>
    <t xml:space="preserve">Weighted
Add-On
Students 
Students with Disabilities
</t>
  </si>
  <si>
    <t>Initial 
Evaluations
Percent
of SER 
Count
Change 
from
FY2010-11
to
FY2011-12</t>
  </si>
  <si>
    <t>Continued Services after
 Declassification Weight</t>
  </si>
  <si>
    <t>18a</t>
  </si>
  <si>
    <t>19a</t>
  </si>
  <si>
    <t>SPED Graduation Rates</t>
  </si>
  <si>
    <t>(Prior Year)
2012-13
 COMPUTED SALES TAX BASE
(Without cap)</t>
  </si>
  <si>
    <t>2013-2014
COMPUTED
 SALES TAX 
BASE</t>
  </si>
  <si>
    <t>OTHER REVENUES:  
Includes State and Federal taxes in lieu of &amp; 50% of earnings from 16th section and from other real estate
2011-2012 AFR</t>
  </si>
  <si>
    <t>2011
TOTAL ASSESSED PROPERTY VALUE</t>
  </si>
  <si>
    <t>2011
ASSESSED HOMESTEAD EXEMPTION</t>
  </si>
  <si>
    <t>2011
NET ASSESSED TAXABLE PROPERTY</t>
  </si>
  <si>
    <t xml:space="preserve">  2011 ASSESSED PROPERTY VALUE</t>
  </si>
  <si>
    <t>(Prior Year)
 2010
Net Assessed Taxable Property (Without cap)</t>
  </si>
  <si>
    <t>2011
NET ASSESSED TAXABLE PROPERTY
with Cap of</t>
  </si>
  <si>
    <t>TOTAL 
AD VALOREM 
REVENUE 
INCLUDING DEBT
(2011-2012)</t>
  </si>
  <si>
    <t>TOTAL 
SALES TAX REVENUE
(2011-2012)</t>
  </si>
  <si>
    <t>ReNew Schools
(Schaumberg)</t>
  </si>
  <si>
    <t>Arise Academy #2
(Arise Academy)</t>
  </si>
  <si>
    <t>N. O. College Prep #3</t>
  </si>
  <si>
    <t>Mary Dora Coghill Accelerated Charter</t>
  </si>
  <si>
    <t>Paul B. Habans</t>
  </si>
  <si>
    <r>
      <t xml:space="preserve">July ONLY:
Local
Admin 
Fee
Payable 
to DOE
(.25%)
LA Key Admy
</t>
    </r>
    <r>
      <rPr>
        <sz val="10"/>
        <color indexed="18"/>
        <rFont val="Arial"/>
        <family val="2"/>
      </rPr>
      <t>(Table 5C1J,
column 14)</t>
    </r>
  </si>
  <si>
    <r>
      <t xml:space="preserve">July ONLY:
Local
Admin 
Fee
Payable 
to DOE
(.25%)
Jefferson Chamber Fdtn
</t>
    </r>
    <r>
      <rPr>
        <sz val="10"/>
        <color indexed="18"/>
        <rFont val="Arial"/>
        <family val="2"/>
      </rPr>
      <t>(Table 5C1K,
column 14)</t>
    </r>
  </si>
  <si>
    <r>
      <t xml:space="preserve">July ONLY:
Local
Admin 
Fee
Payable 
to DOE
(.25%)
Tallulah Charter
</t>
    </r>
    <r>
      <rPr>
        <sz val="10"/>
        <color indexed="18"/>
        <rFont val="Arial"/>
        <family val="2"/>
      </rPr>
      <t>(Table 5C1L,
column 14)</t>
    </r>
  </si>
  <si>
    <r>
      <t xml:space="preserve">July ONLY:
Local
Admin 
Fee
Payable 
to DOE
(.25%)
Northshore Charter
</t>
    </r>
    <r>
      <rPr>
        <sz val="10"/>
        <color indexed="18"/>
        <rFont val="Arial"/>
        <family val="2"/>
      </rPr>
      <t>(Table 5C1M,
column 14)</t>
    </r>
  </si>
  <si>
    <r>
      <t xml:space="preserve">July ONLY:
Local
Admin 
Fee
Payable 
to DOE
(.25%)
EBR Charter
</t>
    </r>
    <r>
      <rPr>
        <sz val="10"/>
        <color indexed="18"/>
        <rFont val="Arial"/>
        <family val="2"/>
      </rPr>
      <t>(Table 5C1N,
column 14)</t>
    </r>
  </si>
  <si>
    <r>
      <t xml:space="preserve">July ONLY:
Local
Admin 
Fee
Payable 
to DOE
(.25%)
Lake Charles High School
</t>
    </r>
    <r>
      <rPr>
        <sz val="10"/>
        <color indexed="18"/>
        <rFont val="Arial"/>
        <family val="2"/>
      </rPr>
      <t>(Table 5C1O,
column 14)</t>
    </r>
  </si>
  <si>
    <r>
      <t xml:space="preserve">July ONLY:
Local
Admin 
Fee
Payable 
to DOE
(.25%)
Delta Charter
</t>
    </r>
    <r>
      <rPr>
        <sz val="10"/>
        <color indexed="18"/>
        <rFont val="Arial"/>
        <family val="2"/>
      </rPr>
      <t>(Table 5C1P,
column 14)</t>
    </r>
  </si>
  <si>
    <t>7. LA School for Math, Science &amp; the Arts (LSMSA)</t>
  </si>
  <si>
    <t>July  
2013
Payment
Amount</t>
  </si>
  <si>
    <t>Monthly
Payments
July 2013
through
June 2014</t>
  </si>
  <si>
    <t xml:space="preserve">Prelim
FY2013-14
Foreign 
Language 
Assoc. 
Teacher 
Stipends
</t>
  </si>
  <si>
    <t>Remaining
Hold 
Harmless
(FY2013/14)</t>
  </si>
  <si>
    <t>LSU Lab School</t>
  </si>
  <si>
    <t>Southern Lab School</t>
  </si>
  <si>
    <t>Total Lab Schools</t>
  </si>
  <si>
    <t>LA School for Math, Science and the Arts (LSMSA)</t>
  </si>
  <si>
    <t>Total LA School for Math, Science and the Arts (LSMSA)</t>
  </si>
  <si>
    <t>New Orleans Center for Creative Arts (NOCCA)</t>
  </si>
  <si>
    <t>Total New Orleans Center for Creative Arts (NOCCA)</t>
  </si>
  <si>
    <t>New Vision Learning (City of Monroe)</t>
  </si>
  <si>
    <t>Glencoe Charter School (St. Mary Parish)</t>
  </si>
  <si>
    <t>International School of LA (Orleans Parish)</t>
  </si>
  <si>
    <t>Avoyelles Public Charter School (Avoyelles Parish)</t>
  </si>
  <si>
    <t>Delhi Charter School (Richland Parish)</t>
  </si>
  <si>
    <t>Belle Chasse Academy (Plaquemines Parish)</t>
  </si>
  <si>
    <t>Milestone SABIS Academy (Orleans Parish)</t>
  </si>
  <si>
    <t>Maxine Giardina (Lafourche Parish)</t>
  </si>
  <si>
    <t>Total Legacy Type 2 Charter Schools</t>
  </si>
  <si>
    <t>Louisiana Virtual Charter Academy (LAVCA)</t>
  </si>
  <si>
    <t>Louisiana Connections Academy (LACA)</t>
  </si>
  <si>
    <t>Total Type 2 Virtual Charters</t>
  </si>
  <si>
    <t>Total Madison Prep (CSAL) (Type 2 in MFP)</t>
  </si>
  <si>
    <t>Total D'Arbonne Woods (Type 2 in MFP)</t>
  </si>
  <si>
    <t>Total Int'l High School of N. O. (Type 2 in MFP)</t>
  </si>
  <si>
    <t>Total New Orleans Military/Maritime Admy (Type 2 in MFP)</t>
  </si>
  <si>
    <t>Total Lycee Francois de la Nouvelle Orleans (Type 2 in MFP)</t>
  </si>
  <si>
    <t>Total Lake Charles Charter Academy (Type 2 in MFP)</t>
  </si>
  <si>
    <t>J. S. Clark Leadership Academy (Type 2 in MFP)</t>
  </si>
  <si>
    <t>Total J. S. Clark Leadership Academy (Type 2 in MFP)</t>
  </si>
  <si>
    <t>Southwest LA Charter School</t>
  </si>
  <si>
    <t>Total Southwest LA Charter School (Type 2 in MFP)</t>
  </si>
  <si>
    <t>Recovery School District - Orleans (RSD Orleans Operated)</t>
  </si>
  <si>
    <t>St. Helena Middle ((RSD LA Operated)</t>
  </si>
  <si>
    <t>Linear Middle School/Caddo Parish (RSD LA Operated)</t>
  </si>
  <si>
    <t>Capitol High School  (RSD LA Operated)</t>
  </si>
  <si>
    <t>Istrouma High School (RSD LA Operated)</t>
  </si>
  <si>
    <t>Glen Oaks Middle (RSD LA Operated)</t>
  </si>
  <si>
    <t>Prescott Middle (RSD LA Operated)</t>
  </si>
  <si>
    <t>Pointe Coupee Central High (RSD LA Operated)</t>
  </si>
  <si>
    <t>Dalton Elementary (RSD LA Operated)</t>
  </si>
  <si>
    <t>Lanier Elementary (RSD LA Operated)</t>
  </si>
  <si>
    <t>Crestworth Middle (RSD LA Operated)</t>
  </si>
  <si>
    <t>Total RSD Operated</t>
  </si>
  <si>
    <t xml:space="preserve">New Beginnings, UNO (Capdau)
</t>
  </si>
  <si>
    <t>New Beginnings, UNO (Medard Nelson)</t>
  </si>
  <si>
    <t>New Beginnings, UNO (Thurgood Marshall Early College)</t>
  </si>
  <si>
    <t>New Beginnings, UNO (Gentilly Terrace Charter School)</t>
  </si>
  <si>
    <t>Educators for Quality Alternatives  (The NET Charter School)</t>
  </si>
  <si>
    <t>Crescent Leadership Academy (Crescent Leadership Acad./Schwarz)
Not in a District Building</t>
  </si>
  <si>
    <t>Future is Now (John McDonogh Senior H.S.)</t>
  </si>
  <si>
    <t>Crescent City Schools, Inc.* (Crescent City School)(Tubman)</t>
  </si>
  <si>
    <t>Comm. Leaders Adv. Student Suc.* (Fannie C. Williams)</t>
  </si>
  <si>
    <t>Lagniappe Academies, Inc. (Lagniappe Academies)</t>
  </si>
  <si>
    <t>Spirit of Excellence Academy (Spirit of Exc. Academy)(Harney)</t>
  </si>
  <si>
    <t>Morris Jeff. Community Sch, Inc. (Morris Jeff. Community School)</t>
  </si>
  <si>
    <t>ReNew Schools (Live Oak Elementary)</t>
  </si>
  <si>
    <t>ReNew Schools (Laurel Elementary)</t>
  </si>
  <si>
    <t>ReNew Schools* (K-8 Charter School/Sarah Reed)</t>
  </si>
  <si>
    <t>ReNew Schools* (ReNew Accel. H.S., City Park)</t>
  </si>
  <si>
    <t>ReNew Schools* (ReNew Accel. H.S., West Bank)</t>
  </si>
  <si>
    <t>Arise Academy (Arise Academy)</t>
  </si>
  <si>
    <t>Success Preparatory Academy (Success Prep)</t>
  </si>
  <si>
    <t>Benjamin E. Mays Schools (Benjamin Mays Prep)</t>
  </si>
  <si>
    <t>Pride College Prep Academy (Pride College Prep)</t>
  </si>
  <si>
    <t>Advocates for Arts and Tech. (Crocker Arts)</t>
  </si>
  <si>
    <t>Intercultural Charter School Brd. (Intercultural Charter)</t>
  </si>
  <si>
    <t>Akili Academy of New Orleans (Akili Academy)</t>
  </si>
  <si>
    <t>Advocates for Science &amp; Math (New Orleans Charter Science)</t>
  </si>
  <si>
    <t>Collegiate Academies (Collegiate Academy 2)</t>
  </si>
  <si>
    <t>Collegiate Academies (Collegiate Academy 3)</t>
  </si>
  <si>
    <t>Miller-McCoy Academy (Miller-McCoy Academy)</t>
  </si>
  <si>
    <t>N.O. College Prep Academies (N. O. College Prep /S. Williams)</t>
  </si>
  <si>
    <t>N. O. College Prep (Cohen College Prep)</t>
  </si>
  <si>
    <t>Broadmoor Charter (Andrew H. Wilson/Mc #7)</t>
  </si>
  <si>
    <t>Dryades YMCA (James M. Singleton Charter Middle)</t>
  </si>
  <si>
    <t>Friends of King  (Martin Luther King Elem.)</t>
  </si>
  <si>
    <t>Friends of King (Joseph A. Craig)</t>
  </si>
  <si>
    <t>New Orleans Charter School Fdtn. (Mc #28 City Park)</t>
  </si>
  <si>
    <t>Choice Foundation (Lafayette Academy)</t>
  </si>
  <si>
    <t>Choice Foundation (Esperanza/Crossman)</t>
  </si>
  <si>
    <t>Choice Foundation (Takeover) (McDonogh #42)</t>
  </si>
  <si>
    <t>Algiers Charter School Assoc. (Martin Behrman)</t>
  </si>
  <si>
    <t>Algiers Charter School Assoc. (Dwight D. Eisenhower)</t>
  </si>
  <si>
    <t>Algiers Charter School Assoc. (William J. Fischer)</t>
  </si>
  <si>
    <t>Algiers Charter School Assoc. (McDonogh #32)</t>
  </si>
  <si>
    <t>Algiers Charter School Assoc. (O. P. Walker Sr. High)</t>
  </si>
  <si>
    <t>Algiers Charter School Assoc. (ACSA Tech High at Rosenwald)</t>
  </si>
  <si>
    <t>Instititute of Academic Excellence, SUNO  (Sophie B. Wright)</t>
  </si>
  <si>
    <t>KIPP New Orleans (Edward Phillips/Kipp Believe)</t>
  </si>
  <si>
    <t>KIPP New Orleans (McDonogh #15)</t>
  </si>
  <si>
    <t>KIPP New Orleans (KIPP Central City Academy)</t>
  </si>
  <si>
    <t>KIPP New Orleans, Inc. (Kipp Central City Primary)</t>
  </si>
  <si>
    <t>KIPP New Orleans, Inc. (Kipp Renaissance High School)</t>
  </si>
  <si>
    <t>KIPP New Orleans, Inc. (Kipp N. O. Leadership Admy)</t>
  </si>
  <si>
    <t>Firstline Schools, Inc. (Samuel J. Green)</t>
  </si>
  <si>
    <t>Firstline Schools, Inc. (N. O. Charter Middle at Ashe)</t>
  </si>
  <si>
    <t>Firstline Schools, Inc.* (Firstline H.S. Charter)(Clark)</t>
  </si>
  <si>
    <t>Firstline Schools, Inc. (Dibert School)</t>
  </si>
  <si>
    <t>Firstline Schools, Inc. (Langston Hughes Academy)</t>
  </si>
  <si>
    <t>TOTAL RSD Orleans (Chartered only)</t>
  </si>
  <si>
    <t>Pelican Foundation (Kenilworth Middle)</t>
  </si>
  <si>
    <t>Total Type 5 Charters - EBR</t>
  </si>
  <si>
    <t>Linwood Middle School</t>
  </si>
  <si>
    <t>Total Type 5 Charters - Caddo</t>
  </si>
  <si>
    <t>Louisiana School for the Deaf and Visually Impaired (LSDVI)</t>
  </si>
  <si>
    <t>Total Statewide</t>
  </si>
  <si>
    <t>Foreign Language 
Associates Salaries</t>
  </si>
  <si>
    <t>Grand Total</t>
  </si>
  <si>
    <t>Trinity Christian Academy</t>
  </si>
  <si>
    <t>St. Francis Xavier School (C)</t>
  </si>
  <si>
    <t>Riverdale Christian Academy</t>
  </si>
  <si>
    <t>Redemptorist Elementary School (C)</t>
  </si>
  <si>
    <t>Redemptorist Diocesan Regional Junior HS (C)</t>
  </si>
  <si>
    <t>Redemptorist Diocesan Regional High School (C)</t>
  </si>
  <si>
    <t>Hosanna Christian Academy (AG)</t>
  </si>
  <si>
    <t>Greater Mt. Olive Christian Academy (B)</t>
  </si>
  <si>
    <t>Angles Academy - Special Education</t>
  </si>
  <si>
    <t>Angles Academy</t>
  </si>
  <si>
    <t>Northlake Christian Elementary School</t>
  </si>
  <si>
    <t>Annunciation School (C)</t>
  </si>
  <si>
    <t>St. Frederick High School (C)</t>
  </si>
  <si>
    <t>Quest School</t>
  </si>
  <si>
    <t>Prevailing Faith Christian Academy</t>
  </si>
  <si>
    <t>Our Lady of Fatima School (C)</t>
  </si>
  <si>
    <t>Northeast Baptist School</t>
  </si>
  <si>
    <t>Claiborne Christian School (CG)</t>
  </si>
  <si>
    <t>St. Louis King of France School (C) - Special Education</t>
  </si>
  <si>
    <t>St. Louis King of France School (C)</t>
  </si>
  <si>
    <t>St. John Elementary School (C)</t>
  </si>
  <si>
    <t>Redemptorist Elementary School (C) - Special Education</t>
  </si>
  <si>
    <t>Catholic Elementary School of Pointe Coupee(C)</t>
  </si>
  <si>
    <t>Lighthouse Christian High School</t>
  </si>
  <si>
    <t>Gethsemane Christian Academy</t>
  </si>
  <si>
    <t>New Living Word School</t>
  </si>
  <si>
    <t>St. Mary's Nativity (C)</t>
  </si>
  <si>
    <t>St. Joseph Elementary School (C)</t>
  </si>
  <si>
    <t>St. Joan of Arc School (C)</t>
  </si>
  <si>
    <t>St. Bernadette School (C)</t>
  </si>
  <si>
    <t>Our Lady of Grace School (C)</t>
  </si>
  <si>
    <t>Maria Immacolata School (C)</t>
  </si>
  <si>
    <t>St. Thomas Aquinas Diocesan Regional HS (C)</t>
  </si>
  <si>
    <t>St. Joseph School (C)</t>
  </si>
  <si>
    <t>St. Charles Catholic High School (C)</t>
  </si>
  <si>
    <t>Mater Dolorosa School (C)</t>
  </si>
  <si>
    <t>Holy Ghost School (C)</t>
  </si>
  <si>
    <t>The Upperroom Bible Church Preschool &amp; Academy</t>
  </si>
  <si>
    <t>St. Stephen School (C)</t>
  </si>
  <si>
    <t>St. Peter School (C)</t>
  </si>
  <si>
    <t>St. Margaret Mary School (C)</t>
  </si>
  <si>
    <t>Our Lady of Prompt Succor School (C)</t>
  </si>
  <si>
    <t>Northlake Christian High School</t>
  </si>
  <si>
    <t>Bishop McManus School</t>
  </si>
  <si>
    <t>Central Catholic School (C)</t>
  </si>
  <si>
    <t>John Paul The Great Academy</t>
  </si>
  <si>
    <t>Immaculate Heart of Mary School (C)</t>
  </si>
  <si>
    <t>Holy Family Catholic School (C)</t>
  </si>
  <si>
    <t>Park Vista Elementary School</t>
  </si>
  <si>
    <t>Family Worship Christian Academy</t>
  </si>
  <si>
    <t>Cenla Christian Academy</t>
  </si>
  <si>
    <t>Steps to Success Learning Center</t>
  </si>
  <si>
    <t>St. Mary's Academy (Girls) (C)</t>
  </si>
  <si>
    <t>Sacred Heart of Jesus School (C)</t>
  </si>
  <si>
    <t>Our Lady of Perpetual Help School (C)</t>
  </si>
  <si>
    <t>Our Lady of Divine Providence School (C)</t>
  </si>
  <si>
    <t>Boutte Christian Academy (AG)</t>
  </si>
  <si>
    <t>Ascension of Our Lord School (C)</t>
  </si>
  <si>
    <t>St. Peter Chanel Interparochial School</t>
  </si>
  <si>
    <t>Faith Academy</t>
  </si>
  <si>
    <t>Ascension Diocesan Regional School (C)</t>
  </si>
  <si>
    <t>St. Agnes School (C)</t>
  </si>
  <si>
    <t>St. Augustine Jr. High School (Boys) (C)</t>
  </si>
  <si>
    <t>Holy Rosary Academy  (C)</t>
  </si>
  <si>
    <t>Family Community Christian School</t>
  </si>
  <si>
    <t>St. Frances Cabrini School (C)</t>
  </si>
  <si>
    <t>Holy Savior Menard Central High School (C)</t>
  </si>
  <si>
    <t>Catholic High of Pointe Coupee (C)</t>
  </si>
  <si>
    <t>Victory Christian Academy (AG)</t>
  </si>
  <si>
    <t>The Upperroom Bible Church Academy</t>
  </si>
  <si>
    <t>St. Rita School (C)</t>
  </si>
  <si>
    <t>St. Peter Claver School (C)</t>
  </si>
  <si>
    <t>St. Paul Lutheran School (L)</t>
  </si>
  <si>
    <t>St. Mary Magdalen School (C)</t>
  </si>
  <si>
    <t>St. Leo the Great School (C)</t>
  </si>
  <si>
    <t>St. John Lutheran School</t>
  </si>
  <si>
    <t>St. Dominic School (C)</t>
  </si>
  <si>
    <t>St. Benedict the Moor (C)</t>
  </si>
  <si>
    <t>St. Anthony School (C)</t>
  </si>
  <si>
    <t>St. Angela Merici School (C)</t>
  </si>
  <si>
    <t>St. Andrew the Apostle School (C)</t>
  </si>
  <si>
    <t>St. Alphonsus School (C)</t>
  </si>
  <si>
    <t>St. Agnes School (C) - Special Education</t>
  </si>
  <si>
    <t>Resurrection of Our Lord School (C)</t>
  </si>
  <si>
    <t>New Orleans Adventist Academy</t>
  </si>
  <si>
    <t>Lutheran High School (L)</t>
  </si>
  <si>
    <t>Light City Christian Academy</t>
  </si>
  <si>
    <t>Life of Christ Christian Academy/Alternative</t>
  </si>
  <si>
    <t>Holy Ghost Elementary School (C)</t>
  </si>
  <si>
    <t>Good Shepherd Nativity Mission School (C)</t>
  </si>
  <si>
    <t>Faith Christian Academy</t>
  </si>
  <si>
    <t>Ecole Bilingue de la Nouvelle-Orleans</t>
  </si>
  <si>
    <t>Conquering Word Christian Academy Eastbank</t>
  </si>
  <si>
    <t>Conquering Word Christian Academy</t>
  </si>
  <si>
    <t>Cathedral Academy (St. Louis Cathedral)(C)</t>
  </si>
  <si>
    <t>St. Genevieve School (C)</t>
  </si>
  <si>
    <t>Holy Savior School (C)</t>
  </si>
  <si>
    <t>Holy Rosary School (C)</t>
  </si>
  <si>
    <t>Lafayette Christian Academy</t>
  </si>
  <si>
    <t>Ridgewood Preparatory School</t>
  </si>
  <si>
    <t>K</t>
  </si>
  <si>
    <t>The Dunham School</t>
  </si>
  <si>
    <t>St. John High School (C)</t>
  </si>
  <si>
    <t>Louisiana New School Academy</t>
  </si>
  <si>
    <t>Holy Family School (C)</t>
  </si>
  <si>
    <t>Ascension Christian High School</t>
  </si>
  <si>
    <t>St. Michael the Archangel Diocesan Regional HS</t>
  </si>
  <si>
    <t>Redemptorist Diocesan Regional Junior HS (C) - Special Education</t>
  </si>
  <si>
    <t>Redemptorist Diocesan Regional High School (C) - Special Education</t>
  </si>
  <si>
    <t>Our Lady of Mercy School (C)</t>
  </si>
  <si>
    <t>Louisiana New School Academy - Special Education</t>
  </si>
  <si>
    <t>Jehovah-Jireh Christian Academy</t>
  </si>
  <si>
    <t>Greater Baton Rouge Hope Academy</t>
  </si>
  <si>
    <t>Gardere Community Christian School</t>
  </si>
  <si>
    <t>Old Bethel Christian Academy</t>
  </si>
  <si>
    <t>St. Theodore's Holy Family Catholic School (C)</t>
  </si>
  <si>
    <t>Our Lady's School (C)</t>
  </si>
  <si>
    <t>Evangel Christian Academy (AG)</t>
  </si>
  <si>
    <t>Dreamkeepers Academy</t>
  </si>
  <si>
    <t>St. Elizabeth School (C)</t>
  </si>
  <si>
    <t>Col. 19 + Col. 20</t>
  </si>
  <si>
    <t>(Col. 18 / 4)</t>
  </si>
  <si>
    <t>(Col. 17 / 4)</t>
  </si>
  <si>
    <t>(Col. 2 X Col. 6)
minus Col. 16</t>
  </si>
  <si>
    <t>(Col. 2 X Col. 5)
minus Col. 15</t>
  </si>
  <si>
    <t>Col. 12 X
Col. 14</t>
  </si>
  <si>
    <t>Col. 12 X
Col. 13</t>
  </si>
  <si>
    <t>Table 3,
Col. 14</t>
  </si>
  <si>
    <t>Table 3,
Col. 13</t>
  </si>
  <si>
    <t>Col. 8 minus
 Col. 11</t>
  </si>
  <si>
    <t>Col. 2 X Col. 10</t>
  </si>
  <si>
    <t>Lesser of
Col. 7 &amp; Col. 9</t>
  </si>
  <si>
    <t>Col. 2 X Col. 7</t>
  </si>
  <si>
    <t>Col. 5 +
Col. 6</t>
  </si>
  <si>
    <t>Table 3,
Col. 37</t>
  </si>
  <si>
    <t>Table 3,
Col. 33</t>
  </si>
  <si>
    <t>col. 12 - col. 9</t>
  </si>
  <si>
    <t>Local Pro Rata Share</t>
  </si>
  <si>
    <t>State Pro Rata Share</t>
  </si>
  <si>
    <t>Local Pro Rata Savings</t>
  </si>
  <si>
    <t>State Pro Rata Savings</t>
  </si>
  <si>
    <t>Savings</t>
  </si>
  <si>
    <t>Total
Actual
Tuition</t>
  </si>
  <si>
    <t>Lesser 
of
Tuition
or
MFP
Per Pupil
Allocation</t>
  </si>
  <si>
    <t>Actual Tuition</t>
  </si>
  <si>
    <t xml:space="preserve">Total
Maximum
State
and 
Local
Allocation
</t>
  </si>
  <si>
    <t>Total
Maximum
State
and 
Local
Per Pupil
Allocation</t>
  </si>
  <si>
    <t>Maximum
Local
Per Pupil
Allocation</t>
  </si>
  <si>
    <t>Maximum
State
Per Pupil
Allocation</t>
  </si>
  <si>
    <t>Grade
Level</t>
  </si>
  <si>
    <t>School
Name</t>
  </si>
  <si>
    <t xml:space="preserve">Number 
of
Scholarships
Enrolled
</t>
  </si>
  <si>
    <t>Tuition Allocation</t>
  </si>
  <si>
    <t>Maximum MFP Allocation</t>
  </si>
  <si>
    <t xml:space="preserve">2. </t>
  </si>
  <si>
    <t>Student Scholarships for Educational Excellence (SSEEP)</t>
  </si>
  <si>
    <t>6. Student Scholarships for Educational Excellence (SSEEP)</t>
  </si>
  <si>
    <t>Student Scholarships (SSEEP) (Projected Refund)</t>
  </si>
  <si>
    <t>Level 4 School Level Funding</t>
  </si>
  <si>
    <t>Total Level 4</t>
  </si>
  <si>
    <t>col 1 x col 4</t>
  </si>
  <si>
    <t>col 3 + col 5</t>
  </si>
  <si>
    <t>col 9/ 12</t>
  </si>
  <si>
    <t>col 7 +
 col 10</t>
  </si>
  <si>
    <t>D'Arbonne Woods Charter</t>
  </si>
  <si>
    <t>Int'l High School of N.O.</t>
  </si>
  <si>
    <t>New Orleans Military Maritime Academy</t>
  </si>
  <si>
    <t>Lycee Francois de la Nouvelle Orleans</t>
  </si>
  <si>
    <t>One-Tenth
(FY13/14)
Reduction of 
Remaining
 Hold Harmless</t>
  </si>
  <si>
    <t>Prior Year
Reduction
of Remaining
Hold Harmless
(FY07/08 thru 
FY12/13)</t>
  </si>
  <si>
    <t xml:space="preserve">     First Year Non-Legacy Type 2 Charters (7)</t>
  </si>
  <si>
    <r>
      <t xml:space="preserve">Continuation 
of
 Prior Year 
Pay Raises *
</t>
    </r>
    <r>
      <rPr>
        <sz val="9"/>
        <color indexed="18"/>
        <rFont val="Arial"/>
        <family val="2"/>
      </rPr>
      <t>(Includes Type 5 Charters,
Type 2 Charters, Not 1st Year, LSMSA, NOCCA
LSDVI, SSD)</t>
    </r>
  </si>
  <si>
    <t>1.99%/.83%</t>
  </si>
  <si>
    <t>2011
Ad Valorem 
Tax Revenues
(per 11-12 AFR)</t>
  </si>
  <si>
    <t>2011
Net Assessed 
Property
(with 10% Cap)</t>
  </si>
  <si>
    <t>FY2011-12
Sales Tax Revenue
(per 11-12 AFR)</t>
  </si>
  <si>
    <t>FY2011-12
Computed Sales Tax Base with 15% Cap on Growth</t>
  </si>
  <si>
    <t>State Funding for Foreign Associate Teachers</t>
  </si>
  <si>
    <t>FY2013-14
Simulation</t>
  </si>
  <si>
    <t>9. First Year Non-Legacy Type 2 Charter Schools</t>
  </si>
  <si>
    <t xml:space="preserve">Total Weighted Membership of Parish/City Schools, Type 5 Charters,  Type 2 Charters (Not 1st Year), Legacy Type 2 Charters, LSDVI, SSD, LSMSA, NOCCA and Scholarships </t>
  </si>
  <si>
    <t xml:space="preserve">    Parish/City Schools, Type 5 Charters, Type 2 Charters (Not 1st Year), Legacy Type 2 Charters, LSDVI, SSD, LSMSA, NOCCA and Scholarshps </t>
  </si>
  <si>
    <r>
      <t xml:space="preserve">Final
Levels 1, 2 &amp; 3 
State Cost Allocation
with
90% Reduction
of
FY2013-14 
Formula Changes
</t>
    </r>
    <r>
      <rPr>
        <sz val="10"/>
        <color indexed="18"/>
        <rFont val="Arial"/>
        <family val="2"/>
      </rPr>
      <t>(Col. 47 + Col. 50)</t>
    </r>
  </si>
  <si>
    <t>City of Baker Total</t>
  </si>
  <si>
    <t>7th</t>
  </si>
  <si>
    <t>6th</t>
  </si>
  <si>
    <t>5th</t>
  </si>
  <si>
    <t>8th</t>
  </si>
  <si>
    <t>9th</t>
  </si>
  <si>
    <t>3rd</t>
  </si>
  <si>
    <t>2nd</t>
  </si>
  <si>
    <t>1st</t>
  </si>
  <si>
    <t>4th</t>
  </si>
  <si>
    <t>10th</t>
  </si>
  <si>
    <t>City of Bogalusa Total</t>
  </si>
  <si>
    <t>City of Monroe Total</t>
  </si>
  <si>
    <t>12th</t>
  </si>
  <si>
    <t>West Baton Rouge Total</t>
  </si>
  <si>
    <t>Washington Total</t>
  </si>
  <si>
    <t>Vermilion Total</t>
  </si>
  <si>
    <t>11th</t>
  </si>
  <si>
    <t>Union Total</t>
  </si>
  <si>
    <t>Terrebonne Total</t>
  </si>
  <si>
    <t>Tangipahoa Total</t>
  </si>
  <si>
    <t>St. Tammany Total</t>
  </si>
  <si>
    <t>St. Mary Total</t>
  </si>
  <si>
    <t>St. Martin Total</t>
  </si>
  <si>
    <t>St. Landry Total</t>
  </si>
  <si>
    <t>St. John the Baptist Total</t>
  </si>
  <si>
    <t>St. James Total</t>
  </si>
  <si>
    <t>St. Helena Total</t>
  </si>
  <si>
    <t>St. Charles Total</t>
  </si>
  <si>
    <t>St. Bernard Total</t>
  </si>
  <si>
    <t>Richland Total</t>
  </si>
  <si>
    <t>Rapides Total</t>
  </si>
  <si>
    <t>Pointe Coupee Total</t>
  </si>
  <si>
    <t>Plaquemines Total</t>
  </si>
  <si>
    <t>Ouachita Total</t>
  </si>
  <si>
    <t>Orleans Total</t>
  </si>
  <si>
    <t>New Orleans Jewish Day School</t>
  </si>
  <si>
    <t>Qtr 1 Adjust. - St. Stephen</t>
  </si>
  <si>
    <t>Qtr 1 Adjust. - St. Joan of Arc</t>
  </si>
  <si>
    <t>Qtr 1 Adjust. - St. Anthony</t>
  </si>
  <si>
    <t>Natchitoches Total</t>
  </si>
  <si>
    <t>Morehouse Total</t>
  </si>
  <si>
    <t>Livingston Total</t>
  </si>
  <si>
    <t>Lincoln Total</t>
  </si>
  <si>
    <t>Lafourche Total</t>
  </si>
  <si>
    <t>Lafayette Total</t>
  </si>
  <si>
    <t>Qtr 1 Adjust. - Gethsemane Christian Academy</t>
  </si>
  <si>
    <t>Jefferson Total</t>
  </si>
  <si>
    <t>Jackson Total</t>
  </si>
  <si>
    <t>Iberville Total</t>
  </si>
  <si>
    <t>Iberia Total</t>
  </si>
  <si>
    <t>Grant Total</t>
  </si>
  <si>
    <t>Franklin Total</t>
  </si>
  <si>
    <t>East Feliciana Total</t>
  </si>
  <si>
    <t>East Baton Rouge Total</t>
  </si>
  <si>
    <t>Caldwell Total</t>
  </si>
  <si>
    <t>Calcasieu Total</t>
  </si>
  <si>
    <t>Caddo Total</t>
  </si>
  <si>
    <t>Bossier Total</t>
  </si>
  <si>
    <t>Bienville Total</t>
  </si>
  <si>
    <t>Beauregard Total</t>
  </si>
  <si>
    <t>Assumption Total</t>
  </si>
  <si>
    <t>Ascension Total</t>
  </si>
  <si>
    <t>Acadia Total</t>
  </si>
  <si>
    <t>2.1.12
MFP 
Funded
 Count 
City/
District</t>
  </si>
  <si>
    <t>Total Quarter  Payment</t>
  </si>
  <si>
    <t xml:space="preserve"> Quarterly Payment</t>
  </si>
  <si>
    <t>Comparison of  
FY2012-13
Budget Letter to
FY2013-14
Simulation</t>
  </si>
  <si>
    <t>AA.</t>
  </si>
  <si>
    <t>Total MFP Allocation (I+J+L+M+N+O+P+Q+R+S+T+U+V)</t>
  </si>
  <si>
    <t>Final
Per Pupil 
Amount</t>
  </si>
  <si>
    <t>12a</t>
  </si>
  <si>
    <t>14b</t>
  </si>
  <si>
    <t>19b</t>
  </si>
  <si>
    <t>MFP Allocation Including Adjustments (W + X)</t>
  </si>
  <si>
    <t>* New Charters in FY2013-14 funded based on projected student count; will be updated to actual 10/1/13 count</t>
  </si>
  <si>
    <t xml:space="preserve">Career &amp; Technical Weight </t>
  </si>
  <si>
    <t xml:space="preserve">Gifted/Talented Weight </t>
  </si>
  <si>
    <t>Funding Advanced Coursework/Higher Standards</t>
  </si>
  <si>
    <t>Level 3 Supplementary Funding</t>
  </si>
  <si>
    <t>Top Gains Rewards</t>
  </si>
  <si>
    <t xml:space="preserve">FY2013-14
Simulation
</t>
  </si>
  <si>
    <t>Low Income and English Language Learner</t>
  </si>
  <si>
    <t>Final
Levels 1, 2, &amp; 3
State Cost 
Allocation 
with
 90% Reduction 
of 
FY2013-14 Formula Changes</t>
  </si>
  <si>
    <t>Low Income 
and English Language
Learner Weight</t>
  </si>
  <si>
    <t xml:space="preserve">
Add-On
Student Units</t>
  </si>
  <si>
    <t>Special Education Weight - 
How Well The Child Is Educated</t>
  </si>
  <si>
    <t>Graduation Rates</t>
  </si>
  <si>
    <t xml:space="preserve">
Add-On 
Student Units
</t>
  </si>
  <si>
    <t>Special Education Weight - How the Child is Educated
(Placement/Environment)</t>
  </si>
  <si>
    <t>Special Education Weight - Needs of the Child
(Students with Disabilities)</t>
  </si>
  <si>
    <t>Category 1
Exceeded
Growth Target
(VAM and
LAA 
Data) 
FY2011-12</t>
  </si>
  <si>
    <t xml:space="preserve">Add-On
Student Units
</t>
  </si>
  <si>
    <t>Category 2
Significantly
Exceeded
Growth Target
(VAM Data)
FY2011-12</t>
  </si>
  <si>
    <t>Special Education Weights - 
How Well The Child Is Educated</t>
  </si>
  <si>
    <t>Add-On
Student Units
Category 1
Percent
Change
≤ -2.0%</t>
  </si>
  <si>
    <t>Add-On
Student Units
Category 2
Percent 
Change
Between 
-1.99% 
and 0%</t>
  </si>
  <si>
    <t>Add-On
Student Units
Category 3
Percent 
Change
Between
 0.01%
and
1.0%</t>
  </si>
  <si>
    <t xml:space="preserve">Add-On 
Student Units
</t>
  </si>
  <si>
    <t xml:space="preserve">
Add-On 
Student Units
</t>
  </si>
  <si>
    <t>Advanced Coursework - High Standards
Student Units
(EOC Test,
AP Test and
IB Course)</t>
  </si>
  <si>
    <t xml:space="preserve">Add-On 
Student Units
</t>
  </si>
  <si>
    <t xml:space="preserve">Hold Harmless Enhancement
</t>
  </si>
  <si>
    <r>
      <t>Total
Level 3
Funding</t>
    </r>
    <r>
      <rPr>
        <b/>
        <sz val="10"/>
        <color indexed="18"/>
        <rFont val="Arial"/>
        <family val="2"/>
      </rPr>
      <t xml:space="preserve">
(Without Continuation
of 
Prior Year
Pay Raises)</t>
    </r>
  </si>
  <si>
    <t>Total
Level 3
Funding 
with
Continuation
of Prior Year
Pay Raises</t>
  </si>
  <si>
    <t xml:space="preserve">
Add-on 
Student Units</t>
  </si>
  <si>
    <t xml:space="preserve">
 Add-On 
Student Units</t>
  </si>
  <si>
    <r>
      <t xml:space="preserve">
Continued Services after Declassification
</t>
    </r>
    <r>
      <rPr>
        <sz val="10"/>
        <color indexed="18"/>
        <rFont val="Arial"/>
        <family val="2"/>
      </rPr>
      <t>(FY2011-12)</t>
    </r>
    <r>
      <rPr>
        <b/>
        <sz val="10"/>
        <color indexed="18"/>
        <rFont val="Arial"/>
        <family val="2"/>
      </rPr>
      <t xml:space="preserve">
</t>
    </r>
  </si>
  <si>
    <t xml:space="preserve">
Add-On
Student Units
</t>
  </si>
  <si>
    <t xml:space="preserve">Student Scholarships for Educational Excellence Program 
Placeholder based on 2nd payment FY2012-13 </t>
  </si>
  <si>
    <r>
      <t xml:space="preserve">
Feb. 1, 2013
MFP Funded
Membership
(Per SIS)
</t>
    </r>
    <r>
      <rPr>
        <sz val="8"/>
        <color indexed="18"/>
        <rFont val="Arial"/>
        <family val="2"/>
      </rPr>
      <t>(Includes  Recovery 
School District,
Type 5 Charters,
 Type 2 Charters
 (Not 1st Year),  
  SSD,  LSDVI, 
LSMSA &amp; NOCCA)</t>
    </r>
  </si>
  <si>
    <r>
      <t xml:space="preserve">
Feb. 1, 2013
MFP Funded
Membership
(Per SIS)
</t>
    </r>
    <r>
      <rPr>
        <b/>
        <sz val="8"/>
        <color indexed="10"/>
        <rFont val="Arial"/>
        <family val="2"/>
      </rPr>
      <t xml:space="preserve">
</t>
    </r>
    <r>
      <rPr>
        <b/>
        <sz val="10"/>
        <color indexed="56"/>
        <rFont val="Arial"/>
        <family val="2"/>
      </rPr>
      <t/>
    </r>
  </si>
  <si>
    <r>
      <t xml:space="preserve">
Feb. 1, 2013
MFP Funded
Membership
(Per SIS)
</t>
    </r>
    <r>
      <rPr>
        <b/>
        <sz val="8"/>
        <color indexed="10"/>
        <rFont val="Arial"/>
        <family val="2"/>
      </rPr>
      <t xml:space="preserve">
</t>
    </r>
    <r>
      <rPr>
        <b/>
        <sz val="10"/>
        <color indexed="56"/>
        <rFont val="Arial"/>
        <family val="2"/>
      </rPr>
      <t/>
    </r>
  </si>
  <si>
    <t xml:space="preserve">Feb. 1, 2013
MFP Funded
Membership
(Per SIS)
</t>
  </si>
  <si>
    <r>
      <t xml:space="preserve">Feb. 1, 2013
MFP Funded
Membership
(Per SIS)
</t>
    </r>
    <r>
      <rPr>
        <sz val="9"/>
        <color indexed="18"/>
        <rFont val="Arial"/>
        <family val="2"/>
      </rPr>
      <t>(Does not include site codes
101018, 101020, and 101021)</t>
    </r>
  </si>
  <si>
    <r>
      <t xml:space="preserve">Projected
</t>
    </r>
    <r>
      <rPr>
        <b/>
        <sz val="10"/>
        <color rgb="FF000066"/>
        <rFont val="Arial"/>
        <family val="2"/>
      </rPr>
      <t>MFP 
Member-
ship</t>
    </r>
    <r>
      <rPr>
        <b/>
        <sz val="10"/>
        <color indexed="18"/>
        <rFont val="Arial"/>
        <family val="2"/>
      </rPr>
      <t xml:space="preserve">
</t>
    </r>
  </si>
  <si>
    <t xml:space="preserve">
Feb. 1, 2013
MFP Funded
Membership
(Per SIS)
</t>
  </si>
  <si>
    <r>
      <t xml:space="preserve">
Feb. 1, 2013
MFP Funded
Membership
(Per SIS)
</t>
    </r>
    <r>
      <rPr>
        <sz val="9"/>
        <color indexed="18"/>
        <rFont val="Arial"/>
        <family val="2"/>
      </rPr>
      <t>(Students living on Base)</t>
    </r>
    <r>
      <rPr>
        <b/>
        <sz val="10"/>
        <color indexed="18"/>
        <rFont val="Arial"/>
        <family val="2"/>
      </rPr>
      <t xml:space="preserve">
</t>
    </r>
  </si>
  <si>
    <t xml:space="preserve">
Feb. 1, 2013
MFP Funded
Membership
(Per SIS)
</t>
  </si>
  <si>
    <r>
      <t xml:space="preserve">2.1.13
MFP
Funded Membership
</t>
    </r>
    <r>
      <rPr>
        <sz val="10"/>
        <color indexed="18"/>
        <rFont val="Arial"/>
        <family val="2"/>
      </rPr>
      <t>(Per SIS)</t>
    </r>
  </si>
  <si>
    <t xml:space="preserve">
Feb. 1, 2013
Student Membership </t>
  </si>
  <si>
    <r>
      <t xml:space="preserve">
Feb. 1, 2013
Member-
ship 
(pe</t>
    </r>
    <r>
      <rPr>
        <sz val="10"/>
        <color indexed="18"/>
        <rFont val="Arial"/>
        <family val="2"/>
      </rPr>
      <t>r</t>
    </r>
    <r>
      <rPr>
        <b/>
        <sz val="10"/>
        <color indexed="18"/>
        <rFont val="Arial"/>
        <family val="2"/>
      </rPr>
      <t xml:space="preserve"> SIS)</t>
    </r>
  </si>
  <si>
    <t>Feb. 1, 2013
MFP Funded
Membership
(Per SIS)</t>
  </si>
  <si>
    <t>Madison Prep (CSAL)</t>
  </si>
  <si>
    <r>
      <t xml:space="preserve">Pay Raise
Per 
Pupil
Amount
</t>
    </r>
    <r>
      <rPr>
        <sz val="9"/>
        <color indexed="18"/>
        <rFont val="Arial"/>
        <family val="2"/>
      </rPr>
      <t>(Table 4, col 12)</t>
    </r>
  </si>
  <si>
    <t>col 1 X
col 10</t>
  </si>
  <si>
    <t>col 11/ 12</t>
  </si>
  <si>
    <t>col 6 +
 col 11</t>
  </si>
  <si>
    <t>col 7 +
 col 12</t>
  </si>
  <si>
    <t>col 1 X
col 8</t>
  </si>
  <si>
    <r>
      <rPr>
        <b/>
        <sz val="10"/>
        <color rgb="FFFF0000"/>
        <rFont val="Arial"/>
        <family val="2"/>
      </rPr>
      <t>Preliminary</t>
    </r>
    <r>
      <rPr>
        <b/>
        <sz val="10"/>
        <color indexed="18"/>
        <rFont val="Arial"/>
        <family val="2"/>
      </rPr>
      <t xml:space="preserve">
Number of 
First Year
Foreign Associate
Teachers in
FY2013-14</t>
    </r>
  </si>
  <si>
    <r>
      <t>Preliminary</t>
    </r>
    <r>
      <rPr>
        <b/>
        <sz val="10"/>
        <color indexed="18"/>
        <rFont val="Arial"/>
        <family val="2"/>
      </rPr>
      <t xml:space="preserve">
Number of 
Second and 
Third Year
Foreign Associate
Teachers in
FY2013-14</t>
    </r>
  </si>
  <si>
    <r>
      <t xml:space="preserve">Category 1
Student Units
</t>
    </r>
    <r>
      <rPr>
        <sz val="10"/>
        <color indexed="18"/>
        <rFont val="Arial"/>
        <family val="2"/>
      </rPr>
      <t>(Per SER 2-1-13)</t>
    </r>
    <r>
      <rPr>
        <b/>
        <sz val="10"/>
        <color indexed="18"/>
        <rFont val="Arial"/>
        <family val="2"/>
      </rPr>
      <t xml:space="preserve">
</t>
    </r>
  </si>
  <si>
    <r>
      <t xml:space="preserve">Category 2
Student Units
</t>
    </r>
    <r>
      <rPr>
        <sz val="10"/>
        <color indexed="18"/>
        <rFont val="Arial"/>
        <family val="2"/>
      </rPr>
      <t>(Per SER 2-1-13)</t>
    </r>
    <r>
      <rPr>
        <b/>
        <sz val="10"/>
        <color indexed="18"/>
        <rFont val="Arial"/>
        <family val="2"/>
      </rPr>
      <t xml:space="preserve">
</t>
    </r>
  </si>
  <si>
    <r>
      <t xml:space="preserve">Category 3
Student Units
</t>
    </r>
    <r>
      <rPr>
        <sz val="10"/>
        <color indexed="18"/>
        <rFont val="Arial"/>
        <family val="2"/>
      </rPr>
      <t>(Per SER 2-1-13)</t>
    </r>
    <r>
      <rPr>
        <b/>
        <sz val="10"/>
        <color indexed="18"/>
        <rFont val="Arial"/>
        <family val="2"/>
      </rPr>
      <t xml:space="preserve">
</t>
    </r>
  </si>
  <si>
    <r>
      <t xml:space="preserve">
</t>
    </r>
    <r>
      <rPr>
        <b/>
        <sz val="11"/>
        <color indexed="18"/>
        <rFont val="Arial"/>
        <family val="2"/>
      </rPr>
      <t>GRADES
 Preschool - 8th</t>
    </r>
    <r>
      <rPr>
        <b/>
        <sz val="10"/>
        <color indexed="18"/>
        <rFont val="Arial"/>
        <family val="2"/>
      </rPr>
      <t xml:space="preserve">
Student Units
</t>
    </r>
    <r>
      <rPr>
        <sz val="10"/>
        <color indexed="18"/>
        <rFont val="Arial"/>
        <family val="2"/>
      </rPr>
      <t>(Per SER
2-1-13)</t>
    </r>
  </si>
  <si>
    <r>
      <rPr>
        <b/>
        <sz val="11"/>
        <color indexed="18"/>
        <rFont val="Arial"/>
        <family val="2"/>
      </rPr>
      <t xml:space="preserve">
GRADES
 9-12</t>
    </r>
    <r>
      <rPr>
        <b/>
        <sz val="10"/>
        <color indexed="18"/>
        <rFont val="Arial"/>
        <family val="2"/>
      </rPr>
      <t xml:space="preserve">
Student Units
</t>
    </r>
    <r>
      <rPr>
        <sz val="10"/>
        <color indexed="18"/>
        <rFont val="Arial"/>
        <family val="2"/>
      </rPr>
      <t>(Per SER
2-1-13)</t>
    </r>
  </si>
  <si>
    <r>
      <t xml:space="preserve">Morris Jeff. Community Sch, Inc.
</t>
    </r>
    <r>
      <rPr>
        <sz val="11"/>
        <rFont val="Futura Lt BT"/>
        <family val="2"/>
      </rPr>
      <t xml:space="preserve">(Morris Jeff. Community School)
</t>
    </r>
    <r>
      <rPr>
        <sz val="11"/>
        <color rgb="FFFF0000"/>
        <rFont val="Futura Lt BT"/>
        <family val="2"/>
      </rPr>
      <t>Not in a District Building</t>
    </r>
  </si>
  <si>
    <t>8. New Orleans Center for Creative Arts (NOCCA) (full-day students)</t>
  </si>
  <si>
    <r>
      <t xml:space="preserve">Number of Foreign Associate Teachers
</t>
    </r>
    <r>
      <rPr>
        <b/>
        <sz val="10"/>
        <rFont val="Arial"/>
        <family val="2"/>
      </rPr>
      <t>2.1.13</t>
    </r>
  </si>
  <si>
    <t>40.45/16.85</t>
  </si>
  <si>
    <r>
      <t xml:space="preserve">
Low Income
 and 
English Language Learner
</t>
    </r>
    <r>
      <rPr>
        <sz val="10"/>
        <color indexed="18"/>
        <rFont val="Arial"/>
        <family val="2"/>
      </rPr>
      <t>(Per SIS
2-1-13)</t>
    </r>
    <r>
      <rPr>
        <b/>
        <sz val="10"/>
        <color indexed="18"/>
        <rFont val="Arial"/>
        <family val="2"/>
      </rPr>
      <t xml:space="preserve">
</t>
    </r>
  </si>
  <si>
    <r>
      <t xml:space="preserve">
CAREER &amp; 
TECHNICAL
 ED UNITS
</t>
    </r>
    <r>
      <rPr>
        <sz val="10"/>
        <color indexed="18"/>
        <rFont val="Arial"/>
        <family val="2"/>
      </rPr>
      <t>(Per LEADS
10-1-12)</t>
    </r>
    <r>
      <rPr>
        <b/>
        <sz val="10"/>
        <color indexed="18"/>
        <rFont val="Arial"/>
        <family val="2"/>
      </rPr>
      <t xml:space="preserve">
</t>
    </r>
  </si>
  <si>
    <r>
      <t xml:space="preserve">Special 
Education
Students with Disabilities
</t>
    </r>
    <r>
      <rPr>
        <sz val="10"/>
        <color indexed="18"/>
        <rFont val="Arial"/>
        <family val="2"/>
      </rPr>
      <t>Per SER 2-1-13</t>
    </r>
  </si>
  <si>
    <t xml:space="preserve">
Pilot of
FY2013-14
 Formula 
Changes</t>
  </si>
  <si>
    <r>
      <t xml:space="preserve"> Student Membership Count:  </t>
    </r>
    <r>
      <rPr>
        <b/>
        <sz val="11"/>
        <rFont val="Arial Narrow"/>
        <family val="2"/>
      </rPr>
      <t>Feb. 1, 2012 /  Feb. 1, 2013</t>
    </r>
  </si>
  <si>
    <t xml:space="preserve">Special Education Weight </t>
  </si>
  <si>
    <t>State Cost Allocation (65%)</t>
  </si>
  <si>
    <t>Pilot of FY2013-14 Formula Changes</t>
  </si>
  <si>
    <t>Local Cost Allocation (35%)</t>
  </si>
  <si>
    <t xml:space="preserve">Projected FY2013-2014 MFP Budget Letter </t>
  </si>
  <si>
    <t>(Table 3, 
col. 44 + col. 52)</t>
  </si>
  <si>
    <t>(Table 3, 
col. 44 + 
col. 52)</t>
  </si>
  <si>
    <r>
      <t xml:space="preserve">Pay Raise
Per 
Pupil
Amount
</t>
    </r>
    <r>
      <rPr>
        <sz val="9"/>
        <color indexed="18"/>
        <rFont val="Arial"/>
        <family val="2"/>
      </rPr>
      <t>(Table 4, 
col 12)</t>
    </r>
  </si>
  <si>
    <t>Feb. 1, 2013
MFP 
Funded
Membership
(Per SIS)</t>
  </si>
  <si>
    <r>
      <t xml:space="preserve">Louisiana Key Academy
</t>
    </r>
    <r>
      <rPr>
        <sz val="10"/>
        <color indexed="18"/>
        <rFont val="Arial"/>
        <family val="2"/>
      </rPr>
      <t xml:space="preserve">
(Opened 13/14)
(Not in a District Building)</t>
    </r>
  </si>
  <si>
    <r>
      <t xml:space="preserve">Jefferson Chamber Foundation
</t>
    </r>
    <r>
      <rPr>
        <sz val="10"/>
        <color indexed="18"/>
        <rFont val="Arial"/>
        <family val="2"/>
      </rPr>
      <t xml:space="preserve">
(Opened 13/14)
(Not in a District Building)</t>
    </r>
  </si>
  <si>
    <r>
      <t xml:space="preserve">Tallulah Charter School
</t>
    </r>
    <r>
      <rPr>
        <sz val="10"/>
        <color indexed="18"/>
        <rFont val="Arial"/>
        <family val="2"/>
      </rPr>
      <t xml:space="preserve">
(Opened 13/14)
(Not in a District Building)</t>
    </r>
  </si>
  <si>
    <r>
      <t xml:space="preserve">Northshore Charter School
</t>
    </r>
    <r>
      <rPr>
        <sz val="10"/>
        <color indexed="18"/>
        <rFont val="Arial"/>
        <family val="2"/>
      </rPr>
      <t xml:space="preserve">
(Opened 13/14)
(Not in a District Building)</t>
    </r>
  </si>
  <si>
    <r>
      <t xml:space="preserve">EBR Charter Academy
</t>
    </r>
    <r>
      <rPr>
        <sz val="10"/>
        <color indexed="18"/>
        <rFont val="Arial"/>
        <family val="2"/>
      </rPr>
      <t xml:space="preserve">
(Opened 13/14)
(Not in a District Building)</t>
    </r>
  </si>
  <si>
    <r>
      <t xml:space="preserve">Lake Charles Charter High School
</t>
    </r>
    <r>
      <rPr>
        <sz val="10"/>
        <color indexed="18"/>
        <rFont val="Arial"/>
        <family val="2"/>
      </rPr>
      <t xml:space="preserve">
(Opened 13/14)
(Not in a District Building)</t>
    </r>
  </si>
  <si>
    <r>
      <t xml:space="preserve">Delta Charter School
</t>
    </r>
    <r>
      <rPr>
        <sz val="10"/>
        <color indexed="18"/>
        <rFont val="Arial"/>
        <family val="2"/>
      </rPr>
      <t xml:space="preserve">
(Opened 13/14)
(Not in a District Building)</t>
    </r>
  </si>
  <si>
    <r>
      <t xml:space="preserve">Monthly
Payments
Amount
July 2013
</t>
    </r>
    <r>
      <rPr>
        <sz val="10"/>
        <color indexed="18"/>
        <rFont val="Arial"/>
        <family val="2"/>
      </rPr>
      <t xml:space="preserve">
(Table 2, 
col. 33)</t>
    </r>
  </si>
  <si>
    <t>col 12 +
 col 16</t>
  </si>
  <si>
    <t>Prior Year Audit Adjustments (Preliminary)</t>
  </si>
  <si>
    <r>
      <t xml:space="preserve">Rewards 
for 
Student Progress
</t>
    </r>
    <r>
      <rPr>
        <sz val="10"/>
        <color indexed="18"/>
        <rFont val="Arial"/>
        <family val="2"/>
      </rPr>
      <t>To be awarded in FY2013-14</t>
    </r>
  </si>
  <si>
    <t>Table 5A1: FY2013-14 MFP Budget Letter (Projection)</t>
  </si>
  <si>
    <r>
      <t>Audit
Adjust-
ments
FY2012-13
MFP</t>
    </r>
    <r>
      <rPr>
        <sz val="10"/>
        <color indexed="18"/>
        <rFont val="Futura Lt BT"/>
        <family val="2"/>
      </rPr>
      <t xml:space="preserve">
(Includes 
2/1 midyear
 from 
FY2011-12
</t>
    </r>
    <r>
      <rPr>
        <b/>
        <sz val="10"/>
        <color indexed="18"/>
        <rFont val="Futura Lt BT"/>
        <family val="2"/>
      </rPr>
      <t>PRELIMINARY</t>
    </r>
  </si>
  <si>
    <r>
      <t xml:space="preserve">Audit
Adjust-
ments
FY2012-13
MFP
</t>
    </r>
    <r>
      <rPr>
        <sz val="9"/>
        <color indexed="18"/>
        <rFont val="Arial"/>
        <family val="2"/>
      </rPr>
      <t>(Includes 
2/1 midyear
 from 
FY2011-12)</t>
    </r>
    <r>
      <rPr>
        <b/>
        <sz val="10"/>
        <color indexed="18"/>
        <rFont val="Arial"/>
        <family val="2"/>
      </rPr>
      <t xml:space="preserve">
PRELIMINARY</t>
    </r>
  </si>
  <si>
    <r>
      <t>Audit
Adjust-
ments
FY2012-13
MFP</t>
    </r>
    <r>
      <rPr>
        <sz val="10"/>
        <color indexed="18"/>
        <rFont val="Futura Lt BT"/>
        <family val="2"/>
      </rPr>
      <t xml:space="preserve">
(Includes 
2/1 midyear
 from 
FY2011-12)
</t>
    </r>
    <r>
      <rPr>
        <b/>
        <sz val="10"/>
        <color indexed="18"/>
        <rFont val="Futura Lt BT"/>
        <family val="2"/>
      </rPr>
      <t>PRELIMINARY</t>
    </r>
  </si>
  <si>
    <r>
      <t>Audit
Adjustments
FY2012-13
MFP</t>
    </r>
    <r>
      <rPr>
        <sz val="10"/>
        <color indexed="18"/>
        <rFont val="Arial"/>
        <family val="2"/>
      </rPr>
      <t xml:space="preserve">
(Includes 
2/1 midyear
 from 
FY2011-12)</t>
    </r>
  </si>
  <si>
    <t>Minus
State Cost
Allocation
 for
Recovery 
School 
District</t>
  </si>
  <si>
    <t>Minus
State Cost
Allocation
 for
Madison Prep
(CSAL)
(Table 5C1A col. 6)</t>
  </si>
  <si>
    <t>Minus
State Cost
Allocation
 for
D'Arbonne Woods
(Table 5C1B col. 6)</t>
  </si>
  <si>
    <t>Minus
State Cost
Allocation
 for
Int'l H.S.
(VIBE)
(Table 5C1C col. 6)</t>
  </si>
  <si>
    <t>Minus
State Cost
Allocation
 for
N.O.
Military/
Maritime
(Table 5C1D col. 6)</t>
  </si>
  <si>
    <t>Minus
State Cost
Allocation
 for
Lycee Francais
(Table 5C1E col. 6)</t>
  </si>
  <si>
    <t>Minus
State Cost
Allocation
 for
Lake Charles Charter
(Table 5C1F col. 6)</t>
  </si>
  <si>
    <t>Minus
State Cost
Allocation
 for
J.S. Clark Academy
(Table 5C1G col. 6)</t>
  </si>
  <si>
    <t>Minus
State Cost
Allocation
 for
Southwest LA Charter
(Table 5C1H col. 6)</t>
  </si>
  <si>
    <t>Minus
State Cost
Allocation
 for
LAVCA
(Table 5C2 col. 6 + 
col. 7)</t>
  </si>
  <si>
    <t>Minus
State Cost
Allocation
 for
LA Connections
(Table 5C3 col. 6 + 
col. 7)</t>
  </si>
  <si>
    <t>Minus
State Cost
Allocation
for
New Vision Charter
(Legacy 
Type 2)
(Table 5D1 col. 5)</t>
  </si>
  <si>
    <t>Minus
State Cost
Allocation
for
Glencoe Charter
(Legacy
Type 2)
(Table 5D2 col. 5)</t>
  </si>
  <si>
    <t>Minus
State Cost
Allocation
for
International Charter
Legacy 
Type 2)
(Table 5D3 col. 5)</t>
  </si>
  <si>
    <t xml:space="preserve">Minus
State Cost
Allocation
for
Avoyelles Charter
(Legacy
Type 2)
(Table 5D4
col. 5)
</t>
  </si>
  <si>
    <t xml:space="preserve">Minus
State Cost
Allocation
for
Delhi 
Charter
(Legacy
Type 2)
(Table 5D5 col. 5)
</t>
  </si>
  <si>
    <t>Minus
State Cost
Allocation
for
Milestone
Charter
(Legacy
Type 2)
(Table 5D6 col. 5)</t>
  </si>
  <si>
    <t>Minus
State Cost
Allocation
for
The MAX
Charter
(Legacy
Type 2)
(Table 5D7 col. 5)</t>
  </si>
  <si>
    <t>Minus
State Cost
Allocation
for
Belle Chasse
Charter
(Legacy
Type 2)
(Table 5D8 col. 7)</t>
  </si>
  <si>
    <t>Minus
State
Cost
Allocation
for
LSDVI
(Table 5A2 col. 6)</t>
  </si>
  <si>
    <t>Minus
State
Cost
Allocation
for
SSD
(Table 5A3 col. 6)</t>
  </si>
  <si>
    <t>Minus
State
Cost
Allocation
for
LSMSA
(Table 5A4 col. 6)</t>
  </si>
  <si>
    <t>Minus
State
Cost
Allocation
for
NOCCA
(Table 5A5 col. 6)</t>
  </si>
  <si>
    <t>Minus
State
Cost
Allocation
for
Scholarship
Program
(Projected)
(Table 5F 
col. 15 + 
col. 17)</t>
  </si>
  <si>
    <t>Total
State
Cost 
Allocations
for
Other
Entities</t>
  </si>
  <si>
    <t xml:space="preserve">
Total MFP
Distribution 
Amount minus 
Audit Adjustments and State Cost Allocation
July 2013
(Table 2, col. 37)</t>
  </si>
  <si>
    <t>Local Cost Allocation due to
LSMSA
(Table 5A2
column 11)</t>
  </si>
  <si>
    <t>Local Cost Allocation due to
NOCCA
(Table 5A3
column 11</t>
  </si>
  <si>
    <t>Local Cost Allocation due to
LSDVI
(Table 5A4
column 11)</t>
  </si>
  <si>
    <t>Local Cost Allocation due to
SSD
(Table 5A5
column 11)</t>
  </si>
  <si>
    <t>Local Cost Allocation
due to
RSD LA
(Table 5B-2
col 15 + 
col 20)</t>
  </si>
  <si>
    <t>Local Cost Allocation
due to
RSD 
Orleans
(Table 5B1
col 9 + col 14)</t>
  </si>
  <si>
    <t>Local Cost Allocation 
due to
Madison 
Prep
(CSAL)
(Table 5C1A,
col 15 + 
col 18)</t>
  </si>
  <si>
    <t>Local Cost Allocation
due to
D'Arbonne
Woods
(Table 5C1B,
col 15 + 
col 18)</t>
  </si>
  <si>
    <t>Local Cost Allocation
due to
Int'l H. S.
(VIBE)
(Table 5C1C,
col 15 + 
col 18)</t>
  </si>
  <si>
    <t>Local Cost Allocation
due to
N.O.
Military/
Maritime
(Table 5C1D,
col 15 + 
col 18)</t>
  </si>
  <si>
    <t>Local Cost Allocation
due to
Lycee
Francais
(Table 5C1E,
col 15 + 
col 18)</t>
  </si>
  <si>
    <t>Local Cost Allocation
due to
Lake 
Charles Academy
(Table 5C1F,
col 15 + 
col 18)</t>
  </si>
  <si>
    <t>Local Cost Allocation
due to
J. S. Clark
Leader-
ship
Academy
(Table 5C1G,
col 15 + col 18)</t>
  </si>
  <si>
    <t>Local Cost Allocation
due to
Southwest
LA
Charter
(Table 5C1H,
col 15 + 
col 18)</t>
  </si>
  <si>
    <t>Local Cost Allocation
due to
LA Key Academy
(Table 5C1J,
col 13 + 
col 16)</t>
  </si>
  <si>
    <t>Local Cost Allocation
due to
Jefferson Chamber Fdtn
(Table 5C1K,
col 13 + 
col 16)</t>
  </si>
  <si>
    <t>Local Cost Allocation
due to
Tallulah Charter
(Table 5C1L,
col 13 + 
col 16)</t>
  </si>
  <si>
    <t>Local Cost Allocation
due to
Northshore Charter
(Table 5C1M,
col 13 + 
col 16)</t>
  </si>
  <si>
    <t>Local Cost Allocation
due to
EBR Charter Admy
(Table 5C1N,
col 13 + 
col 16)</t>
  </si>
  <si>
    <t>Local Cost Allocation
due to
Lake Charles High School
(Table 5C1O,
col 13 + 
col 16)</t>
  </si>
  <si>
    <t>Local Cost Allocation
due to
Delta Charter
(Table 5C1P,
col 13 + 
col 16)</t>
  </si>
  <si>
    <t>Local Cost Allocation
due to
LAVCA
(Table 5C-2,
col 14 + 
col 17)</t>
  </si>
  <si>
    <t>Local Cost Allocation
due to
LA 
Connections
(Table 5C-3,
col 14 + 
col 17)</t>
  </si>
  <si>
    <t>Local Cost Allocation
due to
New Vision
Charter
(Legacy
Type 2)
(Table 5D1
col 12 + 
col 15)</t>
  </si>
  <si>
    <t>Local Cost Allocation
due to
Glencoe
Charter
(Legacy
Type 2)
(Table 5D2
col 12 + col 15)</t>
  </si>
  <si>
    <t>Local Cost Allocation
due to
International 
Charter
(Legacy
Type 2)
(Table 5D3
col 12 + col 15)</t>
  </si>
  <si>
    <t>Local Cost Allocation
due to
Avoyelles
Charter
(Legacy
Type 2)
(Table 5D4
col 12 + 
col 15)</t>
  </si>
  <si>
    <t>Local Cost Allocation 
due to
Delhi
Charter
(Legacy
Type 2)
(Table 5D5
col 12 + col 15)</t>
  </si>
  <si>
    <t>Local Cost Allocation
due to
Milestone
Charter
(Legacy
Type 2)
(Table 5D6
col 12 + col 15)</t>
  </si>
  <si>
    <t>Local Cost Allocation
due to
The MAX
Charter
(Legacy
Type 2)
(Table 5D7
col 12 + 
col 15)</t>
  </si>
  <si>
    <t>Local Cost Allocation
due to
Belle Chasse
Charter
(Legacy
Type 2)
(Table 5D8
col 14 + col 19)</t>
  </si>
  <si>
    <t>Local Cost Allocation
due to
Office of
Juvenile
Justice
(Table 5E
col 13 + 
col 14)</t>
  </si>
  <si>
    <t>Local Cost
Allocation
due  to 
Scholarship
Program
(Local Cost
Allocation)
(Table 5F
col 18)
(Projected)</t>
  </si>
  <si>
    <t>Total
Local Cost Allocation
 due to 
other
LEAs</t>
  </si>
  <si>
    <r>
      <t xml:space="preserve">Total MFP
Payment
Amount
</t>
    </r>
    <r>
      <rPr>
        <b/>
        <sz val="10"/>
        <color rgb="FFFF0000"/>
        <rFont val="Arial"/>
        <family val="2"/>
      </rPr>
      <t>minus</t>
    </r>
    <r>
      <rPr>
        <b/>
        <sz val="10"/>
        <color indexed="18"/>
        <rFont val="Arial"/>
        <family val="2"/>
      </rPr>
      <t xml:space="preserve">
Local Cost Allocation 
due to 
other
LEAs</t>
    </r>
  </si>
  <si>
    <t>Local Cost Allocation
due to
RSD LA
(Table 5B-2
column 22)</t>
  </si>
  <si>
    <t>Local Cost Allocation 
due to
D'Arbonne
Woods
(Table 5C1B,
column 18)</t>
  </si>
  <si>
    <t>Local Cost Allocation
due to
Int'l H. S.
(VIBE)
(Table 5C1C
column 18)</t>
  </si>
  <si>
    <t>Local Cost Allocation 
due to
N.O.
Military/
Maritime
(Table 5C1D
column 18)</t>
  </si>
  <si>
    <t>Transfer 
to pay
the local
Cost 
due to
Lycee Francois
(Table 5C-1,
column 18)</t>
  </si>
  <si>
    <t>Local Cost Allocation
due to
Lake Charles Academy
(Table 5C1F
column 18)</t>
  </si>
  <si>
    <t>Local Cost Allocation
due to
J. S. Clark
Leadership
Academy
(Table 5C1G
column 18)</t>
  </si>
  <si>
    <t>Local Cost Allocation
due to
Southwest
LA
Charter
(Table 5C1H
column 18)</t>
  </si>
  <si>
    <t>Local Cost Allocation
due to
LA Key Academy
(Table 5C1J
column 18)</t>
  </si>
  <si>
    <t>Local Cost Allocation
due to
Jefferson Chamber Fdtn
(Table 5C1K
column 18)</t>
  </si>
  <si>
    <t>Local Cost Allocation
due to
Tallulah Charter
(Table 5C1L
column 18)</t>
  </si>
  <si>
    <t>Local Cost Allocation
due to
Northshore Charter
(Table 5C1M
column 18)</t>
  </si>
  <si>
    <t>Local Cost Allocation
due to
EBR Charter Admy
(Table 5C1N
column 18)</t>
  </si>
  <si>
    <t>Local Cost Allocation
due to
Lake Charles High School
(Table 5C1O
column 18)</t>
  </si>
  <si>
    <t>Local Cost Allocation
due to
Delta Charter
(Table 5C1P
column 18)</t>
  </si>
  <si>
    <t>Local Cost Allocation
due to
New Vision
Charter
(Legacy
Type 2)
(Table 5D1
col 17)</t>
  </si>
  <si>
    <t>Local Cost Allocation
due to
Glencoe
Charter
(Legacy
Type 2)
(Table 5D2
col 17)</t>
  </si>
  <si>
    <t>Local Cost Allocation
due to
Avoyelles
Charter
(Legacy
Type 2)
(Table 5D4
 col 17)</t>
  </si>
  <si>
    <t>Local Cost Allocation
due to
Delhi
Charter
(Legacy
Type 2)
(Table 5D5
 col 17)</t>
  </si>
  <si>
    <t>Local Cost Allocation
due to
Milestone
Charter
(Legacy
Type 2)
(Table 5D6
 col 17))</t>
  </si>
  <si>
    <t>Local Cost Allocation
due to
The MAX
Charter
(Legacy
Type 2)
(Table 5D7
 col 17)</t>
  </si>
  <si>
    <t>Local Cost Allocation
due to
Belle Chasse
Charter
(Legacy
Type 2)
(Table 5D8
 col 21)</t>
  </si>
  <si>
    <t>Local Cost Allocation due monthly
 to the
Office of
Juvenile
Justice
(Table 5E
column 16)</t>
  </si>
  <si>
    <t>Local Cost Allocation due monthly
 to 
NOCCA
(Table 5A3
column 10)</t>
  </si>
  <si>
    <t>Local Cost Allocation due monthly
 to 
LSDVI
(Table 5A4
column 10)</t>
  </si>
  <si>
    <t>Local Cost Allocation due monthly
 to 
SSD
(Table 5A5
column 10)</t>
  </si>
  <si>
    <t xml:space="preserve">Local Cost Allocation due monthly
 to 
Scholarship
Program
</t>
  </si>
  <si>
    <r>
      <t xml:space="preserve">Total MFP
Payment
Amount
</t>
    </r>
    <r>
      <rPr>
        <b/>
        <sz val="10"/>
        <color rgb="FFFF0000"/>
        <rFont val="Arial"/>
        <family val="2"/>
      </rPr>
      <t>minus</t>
    </r>
    <r>
      <rPr>
        <b/>
        <sz val="10"/>
        <color indexed="18"/>
        <rFont val="Arial"/>
        <family val="2"/>
      </rPr>
      <t xml:space="preserve">
Local Cost Allocation 
to RSD
and 
Type 2 
Charters</t>
    </r>
  </si>
  <si>
    <t>Local Cost Allocation of 
Level 1
(DEDUCTION for Property &amp; Sales and Other Revenues)</t>
  </si>
  <si>
    <t>Local Cost Allocation
of Level 1
with 75% max Local Cost Allocation
(DEDUCTION for Property &amp; Sales and Other Revenues)</t>
  </si>
  <si>
    <t xml:space="preserve">
STATE Cost Allocation 
OF LEVEL 1</t>
  </si>
  <si>
    <t>State 
Cost Allocation
 %</t>
  </si>
  <si>
    <t>Local 
Cost Allocation
 %</t>
  </si>
  <si>
    <t>Per Pupil 
Local Cost Allocation
 of Level 1</t>
  </si>
  <si>
    <t>LOCAL Cost Allocation 
of Level 2</t>
  </si>
  <si>
    <t xml:space="preserve">
STATE Cost Allocation
OF LEVEL 2 </t>
  </si>
  <si>
    <t>Total
FY2012-13
MFP State Cost  
Allocation 
Plus 
Top Gains Rewards</t>
  </si>
  <si>
    <t>MFP  
State
Cost 
Allocation</t>
  </si>
  <si>
    <t>Total MFP State Cost 
Allocation Plus 
Continuation of 
Prior Year
Pay 
Raises</t>
  </si>
  <si>
    <t>Total
FY2012-13
MFP State Cost  
Allocation 
Plus Continuation of Pay Raises 
Minus Audit Adjustments</t>
  </si>
  <si>
    <t xml:space="preserve">Total
State
Cost 
Allocation
Plus
Top Gains Rewards
</t>
  </si>
  <si>
    <t xml:space="preserve">Total 
State 
Cost 
Allocation
</t>
  </si>
  <si>
    <t xml:space="preserve">Total
State
Cost 
Allocation
Plus
Pay Raise
Continuation
</t>
  </si>
  <si>
    <t>Total 
State
 and 
Local
 Cost  Allocation</t>
  </si>
  <si>
    <t>Local Cost Allocation of
Educational Cost</t>
  </si>
  <si>
    <t>Total
 State 
and 
Local
Cost Allocation
Monthly
Payment</t>
  </si>
  <si>
    <t>Total
 Local Cost  
Allocation</t>
  </si>
  <si>
    <t>Total
Local
Cost Allocation
Monthly
Payment</t>
  </si>
  <si>
    <t>Total
State
Cost Allocation
Monthly
Payment</t>
  </si>
  <si>
    <t>FY2013-14
Levels 1 and 2
LOCAL 
Cost Allocation
Per Pupil
(Table 3, Col 58)</t>
  </si>
  <si>
    <r>
      <t xml:space="preserve">FY2013-14
Levels 1, 2 &amp; 3
STATE Cost Allocation
OF COST
Per Pupil
</t>
    </r>
    <r>
      <rPr>
        <sz val="9"/>
        <color indexed="18"/>
        <rFont val="Arial"/>
        <family val="2"/>
      </rPr>
      <t>(Table 3, Col 44 + Col 52)</t>
    </r>
  </si>
  <si>
    <t>Total State Cost  
Allocation</t>
  </si>
  <si>
    <t>Total 
State
 and 
Local
Cost  
Allocation</t>
  </si>
  <si>
    <t>FY2013-14
Levels 1 and 2
LOCAL 
Cost Allocation 
Per Pupil
(Table 3, Col 58)</t>
  </si>
  <si>
    <t>Total 
Local Cost  
Allocation</t>
  </si>
  <si>
    <r>
      <t xml:space="preserve">FY2013-14
Levels 1 and 2
LOCAL 
Cost Allocation 
Per Pupil
</t>
    </r>
    <r>
      <rPr>
        <sz val="10"/>
        <color indexed="18"/>
        <rFont val="Arial"/>
        <family val="2"/>
      </rPr>
      <t>(Table 3, Col 58)</t>
    </r>
  </si>
  <si>
    <t xml:space="preserve">
State 
Cost
Allocation 
</t>
  </si>
  <si>
    <t xml:space="preserve">Total
State
Cost
Allocation
Plus
Pay Raise
Continuation
</t>
  </si>
  <si>
    <t xml:space="preserve">Local 
Cost
Allocation
Monthly
Payment
</t>
  </si>
  <si>
    <t>Local Cost 
Allocation</t>
  </si>
  <si>
    <t>Total 
State
 and 
Local
 Cost Allocation</t>
  </si>
  <si>
    <t xml:space="preserve">State
and 
Local
Cost Allocation
Monthly
Payment
</t>
  </si>
  <si>
    <t xml:space="preserve">State
Cost Allocation
Monthly
Payment
</t>
  </si>
  <si>
    <t xml:space="preserve">MFP Local Cost Allocation of Educational Cost </t>
  </si>
  <si>
    <r>
      <t xml:space="preserve">FY2013-14
Levels 1, 2 &amp; 3
STATE Cost Allocation
OF COST
Per Pupil
</t>
    </r>
    <r>
      <rPr>
        <sz val="9"/>
        <color indexed="18"/>
        <rFont val="Arial"/>
        <family val="2"/>
      </rPr>
      <t>(Table 3, Col 44 + 
Col 52)</t>
    </r>
  </si>
  <si>
    <t>Local Cost
Allocation</t>
  </si>
  <si>
    <t>MFP
State 
Cost
Allocation</t>
  </si>
  <si>
    <r>
      <t xml:space="preserve">Total 
FY2012-13
MFP 
State
Cost
Allocation 
</t>
    </r>
    <r>
      <rPr>
        <b/>
        <sz val="10"/>
        <color indexed="60"/>
        <rFont val="Futura Lt BT"/>
        <family val="2"/>
      </rPr>
      <t>plus</t>
    </r>
    <r>
      <rPr>
        <b/>
        <sz val="10"/>
        <color indexed="18"/>
        <rFont val="Futura Lt BT"/>
        <family val="2"/>
      </rPr>
      <t xml:space="preserve">
Continuation 
of Prior
Year
Pay 
Raises</t>
    </r>
  </si>
  <si>
    <r>
      <t xml:space="preserve">Total 
FY2012-13
MFP
State
Cost
Allocation 
</t>
    </r>
    <r>
      <rPr>
        <b/>
        <sz val="10"/>
        <color indexed="60"/>
        <rFont val="Futura Lt BT"/>
        <family val="2"/>
      </rPr>
      <t xml:space="preserve">plus </t>
    </r>
    <r>
      <rPr>
        <b/>
        <sz val="10"/>
        <color indexed="18"/>
        <rFont val="Futura Lt BT"/>
        <family val="2"/>
      </rPr>
      <t xml:space="preserve">Continuation
of Pay Raises
</t>
    </r>
    <r>
      <rPr>
        <b/>
        <sz val="10"/>
        <color indexed="60"/>
        <rFont val="Futura Lt BT"/>
        <family val="2"/>
      </rPr>
      <t xml:space="preserve">+/- </t>
    </r>
    <r>
      <rPr>
        <b/>
        <sz val="10"/>
        <color indexed="18"/>
        <rFont val="Futura Lt BT"/>
        <family val="2"/>
      </rPr>
      <t xml:space="preserve"> Audit  Adjustments</t>
    </r>
  </si>
  <si>
    <t xml:space="preserve">Total
Local 
Cost
Allocation
</t>
  </si>
  <si>
    <t>Total 
Local
Cost
Allocation
minus
Admin
Fee</t>
  </si>
  <si>
    <t>Total
Local 
Cost
Allocation
minus 
Admin Fee
+/- Audit 
Adj.</t>
  </si>
  <si>
    <t>State Cost Allocation
Per Pupil
(Levels 
1, 2  &amp; 3)
for
Orleans 
Parish</t>
  </si>
  <si>
    <t>MFP
State
Cost
Allocation</t>
  </si>
  <si>
    <t>Total
MFP
State
Cost
Allocation 
plus
Continuation 
of Pay Raises</t>
  </si>
  <si>
    <t>Total
MFP
State
Cost
Allocation 
+ Contin. 
of Pay Raises
- Admin Fee</t>
  </si>
  <si>
    <t>Total 
MFP
State
Cost
Allocation 
+ Continuation
of Pay Raises
- Admin Fees
 +/- Audit  Adjustments</t>
  </si>
  <si>
    <t>Total
Local
Cost
Allocation</t>
  </si>
  <si>
    <t>Total
Local
Cost
Allocation 
+ Contin. 
of Pay Raises
- Admin Fee</t>
  </si>
  <si>
    <t>Total 
Local
Cost
Allocation 
+ Continuation
of Pay Raises
- Admin Fees
 +/- Audit  Adjustments</t>
  </si>
  <si>
    <t>State
Cost Allocation
Monthly
Payment</t>
  </si>
  <si>
    <t>Local
Cost Allocation
Monthly
Payment</t>
  </si>
  <si>
    <t xml:space="preserve">MFP State Cost of Educational Cost 
</t>
  </si>
  <si>
    <t>State
Cost
Allocation</t>
  </si>
  <si>
    <t>Total
State Cost Allocation
+ Prior Year
Pay Raises</t>
  </si>
  <si>
    <t>Total
State Cost Allocation
+ Prior Year
Pay Raises
- Admin Fee</t>
  </si>
  <si>
    <t>Total 
State 
Cost
Allocation 
minus Admin.
Fee 
+/- Audit
Adjustments</t>
  </si>
  <si>
    <t xml:space="preserve">Total
State
Cost
Allocation
Plus
Top Gains Rewards
</t>
  </si>
  <si>
    <t>Local 
Cost 
Allocation</t>
  </si>
  <si>
    <t>Local Cost
Allocation
minus
Admin Fee</t>
  </si>
  <si>
    <t>Total 
Local
Cost
Allocation 
minus Admin.
Fee 
+/- Audit
Adjustments</t>
  </si>
  <si>
    <t xml:space="preserve">Local 
Cost Allocation
Monthly
Payment
</t>
  </si>
  <si>
    <t xml:space="preserve">Total 
State 
and 
Local
Cost  Allocation
Payment
</t>
  </si>
  <si>
    <t xml:space="preserve">Total 
State 
and 
Local
Cost Allocation Payment
</t>
  </si>
  <si>
    <t>Local 
Cost
Allocation</t>
  </si>
  <si>
    <t>Total 
State 
Cost
Allocation 
 Plus Level 3 Funding for Foreign Associate Teachers</t>
  </si>
  <si>
    <t>Total 
Local
Cost Allocation
minus Admin.
Fee 
+/- Audit
Adjustments</t>
  </si>
  <si>
    <r>
      <t xml:space="preserve">State Cost Allocation
Per Pupil
(Levels 
1, 2  &amp; 3)
</t>
    </r>
    <r>
      <rPr>
        <sz val="10"/>
        <color indexed="18"/>
        <rFont val="Arial"/>
        <family val="2"/>
      </rPr>
      <t>(Table 3, 
col. 44 + 
col. 52)</t>
    </r>
  </si>
  <si>
    <r>
      <t xml:space="preserve">FY2013-14
Levels 1, 2 &amp; 3
STATE Cost Allocation
OF COST
 Per Pupil 
without
Pay Raise
</t>
    </r>
    <r>
      <rPr>
        <sz val="10"/>
        <color indexed="18"/>
        <rFont val="Arial"/>
        <family val="2"/>
      </rPr>
      <t>(Table 3, Col 44 + Col 52)</t>
    </r>
  </si>
  <si>
    <r>
      <t xml:space="preserve">FY2013-14
Levels 1, 2 &amp; 3
STATE Cost Allocation
OF COST
 Per Pupil 
without
Pay Raise
</t>
    </r>
    <r>
      <rPr>
        <sz val="9"/>
        <color indexed="18"/>
        <rFont val="Arial"/>
        <family val="2"/>
      </rPr>
      <t>(Table 3, Col 44 + Col 52)</t>
    </r>
  </si>
  <si>
    <t xml:space="preserve">MFP State Cost  of Educational Cost 
</t>
  </si>
  <si>
    <t>State
Cost 
Allocation</t>
  </si>
  <si>
    <t>Total
State Cost  Allocation
+ Prior Year
Pay Raises</t>
  </si>
  <si>
    <t>Total
State Cost  Allocation
+ Prior Year
Pay Raises
- Admin Fee</t>
  </si>
  <si>
    <t>Total 
State 
Cost 
Allocation 
minus Admin.
Fee 
+/- Audit
Adjustments</t>
  </si>
  <si>
    <t>Local 
Cost  
Allocation</t>
  </si>
  <si>
    <t>Local Cost 
Allocation
minus
Admin Fee</t>
  </si>
  <si>
    <t>Total 
Local
Cost 
Allocation 
minus Admin.
Fee 
+/- Audit
Adjustments</t>
  </si>
  <si>
    <t xml:space="preserve">Local 
Cost  Allocation
Monthly
Payment
</t>
  </si>
  <si>
    <t xml:space="preserve">Total 
State 
and 
Local
Cost Allocation
Payment
</t>
  </si>
  <si>
    <t>Total 
State 
Cost 
Allocation 
Plus
Continuation
of 
Prior Year
Pay
Raises</t>
  </si>
  <si>
    <t>Total 
State 
Cost 
Allocation 
minus Admin.
Fee</t>
  </si>
  <si>
    <t>Total
Local
Cost 
Allocation</t>
  </si>
  <si>
    <t>Total
Local 
Cost 
Allocation
minus
Local 
Admin Fee</t>
  </si>
  <si>
    <t>Total
Local 
Cost 
Allocation
minus 
Admin Fee
+/- Audit 
Adj.</t>
  </si>
  <si>
    <t>State
Cost Allocation
Monthly 
Payment</t>
  </si>
  <si>
    <t xml:space="preserve">Total
State and
Local
Cost Allocation
Payment
</t>
  </si>
  <si>
    <t xml:space="preserve">Total
State and
Local
Cost Allocation
Monthly 
Payment
</t>
  </si>
  <si>
    <t xml:space="preserve">Total 
State 
and
 Local 
Cost Allocation
Payment
</t>
  </si>
  <si>
    <t>Local 
Cost
Allocation
(Does not include students living on Base)</t>
  </si>
  <si>
    <t>Local 
Cost 
Allocation
(Students
Living on
Base)</t>
  </si>
  <si>
    <t xml:space="preserve">Total 
State 
and 
Local 
Cost Allocation
Payment
</t>
  </si>
  <si>
    <t>State Cost
Allocation 
for OJJ
Secure Care
Students</t>
  </si>
  <si>
    <t>Local Cost 
Allocation
 for OJJ 
Secure Care
Students</t>
  </si>
  <si>
    <t>Total 
Local
Cost
Allocation 
+/- Audit
Adjustments</t>
  </si>
  <si>
    <t>Total State and Local Cost
Allocation
 for OJJ 
Secure
Care
Students</t>
  </si>
  <si>
    <t>MFP Local Cost Allocation of Educational Cost for 
Youth in Secure Care</t>
  </si>
  <si>
    <t>Adjusted
Local
Cost Allocation
Per Pupil
including
OJJ</t>
  </si>
  <si>
    <r>
      <t xml:space="preserve">FY2013-14
Levels 1, 2 &amp; 3
STATE Cost Allocation
OF COST
Per Pupil*
</t>
    </r>
    <r>
      <rPr>
        <sz val="9"/>
        <color indexed="18"/>
        <rFont val="Arial"/>
        <family val="2"/>
      </rPr>
      <t>(Table 3, Col 48 + Col 52)</t>
    </r>
  </si>
  <si>
    <t>FY2013-14
Levels 1 and 2
LOCAL 
Cost Allocation 
OF COST
(Table 3, Col 57)</t>
  </si>
  <si>
    <t>Feb. 1, 2013
MFP Funded
Membership 
+ 
ADM* at OJJ</t>
  </si>
  <si>
    <t xml:space="preserve">
 Local Cost Allocation 
due to
RSD 
Orleans
(Table 5B-1,
column 16)</t>
  </si>
  <si>
    <t>Local Cost Allocation 
due to
Madison 
Prep
(CSAL)
(Table 5C1A,
column 20)</t>
  </si>
  <si>
    <t>Local Cost Allocation
due to
Lycee
Francais
(Table 5C1E
column 20)</t>
  </si>
  <si>
    <t>Local Cost Allocation
due to
LAVCA
(Table 5C-2,
column 19)</t>
  </si>
  <si>
    <t>Local Cost Allocation
due to
LA 
Connections
(Table 5C-3,
column 19)</t>
  </si>
  <si>
    <t>Local Cost Allocation 
due to
International 
Charter
(Legacy
Type 2)
(Table 5D3
 col 19)</t>
  </si>
  <si>
    <t>Local Cost Allocation due monthly
 to 
LSMSA
(Table 5A2
column 12)</t>
  </si>
  <si>
    <r>
      <t xml:space="preserve">July ONLY:
Local
Admin Fee
Payable 
to DOE
(.25%)
RSD Orleans
</t>
    </r>
    <r>
      <rPr>
        <sz val="10"/>
        <color indexed="18"/>
        <rFont val="Arial"/>
        <family val="2"/>
      </rPr>
      <t>(Table 5B-1,
column 11)</t>
    </r>
  </si>
  <si>
    <r>
      <t xml:space="preserve">July ONLY:
Local
Admin 
Fee
Payable 
to DOE
(.25%)
Madison 
Prep
</t>
    </r>
    <r>
      <rPr>
        <sz val="10"/>
        <color indexed="18"/>
        <rFont val="Arial"/>
        <family val="2"/>
      </rPr>
      <t>(Table 5C1A,
column 16)</t>
    </r>
  </si>
  <si>
    <r>
      <t xml:space="preserve">July ONLY:
Local
Admin 
Fee
Payable 
to DOE
(.25%)
Int'l H. S.
</t>
    </r>
    <r>
      <rPr>
        <sz val="10"/>
        <color indexed="18"/>
        <rFont val="Arial"/>
        <family val="2"/>
      </rPr>
      <t>(Table 5C1C,
column 14)</t>
    </r>
  </si>
  <si>
    <r>
      <t xml:space="preserve">July ONLY:
Local
Admin 
Fee
Payable 
to DOE
(.25%)
N.O.
Military
</t>
    </r>
    <r>
      <rPr>
        <sz val="10"/>
        <color indexed="18"/>
        <rFont val="Arial"/>
        <family val="2"/>
      </rPr>
      <t>(Table 5C1D,
column 14)</t>
    </r>
  </si>
  <si>
    <r>
      <t xml:space="preserve">July ONLY:
Local
Admin 
Fee
Payable 
to DOE
(.25%)
Lycee Francais
</t>
    </r>
    <r>
      <rPr>
        <sz val="10"/>
        <color indexed="18"/>
        <rFont val="Arial"/>
        <family val="2"/>
      </rPr>
      <t>(Table 5C1E,
column 16)</t>
    </r>
  </si>
  <si>
    <r>
      <t xml:space="preserve">July ONLY:
Local
Admin 
Fee
Payable 
to DOE
(.25%)
Lake Charles
Academy
</t>
    </r>
    <r>
      <rPr>
        <sz val="10"/>
        <color indexed="18"/>
        <rFont val="Arial"/>
        <family val="2"/>
      </rPr>
      <t>(Table 5C1F,
column 14)</t>
    </r>
  </si>
  <si>
    <r>
      <t xml:space="preserve">July ONLY:
Local
Admin 
Fee
Payable 
to DOE
(.25%)
Clark
Leadership
</t>
    </r>
    <r>
      <rPr>
        <sz val="10"/>
        <color indexed="18"/>
        <rFont val="Arial"/>
        <family val="2"/>
      </rPr>
      <t>(Table 5C1G,
column 14)</t>
    </r>
  </si>
  <si>
    <r>
      <t xml:space="preserve">July ONLY:
Local
Admin 
Fee
Payable 
to DOE
(.25%)
Southwest
LA Charter
</t>
    </r>
    <r>
      <rPr>
        <sz val="10"/>
        <color indexed="18"/>
        <rFont val="Arial"/>
        <family val="2"/>
      </rPr>
      <t>(Table 5C1H,
column 14)</t>
    </r>
  </si>
  <si>
    <r>
      <t xml:space="preserve">July ONLY:
Local
Admin 
Fee
Payable 
to DOE
(.25%
LAVCA
</t>
    </r>
    <r>
      <rPr>
        <sz val="10"/>
        <color indexed="18"/>
        <rFont val="Arial"/>
        <family val="2"/>
      </rPr>
      <t>(Table 5C-2,
column 15)</t>
    </r>
  </si>
  <si>
    <r>
      <t xml:space="preserve">July ONLY:
Local
Admin 
Fee
Payable 
to DOE
(.25%)
LA Conn.
</t>
    </r>
    <r>
      <rPr>
        <sz val="10"/>
        <color indexed="18"/>
        <rFont val="Arial"/>
        <family val="2"/>
      </rPr>
      <t>(Table 5C-3,
column 15)</t>
    </r>
  </si>
  <si>
    <r>
      <t xml:space="preserve">July ONLY:
Local Admin
 Fee Payable 
to DOE
(.25%)
International 
Charter
(Legacy
Type 2)
</t>
    </r>
    <r>
      <rPr>
        <sz val="9"/>
        <color indexed="18"/>
        <rFont val="Arial"/>
        <family val="2"/>
      </rPr>
      <t>(Table 5D3
 col 15)</t>
    </r>
  </si>
  <si>
    <t>Level 1 and 2 State Cost Allocation (C1+E1)</t>
  </si>
  <si>
    <t>Final State Cost Allocation with 90% Reduction (Levels 1, 2 &amp; 3)</t>
  </si>
  <si>
    <t>State Cost Allocation Formula (Levels 1, 2, 3 &amp; 4)</t>
  </si>
  <si>
    <t>Solutions Prior to Referral Weight</t>
  </si>
  <si>
    <t>High Standards
(Funding Advanced Coursework)</t>
  </si>
  <si>
    <t>Minus/Plus
90% of 
Pilot of
FY2013-14 
Formula 
Changes</t>
  </si>
  <si>
    <t>FY2013-14
Total MFP
Allocation 
+/- Adjustments
minus
 State Cost Allocation to 
other LEAs</t>
  </si>
  <si>
    <t xml:space="preserve">
Levels 1 &amp; 2
STATE Cost Allocation
 </t>
  </si>
  <si>
    <t xml:space="preserve">
Levels 1, 2 &amp; 3
STATE Cost Allocation
without Continuation of Prior Year
Pay Raises</t>
  </si>
  <si>
    <t xml:space="preserve">
Levels 1, 2 &amp; 3
STATE Cost Allocation
with 
Continuation of 
Prior Year
Pay Raises</t>
  </si>
  <si>
    <t xml:space="preserve">
Levels 1 and 2
LOCAL Cost Allocation 
</t>
  </si>
  <si>
    <r>
      <t xml:space="preserve">
</t>
    </r>
    <r>
      <rPr>
        <b/>
        <sz val="10"/>
        <color indexed="10"/>
        <rFont val="Arial Narrow"/>
        <family val="2"/>
      </rPr>
      <t xml:space="preserve">TOTAL STATE </t>
    </r>
    <r>
      <rPr>
        <b/>
        <sz val="10"/>
        <color indexed="18"/>
        <rFont val="Arial Narrow"/>
        <family val="2"/>
      </rPr>
      <t xml:space="preserve">
(with Continuation
of Pay Raises)
 AND
</t>
    </r>
    <r>
      <rPr>
        <b/>
        <sz val="10"/>
        <color indexed="10"/>
        <rFont val="Arial Narrow"/>
        <family val="2"/>
      </rPr>
      <t>LOCAL</t>
    </r>
    <r>
      <rPr>
        <b/>
        <sz val="10"/>
        <color indexed="18"/>
        <rFont val="Arial Narrow"/>
        <family val="2"/>
      </rPr>
      <t xml:space="preserve"> COST ALLOCATION   
Levels 1 and 2</t>
    </r>
  </si>
  <si>
    <t>FY2012-13
STATE 
Cost Allocation LEVELS
1, 2, &amp; 3
(July 2012)
(includes 
Continuation of
 Prior Year Pay Raises)</t>
  </si>
  <si>
    <t>Difference 
Between
Simulation 
and 
FY2012-13
Simulation
STATE 
Cost Allocation  LEVELS
1, 2, &amp; 3</t>
  </si>
  <si>
    <t>* See Recovery School District Allocation, Type 2 Allocations, and LSDVI and LSEC allocations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</si>
</sst>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&quot;$&quot;#,##0"/>
    <numFmt numFmtId="167" formatCode="0.0000000"/>
    <numFmt numFmtId="168" formatCode="&quot;$&quot;#,##0;[Red]&quot;$&quot;#,##0"/>
    <numFmt numFmtId="169" formatCode="0.000%"/>
    <numFmt numFmtId="170" formatCode="&quot;$&quot;#,##0.00"/>
    <numFmt numFmtId="171" formatCode="0_);[Red]\(0\)"/>
    <numFmt numFmtId="172" formatCode="#,##0.0"/>
    <numFmt numFmtId="173" formatCode="0.0%"/>
    <numFmt numFmtId="174" formatCode="0.0"/>
    <numFmt numFmtId="175" formatCode="_(&quot;$&quot;* #,##0_);_(&quot;$&quot;* \(#,##0\);_(&quot;$&quot;* &quot;-&quot;??_);_(@_)"/>
  </numFmts>
  <fonts count="15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sz val="10"/>
      <name val="Arial Narrow"/>
      <family val="2"/>
    </font>
    <font>
      <b/>
      <sz val="10"/>
      <name val="Arial"/>
      <family val="2"/>
    </font>
    <font>
      <b/>
      <sz val="12"/>
      <name val="Arial Narrow"/>
      <family val="2"/>
    </font>
    <font>
      <sz val="8"/>
      <name val="Arial Narrow"/>
      <family val="2"/>
    </font>
    <font>
      <sz val="12"/>
      <name val="Arial Narrow"/>
      <family val="2"/>
    </font>
    <font>
      <b/>
      <sz val="18"/>
      <name val="Arial Narrow"/>
      <family val="2"/>
    </font>
    <font>
      <b/>
      <i/>
      <sz val="18"/>
      <name val="Arial Narrow"/>
      <family val="2"/>
    </font>
    <font>
      <sz val="8"/>
      <name val="Arial"/>
      <family val="2"/>
    </font>
    <font>
      <b/>
      <sz val="20"/>
      <color indexed="20"/>
      <name val="Arial Narrow"/>
      <family val="2"/>
    </font>
    <font>
      <b/>
      <sz val="12"/>
      <color indexed="62"/>
      <name val="Arial Narrow"/>
      <family val="2"/>
    </font>
    <font>
      <b/>
      <sz val="10"/>
      <color indexed="20"/>
      <name val="Arial"/>
      <family val="2"/>
    </font>
    <font>
      <b/>
      <sz val="10"/>
      <color indexed="20"/>
      <name val="Arial Narrow"/>
      <family val="2"/>
    </font>
    <font>
      <b/>
      <sz val="12"/>
      <color indexed="18"/>
      <name val="Arial Narrow"/>
      <family val="2"/>
    </font>
    <font>
      <sz val="10"/>
      <color indexed="18"/>
      <name val="Arial"/>
      <family val="2"/>
    </font>
    <font>
      <b/>
      <i/>
      <sz val="10"/>
      <color indexed="18"/>
      <name val="Arial Narrow"/>
      <family val="2"/>
    </font>
    <font>
      <b/>
      <sz val="18"/>
      <color indexed="20"/>
      <name val="Arial Narrow"/>
      <family val="2"/>
    </font>
    <font>
      <b/>
      <sz val="10"/>
      <color indexed="18"/>
      <name val="Arial"/>
      <family val="2"/>
    </font>
    <font>
      <b/>
      <i/>
      <sz val="10"/>
      <name val="Arial"/>
      <family val="2"/>
    </font>
    <font>
      <b/>
      <sz val="16"/>
      <color indexed="20"/>
      <name val="Arial Narrow"/>
      <family val="2"/>
    </font>
    <font>
      <b/>
      <i/>
      <sz val="16"/>
      <name val="Arial"/>
      <family val="2"/>
    </font>
    <font>
      <b/>
      <i/>
      <sz val="20"/>
      <name val="Arial"/>
      <family val="2"/>
    </font>
    <font>
      <b/>
      <sz val="12"/>
      <color indexed="12"/>
      <name val="CG Omega (PCL6)"/>
      <family val="2"/>
    </font>
    <font>
      <b/>
      <i/>
      <sz val="10"/>
      <color indexed="12"/>
      <name val="Arial"/>
      <family val="2"/>
    </font>
    <font>
      <b/>
      <i/>
      <sz val="21"/>
      <name val="Arial"/>
      <family val="2"/>
    </font>
    <font>
      <b/>
      <sz val="10"/>
      <color indexed="20"/>
      <name val="Arial"/>
      <family val="2"/>
    </font>
    <font>
      <sz val="9"/>
      <name val="Arial Narrow"/>
      <family val="2"/>
    </font>
    <font>
      <sz val="9"/>
      <name val="Arial"/>
      <family val="2"/>
    </font>
    <font>
      <sz val="9"/>
      <color indexed="8"/>
      <name val="Arial Narrow"/>
      <family val="2"/>
    </font>
    <font>
      <sz val="9"/>
      <name val="Arial"/>
      <family val="2"/>
    </font>
    <font>
      <sz val="12"/>
      <color indexed="18"/>
      <name val="Arial Narrow"/>
      <family val="2"/>
    </font>
    <font>
      <b/>
      <sz val="16"/>
      <color indexed="10"/>
      <name val="Arial"/>
      <family val="2"/>
    </font>
    <font>
      <b/>
      <sz val="10"/>
      <name val="Arial Narrow"/>
      <family val="2"/>
    </font>
    <font>
      <b/>
      <sz val="10"/>
      <color indexed="62"/>
      <name val="Arial"/>
      <family val="2"/>
    </font>
    <font>
      <sz val="10"/>
      <name val="CG Times"/>
      <family val="1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2"/>
      <color indexed="20"/>
      <name val="Arial Narrow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8"/>
      <name val="Arial"/>
      <family val="2"/>
    </font>
    <font>
      <b/>
      <sz val="14"/>
      <color indexed="10"/>
      <name val="Arial"/>
      <family val="2"/>
    </font>
    <font>
      <b/>
      <sz val="11"/>
      <name val="Arial Narrow"/>
      <family val="2"/>
    </font>
    <font>
      <b/>
      <sz val="10"/>
      <color indexed="18"/>
      <name val="Arial Narrow"/>
      <family val="2"/>
    </font>
    <font>
      <b/>
      <sz val="14"/>
      <color indexed="18"/>
      <name val="Arial Narrow"/>
      <family val="2"/>
    </font>
    <font>
      <b/>
      <sz val="14"/>
      <color indexed="10"/>
      <name val="Arial Narrow"/>
      <family val="2"/>
    </font>
    <font>
      <sz val="10"/>
      <color indexed="12"/>
      <name val="Arial"/>
      <family val="2"/>
    </font>
    <font>
      <sz val="16"/>
      <color indexed="10"/>
      <name val="Arial"/>
      <family val="2"/>
    </font>
    <font>
      <sz val="12"/>
      <name val="Arial"/>
      <family val="2"/>
    </font>
    <font>
      <b/>
      <sz val="22"/>
      <name val="Arial Narrow"/>
      <family val="2"/>
    </font>
    <font>
      <b/>
      <sz val="10"/>
      <color indexed="17"/>
      <name val="Arial"/>
      <family val="2"/>
    </font>
    <font>
      <b/>
      <sz val="10.5"/>
      <name val="Futura Lt BT"/>
      <family val="2"/>
    </font>
    <font>
      <b/>
      <sz val="10"/>
      <name val="Arial"/>
      <family val="2"/>
    </font>
    <font>
      <b/>
      <sz val="8"/>
      <color indexed="18"/>
      <name val="Arial"/>
      <family val="2"/>
    </font>
    <font>
      <b/>
      <sz val="12"/>
      <color indexed="18"/>
      <name val="Arial"/>
      <family val="2"/>
    </font>
    <font>
      <sz val="12"/>
      <color indexed="18"/>
      <name val="Arial"/>
      <family val="2"/>
    </font>
    <font>
      <b/>
      <sz val="12"/>
      <color indexed="20"/>
      <name val="Arial"/>
      <family val="2"/>
    </font>
    <font>
      <b/>
      <sz val="8"/>
      <color indexed="10"/>
      <name val="Arial"/>
      <family val="2"/>
    </font>
    <font>
      <sz val="11"/>
      <name val="Arial"/>
      <family val="2"/>
    </font>
    <font>
      <b/>
      <sz val="14"/>
      <name val="Futura Lt BT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color indexed="22"/>
      <name val="Arial"/>
      <family val="2"/>
    </font>
    <font>
      <sz val="12"/>
      <name val="Futura Lt BT"/>
      <family val="2"/>
    </font>
    <font>
      <b/>
      <sz val="11"/>
      <name val="Arial"/>
      <family val="2"/>
    </font>
    <font>
      <b/>
      <sz val="10"/>
      <color indexed="10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9"/>
      <color indexed="18"/>
      <name val="Arial"/>
      <family val="2"/>
    </font>
    <font>
      <sz val="11"/>
      <name val="Futura Lt BT"/>
      <family val="2"/>
    </font>
    <font>
      <sz val="10"/>
      <name val="Arial"/>
      <family val="2"/>
    </font>
    <font>
      <sz val="10"/>
      <name val="Futura Lt BT"/>
      <family val="2"/>
    </font>
    <font>
      <b/>
      <sz val="11"/>
      <color indexed="18"/>
      <name val="Arial"/>
      <family val="2"/>
    </font>
    <font>
      <b/>
      <sz val="12"/>
      <name val="Futura Lt BT"/>
      <family val="2"/>
    </font>
    <font>
      <b/>
      <sz val="9"/>
      <name val="Futura Lt BT"/>
      <family val="2"/>
    </font>
    <font>
      <b/>
      <sz val="10"/>
      <name val="Futura Lt BT"/>
      <family val="2"/>
    </font>
    <font>
      <sz val="10"/>
      <name val="Albertus Xb (W1)"/>
      <family val="2"/>
    </font>
    <font>
      <b/>
      <sz val="10"/>
      <color indexed="56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6"/>
      <color indexed="18"/>
      <name val="Arial"/>
      <family val="2"/>
    </font>
    <font>
      <b/>
      <sz val="9"/>
      <name val="Arial"/>
      <family val="2"/>
    </font>
    <font>
      <b/>
      <sz val="10"/>
      <color rgb="FF000082"/>
      <name val="Arial"/>
      <family val="2"/>
    </font>
    <font>
      <sz val="11"/>
      <color indexed="18"/>
      <name val="Arial"/>
      <family val="2"/>
    </font>
    <font>
      <sz val="10"/>
      <color rgb="FFFF0000"/>
      <name val="Arial"/>
      <family val="2"/>
    </font>
    <font>
      <sz val="8"/>
      <color indexed="18"/>
      <name val="Arial"/>
      <family val="2"/>
    </font>
    <font>
      <b/>
      <sz val="9"/>
      <color indexed="20"/>
      <name val="Arial"/>
      <family val="2"/>
    </font>
    <font>
      <b/>
      <sz val="8"/>
      <name val="Arial"/>
      <family val="2"/>
    </font>
    <font>
      <sz val="9"/>
      <color indexed="18"/>
      <name val="Arial"/>
      <family val="2"/>
    </font>
    <font>
      <sz val="10"/>
      <color indexed="20"/>
      <name val="Arial"/>
      <family val="2"/>
    </font>
    <font>
      <sz val="14"/>
      <name val="Arial"/>
      <family val="2"/>
    </font>
    <font>
      <sz val="11"/>
      <color rgb="FFFF0000"/>
      <name val="Futura Lt BT"/>
      <family val="2"/>
    </font>
    <font>
      <sz val="12"/>
      <color rgb="FFFF0000"/>
      <name val="Futura Lt BT"/>
      <family val="2"/>
    </font>
    <font>
      <sz val="10"/>
      <color indexed="8"/>
      <name val="Arial"/>
      <family val="2"/>
    </font>
    <font>
      <b/>
      <sz val="10"/>
      <color rgb="FF000066"/>
      <name val="Arial"/>
      <family val="2"/>
    </font>
    <font>
      <b/>
      <sz val="12"/>
      <color indexed="22"/>
      <name val="Futura Lt BT"/>
      <family val="2"/>
    </font>
    <font>
      <sz val="9"/>
      <name val="Futura Lt BT"/>
      <family val="2"/>
    </font>
    <font>
      <b/>
      <sz val="10"/>
      <color indexed="20"/>
      <name val="Futura Lt BT"/>
      <family val="2"/>
    </font>
    <font>
      <b/>
      <sz val="12"/>
      <color indexed="18"/>
      <name val="Futura Lt BT"/>
      <family val="2"/>
    </font>
    <font>
      <b/>
      <sz val="10"/>
      <color indexed="18"/>
      <name val="Futura Lt BT"/>
      <family val="2"/>
    </font>
    <font>
      <b/>
      <sz val="10"/>
      <color indexed="60"/>
      <name val="Futura Lt BT"/>
      <family val="2"/>
    </font>
    <font>
      <sz val="10"/>
      <color indexed="18"/>
      <name val="Futura Lt BT"/>
      <family val="2"/>
    </font>
    <font>
      <b/>
      <sz val="10"/>
      <color rgb="FF000082"/>
      <name val="Futura Lt BT"/>
      <family val="2"/>
    </font>
    <font>
      <sz val="10"/>
      <color rgb="FFFF0000"/>
      <name val="Futura Lt BT"/>
      <family val="2"/>
    </font>
    <font>
      <b/>
      <sz val="11"/>
      <name val="Futura Lt BT"/>
      <family val="2"/>
    </font>
    <font>
      <sz val="12"/>
      <color indexed="18"/>
      <name val="Futura Lt BT"/>
      <family val="2"/>
    </font>
    <font>
      <b/>
      <sz val="12"/>
      <color rgb="FFC00000"/>
      <name val="Futura Lt BT"/>
      <family val="2"/>
    </font>
    <font>
      <sz val="14"/>
      <name val="Arial Narrow"/>
      <family val="2"/>
    </font>
    <font>
      <b/>
      <sz val="16"/>
      <color rgb="FF000066"/>
      <name val="Arial Narrow"/>
      <family val="2"/>
    </font>
    <font>
      <b/>
      <sz val="16"/>
      <color theme="5" tint="-0.499984740745262"/>
      <name val="Arial Narrow"/>
      <family val="2"/>
    </font>
    <font>
      <b/>
      <sz val="16"/>
      <color theme="7" tint="-0.499984740745262"/>
      <name val="Arial Narrow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indexed="20"/>
      <name val="Arial"/>
      <family val="2"/>
    </font>
    <font>
      <sz val="11"/>
      <color theme="1"/>
      <name val="Arial"/>
      <family val="2"/>
    </font>
    <font>
      <sz val="10"/>
      <color rgb="FF000066"/>
      <name val="Arial"/>
      <family val="2"/>
    </font>
    <font>
      <b/>
      <sz val="12"/>
      <color rgb="FF000066"/>
      <name val="Arial"/>
      <family val="2"/>
    </font>
    <font>
      <b/>
      <sz val="22"/>
      <name val="Futura Lt BT"/>
      <family val="2"/>
    </font>
    <font>
      <b/>
      <sz val="10"/>
      <name val="Futura Lt BT"/>
      <family val="2"/>
    </font>
    <font>
      <sz val="9"/>
      <name val="Futura Lt BT"/>
      <family val="2"/>
    </font>
    <font>
      <sz val="9"/>
      <color indexed="18"/>
      <name val="Futura Lt BT"/>
      <family val="2"/>
    </font>
    <font>
      <sz val="9"/>
      <color rgb="FF000066"/>
      <name val="Futura Lt BT"/>
      <family val="2"/>
    </font>
    <font>
      <b/>
      <sz val="10"/>
      <color rgb="FF000066"/>
      <name val="Futura Lt BT"/>
      <family val="2"/>
    </font>
    <font>
      <b/>
      <sz val="18"/>
      <name val="Futura Lt BT"/>
      <family val="2"/>
    </font>
    <font>
      <b/>
      <sz val="12"/>
      <color rgb="FF002060"/>
      <name val="Arial"/>
      <family val="2"/>
    </font>
    <font>
      <b/>
      <sz val="11"/>
      <color rgb="FFFF0000"/>
      <name val="Arial"/>
      <family val="2"/>
    </font>
    <font>
      <sz val="22"/>
      <name val="Arial Narrow"/>
      <family val="2"/>
    </font>
    <font>
      <sz val="24"/>
      <name val="Arial Narrow"/>
      <family val="2"/>
    </font>
  </fonts>
  <fills count="7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9"/>
      </patternFill>
    </fill>
    <fill>
      <patternFill patternType="solid">
        <fgColor indexed="46"/>
        <bgColor indexed="9"/>
      </patternFill>
    </fill>
    <fill>
      <patternFill patternType="solid">
        <fgColor rgb="FFFF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rgb="FFB7DEE8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34998626667073579"/>
        <bgColor indexed="64"/>
      </patternFill>
    </fill>
  </fills>
  <borders count="29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thin">
        <color indexed="8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8"/>
      </left>
      <right/>
      <top/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 style="double">
        <color indexed="8"/>
      </left>
      <right/>
      <top/>
      <bottom style="medium">
        <color indexed="64"/>
      </bottom>
      <diagonal/>
    </border>
    <border>
      <left style="double">
        <color indexed="8"/>
      </left>
      <right/>
      <top style="medium">
        <color indexed="64"/>
      </top>
      <bottom/>
      <diagonal/>
    </border>
    <border>
      <left style="double">
        <color indexed="8"/>
      </left>
      <right/>
      <top/>
      <bottom style="thin">
        <color indexed="8"/>
      </bottom>
      <diagonal/>
    </border>
    <border>
      <left style="double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/>
      <top/>
      <bottom style="thin">
        <color indexed="64"/>
      </bottom>
      <diagonal/>
    </border>
    <border>
      <left style="thin">
        <color indexed="63"/>
      </left>
      <right/>
      <top/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/>
      <diagonal/>
    </border>
    <border>
      <left/>
      <right/>
      <top style="medium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double">
        <color indexed="8"/>
      </right>
      <top/>
      <bottom/>
      <diagonal/>
    </border>
    <border>
      <left/>
      <right style="double">
        <color indexed="8"/>
      </right>
      <top style="medium">
        <color indexed="8"/>
      </top>
      <bottom style="thin">
        <color indexed="8"/>
      </bottom>
      <diagonal/>
    </border>
    <border>
      <left/>
      <right style="double">
        <color indexed="8"/>
      </right>
      <top/>
      <bottom style="thin">
        <color indexed="8"/>
      </bottom>
      <diagonal/>
    </border>
    <border>
      <left/>
      <right style="double">
        <color indexed="8"/>
      </right>
      <top/>
      <bottom style="medium">
        <color indexed="64"/>
      </bottom>
      <diagonal/>
    </border>
    <border>
      <left/>
      <right style="double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double">
        <color indexed="8"/>
      </right>
      <top/>
      <bottom style="medium">
        <color indexed="64"/>
      </bottom>
      <diagonal/>
    </border>
    <border>
      <left style="thin">
        <color indexed="8"/>
      </left>
      <right style="double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/>
      <bottom style="thin">
        <color indexed="8"/>
      </bottom>
      <diagonal/>
    </border>
    <border>
      <left style="thin">
        <color indexed="64"/>
      </left>
      <right style="double">
        <color indexed="8"/>
      </right>
      <top/>
      <bottom/>
      <diagonal/>
    </border>
    <border>
      <left/>
      <right style="double">
        <color indexed="8"/>
      </right>
      <top/>
      <bottom style="thin">
        <color indexed="22"/>
      </bottom>
      <diagonal/>
    </border>
    <border>
      <left/>
      <right style="double">
        <color indexed="8"/>
      </right>
      <top/>
      <bottom style="thin">
        <color indexed="64"/>
      </bottom>
      <diagonal/>
    </border>
    <border>
      <left/>
      <right style="double">
        <color indexed="8"/>
      </right>
      <top style="thin">
        <color indexed="22"/>
      </top>
      <bottom style="thin">
        <color indexed="22"/>
      </bottom>
      <diagonal/>
    </border>
    <border>
      <left/>
      <right style="double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/>
      <right style="double">
        <color indexed="8"/>
      </right>
      <top style="medium">
        <color indexed="8"/>
      </top>
      <bottom/>
      <diagonal/>
    </border>
    <border>
      <left style="thin">
        <color indexed="8"/>
      </left>
      <right style="double">
        <color indexed="8"/>
      </right>
      <top/>
      <bottom style="double">
        <color indexed="8"/>
      </bottom>
      <diagonal/>
    </border>
    <border>
      <left/>
      <right/>
      <top style="thin">
        <color indexed="22"/>
      </top>
      <bottom/>
      <diagonal/>
    </border>
    <border>
      <left style="thin">
        <color indexed="8"/>
      </left>
      <right style="thin">
        <color indexed="8"/>
      </right>
      <top style="thin">
        <color indexed="22"/>
      </top>
      <bottom/>
      <diagonal/>
    </border>
    <border>
      <left style="thin">
        <color indexed="8"/>
      </left>
      <right style="double">
        <color indexed="8"/>
      </right>
      <top style="thin">
        <color indexed="22"/>
      </top>
      <bottom/>
      <diagonal/>
    </border>
    <border>
      <left style="double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63"/>
      </right>
      <top/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/>
      <right style="thin">
        <color indexed="63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/>
      <diagonal/>
    </border>
    <border>
      <left style="thin">
        <color indexed="63"/>
      </left>
      <right style="thin">
        <color indexed="63"/>
      </right>
      <top style="thin">
        <color indexed="22"/>
      </top>
      <bottom/>
      <diagonal/>
    </border>
    <border>
      <left style="thin">
        <color indexed="63"/>
      </left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22"/>
      </top>
      <bottom style="thin">
        <color indexed="64"/>
      </bottom>
      <diagonal/>
    </border>
    <border>
      <left/>
      <right style="double">
        <color indexed="8"/>
      </right>
      <top style="thin">
        <color indexed="22"/>
      </top>
      <bottom style="thin">
        <color indexed="64"/>
      </bottom>
      <diagonal/>
    </border>
    <border>
      <left style="thin">
        <color indexed="8"/>
      </left>
      <right style="double">
        <color indexed="8"/>
      </right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/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/>
      <diagonal/>
    </border>
    <border>
      <left style="thin">
        <color indexed="8"/>
      </left>
      <right style="double">
        <color indexed="8"/>
      </right>
      <top/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8"/>
      </left>
      <right/>
      <top style="double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/>
      <top style="double">
        <color indexed="8"/>
      </top>
      <bottom style="medium">
        <color indexed="8"/>
      </bottom>
      <diagonal/>
    </border>
    <border>
      <left/>
      <right style="thin">
        <color indexed="8"/>
      </right>
      <top style="double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22"/>
      </bottom>
      <diagonal/>
    </border>
    <border>
      <left/>
      <right style="thin">
        <color indexed="8"/>
      </right>
      <top style="thin">
        <color indexed="64"/>
      </top>
      <bottom style="thin">
        <color indexed="22"/>
      </bottom>
      <diagonal/>
    </border>
    <border>
      <left style="thin">
        <color indexed="8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 style="thin">
        <color indexed="22"/>
      </bottom>
      <diagonal/>
    </border>
    <border>
      <left style="thin">
        <color indexed="8"/>
      </left>
      <right/>
      <top/>
      <bottom style="thin">
        <color indexed="22"/>
      </bottom>
      <diagonal/>
    </border>
    <border>
      <left/>
      <right style="thin">
        <color indexed="8"/>
      </right>
      <top/>
      <bottom style="thin">
        <color indexed="22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22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/>
      <bottom style="double">
        <color indexed="8"/>
      </bottom>
      <diagonal/>
    </border>
    <border>
      <left style="thin">
        <color indexed="63"/>
      </left>
      <right/>
      <top/>
      <bottom style="thin">
        <color indexed="22"/>
      </bottom>
      <diagonal/>
    </border>
    <border>
      <left style="thin">
        <color indexed="63"/>
      </left>
      <right/>
      <top style="thin">
        <color indexed="22"/>
      </top>
      <bottom style="thin">
        <color indexed="22"/>
      </bottom>
      <diagonal/>
    </border>
    <border>
      <left style="thin">
        <color indexed="63"/>
      </left>
      <right/>
      <top style="thin">
        <color indexed="22"/>
      </top>
      <bottom style="thin">
        <color indexed="63"/>
      </bottom>
      <diagonal/>
    </border>
    <border>
      <left style="thin">
        <color indexed="63"/>
      </left>
      <right/>
      <top style="thin">
        <color indexed="22"/>
      </top>
      <bottom/>
      <diagonal/>
    </border>
    <border>
      <left style="thin">
        <color indexed="64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double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63"/>
      </left>
      <right/>
      <top style="thin">
        <color indexed="63"/>
      </top>
      <bottom style="double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theme="0" tint="-0.24994659260841701"/>
      </bottom>
      <diagonal/>
    </border>
    <border>
      <left style="thin">
        <color indexed="8"/>
      </left>
      <right/>
      <top style="thin">
        <color indexed="8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8"/>
      </top>
      <bottom style="thin">
        <color theme="0" tint="-0.24994659260841701"/>
      </bottom>
      <diagonal/>
    </border>
    <border>
      <left/>
      <right style="thin">
        <color indexed="8"/>
      </right>
      <top style="thin">
        <color indexed="8"/>
      </top>
      <bottom style="thin">
        <color theme="0" tint="-0.24994659260841701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8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8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8"/>
      </left>
      <right style="double">
        <color indexed="8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/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/>
      <diagonal/>
    </border>
    <border>
      <left style="thin">
        <color indexed="64"/>
      </left>
      <right style="thin">
        <color indexed="63"/>
      </right>
      <top/>
      <bottom style="thin">
        <color indexed="63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 style="thin">
        <color indexed="64"/>
      </top>
      <bottom style="double">
        <color indexed="63"/>
      </bottom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/>
      <diagonal/>
    </border>
    <border>
      <left style="thin">
        <color indexed="63"/>
      </left>
      <right/>
      <top style="thin">
        <color indexed="64"/>
      </top>
      <bottom style="double">
        <color indexed="63"/>
      </bottom>
      <diagonal/>
    </border>
    <border>
      <left style="thin">
        <color indexed="64"/>
      </left>
      <right/>
      <top style="double">
        <color indexed="63"/>
      </top>
      <bottom style="thin">
        <color indexed="64"/>
      </bottom>
      <diagonal/>
    </border>
    <border>
      <left/>
      <right/>
      <top style="double">
        <color indexed="63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/>
      <top style="thin">
        <color indexed="64"/>
      </top>
      <bottom style="double">
        <color indexed="63"/>
      </bottom>
      <diagonal/>
    </border>
    <border>
      <left style="thin">
        <color indexed="63"/>
      </left>
      <right/>
      <top style="thin">
        <color indexed="64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3"/>
      </left>
      <right/>
      <top/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/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/>
      <top/>
      <bottom/>
      <diagonal/>
    </border>
    <border>
      <left style="thin">
        <color indexed="63"/>
      </left>
      <right style="thin">
        <color indexed="64"/>
      </right>
      <top/>
      <bottom/>
      <diagonal/>
    </border>
    <border>
      <left/>
      <right style="thin">
        <color indexed="63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double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8"/>
      </right>
      <top/>
      <bottom style="thin">
        <color theme="0" tint="-0.24994659260841701"/>
      </bottom>
      <diagonal/>
    </border>
    <border>
      <left style="thin">
        <color indexed="8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3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3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3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3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3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70">
    <xf numFmtId="0" fontId="0" fillId="0" borderId="0"/>
    <xf numFmtId="0" fontId="75" fillId="2" borderId="0" applyNumberFormat="0" applyBorder="0" applyAlignment="0" applyProtection="0"/>
    <xf numFmtId="0" fontId="75" fillId="3" borderId="0" applyNumberFormat="0" applyBorder="0" applyAlignment="0" applyProtection="0"/>
    <xf numFmtId="0" fontId="75" fillId="4" borderId="0" applyNumberFormat="0" applyBorder="0" applyAlignment="0" applyProtection="0"/>
    <xf numFmtId="0" fontId="75" fillId="5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5" borderId="0" applyNumberFormat="0" applyBorder="0" applyAlignment="0" applyProtection="0"/>
    <xf numFmtId="0" fontId="75" fillId="8" borderId="0" applyNumberFormat="0" applyBorder="0" applyAlignment="0" applyProtection="0"/>
    <xf numFmtId="0" fontId="75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9" borderId="0" applyNumberFormat="0" applyBorder="0" applyAlignment="0" applyProtection="0"/>
    <xf numFmtId="0" fontId="77" fillId="3" borderId="0" applyNumberFormat="0" applyBorder="0" applyAlignment="0" applyProtection="0"/>
    <xf numFmtId="0" fontId="78" fillId="20" borderId="1" applyNumberFormat="0" applyAlignment="0" applyProtection="0"/>
    <xf numFmtId="0" fontId="79" fillId="21" borderId="2" applyNumberFormat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2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4" borderId="0" applyNumberFormat="0" applyBorder="0" applyAlignment="0" applyProtection="0"/>
    <xf numFmtId="0" fontId="82" fillId="0" borderId="3" applyNumberFormat="0" applyFill="0" applyAlignment="0" applyProtection="0"/>
    <xf numFmtId="0" fontId="83" fillId="0" borderId="4" applyNumberFormat="0" applyFill="0" applyAlignment="0" applyProtection="0"/>
    <xf numFmtId="0" fontId="84" fillId="0" borderId="5" applyNumberFormat="0" applyFill="0" applyAlignment="0" applyProtection="0"/>
    <xf numFmtId="0" fontId="84" fillId="0" borderId="0" applyNumberFormat="0" applyFill="0" applyBorder="0" applyAlignment="0" applyProtection="0"/>
    <xf numFmtId="0" fontId="85" fillId="7" borderId="1" applyNumberFormat="0" applyAlignment="0" applyProtection="0"/>
    <xf numFmtId="0" fontId="86" fillId="0" borderId="6" applyNumberFormat="0" applyFill="0" applyAlignment="0" applyProtection="0"/>
    <xf numFmtId="0" fontId="87" fillId="22" borderId="0" applyNumberFormat="0" applyBorder="0" applyAlignment="0" applyProtection="0"/>
    <xf numFmtId="0" fontId="7" fillId="0" borderId="0"/>
    <xf numFmtId="0" fontId="42" fillId="0" borderId="0"/>
    <xf numFmtId="0" fontId="7" fillId="23" borderId="7" applyNumberFormat="0" applyFont="0" applyAlignment="0" applyProtection="0"/>
    <xf numFmtId="0" fontId="88" fillId="20" borderId="8" applyNumberFormat="0" applyAlignment="0" applyProtection="0"/>
    <xf numFmtId="9" fontId="5" fillId="0" borderId="0" applyFont="0" applyFill="0" applyBorder="0" applyAlignment="0" applyProtection="0"/>
    <xf numFmtId="9" fontId="102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9" applyNumberFormat="0" applyFill="0" applyAlignment="0" applyProtection="0"/>
    <xf numFmtId="0" fontId="91" fillId="0" borderId="0" applyNumberForma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117" fillId="0" borderId="0"/>
    <xf numFmtId="0" fontId="5" fillId="0" borderId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2199">
    <xf numFmtId="0" fontId="0" fillId="0" borderId="0" xfId="0"/>
    <xf numFmtId="0" fontId="7" fillId="0" borderId="0" xfId="0" applyFont="1" applyAlignment="1">
      <alignment horizontal="center"/>
    </xf>
    <xf numFmtId="0" fontId="7" fillId="0" borderId="0" xfId="0" applyFont="1"/>
    <xf numFmtId="165" fontId="7" fillId="0" borderId="0" xfId="28" applyNumberFormat="1" applyFont="1"/>
    <xf numFmtId="167" fontId="7" fillId="0" borderId="0" xfId="0" applyNumberFormat="1" applyFont="1"/>
    <xf numFmtId="3" fontId="7" fillId="0" borderId="0" xfId="0" applyNumberFormat="1" applyFont="1"/>
    <xf numFmtId="6" fontId="7" fillId="0" borderId="0" xfId="0" applyNumberFormat="1" applyFont="1"/>
    <xf numFmtId="0" fontId="8" fillId="0" borderId="0" xfId="0" applyFont="1" applyAlignment="1">
      <alignment horizontal="center"/>
    </xf>
    <xf numFmtId="0" fontId="9" fillId="0" borderId="0" xfId="0" applyFont="1"/>
    <xf numFmtId="0" fontId="7" fillId="0" borderId="10" xfId="0" applyFont="1" applyBorder="1" applyAlignment="1">
      <alignment horizontal="center"/>
    </xf>
    <xf numFmtId="0" fontId="7" fillId="0" borderId="10" xfId="0" applyFont="1" applyBorder="1"/>
    <xf numFmtId="0" fontId="7" fillId="0" borderId="11" xfId="0" applyFont="1" applyBorder="1"/>
    <xf numFmtId="3" fontId="7" fillId="0" borderId="11" xfId="0" applyNumberFormat="1" applyFont="1" applyBorder="1" applyAlignment="1">
      <alignment horizontal="center"/>
    </xf>
    <xf numFmtId="3" fontId="7" fillId="0" borderId="11" xfId="0" applyNumberFormat="1" applyFont="1" applyBorder="1"/>
    <xf numFmtId="166" fontId="7" fillId="0" borderId="11" xfId="0" applyNumberFormat="1" applyFont="1" applyBorder="1"/>
    <xf numFmtId="3" fontId="7" fillId="0" borderId="11" xfId="28" applyNumberFormat="1" applyFont="1" applyBorder="1"/>
    <xf numFmtId="10" fontId="7" fillId="0" borderId="11" xfId="48" applyNumberFormat="1" applyFont="1" applyBorder="1"/>
    <xf numFmtId="0" fontId="7" fillId="0" borderId="12" xfId="0" applyFont="1" applyBorder="1" applyAlignment="1">
      <alignment horizontal="center"/>
    </xf>
    <xf numFmtId="3" fontId="7" fillId="0" borderId="13" xfId="0" applyNumberFormat="1" applyFont="1" applyBorder="1" applyAlignment="1">
      <alignment horizontal="center"/>
    </xf>
    <xf numFmtId="3" fontId="7" fillId="0" borderId="13" xfId="0" applyNumberFormat="1" applyFont="1" applyBorder="1"/>
    <xf numFmtId="166" fontId="7" fillId="0" borderId="13" xfId="0" applyNumberFormat="1" applyFont="1" applyBorder="1"/>
    <xf numFmtId="3" fontId="7" fillId="0" borderId="14" xfId="0" applyNumberFormat="1" applyFont="1" applyBorder="1"/>
    <xf numFmtId="0" fontId="8" fillId="0" borderId="0" xfId="0" applyFont="1"/>
    <xf numFmtId="5" fontId="7" fillId="0" borderId="0" xfId="0" applyNumberFormat="1" applyFont="1"/>
    <xf numFmtId="0" fontId="10" fillId="0" borderId="15" xfId="0" applyFont="1" applyFill="1" applyBorder="1"/>
    <xf numFmtId="0" fontId="10" fillId="0" borderId="16" xfId="0" applyFont="1" applyFill="1" applyBorder="1"/>
    <xf numFmtId="0" fontId="11" fillId="0" borderId="17" xfId="0" applyFont="1" applyFill="1" applyBorder="1"/>
    <xf numFmtId="0" fontId="10" fillId="0" borderId="18" xfId="0" applyFont="1" applyFill="1" applyBorder="1" applyAlignment="1">
      <alignment horizontal="left"/>
    </xf>
    <xf numFmtId="5" fontId="12" fillId="0" borderId="19" xfId="0" applyNumberFormat="1" applyFont="1" applyFill="1" applyBorder="1" applyProtection="1"/>
    <xf numFmtId="0" fontId="10" fillId="0" borderId="20" xfId="0" applyFont="1" applyFill="1" applyBorder="1" applyAlignment="1">
      <alignment horizontal="left"/>
    </xf>
    <xf numFmtId="0" fontId="10" fillId="0" borderId="21" xfId="0" applyFont="1" applyFill="1" applyBorder="1" applyAlignment="1">
      <alignment horizontal="center"/>
    </xf>
    <xf numFmtId="0" fontId="10" fillId="0" borderId="18" xfId="0" applyFont="1" applyFill="1" applyBorder="1"/>
    <xf numFmtId="0" fontId="12" fillId="0" borderId="18" xfId="0" applyFont="1" applyFill="1" applyBorder="1"/>
    <xf numFmtId="0" fontId="10" fillId="0" borderId="18" xfId="0" applyFont="1" applyFill="1" applyBorder="1" applyAlignment="1">
      <alignment horizontal="center"/>
    </xf>
    <xf numFmtId="7" fontId="8" fillId="0" borderId="0" xfId="32" applyNumberFormat="1" applyFont="1"/>
    <xf numFmtId="0" fontId="0" fillId="0" borderId="0" xfId="0" applyBorder="1"/>
    <xf numFmtId="3" fontId="7" fillId="0" borderId="10" xfId="0" applyNumberFormat="1" applyFont="1" applyBorder="1"/>
    <xf numFmtId="0" fontId="9" fillId="24" borderId="0" xfId="0" applyFont="1" applyFill="1" applyBorder="1" applyProtection="1"/>
    <xf numFmtId="0" fontId="9" fillId="24" borderId="0" xfId="0" applyFont="1" applyFill="1" applyBorder="1" applyAlignment="1" applyProtection="1">
      <alignment horizontal="center"/>
    </xf>
    <xf numFmtId="0" fontId="17" fillId="0" borderId="17" xfId="0" applyFont="1" applyFill="1" applyBorder="1" applyAlignment="1">
      <alignment horizontal="left"/>
    </xf>
    <xf numFmtId="5" fontId="17" fillId="0" borderId="23" xfId="0" applyNumberFormat="1" applyFont="1" applyFill="1" applyBorder="1" applyProtection="1"/>
    <xf numFmtId="0" fontId="20" fillId="0" borderId="24" xfId="0" applyFont="1" applyFill="1" applyBorder="1" applyAlignment="1">
      <alignment horizontal="center"/>
    </xf>
    <xf numFmtId="0" fontId="22" fillId="0" borderId="25" xfId="0" applyFont="1" applyFill="1" applyBorder="1" applyAlignment="1">
      <alignment horizontal="center"/>
    </xf>
    <xf numFmtId="0" fontId="24" fillId="0" borderId="12" xfId="0" applyFont="1" applyBorder="1"/>
    <xf numFmtId="6" fontId="24" fillId="0" borderId="12" xfId="0" applyNumberFormat="1" applyFont="1" applyBorder="1"/>
    <xf numFmtId="8" fontId="24" fillId="0" borderId="12" xfId="0" applyNumberFormat="1" applyFont="1" applyBorder="1"/>
    <xf numFmtId="0" fontId="24" fillId="25" borderId="26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7" fillId="0" borderId="0" xfId="0" applyFont="1" applyBorder="1" applyAlignment="1">
      <alignment horizontal="center" vertical="center"/>
    </xf>
    <xf numFmtId="6" fontId="0" fillId="0" borderId="0" xfId="0" applyNumberFormat="1"/>
    <xf numFmtId="0" fontId="10" fillId="0" borderId="0" xfId="0" applyFont="1" applyFill="1" applyBorder="1" applyAlignment="1">
      <alignment horizontal="left" vertical="top"/>
    </xf>
    <xf numFmtId="0" fontId="10" fillId="0" borderId="25" xfId="0" applyFont="1" applyFill="1" applyBorder="1" applyAlignment="1">
      <alignment horizontal="left" vertical="top"/>
    </xf>
    <xf numFmtId="0" fontId="10" fillId="0" borderId="28" xfId="0" applyFont="1" applyFill="1" applyBorder="1" applyAlignment="1">
      <alignment horizontal="center"/>
    </xf>
    <xf numFmtId="0" fontId="10" fillId="0" borderId="28" xfId="0" applyFont="1" applyFill="1" applyBorder="1" applyAlignment="1">
      <alignment horizontal="left"/>
    </xf>
    <xf numFmtId="5" fontId="12" fillId="0" borderId="30" xfId="0" applyNumberFormat="1" applyFont="1" applyFill="1" applyBorder="1" applyProtection="1"/>
    <xf numFmtId="0" fontId="10" fillId="0" borderId="31" xfId="0" applyFont="1" applyFill="1" applyBorder="1" applyAlignment="1">
      <alignment horizontal="center"/>
    </xf>
    <xf numFmtId="0" fontId="10" fillId="0" borderId="31" xfId="0" applyFont="1" applyFill="1" applyBorder="1" applyAlignment="1">
      <alignment horizontal="left"/>
    </xf>
    <xf numFmtId="5" fontId="12" fillId="0" borderId="32" xfId="0" applyNumberFormat="1" applyFont="1" applyFill="1" applyBorder="1" applyProtection="1"/>
    <xf numFmtId="6" fontId="0" fillId="0" borderId="13" xfId="0" applyNumberFormat="1" applyBorder="1"/>
    <xf numFmtId="5" fontId="0" fillId="0" borderId="0" xfId="0" applyNumberFormat="1"/>
    <xf numFmtId="10" fontId="8" fillId="0" borderId="0" xfId="48" applyNumberFormat="1" applyFont="1"/>
    <xf numFmtId="164" fontId="7" fillId="0" borderId="0" xfId="28" applyNumberFormat="1" applyFont="1"/>
    <xf numFmtId="0" fontId="0" fillId="0" borderId="0" xfId="0" applyAlignment="1">
      <alignment horizontal="right"/>
    </xf>
    <xf numFmtId="165" fontId="7" fillId="26" borderId="26" xfId="28" applyNumberFormat="1" applyFont="1" applyFill="1" applyBorder="1" applyAlignment="1">
      <alignment horizontal="center"/>
    </xf>
    <xf numFmtId="0" fontId="7" fillId="0" borderId="0" xfId="0" applyFont="1" applyBorder="1"/>
    <xf numFmtId="169" fontId="7" fillId="0" borderId="11" xfId="48" applyNumberFormat="1" applyFont="1" applyBorder="1"/>
    <xf numFmtId="169" fontId="7" fillId="0" borderId="13" xfId="48" applyNumberFormat="1" applyFont="1" applyBorder="1"/>
    <xf numFmtId="0" fontId="24" fillId="25" borderId="10" xfId="0" applyFont="1" applyFill="1" applyBorder="1" applyAlignment="1">
      <alignment horizontal="center" vertical="center" wrapText="1"/>
    </xf>
    <xf numFmtId="0" fontId="7" fillId="0" borderId="33" xfId="0" applyFont="1" applyBorder="1"/>
    <xf numFmtId="3" fontId="7" fillId="0" borderId="34" xfId="0" applyNumberFormat="1" applyFont="1" applyBorder="1"/>
    <xf numFmtId="3" fontId="7" fillId="0" borderId="35" xfId="0" applyNumberFormat="1" applyFont="1" applyBorder="1"/>
    <xf numFmtId="165" fontId="7" fillId="26" borderId="36" xfId="28" applyNumberFormat="1" applyFont="1" applyFill="1" applyBorder="1" applyAlignment="1">
      <alignment horizontal="center"/>
    </xf>
    <xf numFmtId="0" fontId="12" fillId="0" borderId="18" xfId="0" applyFont="1" applyFill="1" applyBorder="1" applyAlignment="1">
      <alignment horizontal="left"/>
    </xf>
    <xf numFmtId="0" fontId="33" fillId="0" borderId="0" xfId="0" applyFont="1" applyAlignment="1">
      <alignment horizontal="center" wrapText="1"/>
    </xf>
    <xf numFmtId="0" fontId="33" fillId="0" borderId="0" xfId="0" quotePrefix="1" applyFont="1" applyAlignment="1">
      <alignment horizontal="center" wrapText="1"/>
    </xf>
    <xf numFmtId="0" fontId="0" fillId="0" borderId="0" xfId="0" applyFill="1"/>
    <xf numFmtId="37" fontId="24" fillId="0" borderId="12" xfId="28" applyNumberFormat="1" applyFont="1" applyBorder="1"/>
    <xf numFmtId="166" fontId="7" fillId="0" borderId="11" xfId="0" applyNumberFormat="1" applyFont="1" applyFill="1" applyBorder="1"/>
    <xf numFmtId="166" fontId="7" fillId="0" borderId="13" xfId="0" applyNumberFormat="1" applyFont="1" applyFill="1" applyBorder="1"/>
    <xf numFmtId="5" fontId="12" fillId="0" borderId="22" xfId="0" applyNumberFormat="1" applyFont="1" applyFill="1" applyBorder="1" applyAlignment="1" applyProtection="1">
      <alignment vertical="center"/>
    </xf>
    <xf numFmtId="0" fontId="7" fillId="0" borderId="0" xfId="0" applyFont="1" applyBorder="1" applyAlignment="1" applyProtection="1">
      <alignment horizontal="center"/>
    </xf>
    <xf numFmtId="3" fontId="7" fillId="0" borderId="11" xfId="0" applyNumberFormat="1" applyFont="1" applyFill="1" applyBorder="1"/>
    <xf numFmtId="3" fontId="7" fillId="0" borderId="13" xfId="0" applyNumberFormat="1" applyFont="1" applyFill="1" applyBorder="1"/>
    <xf numFmtId="0" fontId="20" fillId="0" borderId="18" xfId="0" applyFont="1" applyFill="1" applyBorder="1" applyAlignment="1">
      <alignment horizontal="center"/>
    </xf>
    <xf numFmtId="0" fontId="20" fillId="0" borderId="18" xfId="0" applyFont="1" applyFill="1" applyBorder="1" applyAlignment="1">
      <alignment horizontal="left"/>
    </xf>
    <xf numFmtId="5" fontId="20" fillId="0" borderId="19" xfId="0" applyNumberFormat="1" applyFont="1" applyFill="1" applyBorder="1" applyProtection="1"/>
    <xf numFmtId="0" fontId="20" fillId="0" borderId="18" xfId="0" applyFont="1" applyFill="1" applyBorder="1"/>
    <xf numFmtId="0" fontId="20" fillId="0" borderId="37" xfId="0" quotePrefix="1" applyFont="1" applyFill="1" applyBorder="1" applyAlignment="1">
      <alignment horizontal="left" vertical="center"/>
    </xf>
    <xf numFmtId="0" fontId="20" fillId="0" borderId="37" xfId="0" applyFont="1" applyFill="1" applyBorder="1" applyAlignment="1">
      <alignment horizontal="left" vertical="center"/>
    </xf>
    <xf numFmtId="5" fontId="20" fillId="0" borderId="38" xfId="0" applyNumberFormat="1" applyFont="1" applyFill="1" applyBorder="1" applyAlignment="1" applyProtection="1">
      <alignment vertical="center"/>
    </xf>
    <xf numFmtId="0" fontId="20" fillId="27" borderId="28" xfId="0" applyFont="1" applyFill="1" applyBorder="1" applyAlignment="1">
      <alignment horizontal="left"/>
    </xf>
    <xf numFmtId="0" fontId="37" fillId="27" borderId="28" xfId="0" applyFont="1" applyFill="1" applyBorder="1"/>
    <xf numFmtId="5" fontId="20" fillId="27" borderId="38" xfId="0" applyNumberFormat="1" applyFont="1" applyFill="1" applyBorder="1" applyAlignment="1" applyProtection="1">
      <alignment vertical="center"/>
    </xf>
    <xf numFmtId="0" fontId="20" fillId="27" borderId="37" xfId="0" applyFont="1" applyFill="1" applyBorder="1" applyAlignment="1">
      <alignment horizontal="left" vertical="center"/>
    </xf>
    <xf numFmtId="0" fontId="24" fillId="0" borderId="0" xfId="0" applyFont="1" applyBorder="1"/>
    <xf numFmtId="37" fontId="24" fillId="0" borderId="0" xfId="28" applyNumberFormat="1" applyFont="1" applyBorder="1"/>
    <xf numFmtId="8" fontId="24" fillId="0" borderId="0" xfId="0" applyNumberFormat="1" applyFont="1" applyBorder="1"/>
    <xf numFmtId="6" fontId="24" fillId="0" borderId="0" xfId="0" applyNumberFormat="1" applyFont="1" applyBorder="1"/>
    <xf numFmtId="0" fontId="20" fillId="27" borderId="37" xfId="0" quotePrefix="1" applyFont="1" applyFill="1" applyBorder="1" applyAlignment="1">
      <alignment horizontal="left" vertical="center"/>
    </xf>
    <xf numFmtId="0" fontId="7" fillId="0" borderId="39" xfId="0" applyFont="1" applyFill="1" applyBorder="1" applyProtection="1"/>
    <xf numFmtId="0" fontId="7" fillId="0" borderId="40" xfId="0" applyFont="1" applyFill="1" applyBorder="1" applyProtection="1"/>
    <xf numFmtId="3" fontId="7" fillId="0" borderId="11" xfId="0" applyNumberFormat="1" applyFont="1" applyFill="1" applyBorder="1" applyAlignment="1">
      <alignment horizontal="center"/>
    </xf>
    <xf numFmtId="3" fontId="7" fillId="0" borderId="13" xfId="0" applyNumberFormat="1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24" fillId="0" borderId="12" xfId="0" applyFont="1" applyFill="1" applyBorder="1"/>
    <xf numFmtId="3" fontId="24" fillId="0" borderId="12" xfId="0" applyNumberFormat="1" applyFont="1" applyFill="1" applyBorder="1"/>
    <xf numFmtId="0" fontId="7" fillId="0" borderId="0" xfId="0" applyFont="1" applyFill="1" applyAlignment="1">
      <alignment horizontal="center"/>
    </xf>
    <xf numFmtId="0" fontId="7" fillId="0" borderId="0" xfId="0" applyFont="1" applyFill="1"/>
    <xf numFmtId="165" fontId="7" fillId="0" borderId="0" xfId="28" applyNumberFormat="1" applyFont="1" applyFill="1"/>
    <xf numFmtId="7" fontId="8" fillId="0" borderId="0" xfId="32" applyNumberFormat="1" applyFont="1" applyFill="1" applyAlignment="1">
      <alignment horizontal="center"/>
    </xf>
    <xf numFmtId="7" fontId="8" fillId="0" borderId="0" xfId="32" applyNumberFormat="1" applyFont="1" applyFill="1"/>
    <xf numFmtId="0" fontId="20" fillId="0" borderId="41" xfId="0" applyFont="1" applyFill="1" applyBorder="1" applyAlignment="1">
      <alignment horizontal="center"/>
    </xf>
    <xf numFmtId="0" fontId="33" fillId="0" borderId="42" xfId="0" applyFont="1" applyBorder="1" applyAlignment="1">
      <alignment horizontal="center" vertical="center" wrapText="1"/>
    </xf>
    <xf numFmtId="0" fontId="33" fillId="0" borderId="26" xfId="0" quotePrefix="1" applyFont="1" applyBorder="1" applyAlignment="1">
      <alignment horizontal="center" vertical="center" wrapText="1"/>
    </xf>
    <xf numFmtId="0" fontId="0" fillId="26" borderId="26" xfId="0" applyFill="1" applyBorder="1"/>
    <xf numFmtId="0" fontId="0" fillId="0" borderId="11" xfId="0" applyBorder="1"/>
    <xf numFmtId="0" fontId="9" fillId="0" borderId="0" xfId="0" applyFont="1" applyBorder="1"/>
    <xf numFmtId="0" fontId="7" fillId="0" borderId="43" xfId="0" applyFont="1" applyBorder="1"/>
    <xf numFmtId="0" fontId="33" fillId="0" borderId="10" xfId="0" quotePrefix="1" applyFont="1" applyBorder="1" applyAlignment="1">
      <alignment horizontal="center" vertical="center" wrapText="1"/>
    </xf>
    <xf numFmtId="0" fontId="33" fillId="0" borderId="44" xfId="0" quotePrefix="1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/>
    </xf>
    <xf numFmtId="0" fontId="33" fillId="0" borderId="0" xfId="0" applyFont="1" applyBorder="1" applyAlignment="1">
      <alignment horizontal="center" wrapText="1"/>
    </xf>
    <xf numFmtId="38" fontId="7" fillId="0" borderId="11" xfId="0" applyNumberFormat="1" applyFont="1" applyBorder="1"/>
    <xf numFmtId="0" fontId="33" fillId="0" borderId="26" xfId="0" quotePrefix="1" applyFont="1" applyFill="1" applyBorder="1" applyAlignment="1">
      <alignment horizontal="center" vertical="center"/>
    </xf>
    <xf numFmtId="0" fontId="35" fillId="0" borderId="10" xfId="0" quotePrefix="1" applyFont="1" applyBorder="1" applyAlignment="1">
      <alignment horizontal="center" vertical="center" wrapText="1"/>
    </xf>
    <xf numFmtId="0" fontId="9" fillId="0" borderId="45" xfId="0" applyFont="1" applyBorder="1" applyAlignment="1" applyProtection="1">
      <alignment horizontal="center"/>
    </xf>
    <xf numFmtId="0" fontId="33" fillId="0" borderId="0" xfId="0" applyFont="1" applyBorder="1" applyAlignment="1">
      <alignment horizontal="center" vertical="center" wrapText="1"/>
    </xf>
    <xf numFmtId="40" fontId="7" fillId="0" borderId="11" xfId="0" applyNumberFormat="1" applyFont="1" applyFill="1" applyBorder="1"/>
    <xf numFmtId="40" fontId="7" fillId="0" borderId="13" xfId="0" applyNumberFormat="1" applyFont="1" applyFill="1" applyBorder="1"/>
    <xf numFmtId="10" fontId="7" fillId="0" borderId="11" xfId="48" applyNumberFormat="1" applyFont="1" applyFill="1" applyBorder="1"/>
    <xf numFmtId="10" fontId="7" fillId="0" borderId="13" xfId="48" applyNumberFormat="1" applyFont="1" applyFill="1" applyBorder="1"/>
    <xf numFmtId="0" fontId="11" fillId="0" borderId="26" xfId="0" applyFont="1" applyBorder="1" applyAlignment="1">
      <alignment horizontal="center" wrapText="1"/>
    </xf>
    <xf numFmtId="0" fontId="7" fillId="0" borderId="10" xfId="0" applyFont="1" applyFill="1" applyBorder="1"/>
    <xf numFmtId="0" fontId="7" fillId="0" borderId="46" xfId="0" applyFont="1" applyBorder="1"/>
    <xf numFmtId="0" fontId="7" fillId="0" borderId="47" xfId="0" applyFont="1" applyFill="1" applyBorder="1" applyProtection="1"/>
    <xf numFmtId="5" fontId="7" fillId="0" borderId="0" xfId="0" applyNumberFormat="1" applyFont="1" applyBorder="1"/>
    <xf numFmtId="10" fontId="12" fillId="0" borderId="19" xfId="48" applyNumberFormat="1" applyFont="1" applyFill="1" applyBorder="1" applyProtection="1"/>
    <xf numFmtId="43" fontId="12" fillId="0" borderId="19" xfId="28" applyFont="1" applyFill="1" applyBorder="1" applyProtection="1"/>
    <xf numFmtId="0" fontId="7" fillId="0" borderId="0" xfId="0" applyFont="1" applyFill="1" applyBorder="1"/>
    <xf numFmtId="165" fontId="12" fillId="0" borderId="19" xfId="28" applyNumberFormat="1" applyFont="1" applyFill="1" applyBorder="1" applyProtection="1"/>
    <xf numFmtId="3" fontId="7" fillId="0" borderId="11" xfId="0" applyNumberFormat="1" applyFont="1" applyFill="1" applyBorder="1" applyAlignment="1">
      <alignment horizontal="left"/>
    </xf>
    <xf numFmtId="8" fontId="7" fillId="0" borderId="0" xfId="0" applyNumberFormat="1" applyFont="1"/>
    <xf numFmtId="0" fontId="9" fillId="0" borderId="0" xfId="0" applyFont="1" applyFill="1" applyBorder="1" applyAlignment="1">
      <alignment horizontal="center"/>
    </xf>
    <xf numFmtId="0" fontId="7" fillId="0" borderId="0" xfId="0" quotePrefix="1" applyFont="1" applyBorder="1"/>
    <xf numFmtId="0" fontId="41" fillId="0" borderId="0" xfId="0" quotePrefix="1" applyFont="1" applyBorder="1" applyAlignment="1">
      <alignment horizontal="left"/>
    </xf>
    <xf numFmtId="2" fontId="7" fillId="0" borderId="11" xfId="0" applyNumberFormat="1" applyFont="1" applyBorder="1"/>
    <xf numFmtId="4" fontId="7" fillId="0" borderId="11" xfId="28" applyNumberFormat="1" applyFont="1" applyBorder="1"/>
    <xf numFmtId="4" fontId="7" fillId="0" borderId="34" xfId="28" applyNumberFormat="1" applyFont="1" applyBorder="1"/>
    <xf numFmtId="2" fontId="7" fillId="0" borderId="13" xfId="0" applyNumberFormat="1" applyFont="1" applyBorder="1"/>
    <xf numFmtId="4" fontId="7" fillId="0" borderId="13" xfId="28" applyNumberFormat="1" applyFont="1" applyBorder="1"/>
    <xf numFmtId="4" fontId="7" fillId="0" borderId="35" xfId="28" applyNumberFormat="1" applyFont="1" applyBorder="1"/>
    <xf numFmtId="0" fontId="33" fillId="0" borderId="0" xfId="0" quotePrefix="1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" fillId="0" borderId="0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10" fontId="7" fillId="0" borderId="11" xfId="0" applyNumberFormat="1" applyFont="1" applyFill="1" applyBorder="1"/>
    <xf numFmtId="10" fontId="7" fillId="0" borderId="13" xfId="0" applyNumberFormat="1" applyFont="1" applyFill="1" applyBorder="1"/>
    <xf numFmtId="5" fontId="24" fillId="0" borderId="12" xfId="32" applyNumberFormat="1" applyFont="1" applyBorder="1" applyAlignment="1">
      <alignment horizontal="right"/>
    </xf>
    <xf numFmtId="3" fontId="7" fillId="0" borderId="34" xfId="0" applyNumberFormat="1" applyFont="1" applyFill="1" applyBorder="1"/>
    <xf numFmtId="2" fontId="7" fillId="0" borderId="11" xfId="0" applyNumberFormat="1" applyFont="1" applyFill="1" applyBorder="1"/>
    <xf numFmtId="4" fontId="7" fillId="0" borderId="11" xfId="28" applyNumberFormat="1" applyFont="1" applyFill="1" applyBorder="1"/>
    <xf numFmtId="4" fontId="7" fillId="0" borderId="34" xfId="28" applyNumberFormat="1" applyFont="1" applyFill="1" applyBorder="1"/>
    <xf numFmtId="3" fontId="0" fillId="0" borderId="0" xfId="0" applyNumberFormat="1"/>
    <xf numFmtId="166" fontId="7" fillId="0" borderId="34" xfId="0" applyNumberFormat="1" applyFont="1" applyFill="1" applyBorder="1"/>
    <xf numFmtId="166" fontId="7" fillId="0" borderId="35" xfId="0" applyNumberFormat="1" applyFont="1" applyFill="1" applyBorder="1"/>
    <xf numFmtId="0" fontId="11" fillId="0" borderId="26" xfId="0" applyFont="1" applyBorder="1"/>
    <xf numFmtId="0" fontId="10" fillId="0" borderId="48" xfId="0" applyFont="1" applyFill="1" applyBorder="1" applyAlignment="1">
      <alignment horizontal="left" vertical="center" wrapText="1"/>
    </xf>
    <xf numFmtId="0" fontId="10" fillId="0" borderId="49" xfId="0" applyFont="1" applyFill="1" applyBorder="1" applyAlignment="1">
      <alignment horizontal="left" vertical="center" wrapText="1"/>
    </xf>
    <xf numFmtId="7" fontId="19" fillId="0" borderId="0" xfId="32" quotePrefix="1" applyNumberFormat="1" applyFont="1" applyFill="1" applyAlignment="1">
      <alignment horizontal="center"/>
    </xf>
    <xf numFmtId="3" fontId="7" fillId="0" borderId="0" xfId="0" applyNumberFormat="1" applyFont="1" applyFill="1" applyBorder="1"/>
    <xf numFmtId="3" fontId="7" fillId="0" borderId="0" xfId="0" applyNumberFormat="1" applyFont="1" applyFill="1"/>
    <xf numFmtId="0" fontId="10" fillId="0" borderId="0" xfId="0" applyFont="1" applyFill="1" applyBorder="1" applyAlignment="1">
      <alignment horizontal="left"/>
    </xf>
    <xf numFmtId="0" fontId="20" fillId="0" borderId="14" xfId="0" applyFont="1" applyFill="1" applyBorder="1" applyAlignment="1">
      <alignment horizontal="left"/>
    </xf>
    <xf numFmtId="5" fontId="20" fillId="0" borderId="0" xfId="0" applyNumberFormat="1" applyFont="1" applyFill="1" applyBorder="1" applyProtection="1"/>
    <xf numFmtId="0" fontId="10" fillId="0" borderId="51" xfId="0" applyFont="1" applyFill="1" applyBorder="1" applyAlignment="1">
      <alignment horizontal="left"/>
    </xf>
    <xf numFmtId="0" fontId="10" fillId="0" borderId="0" xfId="0" applyFont="1" applyFill="1" applyBorder="1"/>
    <xf numFmtId="0" fontId="38" fillId="0" borderId="0" xfId="0" applyFont="1" applyBorder="1"/>
    <xf numFmtId="0" fontId="0" fillId="0" borderId="0" xfId="0" applyFill="1" applyBorder="1"/>
    <xf numFmtId="0" fontId="10" fillId="0" borderId="0" xfId="0" quotePrefix="1" applyFont="1" applyFill="1" applyBorder="1" applyAlignment="1">
      <alignment horizontal="center"/>
    </xf>
    <xf numFmtId="0" fontId="20" fillId="0" borderId="51" xfId="0" applyFont="1" applyFill="1" applyBorder="1" applyAlignment="1">
      <alignment horizontal="left"/>
    </xf>
    <xf numFmtId="0" fontId="11" fillId="0" borderId="0" xfId="0" applyFont="1" applyBorder="1" applyAlignment="1">
      <alignment horizontal="center"/>
    </xf>
    <xf numFmtId="0" fontId="10" fillId="0" borderId="52" xfId="0" applyFont="1" applyFill="1" applyBorder="1"/>
    <xf numFmtId="0" fontId="11" fillId="0" borderId="53" xfId="0" applyFont="1" applyFill="1" applyBorder="1"/>
    <xf numFmtId="0" fontId="10" fillId="0" borderId="52" xfId="0" applyFont="1" applyFill="1" applyBorder="1" applyAlignment="1">
      <alignment horizontal="center" vertical="top"/>
    </xf>
    <xf numFmtId="0" fontId="10" fillId="0" borderId="52" xfId="0" applyFont="1" applyFill="1" applyBorder="1" applyAlignment="1">
      <alignment horizontal="center"/>
    </xf>
    <xf numFmtId="0" fontId="10" fillId="0" borderId="54" xfId="0" applyFont="1" applyFill="1" applyBorder="1" applyAlignment="1">
      <alignment horizontal="center"/>
    </xf>
    <xf numFmtId="0" fontId="10" fillId="0" borderId="55" xfId="0" applyFont="1" applyFill="1" applyBorder="1" applyAlignment="1">
      <alignment horizontal="center"/>
    </xf>
    <xf numFmtId="0" fontId="10" fillId="0" borderId="56" xfId="0" applyFont="1" applyFill="1" applyBorder="1" applyAlignment="1">
      <alignment horizontal="center"/>
    </xf>
    <xf numFmtId="0" fontId="20" fillId="0" borderId="57" xfId="0" applyFont="1" applyFill="1" applyBorder="1" applyAlignment="1">
      <alignment horizontal="center" vertical="center"/>
    </xf>
    <xf numFmtId="0" fontId="20" fillId="0" borderId="55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37" fillId="27" borderId="54" xfId="0" applyFont="1" applyFill="1" applyBorder="1"/>
    <xf numFmtId="0" fontId="0" fillId="0" borderId="52" xfId="0" applyBorder="1"/>
    <xf numFmtId="0" fontId="12" fillId="0" borderId="52" xfId="0" applyFont="1" applyFill="1" applyBorder="1"/>
    <xf numFmtId="0" fontId="20" fillId="27" borderId="57" xfId="0" applyFont="1" applyFill="1" applyBorder="1" applyAlignment="1">
      <alignment horizontal="center" vertical="center"/>
    </xf>
    <xf numFmtId="0" fontId="20" fillId="0" borderId="52" xfId="0" applyFont="1" applyFill="1" applyBorder="1" applyAlignment="1">
      <alignment horizontal="center"/>
    </xf>
    <xf numFmtId="3" fontId="7" fillId="0" borderId="0" xfId="0" applyNumberFormat="1" applyFont="1" applyBorder="1"/>
    <xf numFmtId="7" fontId="8" fillId="0" borderId="0" xfId="32" applyNumberFormat="1" applyFont="1" applyFill="1" applyBorder="1"/>
    <xf numFmtId="6" fontId="7" fillId="0" borderId="0" xfId="0" applyNumberFormat="1" applyFont="1" applyFill="1" applyBorder="1"/>
    <xf numFmtId="0" fontId="7" fillId="0" borderId="0" xfId="0" applyFont="1" applyFill="1" applyAlignment="1">
      <alignment wrapText="1"/>
    </xf>
    <xf numFmtId="0" fontId="10" fillId="0" borderId="18" xfId="0" quotePrefix="1" applyFont="1" applyFill="1" applyBorder="1" applyAlignment="1">
      <alignment horizontal="center"/>
    </xf>
    <xf numFmtId="10" fontId="7" fillId="0" borderId="0" xfId="48" applyNumberFormat="1" applyFont="1" applyFill="1"/>
    <xf numFmtId="43" fontId="7" fillId="0" borderId="0" xfId="28" applyNumberFormat="1" applyFont="1" applyFill="1"/>
    <xf numFmtId="10" fontId="7" fillId="0" borderId="0" xfId="48" applyNumberFormat="1" applyFont="1" applyFill="1" applyBorder="1"/>
    <xf numFmtId="0" fontId="10" fillId="0" borderId="14" xfId="0" applyFont="1" applyFill="1" applyBorder="1" applyAlignment="1">
      <alignment horizontal="left" vertical="center" wrapText="1"/>
    </xf>
    <xf numFmtId="5" fontId="12" fillId="0" borderId="59" xfId="0" applyNumberFormat="1" applyFont="1" applyFill="1" applyBorder="1" applyAlignment="1" applyProtection="1">
      <alignment vertical="center"/>
    </xf>
    <xf numFmtId="5" fontId="12" fillId="0" borderId="58" xfId="0" applyNumberFormat="1" applyFont="1" applyFill="1" applyBorder="1" applyAlignment="1" applyProtection="1">
      <alignment vertical="center"/>
    </xf>
    <xf numFmtId="165" fontId="10" fillId="0" borderId="19" xfId="28" applyNumberFormat="1" applyFont="1" applyFill="1" applyBorder="1" applyProtection="1"/>
    <xf numFmtId="0" fontId="18" fillId="0" borderId="0" xfId="0" applyFont="1" applyAlignment="1">
      <alignment horizontal="right"/>
    </xf>
    <xf numFmtId="10" fontId="9" fillId="0" borderId="12" xfId="48" applyNumberFormat="1" applyFont="1" applyBorder="1"/>
    <xf numFmtId="0" fontId="10" fillId="0" borderId="21" xfId="0" quotePrefix="1" applyFont="1" applyFill="1" applyBorder="1" applyAlignment="1">
      <alignment horizontal="center"/>
    </xf>
    <xf numFmtId="0" fontId="32" fillId="0" borderId="0" xfId="0" applyFont="1" applyAlignment="1">
      <alignment horizontal="right"/>
    </xf>
    <xf numFmtId="1" fontId="7" fillId="0" borderId="0" xfId="0" applyNumberFormat="1" applyFont="1"/>
    <xf numFmtId="1" fontId="7" fillId="26" borderId="26" xfId="28" applyNumberFormat="1" applyFont="1" applyFill="1" applyBorder="1" applyAlignment="1">
      <alignment horizontal="center"/>
    </xf>
    <xf numFmtId="1" fontId="18" fillId="26" borderId="26" xfId="28" quotePrefix="1" applyNumberFormat="1" applyFont="1" applyFill="1" applyBorder="1" applyAlignment="1">
      <alignment horizontal="center"/>
    </xf>
    <xf numFmtId="1" fontId="18" fillId="26" borderId="26" xfId="28" applyNumberFormat="1" applyFont="1" applyFill="1" applyBorder="1" applyAlignment="1">
      <alignment horizontal="center"/>
    </xf>
    <xf numFmtId="1" fontId="7" fillId="0" borderId="0" xfId="28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0" fontId="8" fillId="0" borderId="0" xfId="0" applyFont="1" applyFill="1" applyAlignment="1">
      <alignment horizontal="center"/>
    </xf>
    <xf numFmtId="5" fontId="12" fillId="0" borderId="50" xfId="0" applyNumberFormat="1" applyFont="1" applyFill="1" applyBorder="1" applyAlignment="1" applyProtection="1">
      <alignment vertical="top"/>
    </xf>
    <xf numFmtId="0" fontId="33" fillId="0" borderId="10" xfId="0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6" fontId="8" fillId="0" borderId="10" xfId="0" applyNumberFormat="1" applyFont="1" applyFill="1" applyBorder="1" applyAlignment="1">
      <alignment horizontal="center" vertical="center" wrapText="1"/>
    </xf>
    <xf numFmtId="1" fontId="7" fillId="26" borderId="60" xfId="0" applyNumberFormat="1" applyFont="1" applyFill="1" applyBorder="1" applyProtection="1"/>
    <xf numFmtId="1" fontId="18" fillId="26" borderId="26" xfId="0" quotePrefix="1" applyNumberFormat="1" applyFont="1" applyFill="1" applyBorder="1" applyAlignment="1">
      <alignment horizontal="center"/>
    </xf>
    <xf numFmtId="3" fontId="0" fillId="0" borderId="13" xfId="0" applyNumberFormat="1" applyFill="1" applyBorder="1"/>
    <xf numFmtId="0" fontId="9" fillId="0" borderId="13" xfId="0" applyFont="1" applyBorder="1" applyAlignment="1">
      <alignment wrapText="1"/>
    </xf>
    <xf numFmtId="0" fontId="9" fillId="0" borderId="11" xfId="0" applyFont="1" applyBorder="1" applyAlignment="1">
      <alignment horizontal="left" wrapText="1"/>
    </xf>
    <xf numFmtId="1" fontId="18" fillId="26" borderId="36" xfId="28" quotePrefix="1" applyNumberFormat="1" applyFont="1" applyFill="1" applyBorder="1" applyAlignment="1">
      <alignment horizontal="center"/>
    </xf>
    <xf numFmtId="0" fontId="18" fillId="26" borderId="26" xfId="28" quotePrefix="1" applyNumberFormat="1" applyFont="1" applyFill="1" applyBorder="1" applyAlignment="1">
      <alignment horizontal="center"/>
    </xf>
    <xf numFmtId="0" fontId="49" fillId="0" borderId="0" xfId="0" applyFont="1" applyBorder="1" applyAlignment="1">
      <alignment horizontal="left"/>
    </xf>
    <xf numFmtId="0" fontId="23" fillId="0" borderId="0" xfId="0" quotePrefix="1" applyFont="1" applyBorder="1" applyAlignment="1">
      <alignment horizontal="left" wrapText="1"/>
    </xf>
    <xf numFmtId="0" fontId="23" fillId="0" borderId="0" xfId="0" applyFont="1" applyAlignment="1">
      <alignment horizontal="left" wrapText="1"/>
    </xf>
    <xf numFmtId="166" fontId="7" fillId="0" borderId="0" xfId="0" applyNumberFormat="1" applyFont="1" applyFill="1" applyBorder="1"/>
    <xf numFmtId="0" fontId="50" fillId="0" borderId="0" xfId="0" applyFont="1"/>
    <xf numFmtId="0" fontId="46" fillId="0" borderId="0" xfId="0" applyFont="1"/>
    <xf numFmtId="0" fontId="8" fillId="0" borderId="36" xfId="0" quotePrefix="1" applyFont="1" applyFill="1" applyBorder="1" applyAlignment="1">
      <alignment horizontal="center" vertical="center"/>
    </xf>
    <xf numFmtId="166" fontId="7" fillId="0" borderId="34" xfId="0" applyNumberFormat="1" applyFont="1" applyBorder="1"/>
    <xf numFmtId="166" fontId="7" fillId="0" borderId="35" xfId="0" applyNumberFormat="1" applyFont="1" applyBorder="1"/>
    <xf numFmtId="0" fontId="23" fillId="0" borderId="0" xfId="0" quotePrefix="1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6" fillId="0" borderId="0" xfId="0" applyFont="1" applyFill="1" applyBorder="1"/>
    <xf numFmtId="0" fontId="14" fillId="0" borderId="0" xfId="0" applyFont="1" applyFill="1" applyBorder="1"/>
    <xf numFmtId="0" fontId="14" fillId="0" borderId="0" xfId="0" applyFont="1" applyFill="1" applyBorder="1" applyAlignment="1"/>
    <xf numFmtId="0" fontId="7" fillId="0" borderId="0" xfId="0" applyFont="1" applyFill="1" applyBorder="1" applyAlignment="1"/>
    <xf numFmtId="0" fontId="33" fillId="0" borderId="0" xfId="0" applyFont="1" applyFill="1" applyBorder="1" applyAlignment="1">
      <alignment horizontal="center" vertical="center" wrapText="1"/>
    </xf>
    <xf numFmtId="0" fontId="33" fillId="0" borderId="0" xfId="0" quotePrefix="1" applyFont="1" applyFill="1" applyBorder="1" applyAlignment="1">
      <alignment horizontal="center" vertical="center" wrapText="1"/>
    </xf>
    <xf numFmtId="0" fontId="34" fillId="0" borderId="0" xfId="0" applyFont="1" applyFill="1" applyBorder="1"/>
    <xf numFmtId="167" fontId="7" fillId="0" borderId="0" xfId="0" applyNumberFormat="1" applyFont="1" applyFill="1" applyBorder="1"/>
    <xf numFmtId="10" fontId="7" fillId="0" borderId="0" xfId="0" applyNumberFormat="1" applyFont="1" applyFill="1" applyBorder="1"/>
    <xf numFmtId="0" fontId="10" fillId="0" borderId="0" xfId="0" applyFont="1" applyFill="1" applyBorder="1" applyAlignment="1">
      <alignment horizontal="center" vertical="center" wrapText="1"/>
    </xf>
    <xf numFmtId="9" fontId="51" fillId="0" borderId="0" xfId="0" applyNumberFormat="1" applyFont="1" applyFill="1" applyBorder="1" applyAlignment="1">
      <alignment horizontal="center"/>
    </xf>
    <xf numFmtId="0" fontId="51" fillId="0" borderId="0" xfId="0" applyFont="1" applyFill="1" applyBorder="1" applyAlignment="1"/>
    <xf numFmtId="38" fontId="8" fillId="0" borderId="0" xfId="0" applyNumberFormat="1" applyFont="1"/>
    <xf numFmtId="166" fontId="8" fillId="0" borderId="0" xfId="0" applyNumberFormat="1" applyFont="1"/>
    <xf numFmtId="0" fontId="8" fillId="0" borderId="0" xfId="0" applyFont="1" applyBorder="1"/>
    <xf numFmtId="7" fontId="8" fillId="0" borderId="61" xfId="32" applyNumberFormat="1" applyFont="1" applyBorder="1"/>
    <xf numFmtId="0" fontId="8" fillId="0" borderId="62" xfId="0" applyFont="1" applyBorder="1"/>
    <xf numFmtId="0" fontId="8" fillId="0" borderId="63" xfId="0" applyFont="1" applyBorder="1"/>
    <xf numFmtId="10" fontId="8" fillId="0" borderId="64" xfId="0" applyNumberFormat="1" applyFont="1" applyBorder="1"/>
    <xf numFmtId="6" fontId="7" fillId="0" borderId="43" xfId="0" applyNumberFormat="1" applyFont="1" applyBorder="1"/>
    <xf numFmtId="0" fontId="8" fillId="0" borderId="64" xfId="0" applyFont="1" applyBorder="1"/>
    <xf numFmtId="5" fontId="24" fillId="0" borderId="0" xfId="0" applyNumberFormat="1" applyFont="1" applyFill="1" applyBorder="1" applyProtection="1"/>
    <xf numFmtId="0" fontId="52" fillId="25" borderId="10" xfId="0" applyFont="1" applyFill="1" applyBorder="1" applyAlignment="1">
      <alignment horizontal="center" vertical="center" wrapText="1"/>
    </xf>
    <xf numFmtId="0" fontId="39" fillId="25" borderId="44" xfId="0" applyFont="1" applyFill="1" applyBorder="1" applyAlignment="1">
      <alignment horizontal="center" vertical="center" wrapText="1"/>
    </xf>
    <xf numFmtId="0" fontId="39" fillId="27" borderId="10" xfId="0" applyFont="1" applyFill="1" applyBorder="1" applyAlignment="1">
      <alignment horizontal="center" vertical="center" wrapText="1"/>
    </xf>
    <xf numFmtId="1" fontId="18" fillId="26" borderId="36" xfId="28" applyNumberFormat="1" applyFont="1" applyFill="1" applyBorder="1" applyAlignment="1">
      <alignment horizontal="center"/>
    </xf>
    <xf numFmtId="6" fontId="24" fillId="0" borderId="65" xfId="0" applyNumberFormat="1" applyFont="1" applyBorder="1"/>
    <xf numFmtId="0" fontId="45" fillId="0" borderId="0" xfId="0" applyFont="1"/>
    <xf numFmtId="0" fontId="7" fillId="0" borderId="33" xfId="0" applyFont="1" applyFill="1" applyBorder="1"/>
    <xf numFmtId="0" fontId="24" fillId="28" borderId="26" xfId="0" applyFont="1" applyFill="1" applyBorder="1" applyAlignment="1">
      <alignment horizontal="center" vertical="center" wrapText="1"/>
    </xf>
    <xf numFmtId="0" fontId="0" fillId="0" borderId="14" xfId="0" applyBorder="1"/>
    <xf numFmtId="4" fontId="7" fillId="0" borderId="0" xfId="0" applyNumberFormat="1" applyFont="1" applyBorder="1"/>
    <xf numFmtId="10" fontId="7" fillId="0" borderId="13" xfId="48" applyNumberFormat="1" applyFont="1" applyBorder="1"/>
    <xf numFmtId="0" fontId="7" fillId="0" borderId="11" xfId="0" applyFont="1" applyFill="1" applyBorder="1"/>
    <xf numFmtId="0" fontId="7" fillId="0" borderId="34" xfId="0" applyFont="1" applyFill="1" applyBorder="1"/>
    <xf numFmtId="9" fontId="15" fillId="0" borderId="11" xfId="0" applyNumberFormat="1" applyFont="1" applyFill="1" applyBorder="1"/>
    <xf numFmtId="9" fontId="7" fillId="0" borderId="34" xfId="0" applyNumberFormat="1" applyFont="1" applyFill="1" applyBorder="1"/>
    <xf numFmtId="9" fontId="7" fillId="0" borderId="11" xfId="0" applyNumberFormat="1" applyFont="1" applyFill="1" applyBorder="1"/>
    <xf numFmtId="6" fontId="7" fillId="0" borderId="11" xfId="0" applyNumberFormat="1" applyFont="1" applyBorder="1"/>
    <xf numFmtId="6" fontId="7" fillId="0" borderId="13" xfId="0" applyNumberFormat="1" applyFont="1" applyBorder="1"/>
    <xf numFmtId="6" fontId="7" fillId="0" borderId="11" xfId="0" applyNumberFormat="1" applyFont="1" applyFill="1" applyBorder="1"/>
    <xf numFmtId="6" fontId="7" fillId="0" borderId="13" xfId="0" applyNumberFormat="1" applyFont="1" applyFill="1" applyBorder="1"/>
    <xf numFmtId="10" fontId="0" fillId="0" borderId="0" xfId="48" applyNumberFormat="1" applyFont="1"/>
    <xf numFmtId="9" fontId="8" fillId="0" borderId="11" xfId="0" applyNumberFormat="1" applyFont="1" applyFill="1" applyBorder="1" applyAlignment="1">
      <alignment horizontal="center"/>
    </xf>
    <xf numFmtId="0" fontId="56" fillId="0" borderId="0" xfId="0" applyFont="1" applyFill="1" applyBorder="1"/>
    <xf numFmtId="0" fontId="10" fillId="0" borderId="21" xfId="0" quotePrefix="1" applyFont="1" applyFill="1" applyBorder="1" applyAlignment="1">
      <alignment horizontal="center" vertical="center" wrapText="1"/>
    </xf>
    <xf numFmtId="0" fontId="7" fillId="0" borderId="14" xfId="0" applyFont="1" applyFill="1" applyBorder="1"/>
    <xf numFmtId="0" fontId="11" fillId="0" borderId="44" xfId="0" applyFont="1" applyBorder="1" applyAlignment="1">
      <alignment horizontal="center"/>
    </xf>
    <xf numFmtId="0" fontId="46" fillId="0" borderId="34" xfId="0" applyFont="1" applyFill="1" applyBorder="1"/>
    <xf numFmtId="0" fontId="7" fillId="0" borderId="0" xfId="0" applyFont="1" applyFill="1" applyBorder="1" applyAlignment="1">
      <alignment horizontal="center"/>
    </xf>
    <xf numFmtId="0" fontId="48" fillId="0" borderId="0" xfId="0" applyFont="1" applyFill="1" applyBorder="1" applyAlignment="1">
      <alignment horizontal="center"/>
    </xf>
    <xf numFmtId="9" fontId="0" fillId="0" borderId="0" xfId="0" applyNumberFormat="1"/>
    <xf numFmtId="0" fontId="7" fillId="0" borderId="26" xfId="0" applyFont="1" applyBorder="1" applyAlignment="1">
      <alignment horizontal="center"/>
    </xf>
    <xf numFmtId="0" fontId="7" fillId="0" borderId="26" xfId="0" applyFont="1" applyBorder="1"/>
    <xf numFmtId="15" fontId="7" fillId="29" borderId="26" xfId="0" applyNumberFormat="1" applyFont="1" applyFill="1" applyBorder="1" applyAlignment="1">
      <alignment horizontal="center"/>
    </xf>
    <xf numFmtId="0" fontId="9" fillId="30" borderId="26" xfId="0" applyFont="1" applyFill="1" applyBorder="1" applyAlignment="1">
      <alignment horizontal="center"/>
    </xf>
    <xf numFmtId="165" fontId="9" fillId="30" borderId="26" xfId="28" applyNumberFormat="1" applyFont="1" applyFill="1" applyBorder="1" applyAlignment="1">
      <alignment horizontal="center"/>
    </xf>
    <xf numFmtId="165" fontId="7" fillId="30" borderId="26" xfId="28" applyNumberFormat="1" applyFont="1" applyFill="1" applyBorder="1" applyAlignment="1">
      <alignment horizontal="center"/>
    </xf>
    <xf numFmtId="0" fontId="7" fillId="0" borderId="26" xfId="0" applyFont="1" applyFill="1" applyBorder="1"/>
    <xf numFmtId="1" fontId="9" fillId="26" borderId="66" xfId="0" applyNumberFormat="1" applyFont="1" applyFill="1" applyBorder="1" applyProtection="1"/>
    <xf numFmtId="0" fontId="7" fillId="0" borderId="67" xfId="0" applyFont="1" applyFill="1" applyBorder="1" applyProtection="1"/>
    <xf numFmtId="0" fontId="7" fillId="0" borderId="68" xfId="0" applyFont="1" applyFill="1" applyBorder="1" applyProtection="1"/>
    <xf numFmtId="0" fontId="7" fillId="0" borderId="69" xfId="0" applyFont="1" applyFill="1" applyBorder="1" applyProtection="1"/>
    <xf numFmtId="3" fontId="7" fillId="0" borderId="34" xfId="0" applyNumberFormat="1" applyFont="1" applyFill="1" applyBorder="1" applyAlignment="1">
      <alignment horizontal="left"/>
    </xf>
    <xf numFmtId="5" fontId="9" fillId="0" borderId="0" xfId="0" applyNumberFormat="1" applyFont="1" applyBorder="1" applyProtection="1"/>
    <xf numFmtId="6" fontId="18" fillId="25" borderId="26" xfId="0" applyNumberFormat="1" applyFont="1" applyFill="1" applyBorder="1" applyAlignment="1">
      <alignment horizontal="center" wrapText="1"/>
    </xf>
    <xf numFmtId="8" fontId="18" fillId="25" borderId="26" xfId="0" applyNumberFormat="1" applyFont="1" applyFill="1" applyBorder="1" applyAlignment="1">
      <alignment horizontal="center" wrapText="1"/>
    </xf>
    <xf numFmtId="1" fontId="18" fillId="26" borderId="70" xfId="0" applyNumberFormat="1" applyFont="1" applyFill="1" applyBorder="1" applyAlignment="1" applyProtection="1">
      <alignment horizontal="center"/>
    </xf>
    <xf numFmtId="1" fontId="18" fillId="26" borderId="71" xfId="0" quotePrefix="1" applyNumberFormat="1" applyFont="1" applyFill="1" applyBorder="1" applyAlignment="1" applyProtection="1">
      <alignment horizontal="center"/>
    </xf>
    <xf numFmtId="5" fontId="7" fillId="0" borderId="11" xfId="0" applyNumberFormat="1" applyFont="1" applyFill="1" applyBorder="1" applyProtection="1"/>
    <xf numFmtId="5" fontId="9" fillId="0" borderId="72" xfId="0" applyNumberFormat="1" applyFont="1" applyFill="1" applyBorder="1" applyProtection="1"/>
    <xf numFmtId="5" fontId="7" fillId="0" borderId="72" xfId="0" applyNumberFormat="1" applyFont="1" applyFill="1" applyBorder="1" applyProtection="1"/>
    <xf numFmtId="5" fontId="9" fillId="0" borderId="11" xfId="0" applyNumberFormat="1" applyFont="1" applyFill="1" applyBorder="1" applyProtection="1"/>
    <xf numFmtId="37" fontId="7" fillId="0" borderId="11" xfId="28" applyNumberFormat="1" applyFont="1" applyFill="1" applyBorder="1" applyProtection="1"/>
    <xf numFmtId="38" fontId="7" fillId="0" borderId="11" xfId="0" applyNumberFormat="1" applyFont="1" applyFill="1" applyBorder="1" applyProtection="1"/>
    <xf numFmtId="165" fontId="9" fillId="0" borderId="11" xfId="28" applyNumberFormat="1" applyFont="1" applyFill="1" applyBorder="1" applyProtection="1"/>
    <xf numFmtId="166" fontId="7" fillId="0" borderId="11" xfId="28" applyNumberFormat="1" applyFont="1" applyFill="1" applyBorder="1" applyProtection="1"/>
    <xf numFmtId="6" fontId="9" fillId="0" borderId="11" xfId="0" applyNumberFormat="1" applyFont="1" applyFill="1" applyBorder="1" applyProtection="1"/>
    <xf numFmtId="5" fontId="7" fillId="0" borderId="70" xfId="0" applyNumberFormat="1" applyFont="1" applyFill="1" applyBorder="1" applyProtection="1"/>
    <xf numFmtId="5" fontId="9" fillId="0" borderId="70" xfId="0" applyNumberFormat="1" applyFont="1" applyFill="1" applyBorder="1" applyProtection="1"/>
    <xf numFmtId="37" fontId="7" fillId="0" borderId="13" xfId="28" applyNumberFormat="1" applyFont="1" applyFill="1" applyBorder="1" applyProtection="1"/>
    <xf numFmtId="38" fontId="7" fillId="0" borderId="70" xfId="0" applyNumberFormat="1" applyFont="1" applyFill="1" applyBorder="1" applyProtection="1"/>
    <xf numFmtId="165" fontId="9" fillId="0" borderId="70" xfId="28" applyNumberFormat="1" applyFont="1" applyFill="1" applyBorder="1" applyProtection="1"/>
    <xf numFmtId="166" fontId="7" fillId="0" borderId="70" xfId="28" applyNumberFormat="1" applyFont="1" applyFill="1" applyBorder="1" applyProtection="1"/>
    <xf numFmtId="6" fontId="9" fillId="0" borderId="70" xfId="0" applyNumberFormat="1" applyFont="1" applyFill="1" applyBorder="1" applyProtection="1"/>
    <xf numFmtId="166" fontId="7" fillId="0" borderId="13" xfId="28" applyNumberFormat="1" applyFont="1" applyFill="1" applyBorder="1" applyProtection="1"/>
    <xf numFmtId="37" fontId="7" fillId="0" borderId="70" xfId="28" applyNumberFormat="1" applyFont="1" applyFill="1" applyBorder="1" applyProtection="1"/>
    <xf numFmtId="37" fontId="7" fillId="0" borderId="72" xfId="28" applyNumberFormat="1" applyFont="1" applyFill="1" applyBorder="1" applyProtection="1"/>
    <xf numFmtId="165" fontId="9" fillId="0" borderId="72" xfId="28" applyNumberFormat="1" applyFont="1" applyFill="1" applyBorder="1" applyProtection="1"/>
    <xf numFmtId="166" fontId="7" fillId="0" borderId="72" xfId="28" applyNumberFormat="1" applyFont="1" applyFill="1" applyBorder="1" applyProtection="1"/>
    <xf numFmtId="6" fontId="9" fillId="0" borderId="72" xfId="0" applyNumberFormat="1" applyFont="1" applyFill="1" applyBorder="1" applyProtection="1"/>
    <xf numFmtId="0" fontId="39" fillId="25" borderId="10" xfId="0" applyFont="1" applyFill="1" applyBorder="1" applyAlignment="1">
      <alignment horizontal="center" vertical="center" wrapText="1"/>
    </xf>
    <xf numFmtId="0" fontId="52" fillId="29" borderId="10" xfId="0" applyFont="1" applyFill="1" applyBorder="1" applyAlignment="1">
      <alignment horizontal="center" vertical="center" wrapText="1"/>
    </xf>
    <xf numFmtId="0" fontId="39" fillId="29" borderId="44" xfId="0" applyFont="1" applyFill="1" applyBorder="1" applyAlignment="1">
      <alignment horizontal="center" vertical="center" wrapText="1"/>
    </xf>
    <xf numFmtId="0" fontId="39" fillId="29" borderId="10" xfId="0" applyFont="1" applyFill="1" applyBorder="1" applyAlignment="1">
      <alignment horizontal="center" vertical="center" wrapText="1"/>
    </xf>
    <xf numFmtId="0" fontId="24" fillId="27" borderId="10" xfId="0" applyFont="1" applyFill="1" applyBorder="1" applyAlignment="1">
      <alignment horizontal="center" vertical="center" wrapText="1"/>
    </xf>
    <xf numFmtId="2" fontId="0" fillId="0" borderId="0" xfId="0" applyNumberFormat="1"/>
    <xf numFmtId="5" fontId="20" fillId="27" borderId="30" xfId="0" applyNumberFormat="1" applyFont="1" applyFill="1" applyBorder="1" applyProtection="1"/>
    <xf numFmtId="0" fontId="7" fillId="0" borderId="14" xfId="0" applyFont="1" applyFill="1" applyBorder="1" applyAlignment="1">
      <alignment horizontal="center"/>
    </xf>
    <xf numFmtId="0" fontId="7" fillId="0" borderId="14" xfId="0" applyFont="1" applyBorder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166" fontId="59" fillId="0" borderId="11" xfId="0" applyNumberFormat="1" applyFont="1" applyFill="1" applyBorder="1"/>
    <xf numFmtId="6" fontId="7" fillId="0" borderId="0" xfId="0" applyNumberFormat="1" applyFont="1" applyFill="1" applyBorder="1" applyAlignment="1">
      <alignment horizontal="right"/>
    </xf>
    <xf numFmtId="166" fontId="7" fillId="0" borderId="0" xfId="0" applyNumberFormat="1" applyFont="1" applyFill="1" applyBorder="1" applyAlignment="1">
      <alignment horizontal="right"/>
    </xf>
    <xf numFmtId="0" fontId="16" fillId="0" borderId="0" xfId="0" applyFont="1" applyFill="1" applyAlignment="1">
      <alignment vertical="center"/>
    </xf>
    <xf numFmtId="10" fontId="7" fillId="0" borderId="10" xfId="0" applyNumberFormat="1" applyFont="1" applyFill="1" applyBorder="1"/>
    <xf numFmtId="1" fontId="7" fillId="26" borderId="60" xfId="0" applyNumberFormat="1" applyFont="1" applyFill="1" applyBorder="1" applyAlignment="1" applyProtection="1">
      <alignment horizontal="center"/>
    </xf>
    <xf numFmtId="1" fontId="9" fillId="26" borderId="66" xfId="0" applyNumberFormat="1" applyFont="1" applyFill="1" applyBorder="1" applyAlignment="1" applyProtection="1">
      <alignment horizontal="center"/>
    </xf>
    <xf numFmtId="6" fontId="7" fillId="0" borderId="0" xfId="0" applyNumberFormat="1" applyFont="1" applyBorder="1"/>
    <xf numFmtId="0" fontId="20" fillId="27" borderId="73" xfId="0" applyFont="1" applyFill="1" applyBorder="1" applyAlignment="1">
      <alignment horizontal="left"/>
    </xf>
    <xf numFmtId="0" fontId="37" fillId="27" borderId="73" xfId="0" applyFont="1" applyFill="1" applyBorder="1"/>
    <xf numFmtId="3" fontId="7" fillId="0" borderId="11" xfId="0" applyNumberFormat="1" applyFont="1" applyFill="1" applyBorder="1" applyAlignment="1">
      <alignment horizontal="right"/>
    </xf>
    <xf numFmtId="0" fontId="0" fillId="0" borderId="10" xfId="0" applyBorder="1"/>
    <xf numFmtId="38" fontId="7" fillId="0" borderId="10" xfId="0" applyNumberFormat="1" applyFont="1" applyBorder="1"/>
    <xf numFmtId="0" fontId="7" fillId="0" borderId="44" xfId="0" applyFont="1" applyFill="1" applyBorder="1"/>
    <xf numFmtId="5" fontId="7" fillId="0" borderId="74" xfId="0" applyNumberFormat="1" applyFont="1" applyFill="1" applyBorder="1"/>
    <xf numFmtId="0" fontId="7" fillId="0" borderId="74" xfId="0" applyFont="1" applyFill="1" applyBorder="1"/>
    <xf numFmtId="0" fontId="7" fillId="0" borderId="74" xfId="0" applyFont="1" applyBorder="1"/>
    <xf numFmtId="0" fontId="24" fillId="25" borderId="13" xfId="0" applyFont="1" applyFill="1" applyBorder="1" applyAlignment="1">
      <alignment horizontal="center" vertical="center" wrapText="1"/>
    </xf>
    <xf numFmtId="6" fontId="7" fillId="0" borderId="11" xfId="0" applyNumberFormat="1" applyFont="1" applyFill="1" applyBorder="1" applyProtection="1"/>
    <xf numFmtId="6" fontId="7" fillId="0" borderId="70" xfId="0" applyNumberFormat="1" applyFont="1" applyFill="1" applyBorder="1" applyProtection="1"/>
    <xf numFmtId="6" fontId="7" fillId="0" borderId="72" xfId="0" applyNumberFormat="1" applyFont="1" applyFill="1" applyBorder="1" applyProtection="1"/>
    <xf numFmtId="0" fontId="10" fillId="0" borderId="0" xfId="0" applyFont="1" applyFill="1" applyBorder="1" applyAlignment="1">
      <alignment horizontal="left" wrapText="1"/>
    </xf>
    <xf numFmtId="9" fontId="19" fillId="27" borderId="75" xfId="48" applyFont="1" applyFill="1" applyBorder="1" applyAlignment="1">
      <alignment horizontal="right"/>
    </xf>
    <xf numFmtId="9" fontId="19" fillId="27" borderId="76" xfId="48" applyFont="1" applyFill="1" applyBorder="1" applyAlignment="1">
      <alignment horizontal="right"/>
    </xf>
    <xf numFmtId="165" fontId="19" fillId="27" borderId="76" xfId="28" applyNumberFormat="1" applyFont="1" applyFill="1" applyBorder="1" applyAlignment="1">
      <alignment horizontal="right"/>
    </xf>
    <xf numFmtId="165" fontId="19" fillId="27" borderId="75" xfId="28" applyNumberFormat="1" applyFont="1" applyFill="1" applyBorder="1" applyAlignment="1">
      <alignment horizontal="right"/>
    </xf>
    <xf numFmtId="166" fontId="19" fillId="27" borderId="76" xfId="28" applyNumberFormat="1" applyFont="1" applyFill="1" applyBorder="1" applyAlignment="1">
      <alignment horizontal="right"/>
    </xf>
    <xf numFmtId="9" fontId="19" fillId="27" borderId="76" xfId="28" applyNumberFormat="1" applyFont="1" applyFill="1" applyBorder="1" applyAlignment="1">
      <alignment horizontal="right"/>
    </xf>
    <xf numFmtId="9" fontId="19" fillId="27" borderId="76" xfId="0" applyNumberFormat="1" applyFont="1" applyFill="1" applyBorder="1" applyAlignment="1">
      <alignment horizontal="center"/>
    </xf>
    <xf numFmtId="39" fontId="19" fillId="27" borderId="76" xfId="28" applyNumberFormat="1" applyFont="1" applyFill="1" applyBorder="1" applyAlignment="1">
      <alignment horizontal="center"/>
    </xf>
    <xf numFmtId="0" fontId="62" fillId="25" borderId="13" xfId="0" applyFont="1" applyFill="1" applyBorder="1" applyAlignment="1">
      <alignment horizontal="center" vertical="center" wrapText="1"/>
    </xf>
    <xf numFmtId="167" fontId="24" fillId="25" borderId="13" xfId="0" applyNumberFormat="1" applyFont="1" applyFill="1" applyBorder="1" applyAlignment="1">
      <alignment horizontal="center" vertical="center" wrapText="1"/>
    </xf>
    <xf numFmtId="0" fontId="52" fillId="25" borderId="11" xfId="0" applyFont="1" applyFill="1" applyBorder="1" applyAlignment="1">
      <alignment horizontal="center" vertical="center" wrapText="1"/>
    </xf>
    <xf numFmtId="0" fontId="52" fillId="27" borderId="11" xfId="0" applyFont="1" applyFill="1" applyBorder="1" applyAlignment="1">
      <alignment horizontal="center" vertical="center" wrapText="1"/>
    </xf>
    <xf numFmtId="0" fontId="52" fillId="25" borderId="26" xfId="0" applyFont="1" applyFill="1" applyBorder="1" applyAlignment="1">
      <alignment horizontal="center" vertical="center" wrapText="1"/>
    </xf>
    <xf numFmtId="2" fontId="18" fillId="27" borderId="26" xfId="0" applyNumberFormat="1" applyFont="1" applyFill="1" applyBorder="1" applyAlignment="1">
      <alignment horizontal="center" wrapText="1"/>
    </xf>
    <xf numFmtId="0" fontId="40" fillId="25" borderId="10" xfId="0" applyFont="1" applyFill="1" applyBorder="1" applyAlignment="1">
      <alignment horizontal="center" vertical="center" wrapText="1"/>
    </xf>
    <xf numFmtId="0" fontId="7" fillId="0" borderId="12" xfId="0" applyFont="1" applyBorder="1" applyAlignment="1">
      <alignment horizontal="right"/>
    </xf>
    <xf numFmtId="0" fontId="24" fillId="0" borderId="65" xfId="0" applyFont="1" applyBorder="1" applyAlignment="1">
      <alignment horizontal="right"/>
    </xf>
    <xf numFmtId="5" fontId="24" fillId="0" borderId="77" xfId="32" applyNumberFormat="1" applyFont="1" applyBorder="1" applyAlignment="1">
      <alignment horizontal="right"/>
    </xf>
    <xf numFmtId="2" fontId="24" fillId="0" borderId="77" xfId="0" applyNumberFormat="1" applyFont="1" applyBorder="1" applyAlignment="1">
      <alignment horizontal="right"/>
    </xf>
    <xf numFmtId="0" fontId="24" fillId="0" borderId="12" xfId="0" applyFont="1" applyBorder="1" applyAlignment="1">
      <alignment horizontal="right"/>
    </xf>
    <xf numFmtId="43" fontId="24" fillId="0" borderId="12" xfId="28" applyNumberFormat="1" applyFont="1" applyBorder="1" applyAlignment="1">
      <alignment horizontal="right"/>
    </xf>
    <xf numFmtId="43" fontId="24" fillId="0" borderId="12" xfId="28" applyFont="1" applyBorder="1" applyAlignment="1">
      <alignment horizontal="right"/>
    </xf>
    <xf numFmtId="10" fontId="24" fillId="0" borderId="12" xfId="0" applyNumberFormat="1" applyFont="1" applyBorder="1" applyAlignment="1">
      <alignment horizontal="right"/>
    </xf>
    <xf numFmtId="166" fontId="7" fillId="0" borderId="45" xfId="0" applyNumberFormat="1" applyFont="1" applyBorder="1"/>
    <xf numFmtId="166" fontId="7" fillId="27" borderId="45" xfId="0" applyNumberFormat="1" applyFont="1" applyFill="1" applyBorder="1"/>
    <xf numFmtId="10" fontId="7" fillId="0" borderId="45" xfId="0" applyNumberFormat="1" applyFont="1" applyBorder="1"/>
    <xf numFmtId="6" fontId="7" fillId="0" borderId="45" xfId="32" applyNumberFormat="1" applyFont="1" applyBorder="1"/>
    <xf numFmtId="166" fontId="7" fillId="27" borderId="11" xfId="0" applyNumberFormat="1" applyFont="1" applyFill="1" applyBorder="1"/>
    <xf numFmtId="165" fontId="7" fillId="0" borderId="11" xfId="28" applyNumberFormat="1" applyFont="1" applyBorder="1"/>
    <xf numFmtId="6" fontId="7" fillId="0" borderId="11" xfId="28" applyNumberFormat="1" applyFont="1" applyBorder="1"/>
    <xf numFmtId="166" fontId="7" fillId="0" borderId="78" xfId="0" applyNumberFormat="1" applyFont="1" applyBorder="1"/>
    <xf numFmtId="166" fontId="7" fillId="27" borderId="78" xfId="0" applyNumberFormat="1" applyFont="1" applyFill="1" applyBorder="1"/>
    <xf numFmtId="10" fontId="7" fillId="0" borderId="13" xfId="0" applyNumberFormat="1" applyFont="1" applyBorder="1"/>
    <xf numFmtId="10" fontId="7" fillId="0" borderId="78" xfId="0" applyNumberFormat="1" applyFont="1" applyBorder="1"/>
    <xf numFmtId="6" fontId="7" fillId="0" borderId="78" xfId="32" applyNumberFormat="1" applyFont="1" applyBorder="1"/>
    <xf numFmtId="166" fontId="7" fillId="27" borderId="13" xfId="0" applyNumberFormat="1" applyFont="1" applyFill="1" applyBorder="1"/>
    <xf numFmtId="165" fontId="7" fillId="0" borderId="13" xfId="28" applyNumberFormat="1" applyFont="1" applyBorder="1"/>
    <xf numFmtId="6" fontId="7" fillId="0" borderId="13" xfId="28" applyNumberFormat="1" applyFont="1" applyBorder="1"/>
    <xf numFmtId="166" fontId="7" fillId="27" borderId="11" xfId="0" applyNumberFormat="1" applyFont="1" applyFill="1" applyBorder="1" applyAlignment="1"/>
    <xf numFmtId="6" fontId="9" fillId="0" borderId="79" xfId="0" applyNumberFormat="1" applyFont="1" applyBorder="1"/>
    <xf numFmtId="6" fontId="9" fillId="0" borderId="12" xfId="0" applyNumberFormat="1" applyFont="1" applyBorder="1"/>
    <xf numFmtId="6" fontId="9" fillId="27" borderId="12" xfId="0" applyNumberFormat="1" applyFont="1" applyFill="1" applyBorder="1"/>
    <xf numFmtId="10" fontId="9" fillId="27" borderId="12" xfId="0" applyNumberFormat="1" applyFont="1" applyFill="1" applyBorder="1"/>
    <xf numFmtId="10" fontId="9" fillId="27" borderId="77" xfId="0" applyNumberFormat="1" applyFont="1" applyFill="1" applyBorder="1"/>
    <xf numFmtId="6" fontId="9" fillId="0" borderId="12" xfId="32" applyNumberFormat="1" applyFont="1" applyBorder="1"/>
    <xf numFmtId="38" fontId="9" fillId="0" borderId="12" xfId="0" applyNumberFormat="1" applyFont="1" applyBorder="1"/>
    <xf numFmtId="38" fontId="9" fillId="27" borderId="12" xfId="0" applyNumberFormat="1" applyFont="1" applyFill="1" applyBorder="1"/>
    <xf numFmtId="166" fontId="9" fillId="0" borderId="12" xfId="0" applyNumberFormat="1" applyFont="1" applyBorder="1"/>
    <xf numFmtId="166" fontId="9" fillId="0" borderId="77" xfId="0" applyNumberFormat="1" applyFont="1" applyBorder="1"/>
    <xf numFmtId="166" fontId="9" fillId="27" borderId="12" xfId="0" applyNumberFormat="1" applyFont="1" applyFill="1" applyBorder="1"/>
    <xf numFmtId="10" fontId="9" fillId="0" borderId="77" xfId="48" applyNumberFormat="1" applyFont="1" applyBorder="1"/>
    <xf numFmtId="166" fontId="7" fillId="0" borderId="0" xfId="0" applyNumberFormat="1" applyFont="1"/>
    <xf numFmtId="5" fontId="24" fillId="0" borderId="12" xfId="32" applyNumberFormat="1" applyFont="1" applyFill="1" applyBorder="1" applyAlignment="1">
      <alignment horizontal="right"/>
    </xf>
    <xf numFmtId="0" fontId="9" fillId="0" borderId="80" xfId="0" applyFont="1" applyFill="1" applyBorder="1" applyProtection="1"/>
    <xf numFmtId="0" fontId="24" fillId="0" borderId="81" xfId="0" applyFont="1" applyFill="1" applyBorder="1" applyAlignment="1" applyProtection="1">
      <alignment horizontal="center"/>
    </xf>
    <xf numFmtId="6" fontId="24" fillId="0" borderId="82" xfId="28" applyNumberFormat="1" applyFont="1" applyFill="1" applyBorder="1" applyProtection="1"/>
    <xf numFmtId="6" fontId="24" fillId="0" borderId="82" xfId="0" applyNumberFormat="1" applyFont="1" applyBorder="1"/>
    <xf numFmtId="165" fontId="24" fillId="0" borderId="82" xfId="28" applyNumberFormat="1" applyFont="1" applyFill="1" applyBorder="1" applyProtection="1"/>
    <xf numFmtId="5" fontId="24" fillId="0" borderId="82" xfId="0" applyNumberFormat="1" applyFont="1" applyFill="1" applyBorder="1" applyProtection="1"/>
    <xf numFmtId="6" fontId="24" fillId="27" borderId="83" xfId="28" applyNumberFormat="1" applyFont="1" applyFill="1" applyBorder="1" applyProtection="1"/>
    <xf numFmtId="0" fontId="9" fillId="0" borderId="0" xfId="0" applyFont="1" applyFill="1" applyBorder="1" applyProtection="1"/>
    <xf numFmtId="6" fontId="24" fillId="0" borderId="83" xfId="28" applyNumberFormat="1" applyFont="1" applyFill="1" applyBorder="1" applyProtection="1"/>
    <xf numFmtId="6" fontId="43" fillId="0" borderId="70" xfId="0" applyNumberFormat="1" applyFont="1" applyFill="1" applyBorder="1" applyProtection="1"/>
    <xf numFmtId="0" fontId="24" fillId="0" borderId="0" xfId="0" applyFont="1" applyFill="1" applyBorder="1" applyAlignment="1" applyProtection="1">
      <alignment horizontal="center"/>
    </xf>
    <xf numFmtId="6" fontId="7" fillId="0" borderId="74" xfId="0" applyNumberFormat="1" applyFont="1" applyFill="1" applyBorder="1"/>
    <xf numFmtId="6" fontId="7" fillId="0" borderId="0" xfId="28" applyNumberFormat="1" applyFont="1" applyBorder="1"/>
    <xf numFmtId="0" fontId="0" fillId="0" borderId="0" xfId="0" applyAlignment="1">
      <alignment vertical="center"/>
    </xf>
    <xf numFmtId="0" fontId="9" fillId="0" borderId="0" xfId="0" applyFont="1" applyAlignment="1">
      <alignment horizontal="right" vertical="center"/>
    </xf>
    <xf numFmtId="0" fontId="24" fillId="27" borderId="13" xfId="0" applyFont="1" applyFill="1" applyBorder="1" applyAlignment="1">
      <alignment horizontal="center" vertical="center" wrapText="1"/>
    </xf>
    <xf numFmtId="168" fontId="48" fillId="0" borderId="0" xfId="48" applyNumberFormat="1" applyFont="1" applyFill="1" applyBorder="1"/>
    <xf numFmtId="168" fontId="0" fillId="0" borderId="0" xfId="0" applyNumberFormat="1" applyBorder="1"/>
    <xf numFmtId="170" fontId="0" fillId="0" borderId="0" xfId="0" applyNumberFormat="1" applyBorder="1"/>
    <xf numFmtId="166" fontId="0" fillId="0" borderId="0" xfId="0" applyNumberFormat="1" applyBorder="1"/>
    <xf numFmtId="0" fontId="0" fillId="0" borderId="0" xfId="0" applyBorder="1" applyAlignment="1">
      <alignment vertical="center"/>
    </xf>
    <xf numFmtId="10" fontId="0" fillId="0" borderId="0" xfId="0" applyNumberFormat="1"/>
    <xf numFmtId="0" fontId="72" fillId="0" borderId="26" xfId="0" applyFont="1" applyFill="1" applyBorder="1" applyAlignment="1">
      <alignment horizontal="left" wrapText="1"/>
    </xf>
    <xf numFmtId="6" fontId="18" fillId="0" borderId="0" xfId="0" applyNumberFormat="1" applyFont="1" applyAlignment="1">
      <alignment horizontal="right"/>
    </xf>
    <xf numFmtId="0" fontId="17" fillId="27" borderId="86" xfId="0" applyFont="1" applyFill="1" applyBorder="1" applyAlignment="1">
      <alignment horizontal="center" vertical="center" wrapText="1"/>
    </xf>
    <xf numFmtId="5" fontId="17" fillId="27" borderId="87" xfId="0" applyNumberFormat="1" applyFont="1" applyFill="1" applyBorder="1" applyAlignment="1" applyProtection="1">
      <alignment vertical="center"/>
    </xf>
    <xf numFmtId="0" fontId="45" fillId="0" borderId="35" xfId="0" applyFont="1" applyBorder="1" applyAlignment="1">
      <alignment horizontal="right" wrapText="1"/>
    </xf>
    <xf numFmtId="166" fontId="19" fillId="0" borderId="14" xfId="28" applyNumberFormat="1" applyFont="1" applyFill="1" applyBorder="1" applyAlignment="1">
      <alignment horizontal="center"/>
    </xf>
    <xf numFmtId="6" fontId="9" fillId="0" borderId="34" xfId="0" applyNumberFormat="1" applyFont="1" applyFill="1" applyBorder="1" applyProtection="1"/>
    <xf numFmtId="3" fontId="57" fillId="0" borderId="13" xfId="0" applyNumberFormat="1" applyFont="1" applyFill="1" applyBorder="1" applyAlignment="1">
      <alignment horizontal="right"/>
    </xf>
    <xf numFmtId="6" fontId="57" fillId="0" borderId="13" xfId="0" applyNumberFormat="1" applyFont="1" applyBorder="1" applyAlignment="1">
      <alignment horizontal="right"/>
    </xf>
    <xf numFmtId="6" fontId="0" fillId="0" borderId="0" xfId="0" applyNumberFormat="1" applyBorder="1" applyAlignment="1">
      <alignment horizontal="right"/>
    </xf>
    <xf numFmtId="3" fontId="7" fillId="0" borderId="0" xfId="0" applyNumberFormat="1" applyFont="1" applyFill="1" applyBorder="1" applyAlignment="1">
      <alignment horizontal="center"/>
    </xf>
    <xf numFmtId="0" fontId="10" fillId="0" borderId="88" xfId="0" quotePrefix="1" applyFont="1" applyFill="1" applyBorder="1" applyAlignment="1">
      <alignment horizontal="center"/>
    </xf>
    <xf numFmtId="0" fontId="10" fillId="0" borderId="88" xfId="0" applyFont="1" applyFill="1" applyBorder="1" applyAlignment="1">
      <alignment horizontal="left"/>
    </xf>
    <xf numFmtId="5" fontId="12" fillId="0" borderId="89" xfId="0" applyNumberFormat="1" applyFont="1" applyFill="1" applyBorder="1" applyProtection="1"/>
    <xf numFmtId="5" fontId="12" fillId="0" borderId="59" xfId="0" applyNumberFormat="1" applyFont="1" applyFill="1" applyBorder="1" applyProtection="1"/>
    <xf numFmtId="0" fontId="10" fillId="0" borderId="84" xfId="0" quotePrefix="1" applyFont="1" applyFill="1" applyBorder="1" applyAlignment="1">
      <alignment horizontal="center"/>
    </xf>
    <xf numFmtId="0" fontId="10" fillId="0" borderId="84" xfId="0" applyFont="1" applyFill="1" applyBorder="1" applyAlignment="1">
      <alignment horizontal="left"/>
    </xf>
    <xf numFmtId="5" fontId="12" fillId="0" borderId="90" xfId="0" applyNumberFormat="1" applyFont="1" applyFill="1" applyBorder="1" applyProtection="1"/>
    <xf numFmtId="0" fontId="55" fillId="0" borderId="0" xfId="0" applyFont="1" applyAlignment="1">
      <alignment horizontal="center"/>
    </xf>
    <xf numFmtId="166" fontId="18" fillId="27" borderId="26" xfId="0" applyNumberFormat="1" applyFont="1" applyFill="1" applyBorder="1" applyAlignment="1">
      <alignment horizontal="center" wrapText="1"/>
    </xf>
    <xf numFmtId="166" fontId="18" fillId="29" borderId="26" xfId="0" applyNumberFormat="1" applyFont="1" applyFill="1" applyBorder="1" applyAlignment="1">
      <alignment horizontal="center" wrapText="1"/>
    </xf>
    <xf numFmtId="3" fontId="7" fillId="0" borderId="0" xfId="0" applyNumberFormat="1" applyFont="1" applyFill="1" applyBorder="1" applyAlignment="1">
      <alignment horizontal="left"/>
    </xf>
    <xf numFmtId="3" fontId="36" fillId="0" borderId="0" xfId="0" applyNumberFormat="1" applyFont="1" applyFill="1" applyBorder="1" applyAlignment="1">
      <alignment horizontal="left"/>
    </xf>
    <xf numFmtId="5" fontId="9" fillId="25" borderId="11" xfId="0" applyNumberFormat="1" applyFont="1" applyFill="1" applyBorder="1" applyProtection="1"/>
    <xf numFmtId="5" fontId="9" fillId="25" borderId="70" xfId="0" applyNumberFormat="1" applyFont="1" applyFill="1" applyBorder="1" applyProtection="1"/>
    <xf numFmtId="5" fontId="9" fillId="25" borderId="72" xfId="0" applyNumberFormat="1" applyFont="1" applyFill="1" applyBorder="1" applyProtection="1"/>
    <xf numFmtId="9" fontId="19" fillId="0" borderId="91" xfId="0" applyNumberFormat="1" applyFont="1" applyFill="1" applyBorder="1" applyAlignment="1">
      <alignment horizontal="center"/>
    </xf>
    <xf numFmtId="0" fontId="10" fillId="0" borderId="18" xfId="0" quotePrefix="1" applyFont="1" applyFill="1" applyBorder="1" applyAlignment="1">
      <alignment horizontal="center" vertical="center" wrapText="1"/>
    </xf>
    <xf numFmtId="0" fontId="10" fillId="0" borderId="0" xfId="0" quotePrefix="1" applyFont="1" applyFill="1" applyBorder="1" applyAlignment="1">
      <alignment horizontal="center" vertical="center" wrapText="1"/>
    </xf>
    <xf numFmtId="6" fontId="57" fillId="0" borderId="35" xfId="0" applyNumberFormat="1" applyFont="1" applyBorder="1" applyAlignment="1">
      <alignment horizontal="right"/>
    </xf>
    <xf numFmtId="0" fontId="20" fillId="0" borderId="52" xfId="0" quotePrefix="1" applyFont="1" applyFill="1" applyBorder="1" applyAlignment="1">
      <alignment horizontal="center"/>
    </xf>
    <xf numFmtId="5" fontId="20" fillId="0" borderId="92" xfId="0" applyNumberFormat="1" applyFont="1" applyFill="1" applyBorder="1" applyAlignment="1" applyProtection="1">
      <alignment vertical="center"/>
    </xf>
    <xf numFmtId="5" fontId="24" fillId="25" borderId="82" xfId="0" applyNumberFormat="1" applyFont="1" applyFill="1" applyBorder="1" applyProtection="1"/>
    <xf numFmtId="167" fontId="7" fillId="0" borderId="0" xfId="0" applyNumberFormat="1" applyFont="1" applyBorder="1"/>
    <xf numFmtId="16" fontId="7" fillId="0" borderId="0" xfId="0" applyNumberFormat="1" applyFont="1" applyFill="1" applyBorder="1"/>
    <xf numFmtId="0" fontId="7" fillId="0" borderId="0" xfId="0" applyFont="1" applyBorder="1" applyAlignment="1">
      <alignment horizontal="center"/>
    </xf>
    <xf numFmtId="167" fontId="7" fillId="0" borderId="0" xfId="0" applyNumberFormat="1" applyFont="1" applyBorder="1" applyAlignment="1">
      <alignment horizontal="center"/>
    </xf>
    <xf numFmtId="167" fontId="7" fillId="0" borderId="0" xfId="0" applyNumberFormat="1" applyFont="1" applyFill="1" applyBorder="1" applyAlignment="1">
      <alignment horizontal="center"/>
    </xf>
    <xf numFmtId="5" fontId="92" fillId="0" borderId="82" xfId="0" applyNumberFormat="1" applyFont="1" applyFill="1" applyBorder="1" applyProtection="1"/>
    <xf numFmtId="6" fontId="92" fillId="0" borderId="82" xfId="0" applyNumberFormat="1" applyFont="1" applyFill="1" applyBorder="1" applyProtection="1"/>
    <xf numFmtId="165" fontId="92" fillId="0" borderId="82" xfId="28" applyNumberFormat="1" applyFont="1" applyFill="1" applyBorder="1" applyProtection="1"/>
    <xf numFmtId="0" fontId="35" fillId="0" borderId="0" xfId="0" quotePrefix="1" applyFont="1" applyBorder="1" applyAlignment="1">
      <alignment horizontal="center" vertical="center" wrapText="1"/>
    </xf>
    <xf numFmtId="10" fontId="24" fillId="0" borderId="77" xfId="32" applyNumberFormat="1" applyFont="1" applyFill="1" applyBorder="1" applyAlignment="1">
      <alignment horizontal="right"/>
    </xf>
    <xf numFmtId="0" fontId="42" fillId="0" borderId="11" xfId="45" applyFont="1" applyFill="1" applyBorder="1" applyAlignment="1">
      <alignment horizontal="right" wrapText="1"/>
    </xf>
    <xf numFmtId="166" fontId="42" fillId="0" borderId="11" xfId="45" applyNumberFormat="1" applyFont="1" applyFill="1" applyBorder="1" applyAlignment="1">
      <alignment horizontal="right" wrapText="1"/>
    </xf>
    <xf numFmtId="0" fontId="42" fillId="0" borderId="13" xfId="45" applyFont="1" applyFill="1" applyBorder="1" applyAlignment="1">
      <alignment horizontal="right" wrapText="1"/>
    </xf>
    <xf numFmtId="166" fontId="42" fillId="0" borderId="13" xfId="45" applyNumberFormat="1" applyFont="1" applyFill="1" applyBorder="1" applyAlignment="1">
      <alignment horizontal="right" wrapText="1"/>
    </xf>
    <xf numFmtId="0" fontId="0" fillId="0" borderId="11" xfId="0" applyFill="1" applyBorder="1"/>
    <xf numFmtId="166" fontId="0" fillId="0" borderId="11" xfId="0" applyNumberFormat="1" applyFill="1" applyBorder="1"/>
    <xf numFmtId="1" fontId="7" fillId="0" borderId="11" xfId="0" applyNumberFormat="1" applyFont="1" applyFill="1" applyBorder="1"/>
    <xf numFmtId="166" fontId="7" fillId="32" borderId="11" xfId="0" applyNumberFormat="1" applyFont="1" applyFill="1" applyBorder="1"/>
    <xf numFmtId="4" fontId="7" fillId="32" borderId="11" xfId="28" applyNumberFormat="1" applyFont="1" applyFill="1" applyBorder="1"/>
    <xf numFmtId="4" fontId="7" fillId="32" borderId="34" xfId="28" applyNumberFormat="1" applyFont="1" applyFill="1" applyBorder="1"/>
    <xf numFmtId="40" fontId="7" fillId="32" borderId="11" xfId="0" applyNumberFormat="1" applyFont="1" applyFill="1" applyBorder="1"/>
    <xf numFmtId="168" fontId="7" fillId="0" borderId="11" xfId="48" applyNumberFormat="1" applyFont="1" applyFill="1" applyBorder="1"/>
    <xf numFmtId="168" fontId="7" fillId="0" borderId="13" xfId="48" applyNumberFormat="1" applyFont="1" applyFill="1" applyBorder="1"/>
    <xf numFmtId="0" fontId="24" fillId="0" borderId="12" xfId="0" applyFont="1" applyFill="1" applyBorder="1" applyAlignment="1">
      <alignment horizontal="right"/>
    </xf>
    <xf numFmtId="168" fontId="7" fillId="25" borderId="11" xfId="48" applyNumberFormat="1" applyFont="1" applyFill="1" applyBorder="1"/>
    <xf numFmtId="166" fontId="7" fillId="25" borderId="45" xfId="0" applyNumberFormat="1" applyFont="1" applyFill="1" applyBorder="1"/>
    <xf numFmtId="2" fontId="42" fillId="0" borderId="11" xfId="45" applyNumberFormat="1" applyFont="1" applyFill="1" applyBorder="1" applyAlignment="1">
      <alignment horizontal="right" wrapText="1"/>
    </xf>
    <xf numFmtId="2" fontId="42" fillId="0" borderId="13" xfId="45" applyNumberFormat="1" applyFont="1" applyFill="1" applyBorder="1" applyAlignment="1">
      <alignment horizontal="right" wrapText="1"/>
    </xf>
    <xf numFmtId="2" fontId="0" fillId="0" borderId="11" xfId="0" applyNumberFormat="1" applyFill="1" applyBorder="1"/>
    <xf numFmtId="0" fontId="72" fillId="0" borderId="13" xfId="0" applyFont="1" applyFill="1" applyBorder="1" applyAlignment="1">
      <alignment horizontal="left" wrapText="1"/>
    </xf>
    <xf numFmtId="0" fontId="45" fillId="28" borderId="35" xfId="0" applyFont="1" applyFill="1" applyBorder="1" applyAlignment="1">
      <alignment horizontal="center" wrapText="1"/>
    </xf>
    <xf numFmtId="0" fontId="71" fillId="28" borderId="35" xfId="0" applyFont="1" applyFill="1" applyBorder="1" applyAlignment="1">
      <alignment horizontal="right" wrapText="1"/>
    </xf>
    <xf numFmtId="0" fontId="71" fillId="28" borderId="35" xfId="0" applyFont="1" applyFill="1" applyBorder="1" applyAlignment="1">
      <alignment horizontal="left" wrapText="1"/>
    </xf>
    <xf numFmtId="0" fontId="71" fillId="28" borderId="13" xfId="0" applyFont="1" applyFill="1" applyBorder="1" applyAlignment="1">
      <alignment horizontal="right" wrapText="1"/>
    </xf>
    <xf numFmtId="3" fontId="45" fillId="0" borderId="35" xfId="0" applyNumberFormat="1" applyFont="1" applyFill="1" applyBorder="1" applyAlignment="1">
      <alignment horizontal="right"/>
    </xf>
    <xf numFmtId="6" fontId="45" fillId="0" borderId="35" xfId="0" applyNumberFormat="1" applyFont="1" applyBorder="1" applyAlignment="1">
      <alignment horizontal="right"/>
    </xf>
    <xf numFmtId="6" fontId="45" fillId="0" borderId="13" xfId="0" applyNumberFormat="1" applyFont="1" applyBorder="1" applyAlignment="1">
      <alignment horizontal="right"/>
    </xf>
    <xf numFmtId="0" fontId="45" fillId="33" borderId="35" xfId="0" applyFont="1" applyFill="1" applyBorder="1" applyAlignment="1">
      <alignment horizontal="right" wrapText="1"/>
    </xf>
    <xf numFmtId="3" fontId="70" fillId="33" borderId="14" xfId="0" applyNumberFormat="1" applyFont="1" applyFill="1" applyBorder="1" applyAlignment="1">
      <alignment horizontal="right"/>
    </xf>
    <xf numFmtId="6" fontId="57" fillId="33" borderId="14" xfId="0" applyNumberFormat="1" applyFont="1" applyFill="1" applyBorder="1" applyAlignment="1">
      <alignment horizontal="right"/>
    </xf>
    <xf numFmtId="0" fontId="94" fillId="0" borderId="0" xfId="0" applyFont="1" applyFill="1"/>
    <xf numFmtId="0" fontId="70" fillId="0" borderId="13" xfId="0" applyFont="1" applyFill="1" applyBorder="1" applyAlignment="1">
      <alignment horizontal="center" wrapText="1"/>
    </xf>
    <xf numFmtId="6" fontId="70" fillId="0" borderId="13" xfId="0" applyNumberFormat="1" applyFont="1" applyBorder="1" applyAlignment="1">
      <alignment horizontal="right"/>
    </xf>
    <xf numFmtId="6" fontId="70" fillId="0" borderId="35" xfId="0" applyNumberFormat="1" applyFont="1" applyBorder="1" applyAlignment="1">
      <alignment horizontal="right"/>
    </xf>
    <xf numFmtId="3" fontId="45" fillId="0" borderId="26" xfId="0" applyNumberFormat="1" applyFont="1" applyFill="1" applyBorder="1" applyAlignment="1">
      <alignment horizontal="right"/>
    </xf>
    <xf numFmtId="166" fontId="7" fillId="27" borderId="11" xfId="28" applyNumberFormat="1" applyFont="1" applyFill="1" applyBorder="1"/>
    <xf numFmtId="166" fontId="7" fillId="0" borderId="11" xfId="28" applyNumberFormat="1" applyFont="1" applyBorder="1"/>
    <xf numFmtId="166" fontId="7" fillId="27" borderId="13" xfId="28" applyNumberFormat="1" applyFont="1" applyFill="1" applyBorder="1"/>
    <xf numFmtId="166" fontId="7" fillId="0" borderId="13" xfId="28" applyNumberFormat="1" applyFont="1" applyBorder="1"/>
    <xf numFmtId="10" fontId="12" fillId="0" borderId="93" xfId="0" applyNumberFormat="1" applyFont="1" applyFill="1" applyBorder="1" applyAlignment="1" applyProtection="1">
      <alignment vertical="top"/>
    </xf>
    <xf numFmtId="10" fontId="12" fillId="0" borderId="94" xfId="0" applyNumberFormat="1" applyFont="1" applyFill="1" applyBorder="1" applyProtection="1"/>
    <xf numFmtId="10" fontId="12" fillId="0" borderId="95" xfId="0" applyNumberFormat="1" applyFont="1" applyFill="1" applyBorder="1" applyProtection="1"/>
    <xf numFmtId="10" fontId="10" fillId="0" borderId="95" xfId="0" applyNumberFormat="1" applyFont="1" applyFill="1" applyBorder="1" applyProtection="1"/>
    <xf numFmtId="10" fontId="12" fillId="0" borderId="96" xfId="0" applyNumberFormat="1" applyFont="1" applyFill="1" applyBorder="1" applyProtection="1"/>
    <xf numFmtId="10" fontId="20" fillId="0" borderId="95" xfId="0" applyNumberFormat="1" applyFont="1" applyFill="1" applyBorder="1" applyProtection="1"/>
    <xf numFmtId="10" fontId="12" fillId="0" borderId="97" xfId="0" applyNumberFormat="1" applyFont="1" applyFill="1" applyBorder="1" applyProtection="1"/>
    <xf numFmtId="10" fontId="20" fillId="0" borderId="98" xfId="0" applyNumberFormat="1" applyFont="1" applyFill="1" applyBorder="1" applyProtection="1"/>
    <xf numFmtId="10" fontId="20" fillId="0" borderId="99" xfId="0" applyNumberFormat="1" applyFont="1" applyFill="1" applyBorder="1" applyProtection="1"/>
    <xf numFmtId="10" fontId="12" fillId="0" borderId="100" xfId="0" applyNumberFormat="1" applyFont="1" applyFill="1" applyBorder="1" applyProtection="1"/>
    <xf numFmtId="10" fontId="37" fillId="27" borderId="98" xfId="0" applyNumberFormat="1" applyFont="1" applyFill="1" applyBorder="1" applyProtection="1"/>
    <xf numFmtId="10" fontId="37" fillId="0" borderId="101" xfId="0" applyNumberFormat="1" applyFont="1" applyFill="1" applyBorder="1" applyProtection="1"/>
    <xf numFmtId="10" fontId="12" fillId="0" borderId="102" xfId="0" applyNumberFormat="1" applyFont="1" applyFill="1" applyBorder="1" applyProtection="1"/>
    <xf numFmtId="10" fontId="12" fillId="0" borderId="103" xfId="0" applyNumberFormat="1" applyFont="1" applyFill="1" applyBorder="1" applyProtection="1"/>
    <xf numFmtId="10" fontId="12" fillId="0" borderId="104" xfId="0" applyNumberFormat="1" applyFont="1" applyFill="1" applyBorder="1" applyProtection="1"/>
    <xf numFmtId="10" fontId="20" fillId="27" borderId="105" xfId="0" applyNumberFormat="1" applyFont="1" applyFill="1" applyBorder="1" applyAlignment="1" applyProtection="1">
      <alignment vertical="center"/>
    </xf>
    <xf numFmtId="10" fontId="37" fillId="0" borderId="95" xfId="0" applyNumberFormat="1" applyFont="1" applyFill="1" applyBorder="1" applyProtection="1"/>
    <xf numFmtId="10" fontId="12" fillId="27" borderId="107" xfId="0" applyNumberFormat="1" applyFont="1" applyFill="1" applyBorder="1" applyAlignment="1" applyProtection="1">
      <alignment vertical="center"/>
    </xf>
    <xf numFmtId="10" fontId="12" fillId="0" borderId="108" xfId="0" applyNumberFormat="1" applyFont="1" applyFill="1" applyBorder="1" applyProtection="1"/>
    <xf numFmtId="0" fontId="10" fillId="0" borderId="109" xfId="0" applyFont="1" applyFill="1" applyBorder="1" applyAlignment="1">
      <alignment horizontal="left" vertical="center" wrapText="1"/>
    </xf>
    <xf numFmtId="5" fontId="12" fillId="0" borderId="110" xfId="0" applyNumberFormat="1" applyFont="1" applyFill="1" applyBorder="1" applyAlignment="1" applyProtection="1">
      <alignment vertical="center"/>
    </xf>
    <xf numFmtId="10" fontId="12" fillId="0" borderId="111" xfId="0" applyNumberFormat="1" applyFont="1" applyFill="1" applyBorder="1" applyProtection="1"/>
    <xf numFmtId="0" fontId="20" fillId="27" borderId="112" xfId="0" applyFont="1" applyFill="1" applyBorder="1" applyAlignment="1">
      <alignment horizontal="center" vertical="center"/>
    </xf>
    <xf numFmtId="5" fontId="20" fillId="27" borderId="113" xfId="0" applyNumberFormat="1" applyFont="1" applyFill="1" applyBorder="1" applyAlignment="1" applyProtection="1">
      <alignment vertical="center"/>
    </xf>
    <xf numFmtId="0" fontId="10" fillId="0" borderId="84" xfId="0" applyFont="1" applyFill="1" applyBorder="1" applyAlignment="1">
      <alignment horizontal="left" vertical="center" wrapText="1"/>
    </xf>
    <xf numFmtId="5" fontId="12" fillId="0" borderId="90" xfId="0" applyNumberFormat="1" applyFont="1" applyFill="1" applyBorder="1" applyAlignment="1" applyProtection="1">
      <alignment vertical="center"/>
    </xf>
    <xf numFmtId="10" fontId="12" fillId="0" borderId="114" xfId="0" applyNumberFormat="1" applyFont="1" applyFill="1" applyBorder="1" applyProtection="1"/>
    <xf numFmtId="0" fontId="95" fillId="0" borderId="0" xfId="0" applyFont="1" applyBorder="1"/>
    <xf numFmtId="0" fontId="95" fillId="26" borderId="13" xfId="0" applyFont="1" applyFill="1" applyBorder="1" applyAlignment="1">
      <alignment horizontal="center" vertical="center"/>
    </xf>
    <xf numFmtId="0" fontId="95" fillId="26" borderId="26" xfId="0" applyFont="1" applyFill="1" applyBorder="1" applyAlignment="1">
      <alignment horizontal="center" vertical="center"/>
    </xf>
    <xf numFmtId="0" fontId="95" fillId="26" borderId="26" xfId="0" applyFont="1" applyFill="1" applyBorder="1" applyAlignment="1">
      <alignment horizontal="center" vertical="center" wrapText="1"/>
    </xf>
    <xf numFmtId="0" fontId="95" fillId="0" borderId="0" xfId="0" applyFont="1" applyBorder="1" applyAlignment="1">
      <alignment horizontal="center" vertical="center"/>
    </xf>
    <xf numFmtId="38" fontId="72" fillId="0" borderId="26" xfId="0" applyNumberFormat="1" applyFont="1" applyFill="1" applyBorder="1" applyAlignment="1">
      <alignment horizontal="center"/>
    </xf>
    <xf numFmtId="6" fontId="72" fillId="0" borderId="26" xfId="0" applyNumberFormat="1" applyFont="1" applyBorder="1" applyAlignment="1">
      <alignment horizontal="center"/>
    </xf>
    <xf numFmtId="6" fontId="72" fillId="0" borderId="26" xfId="0" applyNumberFormat="1" applyFont="1" applyBorder="1" applyAlignment="1">
      <alignment horizontal="center" wrapText="1"/>
    </xf>
    <xf numFmtId="6" fontId="72" fillId="0" borderId="26" xfId="0" applyNumberFormat="1" applyFont="1" applyFill="1" applyBorder="1" applyAlignment="1">
      <alignment horizontal="center"/>
    </xf>
    <xf numFmtId="0" fontId="72" fillId="0" borderId="0" xfId="0" applyFont="1" applyBorder="1"/>
    <xf numFmtId="0" fontId="98" fillId="0" borderId="0" xfId="0" quotePrefix="1" applyFont="1" applyFill="1" applyBorder="1" applyAlignment="1">
      <alignment horizontal="left" wrapText="1"/>
    </xf>
    <xf numFmtId="6" fontId="99" fillId="0" borderId="0" xfId="0" applyNumberFormat="1" applyFont="1" applyBorder="1" applyAlignment="1">
      <alignment horizontal="right"/>
    </xf>
    <xf numFmtId="38" fontId="99" fillId="0" borderId="0" xfId="0" applyNumberFormat="1" applyFont="1" applyBorder="1" applyAlignment="1">
      <alignment horizontal="right"/>
    </xf>
    <xf numFmtId="6" fontId="95" fillId="0" borderId="0" xfId="0" applyNumberFormat="1" applyFont="1" applyBorder="1"/>
    <xf numFmtId="0" fontId="99" fillId="0" borderId="0" xfId="0" applyFont="1" applyFill="1" applyBorder="1" applyAlignment="1">
      <alignment horizontal="left"/>
    </xf>
    <xf numFmtId="0" fontId="99" fillId="0" borderId="0" xfId="0" applyFont="1" applyBorder="1"/>
    <xf numFmtId="5" fontId="7" fillId="27" borderId="11" xfId="0" applyNumberFormat="1" applyFont="1" applyFill="1" applyBorder="1" applyProtection="1"/>
    <xf numFmtId="5" fontId="7" fillId="27" borderId="70" xfId="0" applyNumberFormat="1" applyFont="1" applyFill="1" applyBorder="1" applyProtection="1"/>
    <xf numFmtId="5" fontId="7" fillId="27" borderId="72" xfId="0" applyNumberFormat="1" applyFont="1" applyFill="1" applyBorder="1" applyProtection="1"/>
    <xf numFmtId="6" fontId="7" fillId="27" borderId="11" xfId="0" applyNumberFormat="1" applyFont="1" applyFill="1" applyBorder="1" applyProtection="1"/>
    <xf numFmtId="6" fontId="7" fillId="27" borderId="70" xfId="0" applyNumberFormat="1" applyFont="1" applyFill="1" applyBorder="1" applyProtection="1"/>
    <xf numFmtId="0" fontId="0" fillId="0" borderId="0" xfId="0" applyBorder="1" applyAlignment="1">
      <alignment wrapText="1"/>
    </xf>
    <xf numFmtId="0" fontId="60" fillId="28" borderId="36" xfId="0" applyFont="1" applyFill="1" applyBorder="1" applyAlignment="1">
      <alignment horizontal="left" wrapText="1"/>
    </xf>
    <xf numFmtId="6" fontId="70" fillId="27" borderId="13" xfId="0" applyNumberFormat="1" applyFont="1" applyFill="1" applyBorder="1" applyAlignment="1">
      <alignment horizontal="right"/>
    </xf>
    <xf numFmtId="6" fontId="57" fillId="27" borderId="13" xfId="0" applyNumberFormat="1" applyFont="1" applyFill="1" applyBorder="1" applyAlignment="1">
      <alignment horizontal="right"/>
    </xf>
    <xf numFmtId="6" fontId="45" fillId="27" borderId="13" xfId="0" applyNumberFormat="1" applyFont="1" applyFill="1" applyBorder="1" applyAlignment="1">
      <alignment horizontal="right"/>
    </xf>
    <xf numFmtId="0" fontId="71" fillId="27" borderId="13" xfId="0" applyFont="1" applyFill="1" applyBorder="1" applyAlignment="1">
      <alignment horizontal="right" wrapText="1"/>
    </xf>
    <xf numFmtId="38" fontId="57" fillId="33" borderId="14" xfId="0" applyNumberFormat="1" applyFont="1" applyFill="1" applyBorder="1" applyAlignment="1">
      <alignment horizontal="right"/>
    </xf>
    <xf numFmtId="38" fontId="45" fillId="0" borderId="26" xfId="0" applyNumberFormat="1" applyFont="1" applyBorder="1" applyAlignment="1">
      <alignment horizontal="left"/>
    </xf>
    <xf numFmtId="6" fontId="45" fillId="0" borderId="26" xfId="0" applyNumberFormat="1" applyFont="1" applyFill="1" applyBorder="1" applyAlignment="1">
      <alignment horizontal="right"/>
    </xf>
    <xf numFmtId="6" fontId="45" fillId="27" borderId="26" xfId="0" applyNumberFormat="1" applyFont="1" applyFill="1" applyBorder="1" applyAlignment="1">
      <alignment horizontal="right"/>
    </xf>
    <xf numFmtId="0" fontId="68" fillId="0" borderId="0" xfId="0" applyFont="1" applyFill="1" applyBorder="1" applyAlignment="1">
      <alignment horizontal="left" vertical="center" wrapText="1"/>
    </xf>
    <xf numFmtId="6" fontId="0" fillId="27" borderId="13" xfId="0" applyNumberFormat="1" applyFill="1" applyBorder="1"/>
    <xf numFmtId="6" fontId="24" fillId="27" borderId="12" xfId="0" applyNumberFormat="1" applyFont="1" applyFill="1" applyBorder="1"/>
    <xf numFmtId="0" fontId="21" fillId="25" borderId="13" xfId="0" applyFont="1" applyFill="1" applyBorder="1" applyAlignment="1">
      <alignment horizontal="center" wrapText="1"/>
    </xf>
    <xf numFmtId="10" fontId="7" fillId="0" borderId="0" xfId="0" applyNumberFormat="1" applyFont="1" applyBorder="1"/>
    <xf numFmtId="6" fontId="72" fillId="0" borderId="26" xfId="0" applyNumberFormat="1" applyFont="1" applyFill="1" applyBorder="1" applyAlignment="1">
      <alignment horizontal="center" wrapText="1"/>
    </xf>
    <xf numFmtId="6" fontId="72" fillId="28" borderId="26" xfId="0" applyNumberFormat="1" applyFont="1" applyFill="1" applyBorder="1" applyAlignment="1">
      <alignment horizontal="center" wrapText="1"/>
    </xf>
    <xf numFmtId="0" fontId="7" fillId="0" borderId="0" xfId="0" applyFont="1" applyAlignment="1"/>
    <xf numFmtId="5" fontId="0" fillId="0" borderId="14" xfId="0" applyNumberFormat="1" applyBorder="1"/>
    <xf numFmtId="5" fontId="0" fillId="0" borderId="0" xfId="0" applyNumberFormat="1" applyAlignment="1">
      <alignment vertical="center"/>
    </xf>
    <xf numFmtId="10" fontId="7" fillId="41" borderId="11" xfId="48" applyNumberFormat="1" applyFont="1" applyFill="1" applyBorder="1"/>
    <xf numFmtId="6" fontId="7" fillId="41" borderId="11" xfId="32" applyNumberFormat="1" applyFont="1" applyFill="1" applyBorder="1"/>
    <xf numFmtId="10" fontId="7" fillId="39" borderId="11" xfId="48" applyNumberFormat="1" applyFont="1" applyFill="1" applyBorder="1"/>
    <xf numFmtId="6" fontId="7" fillId="39" borderId="11" xfId="32" applyNumberFormat="1" applyFont="1" applyFill="1" applyBorder="1"/>
    <xf numFmtId="10" fontId="7" fillId="39" borderId="13" xfId="48" applyNumberFormat="1" applyFont="1" applyFill="1" applyBorder="1"/>
    <xf numFmtId="6" fontId="7" fillId="39" borderId="13" xfId="32" applyNumberFormat="1" applyFont="1" applyFill="1" applyBorder="1"/>
    <xf numFmtId="1" fontId="42" fillId="0" borderId="11" xfId="45" applyNumberFormat="1" applyFont="1" applyFill="1" applyBorder="1" applyAlignment="1">
      <alignment horizontal="right" wrapText="1"/>
    </xf>
    <xf numFmtId="10" fontId="7" fillId="41" borderId="11" xfId="0" applyNumberFormat="1" applyFont="1" applyFill="1" applyBorder="1"/>
    <xf numFmtId="10" fontId="7" fillId="41" borderId="13" xfId="0" applyNumberFormat="1" applyFont="1" applyFill="1" applyBorder="1"/>
    <xf numFmtId="10" fontId="7" fillId="39" borderId="11" xfId="0" applyNumberFormat="1" applyFont="1" applyFill="1" applyBorder="1"/>
    <xf numFmtId="166" fontId="7" fillId="41" borderId="11" xfId="0" applyNumberFormat="1" applyFont="1" applyFill="1" applyBorder="1"/>
    <xf numFmtId="166" fontId="7" fillId="41" borderId="13" xfId="0" applyNumberFormat="1" applyFont="1" applyFill="1" applyBorder="1"/>
    <xf numFmtId="166" fontId="7" fillId="39" borderId="11" xfId="0" applyNumberFormat="1" applyFont="1" applyFill="1" applyBorder="1"/>
    <xf numFmtId="9" fontId="18" fillId="27" borderId="26" xfId="0" applyNumberFormat="1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/>
    </xf>
    <xf numFmtId="168" fontId="48" fillId="0" borderId="0" xfId="0" applyNumberFormat="1" applyFont="1" applyAlignment="1">
      <alignment horizontal="center"/>
    </xf>
    <xf numFmtId="0" fontId="48" fillId="0" borderId="0" xfId="0" applyFont="1" applyFill="1" applyBorder="1" applyAlignment="1">
      <alignment horizontal="center" vertical="center"/>
    </xf>
    <xf numFmtId="3" fontId="7" fillId="41" borderId="11" xfId="0" applyNumberFormat="1" applyFont="1" applyFill="1" applyBorder="1"/>
    <xf numFmtId="0" fontId="57" fillId="0" borderId="35" xfId="0" applyFont="1" applyBorder="1" applyAlignment="1">
      <alignment horizontal="left" wrapText="1"/>
    </xf>
    <xf numFmtId="0" fontId="57" fillId="0" borderId="26" xfId="0" applyFont="1" applyBorder="1" applyAlignment="1">
      <alignment horizontal="left" wrapText="1"/>
    </xf>
    <xf numFmtId="0" fontId="57" fillId="0" borderId="35" xfId="0" applyFont="1" applyFill="1" applyBorder="1" applyAlignment="1">
      <alignment horizontal="left" wrapText="1"/>
    </xf>
    <xf numFmtId="38" fontId="7" fillId="0" borderId="72" xfId="0" applyNumberFormat="1" applyFont="1" applyFill="1" applyBorder="1" applyProtection="1"/>
    <xf numFmtId="49" fontId="63" fillId="41" borderId="34" xfId="0" applyNumberFormat="1" applyFont="1" applyFill="1" applyBorder="1" applyAlignment="1">
      <alignment horizontal="center" vertical="center" wrapText="1"/>
    </xf>
    <xf numFmtId="49" fontId="63" fillId="41" borderId="0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49" fontId="24" fillId="42" borderId="26" xfId="0" applyNumberFormat="1" applyFont="1" applyFill="1" applyBorder="1" applyAlignment="1">
      <alignment horizontal="center" vertical="center" wrapText="1"/>
    </xf>
    <xf numFmtId="49" fontId="24" fillId="41" borderId="34" xfId="0" applyNumberFormat="1" applyFont="1" applyFill="1" applyBorder="1" applyAlignment="1">
      <alignment horizontal="center" vertical="center" wrapText="1"/>
    </xf>
    <xf numFmtId="49" fontId="24" fillId="41" borderId="0" xfId="0" applyNumberFormat="1" applyFont="1" applyFill="1" applyBorder="1" applyAlignment="1">
      <alignment horizontal="center" vertical="center" wrapText="1"/>
    </xf>
    <xf numFmtId="10" fontId="24" fillId="42" borderId="26" xfId="49" applyNumberFormat="1" applyFont="1" applyFill="1" applyBorder="1" applyAlignment="1">
      <alignment horizontal="center" vertical="center" wrapText="1"/>
    </xf>
    <xf numFmtId="6" fontId="24" fillId="42" borderId="26" xfId="49" applyNumberFormat="1" applyFont="1" applyFill="1" applyBorder="1" applyAlignment="1">
      <alignment horizontal="center" vertical="center" wrapText="1"/>
    </xf>
    <xf numFmtId="1" fontId="7" fillId="26" borderId="11" xfId="0" applyNumberFormat="1" applyFont="1" applyFill="1" applyBorder="1" applyAlignment="1" applyProtection="1">
      <alignment horizontal="center"/>
    </xf>
    <xf numFmtId="1" fontId="9" fillId="26" borderId="11" xfId="0" applyNumberFormat="1" applyFont="1" applyFill="1" applyBorder="1" applyAlignment="1" applyProtection="1">
      <alignment horizontal="center"/>
    </xf>
    <xf numFmtId="1" fontId="18" fillId="26" borderId="10" xfId="0" quotePrefix="1" applyNumberFormat="1" applyFont="1" applyFill="1" applyBorder="1" applyAlignment="1" applyProtection="1">
      <alignment horizontal="center"/>
    </xf>
    <xf numFmtId="1" fontId="7" fillId="0" borderId="0" xfId="0" applyNumberFormat="1" applyFont="1" applyAlignment="1">
      <alignment horizontal="center"/>
    </xf>
    <xf numFmtId="1" fontId="7" fillId="26" borderId="26" xfId="0" applyNumberFormat="1" applyFont="1" applyFill="1" applyBorder="1" applyAlignment="1" applyProtection="1">
      <alignment horizontal="center"/>
    </xf>
    <xf numFmtId="1" fontId="9" fillId="26" borderId="26" xfId="0" applyNumberFormat="1" applyFont="1" applyFill="1" applyBorder="1" applyAlignment="1" applyProtection="1">
      <alignment horizontal="center"/>
    </xf>
    <xf numFmtId="1" fontId="18" fillId="26" borderId="26" xfId="0" applyNumberFormat="1" applyFont="1" applyFill="1" applyBorder="1" applyAlignment="1" applyProtection="1">
      <alignment horizontal="center"/>
    </xf>
    <xf numFmtId="1" fontId="18" fillId="26" borderId="26" xfId="0" applyNumberFormat="1" applyFont="1" applyFill="1" applyBorder="1" applyAlignment="1" applyProtection="1">
      <alignment horizontal="center" wrapText="1"/>
    </xf>
    <xf numFmtId="1" fontId="18" fillId="41" borderId="34" xfId="0" applyNumberFormat="1" applyFont="1" applyFill="1" applyBorder="1" applyAlignment="1" applyProtection="1">
      <alignment horizontal="center"/>
    </xf>
    <xf numFmtId="1" fontId="18" fillId="41" borderId="0" xfId="0" applyNumberFormat="1" applyFont="1" applyFill="1" applyBorder="1" applyAlignment="1" applyProtection="1">
      <alignment horizontal="center"/>
    </xf>
    <xf numFmtId="1" fontId="18" fillId="26" borderId="42" xfId="0" applyNumberFormat="1" applyFont="1" applyFill="1" applyBorder="1" applyAlignment="1" applyProtection="1">
      <alignment horizontal="center" wrapText="1"/>
    </xf>
    <xf numFmtId="1" fontId="7" fillId="0" borderId="26" xfId="0" applyNumberFormat="1" applyFont="1" applyBorder="1" applyAlignment="1">
      <alignment horizontal="center"/>
    </xf>
    <xf numFmtId="0" fontId="7" fillId="0" borderId="115" xfId="0" applyFont="1" applyFill="1" applyBorder="1" applyProtection="1"/>
    <xf numFmtId="0" fontId="7" fillId="0" borderId="116" xfId="0" applyFont="1" applyFill="1" applyBorder="1" applyProtection="1"/>
    <xf numFmtId="172" fontId="7" fillId="41" borderId="116" xfId="30" applyNumberFormat="1" applyFont="1" applyFill="1" applyBorder="1" applyAlignment="1" applyProtection="1">
      <alignment horizontal="right"/>
    </xf>
    <xf numFmtId="166" fontId="7" fillId="0" borderId="117" xfId="30" applyNumberFormat="1" applyFont="1" applyFill="1" applyBorder="1" applyAlignment="1" applyProtection="1">
      <alignment horizontal="right"/>
    </xf>
    <xf numFmtId="166" fontId="7" fillId="42" borderId="117" xfId="30" applyNumberFormat="1" applyFont="1" applyFill="1" applyBorder="1" applyAlignment="1" applyProtection="1">
      <alignment horizontal="right"/>
    </xf>
    <xf numFmtId="166" fontId="7" fillId="41" borderId="67" xfId="30" applyNumberFormat="1" applyFont="1" applyFill="1" applyBorder="1" applyAlignment="1" applyProtection="1">
      <alignment horizontal="right"/>
    </xf>
    <xf numFmtId="166" fontId="7" fillId="41" borderId="0" xfId="30" applyNumberFormat="1" applyFont="1" applyFill="1" applyBorder="1" applyAlignment="1" applyProtection="1">
      <alignment horizontal="right"/>
    </xf>
    <xf numFmtId="166" fontId="7" fillId="0" borderId="118" xfId="0" applyNumberFormat="1" applyFont="1" applyFill="1" applyBorder="1" applyAlignment="1" applyProtection="1">
      <alignment horizontal="right"/>
    </xf>
    <xf numFmtId="3" fontId="7" fillId="41" borderId="116" xfId="30" applyNumberFormat="1" applyFont="1" applyFill="1" applyBorder="1" applyAlignment="1" applyProtection="1">
      <alignment horizontal="right"/>
    </xf>
    <xf numFmtId="166" fontId="7" fillId="0" borderId="116" xfId="0" applyNumberFormat="1" applyFont="1" applyFill="1" applyBorder="1" applyAlignment="1" applyProtection="1">
      <alignment horizontal="right"/>
    </xf>
    <xf numFmtId="166" fontId="7" fillId="43" borderId="116" xfId="0" applyNumberFormat="1" applyFont="1" applyFill="1" applyBorder="1" applyAlignment="1" applyProtection="1">
      <alignment horizontal="right"/>
    </xf>
    <xf numFmtId="166" fontId="7" fillId="44" borderId="116" xfId="0" applyNumberFormat="1" applyFont="1" applyFill="1" applyBorder="1" applyAlignment="1" applyProtection="1">
      <alignment horizontal="right"/>
    </xf>
    <xf numFmtId="0" fontId="7" fillId="0" borderId="119" xfId="0" applyFont="1" applyFill="1" applyBorder="1" applyProtection="1"/>
    <xf numFmtId="0" fontId="7" fillId="0" borderId="120" xfId="0" applyFont="1" applyFill="1" applyBorder="1" applyProtection="1"/>
    <xf numFmtId="172" fontId="7" fillId="41" borderId="120" xfId="30" applyNumberFormat="1" applyFont="1" applyFill="1" applyBorder="1" applyAlignment="1" applyProtection="1">
      <alignment horizontal="right"/>
    </xf>
    <xf numFmtId="166" fontId="7" fillId="0" borderId="121" xfId="30" applyNumberFormat="1" applyFont="1" applyFill="1" applyBorder="1" applyAlignment="1" applyProtection="1">
      <alignment horizontal="right"/>
    </xf>
    <xf numFmtId="166" fontId="7" fillId="42" borderId="121" xfId="30" applyNumberFormat="1" applyFont="1" applyFill="1" applyBorder="1" applyAlignment="1" applyProtection="1">
      <alignment horizontal="right"/>
    </xf>
    <xf numFmtId="3" fontId="7" fillId="41" borderId="120" xfId="30" applyNumberFormat="1" applyFont="1" applyFill="1" applyBorder="1" applyAlignment="1" applyProtection="1">
      <alignment horizontal="right"/>
    </xf>
    <xf numFmtId="166" fontId="7" fillId="0" borderId="120" xfId="0" applyNumberFormat="1" applyFont="1" applyFill="1" applyBorder="1" applyAlignment="1" applyProtection="1">
      <alignment horizontal="right"/>
    </xf>
    <xf numFmtId="166" fontId="7" fillId="43" borderId="120" xfId="0" applyNumberFormat="1" applyFont="1" applyFill="1" applyBorder="1" applyAlignment="1" applyProtection="1">
      <alignment horizontal="right"/>
    </xf>
    <xf numFmtId="166" fontId="7" fillId="44" borderId="120" xfId="0" applyNumberFormat="1" applyFont="1" applyFill="1" applyBorder="1" applyAlignment="1" applyProtection="1">
      <alignment horizontal="right"/>
    </xf>
    <xf numFmtId="166" fontId="7" fillId="41" borderId="67" xfId="30" applyNumberFormat="1" applyFont="1" applyFill="1" applyBorder="1" applyAlignment="1" applyProtection="1">
      <alignment horizontal="right" wrapText="1"/>
    </xf>
    <xf numFmtId="0" fontId="7" fillId="41" borderId="0" xfId="0" applyFont="1" applyFill="1" applyBorder="1" applyAlignment="1">
      <alignment horizontal="center"/>
    </xf>
    <xf numFmtId="0" fontId="7" fillId="0" borderId="122" xfId="0" applyFont="1" applyFill="1" applyBorder="1" applyProtection="1"/>
    <xf numFmtId="0" fontId="7" fillId="0" borderId="123" xfId="0" applyFont="1" applyFill="1" applyBorder="1" applyProtection="1"/>
    <xf numFmtId="172" fontId="7" fillId="41" borderId="123" xfId="30" applyNumberFormat="1" applyFont="1" applyFill="1" applyBorder="1" applyAlignment="1" applyProtection="1">
      <alignment horizontal="right"/>
    </xf>
    <xf numFmtId="166" fontId="7" fillId="0" borderId="124" xfId="30" applyNumberFormat="1" applyFont="1" applyFill="1" applyBorder="1" applyAlignment="1" applyProtection="1">
      <alignment horizontal="right"/>
    </xf>
    <xf numFmtId="166" fontId="7" fillId="42" borderId="124" xfId="30" applyNumberFormat="1" applyFont="1" applyFill="1" applyBorder="1" applyAlignment="1" applyProtection="1">
      <alignment horizontal="right"/>
    </xf>
    <xf numFmtId="166" fontId="7" fillId="41" borderId="0" xfId="30" applyNumberFormat="1" applyFont="1" applyFill="1" applyBorder="1" applyAlignment="1" applyProtection="1"/>
    <xf numFmtId="166" fontId="7" fillId="0" borderId="125" xfId="0" applyNumberFormat="1" applyFont="1" applyFill="1" applyBorder="1" applyAlignment="1" applyProtection="1">
      <alignment horizontal="right"/>
    </xf>
    <xf numFmtId="3" fontId="7" fillId="41" borderId="123" xfId="30" applyNumberFormat="1" applyFont="1" applyFill="1" applyBorder="1" applyAlignment="1" applyProtection="1">
      <alignment horizontal="right"/>
    </xf>
    <xf numFmtId="166" fontId="7" fillId="0" borderId="123" xfId="0" applyNumberFormat="1" applyFont="1" applyFill="1" applyBorder="1" applyAlignment="1" applyProtection="1">
      <alignment horizontal="right"/>
    </xf>
    <xf numFmtId="166" fontId="7" fillId="43" borderId="123" xfId="0" applyNumberFormat="1" applyFont="1" applyFill="1" applyBorder="1" applyAlignment="1" applyProtection="1">
      <alignment horizontal="right"/>
    </xf>
    <xf numFmtId="166" fontId="7" fillId="44" borderId="123" xfId="0" applyNumberFormat="1" applyFont="1" applyFill="1" applyBorder="1" applyAlignment="1" applyProtection="1">
      <alignment horizontal="right"/>
    </xf>
    <xf numFmtId="166" fontId="7" fillId="41" borderId="0" xfId="30" applyNumberFormat="1" applyFont="1" applyFill="1" applyBorder="1" applyAlignment="1" applyProtection="1">
      <alignment horizontal="left"/>
    </xf>
    <xf numFmtId="172" fontId="7" fillId="41" borderId="120" xfId="0" applyNumberFormat="1" applyFont="1" applyFill="1" applyBorder="1" applyAlignment="1" applyProtection="1">
      <alignment horizontal="right"/>
    </xf>
    <xf numFmtId="166" fontId="7" fillId="0" borderId="121" xfId="0" applyNumberFormat="1" applyFont="1" applyFill="1" applyBorder="1" applyAlignment="1" applyProtection="1">
      <alignment horizontal="right"/>
    </xf>
    <xf numFmtId="166" fontId="7" fillId="42" borderId="121" xfId="0" applyNumberFormat="1" applyFont="1" applyFill="1" applyBorder="1" applyAlignment="1" applyProtection="1">
      <alignment horizontal="right"/>
    </xf>
    <xf numFmtId="166" fontId="7" fillId="41" borderId="67" xfId="0" applyNumberFormat="1" applyFont="1" applyFill="1" applyBorder="1" applyAlignment="1" applyProtection="1">
      <alignment horizontal="right"/>
    </xf>
    <xf numFmtId="166" fontId="7" fillId="41" borderId="0" xfId="0" applyNumberFormat="1" applyFont="1" applyFill="1" applyBorder="1" applyAlignment="1" applyProtection="1">
      <alignment horizontal="right"/>
    </xf>
    <xf numFmtId="3" fontId="7" fillId="41" borderId="120" xfId="0" applyNumberFormat="1" applyFont="1" applyFill="1" applyBorder="1" applyAlignment="1" applyProtection="1">
      <alignment horizontal="right"/>
    </xf>
    <xf numFmtId="172" fontId="7" fillId="41" borderId="123" xfId="0" applyNumberFormat="1" applyFont="1" applyFill="1" applyBorder="1" applyAlignment="1" applyProtection="1">
      <alignment horizontal="right"/>
    </xf>
    <xf numFmtId="166" fontId="7" fillId="0" borderId="124" xfId="0" applyNumberFormat="1" applyFont="1" applyFill="1" applyBorder="1" applyAlignment="1" applyProtection="1">
      <alignment horizontal="right"/>
    </xf>
    <xf numFmtId="166" fontId="7" fillId="42" borderId="124" xfId="0" applyNumberFormat="1" applyFont="1" applyFill="1" applyBorder="1" applyAlignment="1" applyProtection="1">
      <alignment horizontal="right"/>
    </xf>
    <xf numFmtId="3" fontId="7" fillId="41" borderId="123" xfId="0" applyNumberFormat="1" applyFont="1" applyFill="1" applyBorder="1" applyAlignment="1" applyProtection="1">
      <alignment horizontal="right"/>
    </xf>
    <xf numFmtId="172" fontId="7" fillId="41" borderId="116" xfId="0" applyNumberFormat="1" applyFont="1" applyFill="1" applyBorder="1" applyAlignment="1" applyProtection="1">
      <alignment horizontal="right"/>
    </xf>
    <xf numFmtId="166" fontId="7" fillId="0" borderId="117" xfId="0" applyNumberFormat="1" applyFont="1" applyFill="1" applyBorder="1" applyAlignment="1" applyProtection="1">
      <alignment horizontal="right"/>
    </xf>
    <xf numFmtId="166" fontId="7" fillId="42" borderId="117" xfId="0" applyNumberFormat="1" applyFont="1" applyFill="1" applyBorder="1" applyAlignment="1" applyProtection="1">
      <alignment horizontal="right"/>
    </xf>
    <xf numFmtId="3" fontId="7" fillId="41" borderId="116" xfId="0" applyNumberFormat="1" applyFont="1" applyFill="1" applyBorder="1" applyAlignment="1" applyProtection="1">
      <alignment horizontal="right"/>
    </xf>
    <xf numFmtId="0" fontId="7" fillId="0" borderId="126" xfId="0" applyFont="1" applyFill="1" applyBorder="1" applyProtection="1"/>
    <xf numFmtId="0" fontId="7" fillId="0" borderId="127" xfId="0" applyFont="1" applyFill="1" applyBorder="1" applyProtection="1"/>
    <xf numFmtId="172" fontId="7" fillId="41" borderId="127" xfId="0" applyNumberFormat="1" applyFont="1" applyFill="1" applyBorder="1" applyAlignment="1" applyProtection="1">
      <alignment horizontal="right"/>
    </xf>
    <xf numFmtId="166" fontId="7" fillId="0" borderId="128" xfId="0" applyNumberFormat="1" applyFont="1" applyFill="1" applyBorder="1" applyAlignment="1" applyProtection="1">
      <alignment horizontal="right"/>
    </xf>
    <xf numFmtId="166" fontId="7" fillId="42" borderId="128" xfId="0" applyNumberFormat="1" applyFont="1" applyFill="1" applyBorder="1" applyAlignment="1" applyProtection="1">
      <alignment horizontal="right"/>
    </xf>
    <xf numFmtId="3" fontId="7" fillId="41" borderId="127" xfId="0" applyNumberFormat="1" applyFont="1" applyFill="1" applyBorder="1" applyAlignment="1" applyProtection="1">
      <alignment horizontal="right"/>
    </xf>
    <xf numFmtId="166" fontId="7" fillId="0" borderId="127" xfId="0" applyNumberFormat="1" applyFont="1" applyFill="1" applyBorder="1" applyAlignment="1" applyProtection="1">
      <alignment horizontal="right"/>
    </xf>
    <xf numFmtId="166" fontId="7" fillId="43" borderId="127" xfId="0" applyNumberFormat="1" applyFont="1" applyFill="1" applyBorder="1" applyAlignment="1" applyProtection="1">
      <alignment horizontal="right"/>
    </xf>
    <xf numFmtId="166" fontId="7" fillId="44" borderId="127" xfId="0" applyNumberFormat="1" applyFont="1" applyFill="1" applyBorder="1" applyAlignment="1" applyProtection="1">
      <alignment horizontal="right"/>
    </xf>
    <xf numFmtId="0" fontId="9" fillId="0" borderId="129" xfId="0" applyFont="1" applyFill="1" applyBorder="1" applyProtection="1"/>
    <xf numFmtId="0" fontId="24" fillId="0" borderId="80" xfId="0" applyFont="1" applyFill="1" applyBorder="1" applyAlignment="1" applyProtection="1">
      <alignment horizontal="center"/>
    </xf>
    <xf numFmtId="172" fontId="24" fillId="41" borderId="80" xfId="30" applyNumberFormat="1" applyFont="1" applyFill="1" applyBorder="1" applyAlignment="1" applyProtection="1">
      <alignment horizontal="right"/>
    </xf>
    <xf numFmtId="166" fontId="24" fillId="0" borderId="81" xfId="30" applyNumberFormat="1" applyFont="1" applyFill="1" applyBorder="1" applyAlignment="1" applyProtection="1">
      <alignment horizontal="right"/>
    </xf>
    <xf numFmtId="166" fontId="24" fillId="42" borderId="81" xfId="30" applyNumberFormat="1" applyFont="1" applyFill="1" applyBorder="1" applyAlignment="1" applyProtection="1">
      <alignment horizontal="right"/>
    </xf>
    <xf numFmtId="166" fontId="24" fillId="41" borderId="0" xfId="30" applyNumberFormat="1" applyFont="1" applyFill="1" applyBorder="1" applyAlignment="1" applyProtection="1">
      <alignment horizontal="right"/>
    </xf>
    <xf numFmtId="166" fontId="9" fillId="0" borderId="130" xfId="0" applyNumberFormat="1" applyFont="1" applyFill="1" applyBorder="1" applyAlignment="1" applyProtection="1">
      <alignment horizontal="right"/>
    </xf>
    <xf numFmtId="3" fontId="24" fillId="41" borderId="80" xfId="30" applyNumberFormat="1" applyFont="1" applyFill="1" applyBorder="1" applyAlignment="1" applyProtection="1">
      <alignment horizontal="right"/>
    </xf>
    <xf numFmtId="166" fontId="24" fillId="43" borderId="80" xfId="30" applyNumberFormat="1" applyFont="1" applyFill="1" applyBorder="1" applyAlignment="1" applyProtection="1">
      <alignment horizontal="right"/>
    </xf>
    <xf numFmtId="166" fontId="24" fillId="44" borderId="80" xfId="30" applyNumberFormat="1" applyFont="1" applyFill="1" applyBorder="1" applyAlignment="1" applyProtection="1">
      <alignment horizontal="right"/>
    </xf>
    <xf numFmtId="0" fontId="9" fillId="0" borderId="0" xfId="0" applyFont="1" applyFill="1" applyBorder="1" applyAlignment="1" applyProtection="1"/>
    <xf numFmtId="38" fontId="24" fillId="0" borderId="0" xfId="30" applyNumberFormat="1" applyFont="1" applyFill="1" applyBorder="1" applyAlignment="1" applyProtection="1">
      <alignment horizontal="center"/>
    </xf>
    <xf numFmtId="0" fontId="9" fillId="41" borderId="0" xfId="0" applyFont="1" applyFill="1" applyBorder="1"/>
    <xf numFmtId="6" fontId="24" fillId="0" borderId="0" xfId="30" applyNumberFormat="1" applyFont="1" applyFill="1" applyBorder="1" applyAlignment="1" applyProtection="1">
      <alignment horizontal="center"/>
    </xf>
    <xf numFmtId="6" fontId="24" fillId="41" borderId="0" xfId="3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right" vertical="center"/>
    </xf>
    <xf numFmtId="0" fontId="7" fillId="0" borderId="0" xfId="0" applyFont="1" applyFill="1" applyBorder="1" applyAlignment="1" applyProtection="1"/>
    <xf numFmtId="0" fontId="7" fillId="0" borderId="0" xfId="0" quotePrefix="1" applyFont="1" applyAlignment="1">
      <alignment horizontal="center"/>
    </xf>
    <xf numFmtId="0" fontId="7" fillId="41" borderId="0" xfId="0" quotePrefix="1" applyFont="1" applyFill="1" applyBorder="1" applyAlignment="1">
      <alignment horizontal="center"/>
    </xf>
    <xf numFmtId="165" fontId="7" fillId="0" borderId="0" xfId="30" applyNumberFormat="1" applyFont="1" applyAlignment="1"/>
    <xf numFmtId="0" fontId="7" fillId="0" borderId="0" xfId="0" applyFont="1" applyAlignment="1">
      <alignment horizontal="left"/>
    </xf>
    <xf numFmtId="10" fontId="7" fillId="0" borderId="0" xfId="49" applyNumberFormat="1" applyFont="1" applyAlignment="1"/>
    <xf numFmtId="5" fontId="7" fillId="0" borderId="0" xfId="34" applyNumberFormat="1" applyFont="1" applyAlignment="1">
      <alignment horizontal="right"/>
    </xf>
    <xf numFmtId="10" fontId="7" fillId="0" borderId="14" xfId="0" applyNumberFormat="1" applyFont="1" applyBorder="1" applyAlignment="1">
      <alignment horizontal="right"/>
    </xf>
    <xf numFmtId="166" fontId="7" fillId="0" borderId="0" xfId="0" applyNumberFormat="1" applyFont="1" applyAlignment="1">
      <alignment horizontal="right"/>
    </xf>
    <xf numFmtId="169" fontId="7" fillId="0" borderId="14" xfId="0" applyNumberFormat="1" applyFont="1" applyBorder="1" applyAlignment="1">
      <alignment horizontal="right"/>
    </xf>
    <xf numFmtId="0" fontId="7" fillId="0" borderId="0" xfId="0" quotePrefix="1" applyFont="1" applyAlignment="1"/>
    <xf numFmtId="165" fontId="7" fillId="0" borderId="14" xfId="0" applyNumberFormat="1" applyFont="1" applyBorder="1" applyAlignment="1">
      <alignment horizontal="right"/>
    </xf>
    <xf numFmtId="6" fontId="7" fillId="0" borderId="14" xfId="0" applyNumberFormat="1" applyFont="1" applyBorder="1" applyAlignment="1">
      <alignment horizontal="right"/>
    </xf>
    <xf numFmtId="6" fontId="7" fillId="0" borderId="0" xfId="0" applyNumberFormat="1" applyFont="1" applyAlignment="1">
      <alignment horizontal="right"/>
    </xf>
    <xf numFmtId="5" fontId="26" fillId="41" borderId="0" xfId="0" applyNumberFormat="1" applyFont="1" applyFill="1" applyBorder="1" applyAlignment="1" applyProtection="1"/>
    <xf numFmtId="5" fontId="0" fillId="0" borderId="0" xfId="0" applyNumberFormat="1" applyBorder="1"/>
    <xf numFmtId="5" fontId="7" fillId="41" borderId="11" xfId="0" applyNumberFormat="1" applyFont="1" applyFill="1" applyBorder="1" applyProtection="1"/>
    <xf numFmtId="5" fontId="7" fillId="41" borderId="70" xfId="0" applyNumberFormat="1" applyFont="1" applyFill="1" applyBorder="1" applyProtection="1"/>
    <xf numFmtId="0" fontId="0" fillId="41" borderId="0" xfId="0" applyFill="1"/>
    <xf numFmtId="0" fontId="63" fillId="45" borderId="14" xfId="0" applyFont="1" applyFill="1" applyBorder="1" applyAlignment="1" applyProtection="1">
      <alignment vertical="center" wrapText="1"/>
    </xf>
    <xf numFmtId="0" fontId="33" fillId="0" borderId="14" xfId="0" quotePrefix="1" applyFont="1" applyBorder="1" applyAlignment="1">
      <alignment horizontal="center" wrapText="1"/>
    </xf>
    <xf numFmtId="5" fontId="70" fillId="41" borderId="13" xfId="0" applyNumberFormat="1" applyFont="1" applyFill="1" applyBorder="1" applyAlignment="1">
      <alignment horizontal="right" wrapText="1"/>
    </xf>
    <xf numFmtId="0" fontId="71" fillId="41" borderId="13" xfId="0" applyFont="1" applyFill="1" applyBorder="1" applyAlignment="1">
      <alignment horizontal="right" wrapText="1"/>
    </xf>
    <xf numFmtId="6" fontId="45" fillId="41" borderId="13" xfId="0" applyNumberFormat="1" applyFont="1" applyFill="1" applyBorder="1" applyAlignment="1">
      <alignment horizontal="right"/>
    </xf>
    <xf numFmtId="6" fontId="72" fillId="39" borderId="26" xfId="0" applyNumberFormat="1" applyFont="1" applyFill="1" applyBorder="1" applyAlignment="1">
      <alignment horizontal="center"/>
    </xf>
    <xf numFmtId="6" fontId="72" fillId="41" borderId="26" xfId="0" applyNumberFormat="1" applyFont="1" applyFill="1" applyBorder="1" applyAlignment="1">
      <alignment horizontal="center"/>
    </xf>
    <xf numFmtId="0" fontId="45" fillId="46" borderId="35" xfId="0" applyFont="1" applyFill="1" applyBorder="1" applyAlignment="1">
      <alignment horizontal="right" wrapText="1"/>
    </xf>
    <xf numFmtId="3" fontId="70" fillId="46" borderId="14" xfId="0" applyNumberFormat="1" applyFont="1" applyFill="1" applyBorder="1" applyAlignment="1">
      <alignment horizontal="right"/>
    </xf>
    <xf numFmtId="38" fontId="57" fillId="46" borderId="14" xfId="0" applyNumberFormat="1" applyFont="1" applyFill="1" applyBorder="1" applyAlignment="1">
      <alignment horizontal="right"/>
    </xf>
    <xf numFmtId="6" fontId="57" fillId="46" borderId="14" xfId="0" applyNumberFormat="1" applyFont="1" applyFill="1" applyBorder="1" applyAlignment="1">
      <alignment horizontal="right"/>
    </xf>
    <xf numFmtId="0" fontId="45" fillId="0" borderId="35" xfId="0" applyFont="1" applyFill="1" applyBorder="1" applyAlignment="1">
      <alignment horizontal="left" wrapText="1"/>
    </xf>
    <xf numFmtId="5" fontId="12" fillId="0" borderId="132" xfId="0" applyNumberFormat="1" applyFont="1" applyFill="1" applyBorder="1" applyProtection="1"/>
    <xf numFmtId="10" fontId="12" fillId="0" borderId="133" xfId="0" applyNumberFormat="1" applyFont="1" applyFill="1" applyBorder="1" applyProtection="1"/>
    <xf numFmtId="5" fontId="20" fillId="27" borderId="87" xfId="0" applyNumberFormat="1" applyFont="1" applyFill="1" applyBorder="1" applyProtection="1"/>
    <xf numFmtId="10" fontId="37" fillId="27" borderId="134" xfId="0" applyNumberFormat="1" applyFont="1" applyFill="1" applyBorder="1" applyProtection="1"/>
    <xf numFmtId="0" fontId="20" fillId="27" borderId="86" xfId="0" applyFont="1" applyFill="1" applyBorder="1" applyAlignment="1">
      <alignment horizontal="center"/>
    </xf>
    <xf numFmtId="0" fontId="49" fillId="47" borderId="0" xfId="0" applyFont="1" applyFill="1"/>
    <xf numFmtId="0" fontId="49" fillId="47" borderId="0" xfId="0" applyFont="1" applyFill="1" applyAlignment="1">
      <alignment horizontal="center"/>
    </xf>
    <xf numFmtId="0" fontId="0" fillId="0" borderId="0" xfId="0" applyBorder="1" applyAlignment="1">
      <alignment horizontal="left" wrapText="1"/>
    </xf>
    <xf numFmtId="5" fontId="0" fillId="0" borderId="0" xfId="0" applyNumberFormat="1" applyAlignment="1">
      <alignment horizontal="center"/>
    </xf>
    <xf numFmtId="1" fontId="7" fillId="26" borderId="60" xfId="0" applyNumberFormat="1" applyFont="1" applyFill="1" applyBorder="1" applyAlignment="1" applyProtection="1">
      <alignment horizontal="center" vertical="center"/>
    </xf>
    <xf numFmtId="1" fontId="9" fillId="26" borderId="66" xfId="0" applyNumberFormat="1" applyFont="1" applyFill="1" applyBorder="1" applyAlignment="1" applyProtection="1">
      <alignment horizontal="center" vertical="center"/>
    </xf>
    <xf numFmtId="1" fontId="18" fillId="26" borderId="70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6" fontId="7" fillId="43" borderId="11" xfId="0" applyNumberFormat="1" applyFont="1" applyFill="1" applyBorder="1" applyProtection="1"/>
    <xf numFmtId="6" fontId="7" fillId="43" borderId="70" xfId="0" applyNumberFormat="1" applyFont="1" applyFill="1" applyBorder="1" applyProtection="1"/>
    <xf numFmtId="0" fontId="0" fillId="0" borderId="0" xfId="0" applyBorder="1" applyAlignment="1">
      <alignment horizontal="center" wrapText="1"/>
    </xf>
    <xf numFmtId="6" fontId="7" fillId="43" borderId="72" xfId="0" applyNumberFormat="1" applyFont="1" applyFill="1" applyBorder="1" applyProtection="1"/>
    <xf numFmtId="6" fontId="24" fillId="0" borderId="83" xfId="31" applyNumberFormat="1" applyFont="1" applyFill="1" applyBorder="1" applyProtection="1"/>
    <xf numFmtId="6" fontId="24" fillId="43" borderId="83" xfId="31" applyNumberFormat="1" applyFont="1" applyFill="1" applyBorder="1" applyProtection="1"/>
    <xf numFmtId="10" fontId="48" fillId="0" borderId="0" xfId="48" applyNumberFormat="1" applyFont="1" applyFill="1" applyBorder="1"/>
    <xf numFmtId="6" fontId="24" fillId="0" borderId="77" xfId="32" applyNumberFormat="1" applyFont="1" applyBorder="1" applyAlignment="1">
      <alignment horizontal="right"/>
    </xf>
    <xf numFmtId="171" fontId="0" fillId="0" borderId="0" xfId="0" applyNumberFormat="1"/>
    <xf numFmtId="10" fontId="7" fillId="39" borderId="13" xfId="0" applyNumberFormat="1" applyFont="1" applyFill="1" applyBorder="1"/>
    <xf numFmtId="166" fontId="7" fillId="39" borderId="13" xfId="0" applyNumberFormat="1" applyFont="1" applyFill="1" applyBorder="1"/>
    <xf numFmtId="10" fontId="7" fillId="41" borderId="13" xfId="48" applyNumberFormat="1" applyFont="1" applyFill="1" applyBorder="1"/>
    <xf numFmtId="6" fontId="7" fillId="41" borderId="13" xfId="32" applyNumberFormat="1" applyFont="1" applyFill="1" applyBorder="1"/>
    <xf numFmtId="10" fontId="7" fillId="41" borderId="34" xfId="48" applyNumberFormat="1" applyFont="1" applyFill="1" applyBorder="1"/>
    <xf numFmtId="43" fontId="24" fillId="0" borderId="65" xfId="28" applyNumberFormat="1" applyFont="1" applyBorder="1" applyAlignment="1">
      <alignment horizontal="right"/>
    </xf>
    <xf numFmtId="0" fontId="97" fillId="41" borderId="0" xfId="0" applyFont="1" applyFill="1" applyBorder="1" applyAlignment="1">
      <alignment horizontal="left" wrapText="1"/>
    </xf>
    <xf numFmtId="6" fontId="97" fillId="41" borderId="0" xfId="0" applyNumberFormat="1" applyFont="1" applyFill="1" applyBorder="1" applyAlignment="1">
      <alignment horizontal="center" wrapText="1"/>
    </xf>
    <xf numFmtId="0" fontId="95" fillId="41" borderId="0" xfId="0" applyFont="1" applyFill="1" applyBorder="1"/>
    <xf numFmtId="0" fontId="96" fillId="0" borderId="0" xfId="0" applyFont="1" applyBorder="1" applyAlignment="1">
      <alignment wrapText="1"/>
    </xf>
    <xf numFmtId="0" fontId="104" fillId="0" borderId="0" xfId="0" applyFont="1" applyBorder="1" applyAlignment="1">
      <alignment horizontal="left" wrapText="1"/>
    </xf>
    <xf numFmtId="0" fontId="73" fillId="0" borderId="0" xfId="0" applyFont="1" applyAlignment="1">
      <alignment horizontal="right" vertical="top"/>
    </xf>
    <xf numFmtId="166" fontId="7" fillId="41" borderId="78" xfId="0" applyNumberFormat="1" applyFont="1" applyFill="1" applyBorder="1"/>
    <xf numFmtId="0" fontId="72" fillId="41" borderId="26" xfId="0" applyFont="1" applyFill="1" applyBorder="1" applyAlignment="1">
      <alignment horizontal="left" wrapText="1"/>
    </xf>
    <xf numFmtId="10" fontId="24" fillId="53" borderId="26" xfId="0" applyNumberFormat="1" applyFont="1" applyFill="1" applyBorder="1" applyAlignment="1">
      <alignment horizontal="center" vertical="center" wrapText="1"/>
    </xf>
    <xf numFmtId="0" fontId="45" fillId="41" borderId="0" xfId="0" applyFont="1" applyFill="1" applyBorder="1" applyAlignment="1">
      <alignment horizontal="center" vertical="center"/>
    </xf>
    <xf numFmtId="6" fontId="70" fillId="41" borderId="13" xfId="0" applyNumberFormat="1" applyFont="1" applyFill="1" applyBorder="1" applyAlignment="1">
      <alignment horizontal="right"/>
    </xf>
    <xf numFmtId="6" fontId="57" fillId="41" borderId="13" xfId="0" applyNumberFormat="1" applyFont="1" applyFill="1" applyBorder="1" applyAlignment="1">
      <alignment horizontal="right"/>
    </xf>
    <xf numFmtId="6" fontId="45" fillId="41" borderId="26" xfId="0" applyNumberFormat="1" applyFont="1" applyFill="1" applyBorder="1" applyAlignment="1">
      <alignment horizontal="right"/>
    </xf>
    <xf numFmtId="6" fontId="57" fillId="27" borderId="13" xfId="0" applyNumberFormat="1" applyFont="1" applyFill="1" applyBorder="1" applyAlignment="1"/>
    <xf numFmtId="6" fontId="57" fillId="27" borderId="13" xfId="0" applyNumberFormat="1" applyFont="1" applyFill="1" applyBorder="1" applyAlignment="1">
      <alignment horizontal="center" wrapText="1"/>
    </xf>
    <xf numFmtId="6" fontId="57" fillId="41" borderId="14" xfId="0" applyNumberFormat="1" applyFont="1" applyFill="1" applyBorder="1" applyAlignment="1">
      <alignment horizontal="right"/>
    </xf>
    <xf numFmtId="0" fontId="70" fillId="54" borderId="13" xfId="0" applyFont="1" applyFill="1" applyBorder="1" applyAlignment="1">
      <alignment horizontal="center" wrapText="1"/>
    </xf>
    <xf numFmtId="6" fontId="57" fillId="54" borderId="13" xfId="0" applyNumberFormat="1" applyFont="1" applyFill="1" applyBorder="1" applyAlignment="1">
      <alignment horizontal="right"/>
    </xf>
    <xf numFmtId="6" fontId="45" fillId="54" borderId="13" xfId="0" applyNumberFormat="1" applyFont="1" applyFill="1" applyBorder="1" applyAlignment="1">
      <alignment horizontal="right"/>
    </xf>
    <xf numFmtId="0" fontId="0" fillId="54" borderId="0" xfId="0" applyFill="1"/>
    <xf numFmtId="6" fontId="45" fillId="54" borderId="26" xfId="0" applyNumberFormat="1" applyFont="1" applyFill="1" applyBorder="1" applyAlignment="1">
      <alignment horizontal="right"/>
    </xf>
    <xf numFmtId="0" fontId="95" fillId="0" borderId="26" xfId="0" applyFont="1" applyFill="1" applyBorder="1" applyAlignment="1">
      <alignment horizontal="left" wrapText="1"/>
    </xf>
    <xf numFmtId="0" fontId="95" fillId="0" borderId="13" xfId="0" applyFont="1" applyFill="1" applyBorder="1" applyAlignment="1">
      <alignment horizontal="left" wrapText="1"/>
    </xf>
    <xf numFmtId="0" fontId="95" fillId="41" borderId="26" xfId="0" applyFont="1" applyFill="1" applyBorder="1" applyAlignment="1">
      <alignment horizontal="left" wrapText="1"/>
    </xf>
    <xf numFmtId="0" fontId="99" fillId="28" borderId="36" xfId="0" applyFont="1" applyFill="1" applyBorder="1" applyAlignment="1">
      <alignment horizontal="left" wrapText="1"/>
    </xf>
    <xf numFmtId="0" fontId="7" fillId="0" borderId="0" xfId="0" applyFont="1" applyFill="1" applyBorder="1" applyAlignment="1">
      <alignment wrapText="1"/>
    </xf>
    <xf numFmtId="38" fontId="72" fillId="41" borderId="26" xfId="0" applyNumberFormat="1" applyFont="1" applyFill="1" applyBorder="1" applyAlignment="1">
      <alignment wrapText="1"/>
    </xf>
    <xf numFmtId="3" fontId="7" fillId="41" borderId="13" xfId="0" applyNumberFormat="1" applyFont="1" applyFill="1" applyBorder="1"/>
    <xf numFmtId="0" fontId="15" fillId="0" borderId="0" xfId="0" applyFont="1"/>
    <xf numFmtId="5" fontId="15" fillId="0" borderId="0" xfId="0" applyNumberFormat="1" applyFont="1"/>
    <xf numFmtId="10" fontId="15" fillId="0" borderId="0" xfId="0" applyNumberFormat="1" applyFont="1"/>
    <xf numFmtId="5" fontId="92" fillId="0" borderId="0" xfId="0" applyNumberFormat="1" applyFont="1" applyFill="1" applyBorder="1" applyProtection="1"/>
    <xf numFmtId="6" fontId="92" fillId="0" borderId="0" xfId="0" applyNumberFormat="1" applyFont="1" applyFill="1" applyBorder="1" applyProtection="1"/>
    <xf numFmtId="165" fontId="92" fillId="0" borderId="0" xfId="28" applyNumberFormat="1" applyFont="1" applyFill="1" applyBorder="1" applyProtection="1"/>
    <xf numFmtId="165" fontId="24" fillId="0" borderId="0" xfId="28" applyNumberFormat="1" applyFont="1" applyFill="1" applyBorder="1" applyProtection="1"/>
    <xf numFmtId="6" fontId="24" fillId="0" borderId="0" xfId="28" applyNumberFormat="1" applyFont="1" applyFill="1" applyBorder="1" applyProtection="1"/>
    <xf numFmtId="0" fontId="0" fillId="41" borderId="0" xfId="0" applyFill="1" applyBorder="1"/>
    <xf numFmtId="0" fontId="10" fillId="0" borderId="86" xfId="0" applyFont="1" applyFill="1" applyBorder="1" applyAlignment="1">
      <alignment horizontal="center" vertical="top"/>
    </xf>
    <xf numFmtId="0" fontId="45" fillId="48" borderId="26" xfId="0" applyFont="1" applyFill="1" applyBorder="1" applyAlignment="1">
      <alignment horizontal="right" wrapText="1"/>
    </xf>
    <xf numFmtId="3" fontId="45" fillId="48" borderId="13" xfId="0" applyNumberFormat="1" applyFont="1" applyFill="1" applyBorder="1" applyAlignment="1">
      <alignment horizontal="right"/>
    </xf>
    <xf numFmtId="6" fontId="45" fillId="48" borderId="13" xfId="0" applyNumberFormat="1" applyFont="1" applyFill="1" applyBorder="1" applyAlignment="1">
      <alignment horizontal="right"/>
    </xf>
    <xf numFmtId="38" fontId="45" fillId="48" borderId="13" xfId="0" applyNumberFormat="1" applyFont="1" applyFill="1" applyBorder="1" applyAlignment="1">
      <alignment horizontal="right"/>
    </xf>
    <xf numFmtId="0" fontId="45" fillId="48" borderId="35" xfId="0" applyFont="1" applyFill="1" applyBorder="1" applyAlignment="1">
      <alignment horizontal="right" wrapText="1"/>
    </xf>
    <xf numFmtId="3" fontId="45" fillId="48" borderId="14" xfId="0" applyNumberFormat="1" applyFont="1" applyFill="1" applyBorder="1" applyAlignment="1">
      <alignment horizontal="right"/>
    </xf>
    <xf numFmtId="6" fontId="45" fillId="48" borderId="14" xfId="0" applyNumberFormat="1" applyFont="1" applyFill="1" applyBorder="1" applyAlignment="1">
      <alignment horizontal="right"/>
    </xf>
    <xf numFmtId="0" fontId="57" fillId="0" borderId="13" xfId="0" applyFont="1" applyFill="1" applyBorder="1" applyAlignment="1">
      <alignment horizontal="center" wrapText="1"/>
    </xf>
    <xf numFmtId="6" fontId="5" fillId="0" borderId="0" xfId="0" applyNumberFormat="1" applyFont="1" applyBorder="1" applyAlignment="1">
      <alignment horizontal="right"/>
    </xf>
    <xf numFmtId="0" fontId="57" fillId="53" borderId="26" xfId="0" applyFont="1" applyFill="1" applyBorder="1" applyAlignment="1">
      <alignment horizontal="left" wrapText="1"/>
    </xf>
    <xf numFmtId="0" fontId="57" fillId="53" borderId="35" xfId="0" applyFont="1" applyFill="1" applyBorder="1" applyAlignment="1">
      <alignment horizontal="left" wrapText="1"/>
    </xf>
    <xf numFmtId="0" fontId="5" fillId="0" borderId="0" xfId="0" applyFont="1"/>
    <xf numFmtId="3" fontId="9" fillId="0" borderId="11" xfId="0" applyNumberFormat="1" applyFont="1" applyFill="1" applyBorder="1"/>
    <xf numFmtId="3" fontId="9" fillId="0" borderId="13" xfId="0" applyNumberFormat="1" applyFont="1" applyFill="1" applyBorder="1"/>
    <xf numFmtId="0" fontId="97" fillId="41" borderId="10" xfId="0" applyFont="1" applyFill="1" applyBorder="1" applyAlignment="1">
      <alignment horizontal="right" wrapText="1"/>
    </xf>
    <xf numFmtId="6" fontId="97" fillId="0" borderId="10" xfId="0" applyNumberFormat="1" applyFont="1" applyBorder="1" applyAlignment="1">
      <alignment horizontal="center" wrapText="1"/>
    </xf>
    <xf numFmtId="6" fontId="97" fillId="0" borderId="10" xfId="0" applyNumberFormat="1" applyFont="1" applyFill="1" applyBorder="1" applyAlignment="1">
      <alignment horizontal="center" wrapText="1"/>
    </xf>
    <xf numFmtId="6" fontId="97" fillId="28" borderId="10" xfId="0" applyNumberFormat="1" applyFont="1" applyFill="1" applyBorder="1" applyAlignment="1">
      <alignment horizontal="center" wrapText="1"/>
    </xf>
    <xf numFmtId="38" fontId="97" fillId="28" borderId="51" xfId="0" applyNumberFormat="1" applyFont="1" applyFill="1" applyBorder="1" applyAlignment="1">
      <alignment horizontal="center"/>
    </xf>
    <xf numFmtId="6" fontId="97" fillId="28" borderId="51" xfId="0" applyNumberFormat="1" applyFont="1" applyFill="1" applyBorder="1" applyAlignment="1">
      <alignment horizontal="center"/>
    </xf>
    <xf numFmtId="0" fontId="95" fillId="0" borderId="51" xfId="0" applyFont="1" applyBorder="1"/>
    <xf numFmtId="6" fontId="95" fillId="0" borderId="51" xfId="0" applyNumberFormat="1" applyFont="1" applyBorder="1"/>
    <xf numFmtId="0" fontId="72" fillId="0" borderId="51" xfId="0" applyFont="1" applyBorder="1"/>
    <xf numFmtId="0" fontId="97" fillId="41" borderId="13" xfId="0" applyFont="1" applyFill="1" applyBorder="1" applyAlignment="1">
      <alignment horizontal="right" wrapText="1"/>
    </xf>
    <xf numFmtId="6" fontId="97" fillId="0" borderId="13" xfId="0" applyNumberFormat="1" applyFont="1" applyFill="1" applyBorder="1" applyAlignment="1">
      <alignment horizontal="center"/>
    </xf>
    <xf numFmtId="6" fontId="97" fillId="41" borderId="13" xfId="0" applyNumberFormat="1" applyFont="1" applyFill="1" applyBorder="1" applyAlignment="1">
      <alignment horizontal="center"/>
    </xf>
    <xf numFmtId="6" fontId="97" fillId="39" borderId="13" xfId="0" applyNumberFormat="1" applyFont="1" applyFill="1" applyBorder="1" applyAlignment="1">
      <alignment horizontal="center"/>
    </xf>
    <xf numFmtId="6" fontId="97" fillId="0" borderId="13" xfId="0" applyNumberFormat="1" applyFont="1" applyBorder="1" applyAlignment="1">
      <alignment horizontal="center" wrapText="1"/>
    </xf>
    <xf numFmtId="6" fontId="97" fillId="0" borderId="13" xfId="0" applyNumberFormat="1" applyFont="1" applyFill="1" applyBorder="1" applyAlignment="1">
      <alignment horizontal="center" wrapText="1"/>
    </xf>
    <xf numFmtId="6" fontId="97" fillId="28" borderId="13" xfId="0" applyNumberFormat="1" applyFont="1" applyFill="1" applyBorder="1" applyAlignment="1">
      <alignment horizontal="center" wrapText="1"/>
    </xf>
    <xf numFmtId="0" fontId="97" fillId="28" borderId="36" xfId="0" quotePrefix="1" applyFont="1" applyFill="1" applyBorder="1" applyAlignment="1">
      <alignment horizontal="right" wrapText="1"/>
    </xf>
    <xf numFmtId="0" fontId="72" fillId="0" borderId="26" xfId="0" applyFont="1" applyBorder="1"/>
    <xf numFmtId="38" fontId="72" fillId="0" borderId="146" xfId="0" applyNumberFormat="1" applyFont="1" applyFill="1" applyBorder="1" applyAlignment="1">
      <alignment horizontal="center"/>
    </xf>
    <xf numFmtId="6" fontId="72" fillId="0" borderId="146" xfId="0" applyNumberFormat="1" applyFont="1" applyBorder="1" applyAlignment="1">
      <alignment horizontal="center"/>
    </xf>
    <xf numFmtId="6" fontId="72" fillId="0" borderId="146" xfId="0" applyNumberFormat="1" applyFont="1" applyFill="1" applyBorder="1" applyAlignment="1">
      <alignment horizontal="center"/>
    </xf>
    <xf numFmtId="6" fontId="72" fillId="41" borderId="146" xfId="0" applyNumberFormat="1" applyFont="1" applyFill="1" applyBorder="1" applyAlignment="1">
      <alignment horizontal="center"/>
    </xf>
    <xf numFmtId="6" fontId="72" fillId="39" borderId="146" xfId="0" applyNumberFormat="1" applyFont="1" applyFill="1" applyBorder="1" applyAlignment="1">
      <alignment horizontal="center"/>
    </xf>
    <xf numFmtId="6" fontId="72" fillId="41" borderId="146" xfId="0" applyNumberFormat="1" applyFont="1" applyFill="1" applyBorder="1" applyAlignment="1">
      <alignment horizontal="center" wrapText="1"/>
    </xf>
    <xf numFmtId="6" fontId="72" fillId="0" borderId="146" xfId="0" applyNumberFormat="1" applyFont="1" applyFill="1" applyBorder="1" applyAlignment="1">
      <alignment horizontal="center" wrapText="1"/>
    </xf>
    <xf numFmtId="6" fontId="72" fillId="28" borderId="146" xfId="0" applyNumberFormat="1" applyFont="1" applyFill="1" applyBorder="1" applyAlignment="1">
      <alignment horizontal="center" wrapText="1"/>
    </xf>
    <xf numFmtId="38" fontId="72" fillId="0" borderId="145" xfId="0" applyNumberFormat="1" applyFont="1" applyFill="1" applyBorder="1" applyAlignment="1">
      <alignment horizontal="center"/>
    </xf>
    <xf numFmtId="6" fontId="72" fillId="0" borderId="145" xfId="0" applyNumberFormat="1" applyFont="1" applyBorder="1" applyAlignment="1">
      <alignment horizontal="center"/>
    </xf>
    <xf numFmtId="6" fontId="72" fillId="0" borderId="145" xfId="0" applyNumberFormat="1" applyFont="1" applyFill="1" applyBorder="1" applyAlignment="1">
      <alignment horizontal="center"/>
    </xf>
    <xf numFmtId="6" fontId="72" fillId="41" borderId="145" xfId="0" applyNumberFormat="1" applyFont="1" applyFill="1" applyBorder="1" applyAlignment="1">
      <alignment horizontal="center"/>
    </xf>
    <xf numFmtId="6" fontId="72" fillId="39" borderId="145" xfId="0" applyNumberFormat="1" applyFont="1" applyFill="1" applyBorder="1" applyAlignment="1">
      <alignment horizontal="center"/>
    </xf>
    <xf numFmtId="6" fontId="72" fillId="41" borderId="145" xfId="0" applyNumberFormat="1" applyFont="1" applyFill="1" applyBorder="1" applyAlignment="1">
      <alignment horizontal="center" wrapText="1"/>
    </xf>
    <xf numFmtId="6" fontId="72" fillId="0" borderId="145" xfId="0" applyNumberFormat="1" applyFont="1" applyFill="1" applyBorder="1" applyAlignment="1">
      <alignment horizontal="center" wrapText="1"/>
    </xf>
    <xf numFmtId="6" fontId="72" fillId="28" borderId="145" xfId="0" applyNumberFormat="1" applyFont="1" applyFill="1" applyBorder="1" applyAlignment="1">
      <alignment horizontal="center" wrapText="1"/>
    </xf>
    <xf numFmtId="38" fontId="72" fillId="0" borderId="147" xfId="0" applyNumberFormat="1" applyFont="1" applyFill="1" applyBorder="1" applyAlignment="1">
      <alignment horizontal="center"/>
    </xf>
    <xf numFmtId="6" fontId="72" fillId="0" borderId="147" xfId="0" applyNumberFormat="1" applyFont="1" applyBorder="1" applyAlignment="1">
      <alignment horizontal="center"/>
    </xf>
    <xf numFmtId="6" fontId="72" fillId="0" borderId="147" xfId="0" applyNumberFormat="1" applyFont="1" applyFill="1" applyBorder="1" applyAlignment="1">
      <alignment horizontal="center"/>
    </xf>
    <xf numFmtId="6" fontId="72" fillId="41" borderId="147" xfId="0" applyNumberFormat="1" applyFont="1" applyFill="1" applyBorder="1" applyAlignment="1">
      <alignment horizontal="center"/>
    </xf>
    <xf numFmtId="6" fontId="72" fillId="39" borderId="147" xfId="0" applyNumberFormat="1" applyFont="1" applyFill="1" applyBorder="1" applyAlignment="1">
      <alignment horizontal="center"/>
    </xf>
    <xf numFmtId="6" fontId="72" fillId="41" borderId="147" xfId="0" applyNumberFormat="1" applyFont="1" applyFill="1" applyBorder="1" applyAlignment="1">
      <alignment horizontal="center" wrapText="1"/>
    </xf>
    <xf numFmtId="6" fontId="72" fillId="0" borderId="147" xfId="0" applyNumberFormat="1" applyFont="1" applyFill="1" applyBorder="1" applyAlignment="1">
      <alignment horizontal="center" wrapText="1"/>
    </xf>
    <xf numFmtId="6" fontId="72" fillId="28" borderId="147" xfId="0" applyNumberFormat="1" applyFont="1" applyFill="1" applyBorder="1" applyAlignment="1">
      <alignment horizontal="center" wrapText="1"/>
    </xf>
    <xf numFmtId="0" fontId="97" fillId="0" borderId="42" xfId="0" applyFont="1" applyBorder="1"/>
    <xf numFmtId="38" fontId="97" fillId="0" borderId="10" xfId="0" applyNumberFormat="1" applyFont="1" applyFill="1" applyBorder="1" applyAlignment="1">
      <alignment horizontal="center"/>
    </xf>
    <xf numFmtId="6" fontId="97" fillId="0" borderId="10" xfId="0" applyNumberFormat="1" applyFont="1" applyBorder="1" applyAlignment="1">
      <alignment horizontal="center"/>
    </xf>
    <xf numFmtId="6" fontId="97" fillId="0" borderId="10" xfId="0" applyNumberFormat="1" applyFont="1" applyFill="1" applyBorder="1" applyAlignment="1">
      <alignment horizontal="center"/>
    </xf>
    <xf numFmtId="6" fontId="97" fillId="41" borderId="10" xfId="0" applyNumberFormat="1" applyFont="1" applyFill="1" applyBorder="1" applyAlignment="1">
      <alignment horizontal="center"/>
    </xf>
    <xf numFmtId="6" fontId="97" fillId="39" borderId="10" xfId="0" applyNumberFormat="1" applyFont="1" applyFill="1" applyBorder="1" applyAlignment="1">
      <alignment horizontal="center"/>
    </xf>
    <xf numFmtId="0" fontId="97" fillId="0" borderId="0" xfId="0" applyFont="1" applyBorder="1"/>
    <xf numFmtId="0" fontId="97" fillId="0" borderId="26" xfId="0" applyFont="1" applyBorder="1" applyAlignment="1">
      <alignment horizontal="center"/>
    </xf>
    <xf numFmtId="38" fontId="97" fillId="0" borderId="13" xfId="0" applyNumberFormat="1" applyFont="1" applyFill="1" applyBorder="1" applyAlignment="1">
      <alignment horizontal="center"/>
    </xf>
    <xf numFmtId="6" fontId="97" fillId="0" borderId="13" xfId="0" applyNumberFormat="1" applyFont="1" applyBorder="1" applyAlignment="1">
      <alignment horizontal="center"/>
    </xf>
    <xf numFmtId="0" fontId="97" fillId="0" borderId="0" xfId="0" applyFont="1" applyBorder="1" applyAlignment="1">
      <alignment horizontal="center"/>
    </xf>
    <xf numFmtId="0" fontId="72" fillId="41" borderId="26" xfId="0" applyFont="1" applyFill="1" applyBorder="1" applyAlignment="1">
      <alignment horizontal="right" wrapText="1"/>
    </xf>
    <xf numFmtId="6" fontId="70" fillId="0" borderId="13" xfId="0" applyNumberFormat="1" applyFont="1" applyFill="1" applyBorder="1" applyAlignment="1">
      <alignment horizontal="center" wrapText="1"/>
    </xf>
    <xf numFmtId="6" fontId="72" fillId="58" borderId="146" xfId="0" applyNumberFormat="1" applyFont="1" applyFill="1" applyBorder="1" applyAlignment="1">
      <alignment horizontal="center" wrapText="1"/>
    </xf>
    <xf numFmtId="6" fontId="72" fillId="58" borderId="145" xfId="0" applyNumberFormat="1" applyFont="1" applyFill="1" applyBorder="1" applyAlignment="1">
      <alignment horizontal="center" wrapText="1"/>
    </xf>
    <xf numFmtId="6" fontId="72" fillId="58" borderId="147" xfId="0" applyNumberFormat="1" applyFont="1" applyFill="1" applyBorder="1" applyAlignment="1">
      <alignment horizontal="center" wrapText="1"/>
    </xf>
    <xf numFmtId="6" fontId="97" fillId="58" borderId="10" xfId="0" applyNumberFormat="1" applyFont="1" applyFill="1" applyBorder="1" applyAlignment="1">
      <alignment horizontal="center" wrapText="1"/>
    </xf>
    <xf numFmtId="6" fontId="72" fillId="58" borderId="26" xfId="0" applyNumberFormat="1" applyFont="1" applyFill="1" applyBorder="1" applyAlignment="1">
      <alignment horizontal="center" wrapText="1"/>
    </xf>
    <xf numFmtId="6" fontId="97" fillId="58" borderId="13" xfId="0" applyNumberFormat="1" applyFont="1" applyFill="1" applyBorder="1" applyAlignment="1">
      <alignment horizontal="center" wrapText="1"/>
    </xf>
    <xf numFmtId="0" fontId="95" fillId="41" borderId="51" xfId="0" applyFont="1" applyFill="1" applyBorder="1"/>
    <xf numFmtId="0" fontId="5" fillId="0" borderId="0" xfId="0" quotePrefix="1" applyFont="1"/>
    <xf numFmtId="0" fontId="17" fillId="0" borderId="53" xfId="0" applyFont="1" applyFill="1" applyBorder="1" applyAlignment="1">
      <alignment horizontal="center"/>
    </xf>
    <xf numFmtId="0" fontId="67" fillId="0" borderId="0" xfId="0" applyFont="1"/>
    <xf numFmtId="5" fontId="12" fillId="0" borderId="152" xfId="0" applyNumberFormat="1" applyFont="1" applyFill="1" applyBorder="1" applyAlignment="1" applyProtection="1">
      <alignment vertical="top"/>
    </xf>
    <xf numFmtId="5" fontId="12" fillId="0" borderId="153" xfId="0" applyNumberFormat="1" applyFont="1" applyFill="1" applyBorder="1" applyAlignment="1" applyProtection="1">
      <alignment vertical="top"/>
    </xf>
    <xf numFmtId="165" fontId="12" fillId="0" borderId="155" xfId="28" applyNumberFormat="1" applyFont="1" applyFill="1" applyBorder="1" applyAlignment="1" applyProtection="1"/>
    <xf numFmtId="165" fontId="12" fillId="0" borderId="20" xfId="28" applyNumberFormat="1" applyFont="1" applyFill="1" applyBorder="1" applyAlignment="1" applyProtection="1"/>
    <xf numFmtId="0" fontId="10" fillId="0" borderId="159" xfId="0" applyFont="1" applyFill="1" applyBorder="1" applyAlignment="1">
      <alignment horizontal="left"/>
    </xf>
    <xf numFmtId="165" fontId="12" fillId="0" borderId="160" xfId="28" applyNumberFormat="1" applyFont="1" applyFill="1" applyBorder="1" applyAlignment="1" applyProtection="1"/>
    <xf numFmtId="165" fontId="12" fillId="0" borderId="159" xfId="28" applyNumberFormat="1" applyFont="1" applyFill="1" applyBorder="1" applyAlignment="1" applyProtection="1"/>
    <xf numFmtId="165" fontId="12" fillId="0" borderId="32" xfId="28" applyNumberFormat="1" applyFont="1" applyFill="1" applyBorder="1" applyProtection="1"/>
    <xf numFmtId="43" fontId="12" fillId="0" borderId="155" xfId="28" applyFont="1" applyFill="1" applyBorder="1" applyAlignment="1" applyProtection="1">
      <alignment horizontal="right"/>
    </xf>
    <xf numFmtId="10" fontId="12" fillId="0" borderId="155" xfId="48" applyNumberFormat="1" applyFont="1" applyFill="1" applyBorder="1" applyAlignment="1" applyProtection="1">
      <alignment horizontal="right"/>
    </xf>
    <xf numFmtId="5" fontId="12" fillId="0" borderId="174" xfId="0" applyNumberFormat="1" applyFont="1" applyFill="1" applyBorder="1" applyProtection="1"/>
    <xf numFmtId="5" fontId="12" fillId="0" borderId="175" xfId="0" applyNumberFormat="1" applyFont="1" applyFill="1" applyBorder="1" applyProtection="1"/>
    <xf numFmtId="5" fontId="20" fillId="0" borderId="157" xfId="0" applyNumberFormat="1" applyFont="1" applyFill="1" applyBorder="1" applyAlignment="1" applyProtection="1"/>
    <xf numFmtId="5" fontId="20" fillId="0" borderId="158" xfId="0" applyNumberFormat="1" applyFont="1" applyFill="1" applyBorder="1" applyAlignment="1" applyProtection="1"/>
    <xf numFmtId="5" fontId="20" fillId="27" borderId="171" xfId="0" applyNumberFormat="1" applyFont="1" applyFill="1" applyBorder="1" applyAlignment="1" applyProtection="1"/>
    <xf numFmtId="5" fontId="20" fillId="27" borderId="29" xfId="0" applyNumberFormat="1" applyFont="1" applyFill="1" applyBorder="1" applyAlignment="1" applyProtection="1"/>
    <xf numFmtId="5" fontId="12" fillId="0" borderId="172" xfId="0" applyNumberFormat="1" applyFont="1" applyFill="1" applyBorder="1" applyAlignment="1" applyProtection="1"/>
    <xf numFmtId="5" fontId="12" fillId="0" borderId="173" xfId="0" applyNumberFormat="1" applyFont="1" applyFill="1" applyBorder="1" applyAlignment="1" applyProtection="1"/>
    <xf numFmtId="5" fontId="12" fillId="0" borderId="176" xfId="0" applyNumberFormat="1" applyFont="1" applyFill="1" applyBorder="1" applyProtection="1"/>
    <xf numFmtId="5" fontId="20" fillId="0" borderId="158" xfId="0" applyNumberFormat="1" applyFont="1" applyFill="1" applyBorder="1" applyProtection="1"/>
    <xf numFmtId="5" fontId="12" fillId="0" borderId="168" xfId="0" applyNumberFormat="1" applyFont="1" applyFill="1" applyBorder="1" applyProtection="1"/>
    <xf numFmtId="5" fontId="12" fillId="0" borderId="177" xfId="0" applyNumberFormat="1" applyFont="1" applyFill="1" applyBorder="1" applyProtection="1"/>
    <xf numFmtId="5" fontId="20" fillId="27" borderId="162" xfId="0" applyNumberFormat="1" applyFont="1" applyFill="1" applyBorder="1" applyAlignment="1" applyProtection="1">
      <alignment vertical="center"/>
    </xf>
    <xf numFmtId="5" fontId="12" fillId="0" borderId="158" xfId="0" applyNumberFormat="1" applyFont="1" applyFill="1" applyBorder="1" applyProtection="1"/>
    <xf numFmtId="5" fontId="12" fillId="0" borderId="20" xfId="0" applyNumberFormat="1" applyFont="1" applyFill="1" applyBorder="1" applyProtection="1"/>
    <xf numFmtId="5" fontId="17" fillId="27" borderId="170" xfId="0" applyNumberFormat="1" applyFont="1" applyFill="1" applyBorder="1" applyAlignment="1" applyProtection="1">
      <alignment vertical="center"/>
    </xf>
    <xf numFmtId="5" fontId="17" fillId="0" borderId="151" xfId="0" applyNumberFormat="1" applyFont="1" applyFill="1" applyBorder="1" applyProtection="1"/>
    <xf numFmtId="5" fontId="12" fillId="0" borderId="156" xfId="0" applyNumberFormat="1" applyFont="1" applyFill="1" applyBorder="1" applyAlignment="1" applyProtection="1"/>
    <xf numFmtId="5" fontId="12" fillId="0" borderId="138" xfId="0" applyNumberFormat="1" applyFont="1" applyFill="1" applyBorder="1" applyAlignment="1" applyProtection="1"/>
    <xf numFmtId="5" fontId="20" fillId="0" borderId="155" xfId="0" applyNumberFormat="1" applyFont="1" applyFill="1" applyBorder="1" applyAlignment="1" applyProtection="1"/>
    <xf numFmtId="5" fontId="20" fillId="0" borderId="20" xfId="0" applyNumberFormat="1" applyFont="1" applyFill="1" applyBorder="1" applyAlignment="1" applyProtection="1"/>
    <xf numFmtId="5" fontId="12" fillId="0" borderId="160" xfId="0" applyNumberFormat="1" applyFont="1" applyFill="1" applyBorder="1" applyAlignment="1" applyProtection="1"/>
    <xf numFmtId="5" fontId="12" fillId="0" borderId="159" xfId="0" applyNumberFormat="1" applyFont="1" applyFill="1" applyBorder="1" applyAlignment="1" applyProtection="1"/>
    <xf numFmtId="5" fontId="12" fillId="0" borderId="155" xfId="0" applyNumberFormat="1" applyFont="1" applyFill="1" applyBorder="1" applyAlignment="1" applyProtection="1"/>
    <xf numFmtId="5" fontId="12" fillId="0" borderId="20" xfId="0" applyNumberFormat="1" applyFont="1" applyFill="1" applyBorder="1" applyAlignment="1" applyProtection="1"/>
    <xf numFmtId="43" fontId="12" fillId="0" borderId="20" xfId="28" applyFont="1" applyFill="1" applyBorder="1" applyAlignment="1" applyProtection="1"/>
    <xf numFmtId="10" fontId="12" fillId="0" borderId="20" xfId="48" applyNumberFormat="1" applyFont="1" applyFill="1" applyBorder="1" applyAlignment="1" applyProtection="1"/>
    <xf numFmtId="5" fontId="20" fillId="0" borderId="160" xfId="0" applyNumberFormat="1" applyFont="1" applyFill="1" applyBorder="1" applyAlignment="1" applyProtection="1"/>
    <xf numFmtId="5" fontId="20" fillId="0" borderId="159" xfId="0" applyNumberFormat="1" applyFont="1" applyFill="1" applyBorder="1" applyAlignment="1" applyProtection="1"/>
    <xf numFmtId="5" fontId="20" fillId="0" borderId="161" xfId="0" applyNumberFormat="1" applyFont="1" applyFill="1" applyBorder="1" applyAlignment="1" applyProtection="1">
      <alignment vertical="center"/>
    </xf>
    <xf numFmtId="5" fontId="20" fillId="0" borderId="162" xfId="0" applyNumberFormat="1" applyFont="1" applyFill="1" applyBorder="1" applyAlignment="1" applyProtection="1">
      <alignment vertical="center"/>
    </xf>
    <xf numFmtId="5" fontId="20" fillId="0" borderId="156" xfId="0" applyNumberFormat="1" applyFont="1" applyFill="1" applyBorder="1" applyAlignment="1" applyProtection="1">
      <alignment vertical="center"/>
    </xf>
    <xf numFmtId="5" fontId="20" fillId="0" borderId="138" xfId="0" applyNumberFormat="1" applyFont="1" applyFill="1" applyBorder="1" applyAlignment="1" applyProtection="1">
      <alignment vertical="center"/>
    </xf>
    <xf numFmtId="5" fontId="12" fillId="0" borderId="155" xfId="0" applyNumberFormat="1" applyFont="1" applyFill="1" applyBorder="1" applyAlignment="1" applyProtection="1">
      <alignment vertical="center"/>
    </xf>
    <xf numFmtId="5" fontId="12" fillId="0" borderId="20" xfId="0" applyNumberFormat="1" applyFont="1" applyFill="1" applyBorder="1" applyAlignment="1" applyProtection="1">
      <alignment vertical="center"/>
    </xf>
    <xf numFmtId="5" fontId="12" fillId="0" borderId="163" xfId="0" applyNumberFormat="1" applyFont="1" applyFill="1" applyBorder="1" applyAlignment="1" applyProtection="1">
      <alignment vertical="center"/>
    </xf>
    <xf numFmtId="5" fontId="12" fillId="0" borderId="48" xfId="0" applyNumberFormat="1" applyFont="1" applyFill="1" applyBorder="1" applyAlignment="1" applyProtection="1">
      <alignment vertical="center"/>
    </xf>
    <xf numFmtId="5" fontId="12" fillId="0" borderId="164" xfId="0" applyNumberFormat="1" applyFont="1" applyFill="1" applyBorder="1" applyAlignment="1" applyProtection="1">
      <alignment vertical="center"/>
    </xf>
    <xf numFmtId="5" fontId="12" fillId="0" borderId="49" xfId="0" applyNumberFormat="1" applyFont="1" applyFill="1" applyBorder="1" applyAlignment="1" applyProtection="1">
      <alignment vertical="center"/>
    </xf>
    <xf numFmtId="5" fontId="12" fillId="0" borderId="165" xfId="0" applyNumberFormat="1" applyFont="1" applyFill="1" applyBorder="1" applyAlignment="1" applyProtection="1">
      <alignment vertical="center"/>
    </xf>
    <xf numFmtId="5" fontId="12" fillId="0" borderId="166" xfId="0" applyNumberFormat="1" applyFont="1" applyFill="1" applyBorder="1" applyAlignment="1" applyProtection="1">
      <alignment vertical="center"/>
    </xf>
    <xf numFmtId="5" fontId="12" fillId="0" borderId="167" xfId="0" applyNumberFormat="1" applyFont="1" applyFill="1" applyBorder="1" applyAlignment="1" applyProtection="1">
      <alignment vertical="center"/>
    </xf>
    <xf numFmtId="5" fontId="12" fillId="0" borderId="168" xfId="0" applyNumberFormat="1" applyFont="1" applyFill="1" applyBorder="1" applyAlignment="1" applyProtection="1">
      <alignment vertical="center"/>
    </xf>
    <xf numFmtId="5" fontId="20" fillId="27" borderId="169" xfId="0" applyNumberFormat="1" applyFont="1" applyFill="1" applyBorder="1" applyAlignment="1" applyProtection="1"/>
    <xf numFmtId="5" fontId="20" fillId="27" borderId="170" xfId="0" applyNumberFormat="1" applyFont="1" applyFill="1" applyBorder="1" applyAlignment="1" applyProtection="1"/>
    <xf numFmtId="5" fontId="12" fillId="0" borderId="178" xfId="0" applyNumberFormat="1" applyFont="1" applyFill="1" applyBorder="1" applyProtection="1"/>
    <xf numFmtId="5" fontId="20" fillId="0" borderId="157" xfId="0" applyNumberFormat="1" applyFont="1" applyFill="1" applyBorder="1" applyProtection="1"/>
    <xf numFmtId="5" fontId="12" fillId="0" borderId="167" xfId="0" applyNumberFormat="1" applyFont="1" applyFill="1" applyBorder="1" applyProtection="1"/>
    <xf numFmtId="5" fontId="12" fillId="0" borderId="179" xfId="0" applyNumberFormat="1" applyFont="1" applyFill="1" applyBorder="1" applyProtection="1"/>
    <xf numFmtId="5" fontId="20" fillId="0" borderId="178" xfId="0" applyNumberFormat="1" applyFont="1" applyFill="1" applyBorder="1" applyProtection="1"/>
    <xf numFmtId="5" fontId="20" fillId="0" borderId="164" xfId="0" applyNumberFormat="1" applyFont="1" applyFill="1" applyBorder="1" applyProtection="1"/>
    <xf numFmtId="5" fontId="20" fillId="27" borderId="161" xfId="0" applyNumberFormat="1" applyFont="1" applyFill="1" applyBorder="1" applyAlignment="1" applyProtection="1">
      <alignment vertical="center"/>
    </xf>
    <xf numFmtId="5" fontId="12" fillId="0" borderId="157" xfId="0" applyNumberFormat="1" applyFont="1" applyFill="1" applyBorder="1" applyProtection="1"/>
    <xf numFmtId="5" fontId="12" fillId="0" borderId="164" xfId="0" applyNumberFormat="1" applyFont="1" applyFill="1" applyBorder="1" applyProtection="1"/>
    <xf numFmtId="5" fontId="12" fillId="0" borderId="163" xfId="0" applyNumberFormat="1" applyFont="1" applyFill="1" applyBorder="1" applyAlignment="1" applyProtection="1"/>
    <xf numFmtId="5" fontId="17" fillId="27" borderId="169" xfId="0" applyNumberFormat="1" applyFont="1" applyFill="1" applyBorder="1" applyAlignment="1" applyProtection="1">
      <alignment vertical="center"/>
    </xf>
    <xf numFmtId="165" fontId="44" fillId="27" borderId="142" xfId="0" applyNumberFormat="1" applyFont="1" applyFill="1" applyBorder="1" applyAlignment="1" applyProtection="1">
      <alignment vertical="center"/>
    </xf>
    <xf numFmtId="5" fontId="12" fillId="0" borderId="180" xfId="0" applyNumberFormat="1" applyFont="1" applyFill="1" applyBorder="1" applyProtection="1"/>
    <xf numFmtId="5" fontId="20" fillId="0" borderId="181" xfId="0" applyNumberFormat="1" applyFont="1" applyFill="1" applyBorder="1" applyProtection="1"/>
    <xf numFmtId="5" fontId="12" fillId="0" borderId="182" xfId="0" applyNumberFormat="1" applyFont="1" applyFill="1" applyBorder="1" applyProtection="1"/>
    <xf numFmtId="5" fontId="12" fillId="0" borderId="183" xfId="0" applyNumberFormat="1" applyFont="1" applyFill="1" applyBorder="1" applyProtection="1"/>
    <xf numFmtId="5" fontId="20" fillId="27" borderId="184" xfId="0" applyNumberFormat="1" applyFont="1" applyFill="1" applyBorder="1" applyAlignment="1" applyProtection="1">
      <alignment vertical="center"/>
    </xf>
    <xf numFmtId="5" fontId="12" fillId="0" borderId="181" xfId="0" applyNumberFormat="1" applyFont="1" applyFill="1" applyBorder="1" applyProtection="1"/>
    <xf numFmtId="5" fontId="12" fillId="0" borderId="45" xfId="0" applyNumberFormat="1" applyFont="1" applyFill="1" applyBorder="1" applyProtection="1"/>
    <xf numFmtId="5" fontId="12" fillId="0" borderId="185" xfId="0" applyNumberFormat="1" applyFont="1" applyFill="1" applyBorder="1" applyAlignment="1" applyProtection="1"/>
    <xf numFmtId="165" fontId="44" fillId="27" borderId="186" xfId="0" applyNumberFormat="1" applyFont="1" applyFill="1" applyBorder="1" applyAlignment="1" applyProtection="1">
      <alignment vertical="center"/>
    </xf>
    <xf numFmtId="5" fontId="20" fillId="0" borderId="42" xfId="0" applyNumberFormat="1" applyFont="1" applyFill="1" applyBorder="1" applyProtection="1"/>
    <xf numFmtId="5" fontId="17" fillId="0" borderId="187" xfId="0" applyNumberFormat="1" applyFont="1" applyFill="1" applyBorder="1" applyAlignment="1" applyProtection="1">
      <alignment horizontal="left"/>
    </xf>
    <xf numFmtId="5" fontId="17" fillId="0" borderId="150" xfId="0" applyNumberFormat="1" applyFont="1" applyFill="1" applyBorder="1" applyAlignment="1" applyProtection="1"/>
    <xf numFmtId="10" fontId="24" fillId="41" borderId="77" xfId="48" applyNumberFormat="1" applyFont="1" applyFill="1" applyBorder="1" applyAlignment="1">
      <alignment horizontal="right"/>
    </xf>
    <xf numFmtId="6" fontId="24" fillId="41" borderId="12" xfId="32" applyNumberFormat="1" applyFont="1" applyFill="1" applyBorder="1" applyAlignment="1">
      <alignment horizontal="right"/>
    </xf>
    <xf numFmtId="6" fontId="48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/>
    <xf numFmtId="10" fontId="24" fillId="41" borderId="77" xfId="32" applyNumberFormat="1" applyFont="1" applyFill="1" applyBorder="1" applyAlignment="1">
      <alignment horizontal="right"/>
    </xf>
    <xf numFmtId="0" fontId="0" fillId="0" borderId="0" xfId="0" applyAlignment="1">
      <alignment horizontal="center" vertical="top" wrapText="1"/>
    </xf>
    <xf numFmtId="0" fontId="67" fillId="0" borderId="0" xfId="0" applyFont="1" applyAlignment="1">
      <alignment horizontal="right" vertical="top"/>
    </xf>
    <xf numFmtId="43" fontId="7" fillId="0" borderId="0" xfId="0" applyNumberFormat="1" applyFont="1"/>
    <xf numFmtId="10" fontId="7" fillId="0" borderId="0" xfId="0" applyNumberFormat="1" applyFont="1"/>
    <xf numFmtId="38" fontId="0" fillId="0" borderId="0" xfId="0" applyNumberFormat="1"/>
    <xf numFmtId="0" fontId="5" fillId="0" borderId="0" xfId="53" applyFont="1"/>
    <xf numFmtId="0" fontId="49" fillId="47" borderId="0" xfId="53" applyFont="1" applyFill="1"/>
    <xf numFmtId="0" fontId="49" fillId="47" borderId="0" xfId="53" applyFont="1" applyFill="1" applyAlignment="1">
      <alignment horizontal="center"/>
    </xf>
    <xf numFmtId="0" fontId="5" fillId="0" borderId="0" xfId="53" applyFont="1" applyAlignment="1">
      <alignment horizontal="center"/>
    </xf>
    <xf numFmtId="0" fontId="5" fillId="41" borderId="0" xfId="53" applyFont="1" applyFill="1" applyBorder="1" applyAlignment="1">
      <alignment horizontal="center"/>
    </xf>
    <xf numFmtId="0" fontId="15" fillId="0" borderId="0" xfId="53" applyFont="1" applyAlignment="1">
      <alignment horizontal="center"/>
    </xf>
    <xf numFmtId="49" fontId="24" fillId="42" borderId="10" xfId="53" applyNumberFormat="1" applyFont="1" applyFill="1" applyBorder="1" applyAlignment="1">
      <alignment horizontal="center" vertical="center" wrapText="1"/>
    </xf>
    <xf numFmtId="1" fontId="5" fillId="26" borderId="11" xfId="53" applyNumberFormat="1" applyFont="1" applyFill="1" applyBorder="1" applyAlignment="1" applyProtection="1">
      <alignment horizontal="center"/>
    </xf>
    <xf numFmtId="1" fontId="9" fillId="26" borderId="11" xfId="53" applyNumberFormat="1" applyFont="1" applyFill="1" applyBorder="1" applyAlignment="1" applyProtection="1">
      <alignment horizontal="center"/>
    </xf>
    <xf numFmtId="1" fontId="18" fillId="26" borderId="10" xfId="53" quotePrefix="1" applyNumberFormat="1" applyFont="1" applyFill="1" applyBorder="1" applyAlignment="1" applyProtection="1">
      <alignment horizontal="center"/>
    </xf>
    <xf numFmtId="1" fontId="5" fillId="0" borderId="0" xfId="53" applyNumberFormat="1" applyFont="1" applyAlignment="1">
      <alignment horizontal="center"/>
    </xf>
    <xf numFmtId="1" fontId="5" fillId="26" borderId="26" xfId="53" applyNumberFormat="1" applyFont="1" applyFill="1" applyBorder="1" applyAlignment="1" applyProtection="1">
      <alignment horizontal="center"/>
    </xf>
    <xf numFmtId="1" fontId="9" fillId="26" borderId="26" xfId="53" applyNumberFormat="1" applyFont="1" applyFill="1" applyBorder="1" applyAlignment="1" applyProtection="1">
      <alignment horizontal="center"/>
    </xf>
    <xf numFmtId="1" fontId="18" fillId="26" borderId="26" xfId="53" applyNumberFormat="1" applyFont="1" applyFill="1" applyBorder="1" applyAlignment="1" applyProtection="1">
      <alignment horizontal="center"/>
    </xf>
    <xf numFmtId="1" fontId="18" fillId="26" borderId="26" xfId="53" applyNumberFormat="1" applyFont="1" applyFill="1" applyBorder="1" applyAlignment="1" applyProtection="1">
      <alignment horizontal="center" wrapText="1"/>
    </xf>
    <xf numFmtId="1" fontId="5" fillId="0" borderId="26" xfId="53" applyNumberFormat="1" applyFont="1" applyBorder="1" applyAlignment="1">
      <alignment horizontal="center"/>
    </xf>
    <xf numFmtId="0" fontId="5" fillId="0" borderId="115" xfId="53" applyFont="1" applyFill="1" applyBorder="1" applyProtection="1"/>
    <xf numFmtId="0" fontId="5" fillId="0" borderId="116" xfId="53" applyFont="1" applyFill="1" applyBorder="1" applyProtection="1"/>
    <xf numFmtId="172" fontId="5" fillId="41" borderId="116" xfId="54" applyNumberFormat="1" applyFont="1" applyFill="1" applyBorder="1" applyAlignment="1" applyProtection="1">
      <alignment horizontal="right"/>
    </xf>
    <xf numFmtId="166" fontId="5" fillId="0" borderId="117" xfId="54" applyNumberFormat="1" applyFont="1" applyFill="1" applyBorder="1" applyAlignment="1" applyProtection="1">
      <alignment horizontal="right"/>
    </xf>
    <xf numFmtId="166" fontId="5" fillId="42" borderId="117" xfId="54" applyNumberFormat="1" applyFont="1" applyFill="1" applyBorder="1" applyAlignment="1" applyProtection="1">
      <alignment horizontal="right"/>
    </xf>
    <xf numFmtId="166" fontId="5" fillId="43" borderId="116" xfId="53" applyNumberFormat="1" applyFont="1" applyFill="1" applyBorder="1" applyAlignment="1" applyProtection="1">
      <alignment horizontal="right"/>
    </xf>
    <xf numFmtId="166" fontId="5" fillId="44" borderId="116" xfId="53" applyNumberFormat="1" applyFont="1" applyFill="1" applyBorder="1" applyAlignment="1" applyProtection="1">
      <alignment horizontal="right"/>
    </xf>
    <xf numFmtId="0" fontId="5" fillId="0" borderId="119" xfId="53" applyFont="1" applyFill="1" applyBorder="1" applyProtection="1"/>
    <xf numFmtId="0" fontId="5" fillId="0" borderId="120" xfId="53" applyFont="1" applyFill="1" applyBorder="1" applyProtection="1"/>
    <xf numFmtId="172" fontId="5" fillId="41" borderId="120" xfId="54" applyNumberFormat="1" applyFont="1" applyFill="1" applyBorder="1" applyAlignment="1" applyProtection="1">
      <alignment horizontal="right"/>
    </xf>
    <xf numFmtId="166" fontId="5" fillId="0" borderId="121" xfId="54" applyNumberFormat="1" applyFont="1" applyFill="1" applyBorder="1" applyAlignment="1" applyProtection="1">
      <alignment horizontal="right"/>
    </xf>
    <xf numFmtId="0" fontId="5" fillId="0" borderId="122" xfId="53" applyFont="1" applyFill="1" applyBorder="1" applyProtection="1"/>
    <xf numFmtId="0" fontId="5" fillId="0" borderId="123" xfId="53" applyFont="1" applyFill="1" applyBorder="1" applyProtection="1"/>
    <xf numFmtId="172" fontId="5" fillId="41" borderId="123" xfId="54" applyNumberFormat="1" applyFont="1" applyFill="1" applyBorder="1" applyAlignment="1" applyProtection="1">
      <alignment horizontal="right"/>
    </xf>
    <xf numFmtId="166" fontId="5" fillId="0" borderId="124" xfId="54" applyNumberFormat="1" applyFont="1" applyFill="1" applyBorder="1" applyAlignment="1" applyProtection="1">
      <alignment horizontal="right"/>
    </xf>
    <xf numFmtId="172" fontId="5" fillId="41" borderId="120" xfId="53" applyNumberFormat="1" applyFont="1" applyFill="1" applyBorder="1" applyAlignment="1" applyProtection="1">
      <alignment horizontal="right"/>
    </xf>
    <xf numFmtId="166" fontId="5" fillId="0" borderId="121" xfId="53" applyNumberFormat="1" applyFont="1" applyFill="1" applyBorder="1" applyAlignment="1" applyProtection="1">
      <alignment horizontal="right"/>
    </xf>
    <xf numFmtId="172" fontId="5" fillId="41" borderId="123" xfId="53" applyNumberFormat="1" applyFont="1" applyFill="1" applyBorder="1" applyAlignment="1" applyProtection="1">
      <alignment horizontal="right"/>
    </xf>
    <xf numFmtId="166" fontId="5" fillId="0" borderId="124" xfId="53" applyNumberFormat="1" applyFont="1" applyFill="1" applyBorder="1" applyAlignment="1" applyProtection="1">
      <alignment horizontal="right"/>
    </xf>
    <xf numFmtId="172" fontId="5" fillId="41" borderId="116" xfId="53" applyNumberFormat="1" applyFont="1" applyFill="1" applyBorder="1" applyAlignment="1" applyProtection="1">
      <alignment horizontal="right"/>
    </xf>
    <xf numFmtId="166" fontId="5" fillId="0" borderId="117" xfId="53" applyNumberFormat="1" applyFont="1" applyFill="1" applyBorder="1" applyAlignment="1" applyProtection="1">
      <alignment horizontal="right"/>
    </xf>
    <xf numFmtId="0" fontId="5" fillId="0" borderId="126" xfId="53" applyFont="1" applyFill="1" applyBorder="1" applyProtection="1"/>
    <xf numFmtId="0" fontId="5" fillId="0" borderId="127" xfId="53" applyFont="1" applyFill="1" applyBorder="1" applyProtection="1"/>
    <xf numFmtId="172" fontId="5" fillId="41" borderId="127" xfId="53" applyNumberFormat="1" applyFont="1" applyFill="1" applyBorder="1" applyAlignment="1" applyProtection="1">
      <alignment horizontal="right"/>
    </xf>
    <xf numFmtId="166" fontId="5" fillId="0" borderId="128" xfId="53" applyNumberFormat="1" applyFont="1" applyFill="1" applyBorder="1" applyAlignment="1" applyProtection="1">
      <alignment horizontal="right"/>
    </xf>
    <xf numFmtId="0" fontId="9" fillId="0" borderId="129" xfId="53" applyFont="1" applyFill="1" applyBorder="1" applyProtection="1"/>
    <xf numFmtId="0" fontId="24" fillId="0" borderId="80" xfId="53" applyFont="1" applyFill="1" applyBorder="1" applyAlignment="1" applyProtection="1">
      <alignment horizontal="center"/>
    </xf>
    <xf numFmtId="172" fontId="24" fillId="41" borderId="80" xfId="54" applyNumberFormat="1" applyFont="1" applyFill="1" applyBorder="1" applyAlignment="1" applyProtection="1">
      <alignment horizontal="right"/>
    </xf>
    <xf numFmtId="166" fontId="24" fillId="0" borderId="81" xfId="54" applyNumberFormat="1" applyFont="1" applyFill="1" applyBorder="1" applyAlignment="1" applyProtection="1">
      <alignment horizontal="right"/>
    </xf>
    <xf numFmtId="166" fontId="24" fillId="42" borderId="81" xfId="54" applyNumberFormat="1" applyFont="1" applyFill="1" applyBorder="1" applyAlignment="1" applyProtection="1">
      <alignment horizontal="right"/>
    </xf>
    <xf numFmtId="166" fontId="24" fillId="43" borderId="80" xfId="54" applyNumberFormat="1" applyFont="1" applyFill="1" applyBorder="1" applyAlignment="1" applyProtection="1">
      <alignment horizontal="right"/>
    </xf>
    <xf numFmtId="166" fontId="24" fillId="44" borderId="80" xfId="54" applyNumberFormat="1" applyFont="1" applyFill="1" applyBorder="1" applyAlignment="1" applyProtection="1">
      <alignment horizontal="right"/>
    </xf>
    <xf numFmtId="0" fontId="9" fillId="0" borderId="0" xfId="53" applyFont="1"/>
    <xf numFmtId="0" fontId="9" fillId="0" borderId="0" xfId="53" applyFont="1" applyFill="1" applyBorder="1" applyAlignment="1" applyProtection="1"/>
    <xf numFmtId="38" fontId="24" fillId="0" borderId="0" xfId="54" applyNumberFormat="1" applyFont="1" applyFill="1" applyBorder="1" applyAlignment="1" applyProtection="1">
      <alignment horizontal="center"/>
    </xf>
    <xf numFmtId="166" fontId="5" fillId="0" borderId="0" xfId="53" applyNumberFormat="1" applyFont="1" applyAlignment="1">
      <alignment horizontal="center"/>
    </xf>
    <xf numFmtId="6" fontId="24" fillId="0" borderId="0" xfId="54" applyNumberFormat="1" applyFont="1" applyFill="1" applyBorder="1" applyAlignment="1" applyProtection="1">
      <alignment horizontal="center"/>
    </xf>
    <xf numFmtId="0" fontId="9" fillId="41" borderId="0" xfId="53" applyFont="1" applyFill="1" applyBorder="1"/>
    <xf numFmtId="0" fontId="6" fillId="0" borderId="0" xfId="53" applyFont="1" applyFill="1" applyBorder="1" applyAlignment="1" applyProtection="1">
      <alignment horizontal="right" vertical="center"/>
    </xf>
    <xf numFmtId="0" fontId="5" fillId="0" borderId="0" xfId="53" applyFont="1" applyFill="1" applyBorder="1" applyAlignment="1" applyProtection="1"/>
    <xf numFmtId="0" fontId="5" fillId="0" borderId="0" xfId="53" quotePrefix="1" applyFont="1" applyAlignment="1">
      <alignment horizontal="center"/>
    </xf>
    <xf numFmtId="0" fontId="5" fillId="41" borderId="0" xfId="53" quotePrefix="1" applyFont="1" applyFill="1" applyBorder="1" applyAlignment="1">
      <alignment horizontal="center"/>
    </xf>
    <xf numFmtId="165" fontId="5" fillId="0" borderId="0" xfId="54" applyNumberFormat="1" applyFont="1" applyAlignment="1"/>
    <xf numFmtId="0" fontId="5" fillId="0" borderId="0" xfId="53" applyFont="1" applyAlignment="1">
      <alignment horizontal="left"/>
    </xf>
    <xf numFmtId="10" fontId="5" fillId="0" borderId="0" xfId="55" applyNumberFormat="1" applyFont="1" applyAlignment="1"/>
    <xf numFmtId="5" fontId="5" fillId="0" borderId="0" xfId="56" applyNumberFormat="1" applyFont="1" applyAlignment="1">
      <alignment horizontal="right"/>
    </xf>
    <xf numFmtId="0" fontId="5" fillId="0" borderId="0" xfId="53" applyFont="1" applyAlignment="1"/>
    <xf numFmtId="10" fontId="5" fillId="0" borderId="14" xfId="53" applyNumberFormat="1" applyFont="1" applyBorder="1" applyAlignment="1">
      <alignment horizontal="right"/>
    </xf>
    <xf numFmtId="166" fontId="5" fillId="0" borderId="0" xfId="53" applyNumberFormat="1" applyFont="1" applyAlignment="1">
      <alignment horizontal="right"/>
    </xf>
    <xf numFmtId="169" fontId="5" fillId="0" borderId="14" xfId="53" applyNumberFormat="1" applyFont="1" applyBorder="1" applyAlignment="1">
      <alignment horizontal="right"/>
    </xf>
    <xf numFmtId="0" fontId="5" fillId="0" borderId="0" xfId="53" quotePrefix="1" applyFont="1" applyAlignment="1"/>
    <xf numFmtId="165" fontId="5" fillId="0" borderId="14" xfId="53" applyNumberFormat="1" applyFont="1" applyBorder="1" applyAlignment="1">
      <alignment horizontal="right"/>
    </xf>
    <xf numFmtId="6" fontId="5" fillId="0" borderId="14" xfId="53" applyNumberFormat="1" applyFont="1" applyBorder="1" applyAlignment="1">
      <alignment horizontal="right"/>
    </xf>
    <xf numFmtId="6" fontId="5" fillId="0" borderId="0" xfId="53" applyNumberFormat="1" applyFont="1" applyAlignment="1">
      <alignment horizontal="right"/>
    </xf>
    <xf numFmtId="1" fontId="34" fillId="26" borderId="26" xfId="53" applyNumberFormat="1" applyFont="1" applyFill="1" applyBorder="1" applyAlignment="1" applyProtection="1">
      <alignment horizontal="center"/>
    </xf>
    <xf numFmtId="1" fontId="105" fillId="26" borderId="26" xfId="53" applyNumberFormat="1" applyFont="1" applyFill="1" applyBorder="1" applyAlignment="1" applyProtection="1">
      <alignment horizontal="center"/>
    </xf>
    <xf numFmtId="1" fontId="110" fillId="26" borderId="26" xfId="53" applyNumberFormat="1" applyFont="1" applyFill="1" applyBorder="1" applyAlignment="1" applyProtection="1">
      <alignment horizontal="center"/>
    </xf>
    <xf numFmtId="1" fontId="110" fillId="26" borderId="26" xfId="53" applyNumberFormat="1" applyFont="1" applyFill="1" applyBorder="1" applyAlignment="1" applyProtection="1">
      <alignment horizontal="center" wrapText="1"/>
    </xf>
    <xf numFmtId="1" fontId="34" fillId="0" borderId="26" xfId="53" applyNumberFormat="1" applyFont="1" applyBorder="1" applyAlignment="1">
      <alignment horizontal="center"/>
    </xf>
    <xf numFmtId="166" fontId="5" fillId="0" borderId="0" xfId="53" applyNumberFormat="1" applyFont="1"/>
    <xf numFmtId="166" fontId="111" fillId="0" borderId="0" xfId="53" applyNumberFormat="1" applyFont="1"/>
    <xf numFmtId="166" fontId="15" fillId="0" borderId="0" xfId="53" applyNumberFormat="1" applyFont="1" applyAlignment="1">
      <alignment horizontal="center"/>
    </xf>
    <xf numFmtId="0" fontId="5" fillId="0" borderId="0" xfId="53" applyFont="1" applyBorder="1" applyAlignment="1">
      <alignment horizontal="center"/>
    </xf>
    <xf numFmtId="1" fontId="18" fillId="26" borderId="42" xfId="53" applyNumberFormat="1" applyFont="1" applyFill="1" applyBorder="1" applyAlignment="1" applyProtection="1">
      <alignment horizontal="center" wrapText="1"/>
    </xf>
    <xf numFmtId="166" fontId="5" fillId="0" borderId="118" xfId="53" applyNumberFormat="1" applyFont="1" applyFill="1" applyBorder="1" applyAlignment="1" applyProtection="1">
      <alignment horizontal="right"/>
    </xf>
    <xf numFmtId="166" fontId="5" fillId="42" borderId="121" xfId="54" applyNumberFormat="1" applyFont="1" applyFill="1" applyBorder="1" applyAlignment="1" applyProtection="1">
      <alignment horizontal="right"/>
    </xf>
    <xf numFmtId="166" fontId="5" fillId="43" borderId="120" xfId="53" applyNumberFormat="1" applyFont="1" applyFill="1" applyBorder="1" applyAlignment="1" applyProtection="1">
      <alignment horizontal="right"/>
    </xf>
    <xf numFmtId="166" fontId="5" fillId="44" borderId="120" xfId="53" applyNumberFormat="1" applyFont="1" applyFill="1" applyBorder="1" applyAlignment="1" applyProtection="1">
      <alignment horizontal="right"/>
    </xf>
    <xf numFmtId="166" fontId="5" fillId="42" borderId="124" xfId="54" applyNumberFormat="1" applyFont="1" applyFill="1" applyBorder="1" applyAlignment="1" applyProtection="1">
      <alignment horizontal="right"/>
    </xf>
    <xf numFmtId="166" fontId="5" fillId="0" borderId="125" xfId="53" applyNumberFormat="1" applyFont="1" applyFill="1" applyBorder="1" applyAlignment="1" applyProtection="1">
      <alignment horizontal="right"/>
    </xf>
    <xf numFmtId="166" fontId="5" fillId="43" borderId="123" xfId="53" applyNumberFormat="1" applyFont="1" applyFill="1" applyBorder="1" applyAlignment="1" applyProtection="1">
      <alignment horizontal="right"/>
    </xf>
    <xf numFmtId="166" fontId="5" fillId="44" borderId="123" xfId="53" applyNumberFormat="1" applyFont="1" applyFill="1" applyBorder="1" applyAlignment="1" applyProtection="1">
      <alignment horizontal="right"/>
    </xf>
    <xf numFmtId="166" fontId="5" fillId="42" borderId="121" xfId="53" applyNumberFormat="1" applyFont="1" applyFill="1" applyBorder="1" applyAlignment="1" applyProtection="1">
      <alignment horizontal="right"/>
    </xf>
    <xf numFmtId="166" fontId="5" fillId="42" borderId="124" xfId="53" applyNumberFormat="1" applyFont="1" applyFill="1" applyBorder="1" applyAlignment="1" applyProtection="1">
      <alignment horizontal="right"/>
    </xf>
    <xf numFmtId="166" fontId="5" fillId="42" borderId="117" xfId="53" applyNumberFormat="1" applyFont="1" applyFill="1" applyBorder="1" applyAlignment="1" applyProtection="1">
      <alignment horizontal="right"/>
    </xf>
    <xf numFmtId="166" fontId="5" fillId="42" borderId="128" xfId="53" applyNumberFormat="1" applyFont="1" applyFill="1" applyBorder="1" applyAlignment="1" applyProtection="1">
      <alignment horizontal="right"/>
    </xf>
    <xf numFmtId="166" fontId="5" fillId="43" borderId="127" xfId="53" applyNumberFormat="1" applyFont="1" applyFill="1" applyBorder="1" applyAlignment="1" applyProtection="1">
      <alignment horizontal="right"/>
    </xf>
    <xf numFmtId="166" fontId="5" fillId="44" borderId="127" xfId="53" applyNumberFormat="1" applyFont="1" applyFill="1" applyBorder="1" applyAlignment="1" applyProtection="1">
      <alignment horizontal="right"/>
    </xf>
    <xf numFmtId="166" fontId="9" fillId="0" borderId="130" xfId="53" applyNumberFormat="1" applyFont="1" applyFill="1" applyBorder="1" applyAlignment="1" applyProtection="1">
      <alignment horizontal="right"/>
    </xf>
    <xf numFmtId="1" fontId="110" fillId="26" borderId="42" xfId="53" applyNumberFormat="1" applyFont="1" applyFill="1" applyBorder="1" applyAlignment="1" applyProtection="1">
      <alignment horizontal="center" wrapText="1"/>
    </xf>
    <xf numFmtId="170" fontId="24" fillId="59" borderId="26" xfId="53" applyNumberFormat="1" applyFont="1" applyFill="1" applyBorder="1" applyAlignment="1">
      <alignment horizontal="center" vertical="center" wrapText="1"/>
    </xf>
    <xf numFmtId="0" fontId="95" fillId="41" borderId="13" xfId="0" applyFont="1" applyFill="1" applyBorder="1" applyAlignment="1">
      <alignment horizontal="left" wrapText="1"/>
    </xf>
    <xf numFmtId="0" fontId="72" fillId="41" borderId="13" xfId="0" applyFont="1" applyFill="1" applyBorder="1" applyAlignment="1">
      <alignment horizontal="left" wrapText="1"/>
    </xf>
    <xf numFmtId="0" fontId="95" fillId="48" borderId="26" xfId="0" applyFont="1" applyFill="1" applyBorder="1" applyAlignment="1">
      <alignment horizontal="left" wrapText="1"/>
    </xf>
    <xf numFmtId="0" fontId="72" fillId="48" borderId="26" xfId="0" applyFont="1" applyFill="1" applyBorder="1" applyAlignment="1">
      <alignment horizontal="left" wrapText="1"/>
    </xf>
    <xf numFmtId="38" fontId="72" fillId="48" borderId="26" xfId="0" applyNumberFormat="1" applyFont="1" applyFill="1" applyBorder="1" applyAlignment="1">
      <alignment wrapText="1"/>
    </xf>
    <xf numFmtId="0" fontId="95" fillId="48" borderId="13" xfId="0" applyFont="1" applyFill="1" applyBorder="1" applyAlignment="1">
      <alignment horizontal="left" wrapText="1"/>
    </xf>
    <xf numFmtId="0" fontId="72" fillId="48" borderId="13" xfId="0" applyFont="1" applyFill="1" applyBorder="1" applyAlignment="1">
      <alignment horizontal="left" wrapText="1"/>
    </xf>
    <xf numFmtId="3" fontId="57" fillId="41" borderId="35" xfId="0" applyNumberFormat="1" applyFont="1" applyFill="1" applyBorder="1" applyAlignment="1">
      <alignment horizontal="right" wrapText="1"/>
    </xf>
    <xf numFmtId="6" fontId="5" fillId="0" borderId="11" xfId="0" applyNumberFormat="1" applyFont="1" applyFill="1" applyBorder="1" applyProtection="1"/>
    <xf numFmtId="166" fontId="5" fillId="43" borderId="117" xfId="54" applyNumberFormat="1" applyFont="1" applyFill="1" applyBorder="1" applyAlignment="1" applyProtection="1">
      <alignment horizontal="right"/>
    </xf>
    <xf numFmtId="166" fontId="5" fillId="43" borderId="121" xfId="54" applyNumberFormat="1" applyFont="1" applyFill="1" applyBorder="1" applyAlignment="1" applyProtection="1">
      <alignment horizontal="right"/>
    </xf>
    <xf numFmtId="166" fontId="5" fillId="43" borderId="124" xfId="54" applyNumberFormat="1" applyFont="1" applyFill="1" applyBorder="1" applyAlignment="1" applyProtection="1">
      <alignment horizontal="right"/>
    </xf>
    <xf numFmtId="166" fontId="5" fillId="43" borderId="121" xfId="53" applyNumberFormat="1" applyFont="1" applyFill="1" applyBorder="1" applyAlignment="1" applyProtection="1">
      <alignment horizontal="right"/>
    </xf>
    <xf numFmtId="166" fontId="5" fillId="43" borderId="124" xfId="53" applyNumberFormat="1" applyFont="1" applyFill="1" applyBorder="1" applyAlignment="1" applyProtection="1">
      <alignment horizontal="right"/>
    </xf>
    <xf numFmtId="166" fontId="5" fillId="43" borderId="117" xfId="53" applyNumberFormat="1" applyFont="1" applyFill="1" applyBorder="1" applyAlignment="1" applyProtection="1">
      <alignment horizontal="right"/>
    </xf>
    <xf numFmtId="166" fontId="5" fillId="43" borderId="128" xfId="53" applyNumberFormat="1" applyFont="1" applyFill="1" applyBorder="1" applyAlignment="1" applyProtection="1">
      <alignment horizontal="right"/>
    </xf>
    <xf numFmtId="166" fontId="24" fillId="43" borderId="81" xfId="54" applyNumberFormat="1" applyFont="1" applyFill="1" applyBorder="1" applyAlignment="1" applyProtection="1">
      <alignment horizontal="right"/>
    </xf>
    <xf numFmtId="166" fontId="5" fillId="44" borderId="117" xfId="54" applyNumberFormat="1" applyFont="1" applyFill="1" applyBorder="1" applyAlignment="1" applyProtection="1">
      <alignment horizontal="right"/>
    </xf>
    <xf numFmtId="166" fontId="5" fillId="44" borderId="121" xfId="54" applyNumberFormat="1" applyFont="1" applyFill="1" applyBorder="1" applyAlignment="1" applyProtection="1">
      <alignment horizontal="right"/>
    </xf>
    <xf numFmtId="166" fontId="5" fillId="44" borderId="124" xfId="54" applyNumberFormat="1" applyFont="1" applyFill="1" applyBorder="1" applyAlignment="1" applyProtection="1">
      <alignment horizontal="right"/>
    </xf>
    <xf numFmtId="166" fontId="5" fillId="44" borderId="121" xfId="53" applyNumberFormat="1" applyFont="1" applyFill="1" applyBorder="1" applyAlignment="1" applyProtection="1">
      <alignment horizontal="right"/>
    </xf>
    <xf numFmtId="166" fontId="5" fillId="44" borderId="124" xfId="53" applyNumberFormat="1" applyFont="1" applyFill="1" applyBorder="1" applyAlignment="1" applyProtection="1">
      <alignment horizontal="right"/>
    </xf>
    <xf numFmtId="166" fontId="5" fillId="44" borderId="117" xfId="53" applyNumberFormat="1" applyFont="1" applyFill="1" applyBorder="1" applyAlignment="1" applyProtection="1">
      <alignment horizontal="right"/>
    </xf>
    <xf numFmtId="166" fontId="5" fillId="44" borderId="128" xfId="53" applyNumberFormat="1" applyFont="1" applyFill="1" applyBorder="1" applyAlignment="1" applyProtection="1">
      <alignment horizontal="right"/>
    </xf>
    <xf numFmtId="166" fontId="24" fillId="44" borderId="81" xfId="54" applyNumberFormat="1" applyFont="1" applyFill="1" applyBorder="1" applyAlignment="1" applyProtection="1">
      <alignment horizontal="right"/>
    </xf>
    <xf numFmtId="0" fontId="0" fillId="0" borderId="0" xfId="0" applyAlignment="1">
      <alignment horizontal="center" vertical="top" wrapText="1"/>
    </xf>
    <xf numFmtId="5" fontId="17" fillId="27" borderId="45" xfId="0" applyNumberFormat="1" applyFont="1" applyFill="1" applyBorder="1" applyAlignment="1" applyProtection="1">
      <alignment vertical="center"/>
    </xf>
    <xf numFmtId="0" fontId="0" fillId="0" borderId="0" xfId="0" applyAlignment="1">
      <alignment horizontal="center" vertical="top" wrapText="1"/>
    </xf>
    <xf numFmtId="49" fontId="24" fillId="42" borderId="10" xfId="53" applyNumberFormat="1" applyFont="1" applyFill="1" applyBorder="1" applyAlignment="1">
      <alignment horizontal="center" vertical="center" wrapText="1"/>
    </xf>
    <xf numFmtId="49" fontId="24" fillId="43" borderId="13" xfId="53" applyNumberFormat="1" applyFont="1" applyFill="1" applyBorder="1" applyAlignment="1">
      <alignment horizontal="center" vertical="center" wrapText="1"/>
    </xf>
    <xf numFmtId="49" fontId="24" fillId="43" borderId="10" xfId="53" applyNumberFormat="1" applyFont="1" applyFill="1" applyBorder="1" applyAlignment="1">
      <alignment horizontal="center" vertical="center" wrapText="1"/>
    </xf>
    <xf numFmtId="166" fontId="5" fillId="41" borderId="117" xfId="54" applyNumberFormat="1" applyFont="1" applyFill="1" applyBorder="1" applyAlignment="1" applyProtection="1">
      <alignment horizontal="right"/>
    </xf>
    <xf numFmtId="166" fontId="5" fillId="41" borderId="121" xfId="54" applyNumberFormat="1" applyFont="1" applyFill="1" applyBorder="1" applyAlignment="1" applyProtection="1">
      <alignment horizontal="right"/>
    </xf>
    <xf numFmtId="166" fontId="5" fillId="41" borderId="124" xfId="54" applyNumberFormat="1" applyFont="1" applyFill="1" applyBorder="1" applyAlignment="1" applyProtection="1">
      <alignment horizontal="right"/>
    </xf>
    <xf numFmtId="166" fontId="5" fillId="41" borderId="121" xfId="53" applyNumberFormat="1" applyFont="1" applyFill="1" applyBorder="1" applyAlignment="1" applyProtection="1">
      <alignment horizontal="right"/>
    </xf>
    <xf numFmtId="166" fontId="5" fillId="41" borderId="124" xfId="53" applyNumberFormat="1" applyFont="1" applyFill="1" applyBorder="1" applyAlignment="1" applyProtection="1">
      <alignment horizontal="right"/>
    </xf>
    <xf numFmtId="166" fontId="5" fillId="41" borderId="117" xfId="53" applyNumberFormat="1" applyFont="1" applyFill="1" applyBorder="1" applyAlignment="1" applyProtection="1">
      <alignment horizontal="right"/>
    </xf>
    <xf numFmtId="166" fontId="5" fillId="41" borderId="128" xfId="53" applyNumberFormat="1" applyFont="1" applyFill="1" applyBorder="1" applyAlignment="1" applyProtection="1">
      <alignment horizontal="right"/>
    </xf>
    <xf numFmtId="166" fontId="24" fillId="41" borderId="81" xfId="54" applyNumberFormat="1" applyFont="1" applyFill="1" applyBorder="1" applyAlignment="1" applyProtection="1">
      <alignment horizontal="right"/>
    </xf>
    <xf numFmtId="10" fontId="24" fillId="60" borderId="13" xfId="48" applyNumberFormat="1" applyFont="1" applyFill="1" applyBorder="1" applyAlignment="1">
      <alignment horizontal="center" vertical="center" wrapText="1"/>
    </xf>
    <xf numFmtId="10" fontId="24" fillId="43" borderId="13" xfId="48" applyNumberFormat="1" applyFont="1" applyFill="1" applyBorder="1" applyAlignment="1">
      <alignment horizontal="center" vertical="center" wrapText="1"/>
    </xf>
    <xf numFmtId="6" fontId="5" fillId="41" borderId="117" xfId="54" applyNumberFormat="1" applyFont="1" applyFill="1" applyBorder="1" applyAlignment="1" applyProtection="1">
      <alignment horizontal="right"/>
    </xf>
    <xf numFmtId="6" fontId="5" fillId="41" borderId="121" xfId="54" applyNumberFormat="1" applyFont="1" applyFill="1" applyBorder="1" applyAlignment="1" applyProtection="1">
      <alignment horizontal="right"/>
    </xf>
    <xf numFmtId="6" fontId="5" fillId="41" borderId="124" xfId="54" applyNumberFormat="1" applyFont="1" applyFill="1" applyBorder="1" applyAlignment="1" applyProtection="1">
      <alignment horizontal="right"/>
    </xf>
    <xf numFmtId="6" fontId="5" fillId="41" borderId="121" xfId="53" applyNumberFormat="1" applyFont="1" applyFill="1" applyBorder="1" applyAlignment="1" applyProtection="1">
      <alignment horizontal="right"/>
    </xf>
    <xf numFmtId="6" fontId="5" fillId="41" borderId="124" xfId="53" applyNumberFormat="1" applyFont="1" applyFill="1" applyBorder="1" applyAlignment="1" applyProtection="1">
      <alignment horizontal="right"/>
    </xf>
    <xf numFmtId="6" fontId="5" fillId="41" borderId="117" xfId="53" applyNumberFormat="1" applyFont="1" applyFill="1" applyBorder="1" applyAlignment="1" applyProtection="1">
      <alignment horizontal="right"/>
    </xf>
    <xf numFmtId="6" fontId="5" fillId="41" borderId="128" xfId="53" applyNumberFormat="1" applyFont="1" applyFill="1" applyBorder="1" applyAlignment="1" applyProtection="1">
      <alignment horizontal="right"/>
    </xf>
    <xf numFmtId="6" fontId="24" fillId="41" borderId="81" xfId="54" applyNumberFormat="1" applyFont="1" applyFill="1" applyBorder="1" applyAlignment="1" applyProtection="1">
      <alignment horizontal="right"/>
    </xf>
    <xf numFmtId="6" fontId="5" fillId="41" borderId="116" xfId="53" applyNumberFormat="1" applyFont="1" applyFill="1" applyBorder="1" applyAlignment="1" applyProtection="1">
      <alignment horizontal="right"/>
    </xf>
    <xf numFmtId="6" fontId="5" fillId="41" borderId="120" xfId="53" applyNumberFormat="1" applyFont="1" applyFill="1" applyBorder="1" applyAlignment="1" applyProtection="1">
      <alignment horizontal="right"/>
    </xf>
    <xf numFmtId="6" fontId="5" fillId="41" borderId="123" xfId="53" applyNumberFormat="1" applyFont="1" applyFill="1" applyBorder="1" applyAlignment="1" applyProtection="1">
      <alignment horizontal="right"/>
    </xf>
    <xf numFmtId="6" fontId="5" fillId="41" borderId="127" xfId="53" applyNumberFormat="1" applyFont="1" applyFill="1" applyBorder="1" applyAlignment="1" applyProtection="1">
      <alignment horizontal="right"/>
    </xf>
    <xf numFmtId="6" fontId="24" fillId="41" borderId="80" xfId="54" applyNumberFormat="1" applyFont="1" applyFill="1" applyBorder="1" applyAlignment="1" applyProtection="1">
      <alignment horizontal="right"/>
    </xf>
    <xf numFmtId="172" fontId="5" fillId="41" borderId="188" xfId="54" applyNumberFormat="1" applyFont="1" applyFill="1" applyBorder="1" applyAlignment="1" applyProtection="1">
      <alignment horizontal="right"/>
    </xf>
    <xf numFmtId="172" fontId="5" fillId="41" borderId="189" xfId="54" applyNumberFormat="1" applyFont="1" applyFill="1" applyBorder="1" applyAlignment="1" applyProtection="1">
      <alignment horizontal="right"/>
    </xf>
    <xf numFmtId="172" fontId="5" fillId="41" borderId="190" xfId="54" applyNumberFormat="1" applyFont="1" applyFill="1" applyBorder="1" applyAlignment="1" applyProtection="1">
      <alignment horizontal="right"/>
    </xf>
    <xf numFmtId="172" fontId="5" fillId="41" borderId="189" xfId="53" applyNumberFormat="1" applyFont="1" applyFill="1" applyBorder="1" applyAlignment="1" applyProtection="1">
      <alignment horizontal="right"/>
    </xf>
    <xf numFmtId="172" fontId="5" fillId="41" borderId="190" xfId="53" applyNumberFormat="1" applyFont="1" applyFill="1" applyBorder="1" applyAlignment="1" applyProtection="1">
      <alignment horizontal="right"/>
    </xf>
    <xf numFmtId="172" fontId="5" fillId="41" borderId="188" xfId="53" applyNumberFormat="1" applyFont="1" applyFill="1" applyBorder="1" applyAlignment="1" applyProtection="1">
      <alignment horizontal="right"/>
    </xf>
    <xf numFmtId="172" fontId="5" fillId="41" borderId="191" xfId="53" applyNumberFormat="1" applyFont="1" applyFill="1" applyBorder="1" applyAlignment="1" applyProtection="1">
      <alignment horizontal="right"/>
    </xf>
    <xf numFmtId="0" fontId="15" fillId="0" borderId="0" xfId="53" applyFont="1" applyFill="1" applyBorder="1" applyAlignment="1" applyProtection="1">
      <alignment wrapText="1"/>
    </xf>
    <xf numFmtId="10" fontId="5" fillId="0" borderId="0" xfId="53" applyNumberFormat="1" applyFont="1" applyBorder="1" applyAlignment="1">
      <alignment horizontal="right"/>
    </xf>
    <xf numFmtId="169" fontId="5" fillId="0" borderId="0" xfId="53" applyNumberFormat="1" applyFont="1" applyBorder="1" applyAlignment="1">
      <alignment horizontal="right"/>
    </xf>
    <xf numFmtId="165" fontId="5" fillId="0" borderId="0" xfId="53" applyNumberFormat="1" applyFont="1" applyBorder="1" applyAlignment="1">
      <alignment horizontal="right"/>
    </xf>
    <xf numFmtId="6" fontId="5" fillId="0" borderId="0" xfId="53" applyNumberFormat="1" applyFont="1" applyBorder="1" applyAlignment="1">
      <alignment horizontal="right"/>
    </xf>
    <xf numFmtId="0" fontId="0" fillId="0" borderId="0" xfId="0" applyBorder="1" applyAlignment="1">
      <alignment horizontal="left" wrapText="1"/>
    </xf>
    <xf numFmtId="5" fontId="17" fillId="27" borderId="192" xfId="0" applyNumberFormat="1" applyFont="1" applyFill="1" applyBorder="1" applyAlignment="1" applyProtection="1">
      <alignment vertical="center"/>
    </xf>
    <xf numFmtId="10" fontId="12" fillId="27" borderId="193" xfId="0" applyNumberFormat="1" applyFont="1" applyFill="1" applyBorder="1" applyAlignment="1" applyProtection="1">
      <alignment vertical="center"/>
    </xf>
    <xf numFmtId="172" fontId="24" fillId="41" borderId="194" xfId="54" applyNumberFormat="1" applyFont="1" applyFill="1" applyBorder="1" applyAlignment="1" applyProtection="1">
      <alignment horizontal="right"/>
    </xf>
    <xf numFmtId="3" fontId="5" fillId="41" borderId="188" xfId="53" applyNumberFormat="1" applyFont="1" applyFill="1" applyBorder="1" applyAlignment="1" applyProtection="1">
      <alignment horizontal="right"/>
    </xf>
    <xf numFmtId="3" fontId="5" fillId="41" borderId="189" xfId="53" applyNumberFormat="1" applyFont="1" applyFill="1" applyBorder="1" applyAlignment="1" applyProtection="1">
      <alignment horizontal="right"/>
    </xf>
    <xf numFmtId="6" fontId="5" fillId="0" borderId="0" xfId="53" applyNumberFormat="1" applyFont="1" applyAlignment="1">
      <alignment horizontal="center"/>
    </xf>
    <xf numFmtId="0" fontId="5" fillId="0" borderId="0" xfId="53" applyFont="1" applyAlignment="1">
      <alignment wrapText="1"/>
    </xf>
    <xf numFmtId="0" fontId="10" fillId="0" borderId="195" xfId="0" quotePrefix="1" applyFont="1" applyFill="1" applyBorder="1" applyAlignment="1">
      <alignment horizontal="center"/>
    </xf>
    <xf numFmtId="0" fontId="7" fillId="41" borderId="67" xfId="0" applyFont="1" applyFill="1" applyBorder="1" applyProtection="1"/>
    <xf numFmtId="6" fontId="7" fillId="41" borderId="11" xfId="0" applyNumberFormat="1" applyFont="1" applyFill="1" applyBorder="1" applyProtection="1"/>
    <xf numFmtId="0" fontId="7" fillId="41" borderId="68" xfId="0" applyFont="1" applyFill="1" applyBorder="1" applyProtection="1"/>
    <xf numFmtId="6" fontId="7" fillId="41" borderId="70" xfId="0" applyNumberFormat="1" applyFont="1" applyFill="1" applyBorder="1" applyProtection="1"/>
    <xf numFmtId="6" fontId="108" fillId="41" borderId="11" xfId="0" applyNumberFormat="1" applyFont="1" applyFill="1" applyBorder="1" applyProtection="1"/>
    <xf numFmtId="0" fontId="0" fillId="0" borderId="0" xfId="0" applyFill="1" applyBorder="1" applyAlignment="1">
      <alignment horizontal="center"/>
    </xf>
    <xf numFmtId="1" fontId="113" fillId="26" borderId="26" xfId="53" applyNumberFormat="1" applyFont="1" applyFill="1" applyBorder="1" applyAlignment="1" applyProtection="1">
      <alignment horizontal="center"/>
    </xf>
    <xf numFmtId="1" fontId="113" fillId="26" borderId="26" xfId="53" applyNumberFormat="1" applyFont="1" applyFill="1" applyBorder="1" applyAlignment="1" applyProtection="1">
      <alignment horizontal="center" wrapText="1"/>
    </xf>
    <xf numFmtId="1" fontId="113" fillId="26" borderId="42" xfId="53" applyNumberFormat="1" applyFont="1" applyFill="1" applyBorder="1" applyAlignment="1" applyProtection="1">
      <alignment horizontal="center" wrapText="1"/>
    </xf>
    <xf numFmtId="0" fontId="20" fillId="41" borderId="52" xfId="0" applyFont="1" applyFill="1" applyBorder="1" applyAlignment="1">
      <alignment horizontal="center"/>
    </xf>
    <xf numFmtId="0" fontId="20" fillId="41" borderId="51" xfId="0" applyFont="1" applyFill="1" applyBorder="1" applyAlignment="1">
      <alignment horizontal="left"/>
    </xf>
    <xf numFmtId="0" fontId="10" fillId="41" borderId="51" xfId="0" applyFont="1" applyFill="1" applyBorder="1" applyAlignment="1">
      <alignment horizontal="left"/>
    </xf>
    <xf numFmtId="5" fontId="20" fillId="41" borderId="19" xfId="0" applyNumberFormat="1" applyFont="1" applyFill="1" applyBorder="1" applyProtection="1"/>
    <xf numFmtId="5" fontId="20" fillId="41" borderId="157" xfId="0" applyNumberFormat="1" applyFont="1" applyFill="1" applyBorder="1" applyProtection="1"/>
    <xf numFmtId="5" fontId="20" fillId="41" borderId="181" xfId="0" applyNumberFormat="1" applyFont="1" applyFill="1" applyBorder="1" applyProtection="1"/>
    <xf numFmtId="5" fontId="20" fillId="41" borderId="158" xfId="0" applyNumberFormat="1" applyFont="1" applyFill="1" applyBorder="1" applyProtection="1"/>
    <xf numFmtId="10" fontId="20" fillId="41" borderId="95" xfId="0" applyNumberFormat="1" applyFont="1" applyFill="1" applyBorder="1" applyProtection="1"/>
    <xf numFmtId="0" fontId="10" fillId="41" borderId="0" xfId="0" applyFont="1" applyFill="1" applyBorder="1" applyAlignment="1">
      <alignment horizontal="left"/>
    </xf>
    <xf numFmtId="0" fontId="10" fillId="41" borderId="52" xfId="0" applyFont="1" applyFill="1" applyBorder="1" applyAlignment="1">
      <alignment horizontal="center"/>
    </xf>
    <xf numFmtId="0" fontId="10" fillId="41" borderId="0" xfId="0" quotePrefix="1" applyFont="1" applyFill="1" applyBorder="1" applyAlignment="1">
      <alignment horizontal="center"/>
    </xf>
    <xf numFmtId="5" fontId="12" fillId="41" borderId="20" xfId="0" applyNumberFormat="1" applyFont="1" applyFill="1" applyBorder="1" applyProtection="1"/>
    <xf numFmtId="10" fontId="12" fillId="41" borderId="106" xfId="0" applyNumberFormat="1" applyFont="1" applyFill="1" applyBorder="1" applyProtection="1"/>
    <xf numFmtId="0" fontId="10" fillId="0" borderId="51" xfId="0" applyFont="1" applyFill="1" applyBorder="1" applyAlignment="1">
      <alignment horizontal="left" wrapText="1"/>
    </xf>
    <xf numFmtId="0" fontId="10" fillId="0" borderId="196" xfId="0" applyFont="1" applyFill="1" applyBorder="1" applyAlignment="1">
      <alignment horizontal="left"/>
    </xf>
    <xf numFmtId="5" fontId="20" fillId="0" borderId="197" xfId="0" applyNumberFormat="1" applyFont="1" applyFill="1" applyBorder="1" applyProtection="1"/>
    <xf numFmtId="5" fontId="12" fillId="0" borderId="198" xfId="0" applyNumberFormat="1" applyFont="1" applyFill="1" applyBorder="1" applyProtection="1"/>
    <xf numFmtId="5" fontId="12" fillId="0" borderId="199" xfId="0" applyNumberFormat="1" applyFont="1" applyFill="1" applyBorder="1" applyProtection="1"/>
    <xf numFmtId="5" fontId="12" fillId="0" borderId="200" xfId="0" applyNumberFormat="1" applyFont="1" applyFill="1" applyBorder="1" applyProtection="1"/>
    <xf numFmtId="5" fontId="12" fillId="0" borderId="201" xfId="0" applyNumberFormat="1" applyFont="1" applyFill="1" applyBorder="1" applyAlignment="1" applyProtection="1"/>
    <xf numFmtId="0" fontId="10" fillId="0" borderId="202" xfId="0" applyFont="1" applyFill="1" applyBorder="1" applyAlignment="1">
      <alignment horizontal="left"/>
    </xf>
    <xf numFmtId="5" fontId="12" fillId="0" borderId="203" xfId="0" applyNumberFormat="1" applyFont="1" applyFill="1" applyBorder="1" applyAlignment="1" applyProtection="1"/>
    <xf numFmtId="5" fontId="12" fillId="0" borderId="204" xfId="0" applyNumberFormat="1" applyFont="1" applyFill="1" applyBorder="1" applyAlignment="1" applyProtection="1"/>
    <xf numFmtId="5" fontId="12" fillId="0" borderId="205" xfId="0" applyNumberFormat="1" applyFont="1" applyFill="1" applyBorder="1" applyAlignment="1" applyProtection="1"/>
    <xf numFmtId="5" fontId="12" fillId="0" borderId="206" xfId="0" applyNumberFormat="1" applyFont="1" applyFill="1" applyBorder="1" applyProtection="1"/>
    <xf numFmtId="10" fontId="12" fillId="0" borderId="207" xfId="0" applyNumberFormat="1" applyFont="1" applyFill="1" applyBorder="1" applyProtection="1"/>
    <xf numFmtId="0" fontId="10" fillId="0" borderId="208" xfId="0" applyFont="1" applyFill="1" applyBorder="1" applyAlignment="1">
      <alignment horizontal="left"/>
    </xf>
    <xf numFmtId="5" fontId="12" fillId="0" borderId="209" xfId="0" applyNumberFormat="1" applyFont="1" applyFill="1" applyBorder="1" applyProtection="1"/>
    <xf numFmtId="5" fontId="12" fillId="0" borderId="208" xfId="0" applyNumberFormat="1" applyFont="1" applyFill="1" applyBorder="1" applyProtection="1"/>
    <xf numFmtId="5" fontId="12" fillId="0" borderId="210" xfId="0" applyNumberFormat="1" applyFont="1" applyFill="1" applyBorder="1" applyProtection="1"/>
    <xf numFmtId="5" fontId="12" fillId="0" borderId="211" xfId="0" applyNumberFormat="1" applyFont="1" applyFill="1" applyBorder="1" applyProtection="1"/>
    <xf numFmtId="10" fontId="12" fillId="0" borderId="212" xfId="0" applyNumberFormat="1" applyFont="1" applyFill="1" applyBorder="1" applyProtection="1"/>
    <xf numFmtId="0" fontId="10" fillId="0" borderId="21" xfId="0" applyFont="1" applyFill="1" applyBorder="1" applyAlignment="1">
      <alignment horizontal="right"/>
    </xf>
    <xf numFmtId="165" fontId="10" fillId="0" borderId="155" xfId="28" applyNumberFormat="1" applyFont="1" applyFill="1" applyBorder="1" applyAlignment="1" applyProtection="1"/>
    <xf numFmtId="165" fontId="10" fillId="0" borderId="20" xfId="28" applyNumberFormat="1" applyFont="1" applyFill="1" applyBorder="1" applyAlignment="1" applyProtection="1"/>
    <xf numFmtId="165" fontId="10" fillId="0" borderId="154" xfId="28" applyNumberFormat="1" applyFont="1" applyFill="1" applyBorder="1" applyAlignment="1" applyProtection="1"/>
    <xf numFmtId="165" fontId="10" fillId="0" borderId="144" xfId="28" applyNumberFormat="1" applyFont="1" applyFill="1" applyBorder="1" applyAlignment="1" applyProtection="1"/>
    <xf numFmtId="165" fontId="10" fillId="0" borderId="27" xfId="28" applyNumberFormat="1" applyFont="1" applyFill="1" applyBorder="1" applyProtection="1"/>
    <xf numFmtId="0" fontId="10" fillId="0" borderId="21" xfId="0" applyFont="1" applyFill="1" applyBorder="1" applyAlignment="1">
      <alignment horizontal="right" vertical="top"/>
    </xf>
    <xf numFmtId="0" fontId="10" fillId="0" borderId="20" xfId="0" applyFont="1" applyFill="1" applyBorder="1" applyAlignment="1">
      <alignment horizontal="left" vertical="top" wrapText="1"/>
    </xf>
    <xf numFmtId="0" fontId="5" fillId="0" borderId="0" xfId="53"/>
    <xf numFmtId="3" fontId="5" fillId="41" borderId="120" xfId="54" applyNumberFormat="1" applyFont="1" applyFill="1" applyBorder="1" applyAlignment="1" applyProtection="1">
      <alignment horizontal="right"/>
    </xf>
    <xf numFmtId="3" fontId="5" fillId="41" borderId="123" xfId="54" applyNumberFormat="1" applyFont="1" applyFill="1" applyBorder="1" applyAlignment="1" applyProtection="1">
      <alignment horizontal="right"/>
    </xf>
    <xf numFmtId="3" fontId="5" fillId="41" borderId="116" xfId="54" applyNumberFormat="1" applyFont="1" applyFill="1" applyBorder="1" applyAlignment="1" applyProtection="1">
      <alignment horizontal="right"/>
    </xf>
    <xf numFmtId="3" fontId="5" fillId="41" borderId="120" xfId="53" applyNumberFormat="1" applyFont="1" applyFill="1" applyBorder="1" applyAlignment="1" applyProtection="1">
      <alignment horizontal="right"/>
    </xf>
    <xf numFmtId="3" fontId="5" fillId="41" borderId="123" xfId="53" applyNumberFormat="1" applyFont="1" applyFill="1" applyBorder="1" applyAlignment="1" applyProtection="1">
      <alignment horizontal="right"/>
    </xf>
    <xf numFmtId="3" fontId="5" fillId="41" borderId="116" xfId="53" applyNumberFormat="1" applyFont="1" applyFill="1" applyBorder="1" applyAlignment="1" applyProtection="1">
      <alignment horizontal="right"/>
    </xf>
    <xf numFmtId="3" fontId="5" fillId="41" borderId="127" xfId="53" applyNumberFormat="1" applyFont="1" applyFill="1" applyBorder="1" applyAlignment="1" applyProtection="1">
      <alignment horizontal="right"/>
    </xf>
    <xf numFmtId="0" fontId="5" fillId="0" borderId="0" xfId="0" applyFont="1" applyAlignment="1">
      <alignment wrapText="1"/>
    </xf>
    <xf numFmtId="0" fontId="7" fillId="0" borderId="0" xfId="0" applyFont="1" applyAlignment="1">
      <alignment horizontal="center"/>
    </xf>
    <xf numFmtId="49" fontId="24" fillId="43" borderId="13" xfId="53" applyNumberFormat="1" applyFont="1" applyFill="1" applyBorder="1" applyAlignment="1">
      <alignment horizontal="center" vertical="center" wrapText="1"/>
    </xf>
    <xf numFmtId="49" fontId="24" fillId="43" borderId="44" xfId="53" applyNumberFormat="1" applyFont="1" applyFill="1" applyBorder="1" applyAlignment="1">
      <alignment horizontal="center" vertical="center" wrapText="1"/>
    </xf>
    <xf numFmtId="49" fontId="24" fillId="43" borderId="78" xfId="53" applyNumberFormat="1" applyFont="1" applyFill="1" applyBorder="1" applyAlignment="1">
      <alignment horizontal="center" vertical="center" wrapText="1"/>
    </xf>
    <xf numFmtId="49" fontId="24" fillId="43" borderId="10" xfId="53" applyNumberFormat="1" applyFont="1" applyFill="1" applyBorder="1" applyAlignment="1">
      <alignment horizontal="center" vertical="center" wrapText="1"/>
    </xf>
    <xf numFmtId="6" fontId="7" fillId="42" borderId="117" xfId="30" applyNumberFormat="1" applyFont="1" applyFill="1" applyBorder="1" applyAlignment="1" applyProtection="1">
      <alignment horizontal="right"/>
    </xf>
    <xf numFmtId="6" fontId="7" fillId="42" borderId="121" xfId="30" applyNumberFormat="1" applyFont="1" applyFill="1" applyBorder="1" applyAlignment="1" applyProtection="1">
      <alignment horizontal="right"/>
    </xf>
    <xf numFmtId="6" fontId="7" fillId="42" borderId="124" xfId="30" applyNumberFormat="1" applyFont="1" applyFill="1" applyBorder="1" applyAlignment="1" applyProtection="1">
      <alignment horizontal="right"/>
    </xf>
    <xf numFmtId="6" fontId="7" fillId="42" borderId="121" xfId="0" applyNumberFormat="1" applyFont="1" applyFill="1" applyBorder="1" applyAlignment="1" applyProtection="1">
      <alignment horizontal="right"/>
    </xf>
    <xf numFmtId="6" fontId="7" fillId="42" borderId="124" xfId="0" applyNumberFormat="1" applyFont="1" applyFill="1" applyBorder="1" applyAlignment="1" applyProtection="1">
      <alignment horizontal="right"/>
    </xf>
    <xf numFmtId="6" fontId="7" fillId="42" borderId="117" xfId="0" applyNumberFormat="1" applyFont="1" applyFill="1" applyBorder="1" applyAlignment="1" applyProtection="1">
      <alignment horizontal="right"/>
    </xf>
    <xf numFmtId="6" fontId="7" fillId="42" borderId="128" xfId="0" applyNumberFormat="1" applyFont="1" applyFill="1" applyBorder="1" applyAlignment="1" applyProtection="1">
      <alignment horizontal="right"/>
    </xf>
    <xf numFmtId="6" fontId="24" fillId="42" borderId="81" xfId="30" applyNumberFormat="1" applyFont="1" applyFill="1" applyBorder="1" applyAlignment="1" applyProtection="1">
      <alignment horizontal="right"/>
    </xf>
    <xf numFmtId="166" fontId="5" fillId="42" borderId="117" xfId="30" applyNumberFormat="1" applyFont="1" applyFill="1" applyBorder="1" applyAlignment="1" applyProtection="1">
      <alignment horizontal="right"/>
    </xf>
    <xf numFmtId="6" fontId="7" fillId="43" borderId="116" xfId="0" applyNumberFormat="1" applyFont="1" applyFill="1" applyBorder="1" applyAlignment="1" applyProtection="1">
      <alignment horizontal="right"/>
    </xf>
    <xf numFmtId="6" fontId="7" fillId="43" borderId="120" xfId="0" applyNumberFormat="1" applyFont="1" applyFill="1" applyBorder="1" applyAlignment="1" applyProtection="1">
      <alignment horizontal="right"/>
    </xf>
    <xf numFmtId="6" fontId="7" fillId="43" borderId="123" xfId="0" applyNumberFormat="1" applyFont="1" applyFill="1" applyBorder="1" applyAlignment="1" applyProtection="1">
      <alignment horizontal="right"/>
    </xf>
    <xf numFmtId="6" fontId="7" fillId="43" borderId="127" xfId="0" applyNumberFormat="1" applyFont="1" applyFill="1" applyBorder="1" applyAlignment="1" applyProtection="1">
      <alignment horizontal="right"/>
    </xf>
    <xf numFmtId="6" fontId="24" fillId="43" borderId="80" xfId="30" applyNumberFormat="1" applyFont="1" applyFill="1" applyBorder="1" applyAlignment="1" applyProtection="1">
      <alignment horizontal="right"/>
    </xf>
    <xf numFmtId="0" fontId="5" fillId="0" borderId="215" xfId="53" applyFont="1" applyFill="1" applyBorder="1" applyProtection="1"/>
    <xf numFmtId="0" fontId="5" fillId="0" borderId="39" xfId="53" applyFont="1" applyFill="1" applyBorder="1" applyProtection="1"/>
    <xf numFmtId="172" fontId="5" fillId="41" borderId="39" xfId="53" applyNumberFormat="1" applyFont="1" applyFill="1" applyBorder="1" applyAlignment="1" applyProtection="1">
      <alignment horizontal="right"/>
    </xf>
    <xf numFmtId="166" fontId="5" fillId="0" borderId="219" xfId="53" applyNumberFormat="1" applyFont="1" applyFill="1" applyBorder="1" applyAlignment="1" applyProtection="1">
      <alignment horizontal="right"/>
    </xf>
    <xf numFmtId="166" fontId="5" fillId="43" borderId="219" xfId="53" applyNumberFormat="1" applyFont="1" applyFill="1" applyBorder="1" applyAlignment="1" applyProtection="1">
      <alignment horizontal="right"/>
    </xf>
    <xf numFmtId="5" fontId="12" fillId="0" borderId="220" xfId="0" applyNumberFormat="1" applyFont="1" applyFill="1" applyBorder="1" applyProtection="1"/>
    <xf numFmtId="0" fontId="0" fillId="0" borderId="0" xfId="0" applyAlignment="1">
      <alignment vertical="top" wrapText="1"/>
    </xf>
    <xf numFmtId="49" fontId="24" fillId="42" borderId="10" xfId="53" applyNumberFormat="1" applyFont="1" applyFill="1" applyBorder="1" applyAlignment="1">
      <alignment horizontal="center" vertical="center" wrapText="1"/>
    </xf>
    <xf numFmtId="49" fontId="24" fillId="43" borderId="13" xfId="53" applyNumberFormat="1" applyFont="1" applyFill="1" applyBorder="1" applyAlignment="1">
      <alignment horizontal="center" vertical="center" wrapText="1"/>
    </xf>
    <xf numFmtId="49" fontId="24" fillId="43" borderId="10" xfId="53" applyNumberFormat="1" applyFont="1" applyFill="1" applyBorder="1" applyAlignment="1">
      <alignment horizontal="center" vertical="center" wrapText="1"/>
    </xf>
    <xf numFmtId="6" fontId="7" fillId="0" borderId="13" xfId="0" applyNumberFormat="1" applyFont="1" applyFill="1" applyBorder="1" applyProtection="1"/>
    <xf numFmtId="3" fontId="5" fillId="41" borderId="39" xfId="53" applyNumberFormat="1" applyFont="1" applyFill="1" applyBorder="1" applyAlignment="1" applyProtection="1">
      <alignment horizontal="right"/>
    </xf>
    <xf numFmtId="0" fontId="5" fillId="0" borderId="222" xfId="53" applyFont="1" applyFill="1" applyBorder="1" applyProtection="1"/>
    <xf numFmtId="0" fontId="5" fillId="0" borderId="223" xfId="53" applyFont="1" applyFill="1" applyBorder="1" applyProtection="1"/>
    <xf numFmtId="3" fontId="5" fillId="41" borderId="223" xfId="53" applyNumberFormat="1" applyFont="1" applyFill="1" applyBorder="1" applyAlignment="1" applyProtection="1">
      <alignment horizontal="right"/>
    </xf>
    <xf numFmtId="166" fontId="5" fillId="0" borderId="224" xfId="53" applyNumberFormat="1" applyFont="1" applyFill="1" applyBorder="1" applyAlignment="1" applyProtection="1">
      <alignment horizontal="right"/>
    </xf>
    <xf numFmtId="166" fontId="5" fillId="41" borderId="221" xfId="53" applyNumberFormat="1" applyFont="1" applyFill="1" applyBorder="1" applyAlignment="1" applyProtection="1">
      <alignment horizontal="right"/>
    </xf>
    <xf numFmtId="6" fontId="5" fillId="41" borderId="221" xfId="53" applyNumberFormat="1" applyFont="1" applyFill="1" applyBorder="1" applyAlignment="1" applyProtection="1">
      <alignment horizontal="right"/>
    </xf>
    <xf numFmtId="166" fontId="5" fillId="42" borderId="224" xfId="53" applyNumberFormat="1" applyFont="1" applyFill="1" applyBorder="1" applyAlignment="1" applyProtection="1">
      <alignment horizontal="right"/>
    </xf>
    <xf numFmtId="6" fontId="5" fillId="42" borderId="117" xfId="53" applyNumberFormat="1" applyFont="1" applyFill="1" applyBorder="1" applyAlignment="1" applyProtection="1">
      <alignment horizontal="right"/>
    </xf>
    <xf numFmtId="6" fontId="24" fillId="42" borderId="81" xfId="54" applyNumberFormat="1" applyFont="1" applyFill="1" applyBorder="1" applyAlignment="1" applyProtection="1">
      <alignment horizontal="right"/>
    </xf>
    <xf numFmtId="6" fontId="5" fillId="42" borderId="117" xfId="54" applyNumberFormat="1" applyFont="1" applyFill="1" applyBorder="1" applyAlignment="1" applyProtection="1">
      <alignment horizontal="right"/>
    </xf>
    <xf numFmtId="6" fontId="5" fillId="43" borderId="116" xfId="53" applyNumberFormat="1" applyFont="1" applyFill="1" applyBorder="1" applyAlignment="1" applyProtection="1">
      <alignment horizontal="right"/>
    </xf>
    <xf numFmtId="6" fontId="24" fillId="43" borderId="80" xfId="54" applyNumberFormat="1" applyFont="1" applyFill="1" applyBorder="1" applyAlignment="1" applyProtection="1">
      <alignment horizontal="right"/>
    </xf>
    <xf numFmtId="5" fontId="12" fillId="0" borderId="78" xfId="0" applyNumberFormat="1" applyFont="1" applyFill="1" applyBorder="1" applyProtection="1"/>
    <xf numFmtId="5" fontId="12" fillId="41" borderId="225" xfId="0" applyNumberFormat="1" applyFont="1" applyFill="1" applyBorder="1" applyProtection="1"/>
    <xf numFmtId="6" fontId="0" fillId="0" borderId="72" xfId="0" applyNumberFormat="1" applyBorder="1"/>
    <xf numFmtId="6" fontId="7" fillId="41" borderId="72" xfId="0" applyNumberFormat="1" applyFont="1" applyFill="1" applyBorder="1" applyProtection="1"/>
    <xf numFmtId="0" fontId="57" fillId="39" borderId="35" xfId="0" applyFont="1" applyFill="1" applyBorder="1" applyAlignment="1">
      <alignment horizontal="left" wrapText="1"/>
    </xf>
    <xf numFmtId="5" fontId="12" fillId="41" borderId="208" xfId="0" applyNumberFormat="1" applyFont="1" applyFill="1" applyBorder="1" applyProtection="1"/>
    <xf numFmtId="3" fontId="72" fillId="41" borderId="26" xfId="0" applyNumberFormat="1" applyFont="1" applyFill="1" applyBorder="1"/>
    <xf numFmtId="3" fontId="72" fillId="41" borderId="13" xfId="0" applyNumberFormat="1" applyFont="1" applyFill="1" applyBorder="1"/>
    <xf numFmtId="0" fontId="95" fillId="0" borderId="26" xfId="0" applyFont="1" applyBorder="1" applyAlignment="1">
      <alignment horizontal="left" wrapText="1"/>
    </xf>
    <xf numFmtId="0" fontId="97" fillId="0" borderId="26" xfId="0" applyFont="1" applyBorder="1" applyAlignment="1">
      <alignment horizontal="left" wrapText="1"/>
    </xf>
    <xf numFmtId="3" fontId="72" fillId="0" borderId="13" xfId="0" applyNumberFormat="1" applyFont="1" applyFill="1" applyBorder="1"/>
    <xf numFmtId="6" fontId="72" fillId="0" borderId="13" xfId="0" applyNumberFormat="1" applyFont="1" applyBorder="1"/>
    <xf numFmtId="6" fontId="72" fillId="27" borderId="13" xfId="0" applyNumberFormat="1" applyFont="1" applyFill="1" applyBorder="1"/>
    <xf numFmtId="6" fontId="72" fillId="0" borderId="13" xfId="0" applyNumberFormat="1" applyFont="1" applyBorder="1" applyAlignment="1">
      <alignment horizontal="center" wrapText="1"/>
    </xf>
    <xf numFmtId="6" fontId="72" fillId="27" borderId="13" xfId="0" applyNumberFormat="1" applyFont="1" applyFill="1" applyBorder="1" applyAlignment="1">
      <alignment horizontal="center"/>
    </xf>
    <xf numFmtId="0" fontId="95" fillId="48" borderId="42" xfId="0" applyFont="1" applyFill="1" applyBorder="1" applyAlignment="1">
      <alignment horizontal="right"/>
    </xf>
    <xf numFmtId="0" fontId="95" fillId="0" borderId="13" xfId="0" applyFont="1" applyBorder="1" applyAlignment="1">
      <alignment wrapText="1"/>
    </xf>
    <xf numFmtId="0" fontId="72" fillId="0" borderId="13" xfId="0" applyFont="1" applyBorder="1" applyAlignment="1">
      <alignment wrapText="1"/>
    </xf>
    <xf numFmtId="0" fontId="95" fillId="0" borderId="0" xfId="0" applyFont="1"/>
    <xf numFmtId="0" fontId="120" fillId="0" borderId="0" xfId="0" applyFont="1" applyAlignment="1">
      <alignment horizontal="center" wrapText="1"/>
    </xf>
    <xf numFmtId="0" fontId="95" fillId="0" borderId="0" xfId="0" applyFont="1" applyFill="1"/>
    <xf numFmtId="0" fontId="120" fillId="0" borderId="0" xfId="0" quotePrefix="1" applyFont="1" applyFill="1" applyAlignment="1">
      <alignment horizontal="center" wrapText="1"/>
    </xf>
    <xf numFmtId="0" fontId="120" fillId="0" borderId="0" xfId="0" quotePrefix="1" applyFont="1" applyAlignment="1">
      <alignment horizontal="center" wrapText="1"/>
    </xf>
    <xf numFmtId="0" fontId="123" fillId="52" borderId="10" xfId="0" applyFont="1" applyFill="1" applyBorder="1" applyAlignment="1">
      <alignment horizontal="center" vertical="center" wrapText="1"/>
    </xf>
    <xf numFmtId="0" fontId="125" fillId="25" borderId="13" xfId="0" applyFont="1" applyFill="1" applyBorder="1" applyAlignment="1">
      <alignment horizontal="center" vertical="center" wrapText="1"/>
    </xf>
    <xf numFmtId="10" fontId="123" fillId="43" borderId="26" xfId="0" applyNumberFormat="1" applyFont="1" applyFill="1" applyBorder="1" applyAlignment="1">
      <alignment horizontal="center" vertical="center" wrapText="1"/>
    </xf>
    <xf numFmtId="0" fontId="95" fillId="26" borderId="26" xfId="0" applyFont="1" applyFill="1" applyBorder="1"/>
    <xf numFmtId="1" fontId="121" fillId="26" borderId="26" xfId="0" quotePrefix="1" applyNumberFormat="1" applyFont="1" applyFill="1" applyBorder="1" applyAlignment="1">
      <alignment horizontal="center"/>
    </xf>
    <xf numFmtId="6" fontId="72" fillId="41" borderId="13" xfId="0" applyNumberFormat="1" applyFont="1" applyFill="1" applyBorder="1" applyAlignment="1">
      <alignment horizontal="center"/>
    </xf>
    <xf numFmtId="0" fontId="119" fillId="28" borderId="51" xfId="0" applyFont="1" applyFill="1" applyBorder="1" applyAlignment="1">
      <alignment horizontal="center" wrapText="1"/>
    </xf>
    <xf numFmtId="6" fontId="72" fillId="41" borderId="13" xfId="0" applyNumberFormat="1" applyFont="1" applyFill="1" applyBorder="1"/>
    <xf numFmtId="0" fontId="95" fillId="48" borderId="42" xfId="0" applyFont="1" applyFill="1" applyBorder="1"/>
    <xf numFmtId="0" fontId="99" fillId="0" borderId="13" xfId="0" applyFont="1" applyBorder="1" applyAlignment="1">
      <alignment wrapText="1"/>
    </xf>
    <xf numFmtId="0" fontId="97" fillId="0" borderId="13" xfId="0" applyFont="1" applyBorder="1" applyAlignment="1">
      <alignment wrapText="1"/>
    </xf>
    <xf numFmtId="6" fontId="72" fillId="0" borderId="26" xfId="0" applyNumberFormat="1" applyFont="1" applyBorder="1"/>
    <xf numFmtId="6" fontId="72" fillId="41" borderId="26" xfId="0" applyNumberFormat="1" applyFont="1" applyFill="1" applyBorder="1"/>
    <xf numFmtId="6" fontId="72" fillId="27" borderId="26" xfId="0" applyNumberFormat="1" applyFont="1" applyFill="1" applyBorder="1"/>
    <xf numFmtId="8" fontId="72" fillId="41" borderId="26" xfId="0" applyNumberFormat="1" applyFont="1" applyFill="1" applyBorder="1"/>
    <xf numFmtId="0" fontId="95" fillId="48" borderId="0" xfId="0" applyFont="1" applyFill="1"/>
    <xf numFmtId="3" fontId="97" fillId="0" borderId="13" xfId="0" applyNumberFormat="1" applyFont="1" applyFill="1" applyBorder="1"/>
    <xf numFmtId="6" fontId="97" fillId="0" borderId="13" xfId="0" applyNumberFormat="1" applyFont="1" applyBorder="1"/>
    <xf numFmtId="6" fontId="97" fillId="0" borderId="13" xfId="0" applyNumberFormat="1" applyFont="1" applyFill="1" applyBorder="1"/>
    <xf numFmtId="6" fontId="97" fillId="41" borderId="26" xfId="0" applyNumberFormat="1" applyFont="1" applyFill="1" applyBorder="1"/>
    <xf numFmtId="6" fontId="97" fillId="27" borderId="26" xfId="0" applyNumberFormat="1" applyFont="1" applyFill="1" applyBorder="1"/>
    <xf numFmtId="0" fontId="99" fillId="0" borderId="0" xfId="0" applyFont="1"/>
    <xf numFmtId="3" fontId="97" fillId="27" borderId="13" xfId="0" applyNumberFormat="1" applyFont="1" applyFill="1" applyBorder="1"/>
    <xf numFmtId="6" fontId="97" fillId="0" borderId="26" xfId="0" applyNumberFormat="1" applyFont="1" applyBorder="1"/>
    <xf numFmtId="165" fontId="97" fillId="28" borderId="51" xfId="28" applyNumberFormat="1" applyFont="1" applyFill="1" applyBorder="1"/>
    <xf numFmtId="6" fontId="72" fillId="28" borderId="51" xfId="0" applyNumberFormat="1" applyFont="1" applyFill="1" applyBorder="1"/>
    <xf numFmtId="6" fontId="97" fillId="28" borderId="51" xfId="0" applyNumberFormat="1" applyFont="1" applyFill="1" applyBorder="1"/>
    <xf numFmtId="6" fontId="97" fillId="34" borderId="42" xfId="0" applyNumberFormat="1" applyFont="1" applyFill="1" applyBorder="1"/>
    <xf numFmtId="0" fontId="99" fillId="0" borderId="12" xfId="0" applyFont="1" applyBorder="1" applyAlignment="1">
      <alignment horizontal="right" wrapText="1"/>
    </xf>
    <xf numFmtId="0" fontId="128" fillId="0" borderId="12" xfId="0" applyFont="1" applyBorder="1" applyAlignment="1">
      <alignment horizontal="right" wrapText="1"/>
    </xf>
    <xf numFmtId="3" fontId="97" fillId="0" borderId="12" xfId="0" applyNumberFormat="1" applyFont="1" applyFill="1" applyBorder="1"/>
    <xf numFmtId="8" fontId="97" fillId="0" borderId="12" xfId="0" applyNumberFormat="1" applyFont="1" applyBorder="1"/>
    <xf numFmtId="166" fontId="97" fillId="0" borderId="12" xfId="0" applyNumberFormat="1" applyFont="1" applyBorder="1"/>
    <xf numFmtId="166" fontId="97" fillId="27" borderId="12" xfId="0" applyNumberFormat="1" applyFont="1" applyFill="1" applyBorder="1"/>
    <xf numFmtId="6" fontId="97" fillId="0" borderId="12" xfId="0" applyNumberFormat="1" applyFont="1" applyBorder="1"/>
    <xf numFmtId="166" fontId="97" fillId="41" borderId="12" xfId="0" applyNumberFormat="1" applyFont="1" applyFill="1" applyBorder="1"/>
    <xf numFmtId="0" fontId="99" fillId="0" borderId="0" xfId="0" applyFont="1" applyBorder="1" applyAlignment="1">
      <alignment wrapText="1"/>
    </xf>
    <xf numFmtId="3" fontId="95" fillId="0" borderId="0" xfId="0" applyNumberFormat="1" applyFont="1" applyFill="1" applyBorder="1"/>
    <xf numFmtId="8" fontId="95" fillId="0" borderId="0" xfId="0" applyNumberFormat="1" applyFont="1" applyBorder="1"/>
    <xf numFmtId="6" fontId="95" fillId="0" borderId="135" xfId="0" applyNumberFormat="1" applyFont="1" applyFill="1" applyBorder="1" applyAlignment="1">
      <alignment horizontal="center"/>
    </xf>
    <xf numFmtId="0" fontId="99" fillId="0" borderId="0" xfId="0" applyFont="1" applyBorder="1" applyAlignment="1">
      <alignment horizontal="left" wrapText="1"/>
    </xf>
    <xf numFmtId="0" fontId="129" fillId="0" borderId="0" xfId="0" applyFont="1" applyBorder="1" applyAlignment="1">
      <alignment wrapText="1"/>
    </xf>
    <xf numFmtId="0" fontId="129" fillId="0" borderId="0" xfId="0" applyFont="1" applyBorder="1" applyAlignment="1">
      <alignment horizontal="left" wrapText="1"/>
    </xf>
    <xf numFmtId="0" fontId="127" fillId="0" borderId="0" xfId="0" applyFont="1" applyAlignment="1">
      <alignment horizontal="left"/>
    </xf>
    <xf numFmtId="38" fontId="72" fillId="0" borderId="26" xfId="0" applyNumberFormat="1" applyFont="1" applyFill="1" applyBorder="1" applyAlignment="1">
      <alignment wrapText="1"/>
    </xf>
    <xf numFmtId="6" fontId="72" fillId="0" borderId="13" xfId="0" applyNumberFormat="1" applyFont="1" applyFill="1" applyBorder="1"/>
    <xf numFmtId="6" fontId="57" fillId="0" borderId="13" xfId="0" applyNumberFormat="1" applyFont="1" applyFill="1" applyBorder="1" applyAlignment="1">
      <alignment horizontal="right"/>
    </xf>
    <xf numFmtId="0" fontId="57" fillId="0" borderId="26" xfId="0" applyFont="1" applyFill="1" applyBorder="1" applyAlignment="1">
      <alignment horizontal="left" wrapText="1"/>
    </xf>
    <xf numFmtId="5" fontId="12" fillId="41" borderId="164" xfId="0" applyNumberFormat="1" applyFont="1" applyFill="1" applyBorder="1" applyProtection="1"/>
    <xf numFmtId="5" fontId="12" fillId="41" borderId="201" xfId="0" applyNumberFormat="1" applyFont="1" applyFill="1" applyBorder="1" applyProtection="1"/>
    <xf numFmtId="0" fontId="5" fillId="0" borderId="0" xfId="0" applyFont="1" applyAlignment="1">
      <alignment horizontal="center" wrapText="1"/>
    </xf>
    <xf numFmtId="6" fontId="5" fillId="51" borderId="0" xfId="0" applyNumberFormat="1" applyFont="1" applyFill="1"/>
    <xf numFmtId="6" fontId="26" fillId="41" borderId="0" xfId="0" applyNumberFormat="1" applyFont="1" applyFill="1" applyBorder="1" applyAlignment="1" applyProtection="1"/>
    <xf numFmtId="6" fontId="32" fillId="0" borderId="0" xfId="0" applyNumberFormat="1" applyFont="1" applyAlignment="1">
      <alignment horizontal="right"/>
    </xf>
    <xf numFmtId="6" fontId="32" fillId="0" borderId="0" xfId="0" applyNumberFormat="1" applyFont="1"/>
    <xf numFmtId="3" fontId="0" fillId="0" borderId="0" xfId="0" applyNumberFormat="1" applyBorder="1"/>
    <xf numFmtId="0" fontId="100" fillId="0" borderId="0" xfId="0" applyFont="1" applyAlignment="1">
      <alignment wrapText="1"/>
    </xf>
    <xf numFmtId="49" fontId="24" fillId="43" borderId="10" xfId="53" applyNumberFormat="1" applyFont="1" applyFill="1" applyBorder="1" applyAlignment="1">
      <alignment horizontal="center" vertical="center" wrapText="1"/>
    </xf>
    <xf numFmtId="6" fontId="5" fillId="41" borderId="0" xfId="53" applyNumberFormat="1" applyFont="1" applyFill="1" applyAlignment="1">
      <alignment horizontal="center"/>
    </xf>
    <xf numFmtId="6" fontId="5" fillId="41" borderId="227" xfId="53" applyNumberFormat="1" applyFont="1" applyFill="1" applyBorder="1" applyAlignment="1" applyProtection="1">
      <alignment horizontal="right"/>
    </xf>
    <xf numFmtId="49" fontId="109" fillId="43" borderId="13" xfId="53" applyNumberFormat="1" applyFont="1" applyFill="1" applyBorder="1" applyAlignment="1">
      <alignment horizontal="center" vertical="center" wrapText="1"/>
    </xf>
    <xf numFmtId="10" fontId="0" fillId="0" borderId="0" xfId="48" applyNumberFormat="1" applyFont="1" applyBorder="1" applyAlignment="1">
      <alignment wrapText="1"/>
    </xf>
    <xf numFmtId="38" fontId="0" fillId="0" borderId="0" xfId="0" applyNumberFormat="1" applyAlignment="1">
      <alignment wrapText="1"/>
    </xf>
    <xf numFmtId="171" fontId="0" fillId="0" borderId="0" xfId="0" applyNumberFormat="1" applyBorder="1" applyAlignment="1">
      <alignment wrapText="1"/>
    </xf>
    <xf numFmtId="165" fontId="0" fillId="0" borderId="0" xfId="28" applyNumberFormat="1" applyFont="1"/>
    <xf numFmtId="165" fontId="0" fillId="0" borderId="0" xfId="28" applyNumberFormat="1" applyFont="1" applyBorder="1" applyAlignment="1">
      <alignment wrapText="1"/>
    </xf>
    <xf numFmtId="5" fontId="9" fillId="65" borderId="11" xfId="0" applyNumberFormat="1" applyFont="1" applyFill="1" applyBorder="1" applyProtection="1"/>
    <xf numFmtId="0" fontId="95" fillId="48" borderId="0" xfId="0" applyFont="1" applyFill="1" applyBorder="1"/>
    <xf numFmtId="0" fontId="95" fillId="0" borderId="0" xfId="0" applyFont="1" applyBorder="1" applyAlignment="1">
      <alignment wrapText="1"/>
    </xf>
    <xf numFmtId="166" fontId="121" fillId="31" borderId="228" xfId="28" applyNumberFormat="1" applyFont="1" applyFill="1" applyBorder="1" applyAlignment="1">
      <alignment horizontal="center"/>
    </xf>
    <xf numFmtId="0" fontId="95" fillId="63" borderId="0" xfId="0" applyFont="1" applyFill="1" applyBorder="1"/>
    <xf numFmtId="0" fontId="130" fillId="0" borderId="0" xfId="0" applyFont="1" applyFill="1" applyBorder="1" applyAlignment="1">
      <alignment horizontal="center" vertical="center" wrapText="1"/>
    </xf>
    <xf numFmtId="0" fontId="130" fillId="0" borderId="14" xfId="0" applyFont="1" applyFill="1" applyBorder="1" applyAlignment="1">
      <alignment horizontal="center" vertical="center" wrapText="1"/>
    </xf>
    <xf numFmtId="166" fontId="5" fillId="27" borderId="11" xfId="0" applyNumberFormat="1" applyFont="1" applyFill="1" applyBorder="1"/>
    <xf numFmtId="166" fontId="5" fillId="27" borderId="13" xfId="0" applyNumberFormat="1" applyFont="1" applyFill="1" applyBorder="1"/>
    <xf numFmtId="9" fontId="19" fillId="0" borderId="14" xfId="0" applyNumberFormat="1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 wrapText="1"/>
    </xf>
    <xf numFmtId="0" fontId="30" fillId="0" borderId="0" xfId="0" applyFont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/>
    </xf>
    <xf numFmtId="0" fontId="33" fillId="0" borderId="0" xfId="0" quotePrefix="1" applyFont="1" applyFill="1" applyBorder="1" applyAlignment="1">
      <alignment horizontal="center" vertical="center"/>
    </xf>
    <xf numFmtId="6" fontId="8" fillId="0" borderId="0" xfId="0" applyNumberFormat="1" applyFont="1" applyFill="1" applyBorder="1" applyAlignment="1">
      <alignment horizontal="center" vertical="center" wrapText="1"/>
    </xf>
    <xf numFmtId="0" fontId="8" fillId="0" borderId="0" xfId="0" quotePrefix="1" applyFont="1" applyFill="1" applyBorder="1" applyAlignment="1">
      <alignment horizontal="center" vertical="center"/>
    </xf>
    <xf numFmtId="9" fontId="19" fillId="41" borderId="228" xfId="0" applyNumberFormat="1" applyFont="1" applyFill="1" applyBorder="1" applyAlignment="1">
      <alignment horizontal="right"/>
    </xf>
    <xf numFmtId="10" fontId="5" fillId="0" borderId="11" xfId="48" applyNumberFormat="1" applyFont="1" applyBorder="1"/>
    <xf numFmtId="8" fontId="7" fillId="0" borderId="0" xfId="0" applyNumberFormat="1" applyFont="1" applyFill="1" applyBorder="1"/>
    <xf numFmtId="8" fontId="7" fillId="0" borderId="0" xfId="0" applyNumberFormat="1" applyFont="1" applyFill="1" applyBorder="1" applyAlignment="1">
      <alignment wrapText="1"/>
    </xf>
    <xf numFmtId="6" fontId="7" fillId="48" borderId="0" xfId="0" applyNumberFormat="1" applyFont="1" applyFill="1" applyBorder="1"/>
    <xf numFmtId="9" fontId="7" fillId="0" borderId="0" xfId="48" applyFont="1" applyFill="1" applyBorder="1"/>
    <xf numFmtId="173" fontId="7" fillId="0" borderId="0" xfId="48" applyNumberFormat="1" applyFont="1" applyFill="1" applyBorder="1"/>
    <xf numFmtId="169" fontId="7" fillId="0" borderId="0" xfId="48" applyNumberFormat="1" applyFont="1" applyFill="1" applyBorder="1"/>
    <xf numFmtId="0" fontId="44" fillId="0" borderId="0" xfId="0" applyFont="1" applyAlignment="1"/>
    <xf numFmtId="0" fontId="33" fillId="0" borderId="33" xfId="0" applyFont="1" applyFill="1" applyBorder="1" applyAlignment="1">
      <alignment horizontal="center" vertical="center" wrapText="1"/>
    </xf>
    <xf numFmtId="10" fontId="24" fillId="0" borderId="12" xfId="48" applyNumberFormat="1" applyFont="1" applyFill="1" applyBorder="1"/>
    <xf numFmtId="0" fontId="24" fillId="68" borderId="13" xfId="0" applyFont="1" applyFill="1" applyBorder="1" applyAlignment="1">
      <alignment horizontal="center" vertical="center" wrapText="1"/>
    </xf>
    <xf numFmtId="0" fontId="24" fillId="25" borderId="26" xfId="0" applyFont="1" applyFill="1" applyBorder="1" applyAlignment="1">
      <alignment horizontal="center" vertical="center" wrapText="1"/>
    </xf>
    <xf numFmtId="0" fontId="24" fillId="42" borderId="13" xfId="0" applyFont="1" applyFill="1" applyBorder="1" applyAlignment="1">
      <alignment horizontal="center" vertical="center" wrapText="1"/>
    </xf>
    <xf numFmtId="10" fontId="5" fillId="0" borderId="11" xfId="48" applyNumberFormat="1" applyFont="1" applyFill="1" applyBorder="1"/>
    <xf numFmtId="10" fontId="5" fillId="41" borderId="13" xfId="48" applyNumberFormat="1" applyFont="1" applyFill="1" applyBorder="1"/>
    <xf numFmtId="10" fontId="5" fillId="41" borderId="11" xfId="48" applyNumberFormat="1" applyFont="1" applyFill="1" applyBorder="1"/>
    <xf numFmtId="10" fontId="5" fillId="0" borderId="13" xfId="48" applyNumberFormat="1" applyFont="1" applyFill="1" applyBorder="1"/>
    <xf numFmtId="0" fontId="24" fillId="52" borderId="26" xfId="0" applyFont="1" applyFill="1" applyBorder="1" applyAlignment="1">
      <alignment horizontal="center" vertical="center" wrapText="1"/>
    </xf>
    <xf numFmtId="3" fontId="7" fillId="0" borderId="45" xfId="0" applyNumberFormat="1" applyFont="1" applyFill="1" applyBorder="1"/>
    <xf numFmtId="3" fontId="7" fillId="41" borderId="11" xfId="0" applyNumberFormat="1" applyFont="1" applyFill="1" applyBorder="1" applyAlignment="1">
      <alignment horizontal="center"/>
    </xf>
    <xf numFmtId="169" fontId="7" fillId="41" borderId="11" xfId="48" applyNumberFormat="1" applyFont="1" applyFill="1" applyBorder="1"/>
    <xf numFmtId="166" fontId="7" fillId="41" borderId="45" xfId="0" applyNumberFormat="1" applyFont="1" applyFill="1" applyBorder="1"/>
    <xf numFmtId="10" fontId="7" fillId="41" borderId="45" xfId="0" applyNumberFormat="1" applyFont="1" applyFill="1" applyBorder="1"/>
    <xf numFmtId="6" fontId="7" fillId="41" borderId="45" xfId="32" applyNumberFormat="1" applyFont="1" applyFill="1" applyBorder="1"/>
    <xf numFmtId="6" fontId="7" fillId="41" borderId="11" xfId="0" applyNumberFormat="1" applyFont="1" applyFill="1" applyBorder="1"/>
    <xf numFmtId="166" fontId="7" fillId="41" borderId="11" xfId="28" applyNumberFormat="1" applyFont="1" applyFill="1" applyBorder="1"/>
    <xf numFmtId="165" fontId="7" fillId="41" borderId="11" xfId="28" applyNumberFormat="1" applyFont="1" applyFill="1" applyBorder="1"/>
    <xf numFmtId="6" fontId="7" fillId="41" borderId="11" xfId="28" applyNumberFormat="1" applyFont="1" applyFill="1" applyBorder="1"/>
    <xf numFmtId="3" fontId="7" fillId="41" borderId="0" xfId="0" applyNumberFormat="1" applyFont="1" applyFill="1"/>
    <xf numFmtId="0" fontId="33" fillId="0" borderId="26" xfId="0" applyFont="1" applyFill="1" applyBorder="1" applyAlignment="1">
      <alignment horizontal="center" vertical="center" wrapText="1"/>
    </xf>
    <xf numFmtId="174" fontId="18" fillId="26" borderId="26" xfId="28" applyNumberFormat="1" applyFont="1" applyFill="1" applyBorder="1" applyAlignment="1">
      <alignment horizontal="center"/>
    </xf>
    <xf numFmtId="0" fontId="134" fillId="0" borderId="42" xfId="0" applyFont="1" applyFill="1" applyBorder="1" applyAlignment="1">
      <alignment vertical="center" wrapText="1"/>
    </xf>
    <xf numFmtId="0" fontId="0" fillId="0" borderId="0" xfId="0" applyBorder="1" applyAlignment="1">
      <alignment horizontal="left" vertical="top" wrapText="1"/>
    </xf>
    <xf numFmtId="0" fontId="5" fillId="0" borderId="0" xfId="0" applyFont="1" applyBorder="1" applyAlignment="1">
      <alignment horizontal="left" vertical="top" wrapText="1"/>
    </xf>
    <xf numFmtId="0" fontId="24" fillId="25" borderId="10" xfId="0" applyFont="1" applyFill="1" applyBorder="1" applyAlignment="1">
      <alignment horizontal="center" vertical="center" wrapText="1"/>
    </xf>
    <xf numFmtId="49" fontId="24" fillId="42" borderId="10" xfId="53" applyNumberFormat="1" applyFont="1" applyFill="1" applyBorder="1" applyAlignment="1">
      <alignment horizontal="center" vertical="center" wrapText="1"/>
    </xf>
    <xf numFmtId="49" fontId="24" fillId="43" borderId="13" xfId="53" applyNumberFormat="1" applyFont="1" applyFill="1" applyBorder="1" applyAlignment="1">
      <alignment horizontal="center" vertical="center" wrapText="1"/>
    </xf>
    <xf numFmtId="49" fontId="24" fillId="43" borderId="10" xfId="53" applyNumberFormat="1" applyFont="1" applyFill="1" applyBorder="1" applyAlignment="1">
      <alignment horizontal="center" vertical="center" wrapText="1"/>
    </xf>
    <xf numFmtId="6" fontId="7" fillId="0" borderId="11" xfId="32" applyNumberFormat="1" applyFont="1" applyFill="1" applyBorder="1"/>
    <xf numFmtId="6" fontId="7" fillId="0" borderId="13" xfId="32" applyNumberFormat="1" applyFont="1" applyFill="1" applyBorder="1"/>
    <xf numFmtId="3" fontId="57" fillId="0" borderId="35" xfId="0" applyNumberFormat="1" applyFont="1" applyFill="1" applyBorder="1" applyAlignment="1">
      <alignment horizontal="right"/>
    </xf>
    <xf numFmtId="3" fontId="57" fillId="0" borderId="35" xfId="0" applyNumberFormat="1" applyFont="1" applyFill="1" applyBorder="1" applyAlignment="1">
      <alignment horizontal="right" wrapText="1"/>
    </xf>
    <xf numFmtId="0" fontId="5" fillId="0" borderId="14" xfId="53" applyBorder="1"/>
    <xf numFmtId="0" fontId="24" fillId="27" borderId="10" xfId="0" applyFont="1" applyFill="1" applyBorder="1" applyAlignment="1">
      <alignment horizontal="center" vertical="center" wrapText="1"/>
    </xf>
    <xf numFmtId="0" fontId="24" fillId="43" borderId="10" xfId="0" applyFont="1" applyFill="1" applyBorder="1" applyAlignment="1">
      <alignment horizontal="center" vertical="center" wrapText="1"/>
    </xf>
    <xf numFmtId="0" fontId="24" fillId="29" borderId="10" xfId="0" applyFont="1" applyFill="1" applyBorder="1" applyAlignment="1">
      <alignment horizontal="center" vertical="center" wrapText="1"/>
    </xf>
    <xf numFmtId="166" fontId="5" fillId="0" borderId="11" xfId="0" applyNumberFormat="1" applyFont="1" applyFill="1" applyBorder="1"/>
    <xf numFmtId="5" fontId="12" fillId="0" borderId="14" xfId="0" applyNumberFormat="1" applyFont="1" applyFill="1" applyBorder="1" applyProtection="1"/>
    <xf numFmtId="10" fontId="12" fillId="0" borderId="140" xfId="0" applyNumberFormat="1" applyFont="1" applyFill="1" applyBorder="1" applyProtection="1"/>
    <xf numFmtId="5" fontId="12" fillId="0" borderId="229" xfId="0" applyNumberFormat="1" applyFont="1" applyFill="1" applyBorder="1" applyProtection="1"/>
    <xf numFmtId="5" fontId="12" fillId="0" borderId="230" xfId="0" applyNumberFormat="1" applyFont="1" applyFill="1" applyBorder="1" applyProtection="1"/>
    <xf numFmtId="5" fontId="12" fillId="0" borderId="231" xfId="0" applyNumberFormat="1" applyFont="1" applyFill="1" applyBorder="1" applyProtection="1"/>
    <xf numFmtId="0" fontId="67" fillId="26" borderId="26" xfId="65" applyFont="1" applyFill="1" applyBorder="1"/>
    <xf numFmtId="0" fontId="137" fillId="26" borderId="26" xfId="66" quotePrefix="1" applyNumberFormat="1" applyFont="1" applyFill="1" applyBorder="1" applyAlignment="1">
      <alignment horizontal="center"/>
    </xf>
    <xf numFmtId="0" fontId="67" fillId="0" borderId="215" xfId="65" applyFont="1" applyFill="1" applyBorder="1" applyProtection="1"/>
    <xf numFmtId="0" fontId="67" fillId="0" borderId="39" xfId="65" applyFont="1" applyFill="1" applyBorder="1" applyProtection="1"/>
    <xf numFmtId="0" fontId="67" fillId="0" borderId="216" xfId="65" applyFont="1" applyFill="1" applyBorder="1" applyProtection="1"/>
    <xf numFmtId="0" fontId="67" fillId="0" borderId="40" xfId="65" applyFont="1" applyFill="1" applyBorder="1" applyProtection="1"/>
    <xf numFmtId="0" fontId="67" fillId="0" borderId="217" xfId="65" applyFont="1" applyFill="1" applyBorder="1" applyProtection="1"/>
    <xf numFmtId="0" fontId="67" fillId="0" borderId="213" xfId="65" applyFont="1" applyFill="1" applyBorder="1" applyProtection="1"/>
    <xf numFmtId="0" fontId="67" fillId="0" borderId="60" xfId="65" applyFont="1" applyFill="1" applyBorder="1" applyProtection="1"/>
    <xf numFmtId="0" fontId="67" fillId="0" borderId="214" xfId="65" applyFont="1" applyFill="1" applyBorder="1" applyProtection="1"/>
    <xf numFmtId="0" fontId="73" fillId="24" borderId="218" xfId="65" applyFont="1" applyFill="1" applyBorder="1" applyProtection="1"/>
    <xf numFmtId="0" fontId="96" fillId="24" borderId="232" xfId="65" applyFont="1" applyFill="1" applyBorder="1" applyAlignment="1" applyProtection="1">
      <alignment horizontal="center"/>
    </xf>
    <xf numFmtId="0" fontId="67" fillId="28" borderId="35" xfId="65" applyFont="1" applyFill="1" applyBorder="1"/>
    <xf numFmtId="0" fontId="96" fillId="28" borderId="14" xfId="65" applyFont="1" applyFill="1" applyBorder="1" applyAlignment="1" applyProtection="1"/>
    <xf numFmtId="0" fontId="67" fillId="0" borderId="10" xfId="65" applyFont="1" applyBorder="1"/>
    <xf numFmtId="0" fontId="67" fillId="24" borderId="218" xfId="65" applyFont="1" applyFill="1" applyBorder="1" applyProtection="1"/>
    <xf numFmtId="0" fontId="67" fillId="48" borderId="233" xfId="65" applyFont="1" applyFill="1" applyBorder="1"/>
    <xf numFmtId="0" fontId="96" fillId="48" borderId="234" xfId="65" applyFont="1" applyFill="1" applyBorder="1" applyAlignment="1" applyProtection="1"/>
    <xf numFmtId="0" fontId="67" fillId="0" borderId="26" xfId="65" applyFont="1" applyFill="1" applyBorder="1"/>
    <xf numFmtId="0" fontId="67" fillId="0" borderId="82" xfId="65" applyFont="1" applyFill="1" applyBorder="1"/>
    <xf numFmtId="0" fontId="67" fillId="48" borderId="235" xfId="65" applyFont="1" applyFill="1" applyBorder="1"/>
    <xf numFmtId="0" fontId="96" fillId="48" borderId="236" xfId="65" applyFont="1" applyFill="1" applyBorder="1" applyAlignment="1" applyProtection="1"/>
    <xf numFmtId="0" fontId="67" fillId="0" borderId="10" xfId="65" applyFont="1" applyFill="1" applyBorder="1" applyAlignment="1">
      <alignment horizontal="left"/>
    </xf>
    <xf numFmtId="0" fontId="67" fillId="0" borderId="11" xfId="65" applyFont="1" applyFill="1" applyBorder="1" applyAlignment="1">
      <alignment horizontal="left"/>
    </xf>
    <xf numFmtId="0" fontId="67" fillId="0" borderId="13" xfId="65" applyFont="1" applyFill="1" applyBorder="1" applyAlignment="1">
      <alignment horizontal="left"/>
    </xf>
    <xf numFmtId="0" fontId="67" fillId="48" borderId="235" xfId="65" applyFont="1" applyFill="1" applyBorder="1" applyAlignment="1">
      <alignment horizontal="left"/>
    </xf>
    <xf numFmtId="0" fontId="96" fillId="48" borderId="236" xfId="65" applyFont="1" applyFill="1" applyBorder="1" applyAlignment="1" applyProtection="1">
      <alignment horizontal="center"/>
    </xf>
    <xf numFmtId="0" fontId="67" fillId="0" borderId="82" xfId="65" applyFont="1" applyFill="1" applyBorder="1" applyAlignment="1">
      <alignment horizontal="left"/>
    </xf>
    <xf numFmtId="0" fontId="67" fillId="28" borderId="235" xfId="65" applyFont="1" applyFill="1" applyBorder="1" applyAlignment="1">
      <alignment horizontal="left"/>
    </xf>
    <xf numFmtId="0" fontId="96" fillId="28" borderId="236" xfId="65" applyFont="1" applyFill="1" applyBorder="1" applyAlignment="1" applyProtection="1"/>
    <xf numFmtId="0" fontId="67" fillId="41" borderId="215" xfId="65" applyFont="1" applyFill="1" applyBorder="1" applyAlignment="1" applyProtection="1">
      <alignment horizontal="left"/>
    </xf>
    <xf numFmtId="0" fontId="67" fillId="24" borderId="218" xfId="65" applyFont="1" applyFill="1" applyBorder="1" applyAlignment="1" applyProtection="1">
      <alignment horizontal="left"/>
    </xf>
    <xf numFmtId="0" fontId="67" fillId="48" borderId="36" xfId="65" applyFont="1" applyFill="1" applyBorder="1" applyAlignment="1">
      <alignment horizontal="left"/>
    </xf>
    <xf numFmtId="0" fontId="96" fillId="48" borderId="51" xfId="65" applyFont="1" applyFill="1" applyBorder="1" applyAlignment="1" applyProtection="1">
      <alignment horizontal="center"/>
    </xf>
    <xf numFmtId="0" fontId="67" fillId="48" borderId="233" xfId="65" applyFont="1" applyFill="1" applyBorder="1" applyAlignment="1">
      <alignment horizontal="left"/>
    </xf>
    <xf numFmtId="0" fontId="67" fillId="0" borderId="237" xfId="65" applyFont="1" applyFill="1" applyBorder="1" applyAlignment="1">
      <alignment horizontal="left"/>
    </xf>
    <xf numFmtId="0" fontId="67" fillId="48" borderId="35" xfId="65" applyFont="1" applyFill="1" applyBorder="1" applyAlignment="1">
      <alignment horizontal="left"/>
    </xf>
    <xf numFmtId="0" fontId="96" fillId="48" borderId="14" xfId="65" applyFont="1" applyFill="1" applyBorder="1" applyAlignment="1" applyProtection="1">
      <alignment horizontal="center"/>
    </xf>
    <xf numFmtId="0" fontId="73" fillId="48" borderId="35" xfId="65" applyFont="1" applyFill="1" applyBorder="1" applyAlignment="1">
      <alignment horizontal="left"/>
    </xf>
    <xf numFmtId="0" fontId="73" fillId="0" borderId="10" xfId="65" applyFont="1" applyFill="1" applyBorder="1" applyAlignment="1">
      <alignment horizontal="left"/>
    </xf>
    <xf numFmtId="0" fontId="73" fillId="0" borderId="26" xfId="65" applyFont="1" applyFill="1" applyBorder="1" applyAlignment="1">
      <alignment horizontal="left"/>
    </xf>
    <xf numFmtId="0" fontId="73" fillId="0" borderId="82" xfId="65" applyFont="1" applyFill="1" applyBorder="1" applyAlignment="1">
      <alignment horizontal="left"/>
    </xf>
    <xf numFmtId="0" fontId="73" fillId="48" borderId="34" xfId="65" applyFont="1" applyFill="1" applyBorder="1" applyAlignment="1">
      <alignment horizontal="left"/>
    </xf>
    <xf numFmtId="0" fontId="96" fillId="48" borderId="0" xfId="65" applyFont="1" applyFill="1" applyBorder="1" applyAlignment="1" applyProtection="1">
      <alignment horizontal="center"/>
    </xf>
    <xf numFmtId="0" fontId="67" fillId="0" borderId="0" xfId="65" applyNumberFormat="1" applyFont="1" applyFill="1" applyBorder="1" applyProtection="1"/>
    <xf numFmtId="0" fontId="67" fillId="28" borderId="36" xfId="65" applyFont="1" applyFill="1" applyBorder="1"/>
    <xf numFmtId="0" fontId="96" fillId="28" borderId="234" xfId="65" applyFont="1" applyFill="1" applyBorder="1" applyAlignment="1" applyProtection="1"/>
    <xf numFmtId="0" fontId="67" fillId="0" borderId="215" xfId="65" applyNumberFormat="1" applyFont="1" applyFill="1" applyBorder="1" applyAlignment="1" applyProtection="1">
      <alignment horizontal="left"/>
    </xf>
    <xf numFmtId="0" fontId="67" fillId="0" borderId="11" xfId="65" applyNumberFormat="1" applyFont="1" applyFill="1" applyBorder="1" applyAlignment="1" applyProtection="1">
      <alignment horizontal="left"/>
    </xf>
    <xf numFmtId="49" fontId="67" fillId="0" borderId="13" xfId="65" applyNumberFormat="1" applyFont="1" applyFill="1" applyBorder="1" applyAlignment="1" applyProtection="1">
      <alignment horizontal="left"/>
    </xf>
    <xf numFmtId="49" fontId="67" fillId="0" borderId="11" xfId="65" applyNumberFormat="1" applyFont="1" applyFill="1" applyBorder="1" applyAlignment="1" applyProtection="1">
      <alignment horizontal="left"/>
    </xf>
    <xf numFmtId="0" fontId="67" fillId="0" borderId="13" xfId="65" applyNumberFormat="1" applyFont="1" applyFill="1" applyBorder="1" applyAlignment="1" applyProtection="1">
      <alignment horizontal="left"/>
    </xf>
    <xf numFmtId="49" fontId="67" fillId="0" borderId="215" xfId="65" applyNumberFormat="1" applyFont="1" applyFill="1" applyBorder="1" applyAlignment="1" applyProtection="1">
      <alignment horizontal="left"/>
    </xf>
    <xf numFmtId="0" fontId="67" fillId="41" borderId="0" xfId="0" applyFont="1" applyFill="1" applyBorder="1" applyAlignment="1">
      <alignment horizontal="left" wrapText="1"/>
    </xf>
    <xf numFmtId="0" fontId="96" fillId="28" borderId="51" xfId="65" applyFont="1" applyFill="1" applyBorder="1" applyAlignment="1" applyProtection="1"/>
    <xf numFmtId="0" fontId="67" fillId="41" borderId="60" xfId="65" applyFont="1" applyFill="1" applyBorder="1" applyAlignment="1" applyProtection="1">
      <alignment horizontal="left"/>
    </xf>
    <xf numFmtId="0" fontId="67" fillId="0" borderId="238" xfId="65" applyFont="1" applyFill="1" applyBorder="1" applyAlignment="1">
      <alignment horizontal="center"/>
    </xf>
    <xf numFmtId="0" fontId="96" fillId="0" borderId="239" xfId="65" applyFont="1" applyFill="1" applyBorder="1" applyAlignment="1" applyProtection="1">
      <alignment horizontal="center"/>
    </xf>
    <xf numFmtId="0" fontId="67" fillId="28" borderId="34" xfId="65" applyFont="1" applyFill="1" applyBorder="1"/>
    <xf numFmtId="0" fontId="96" fillId="28" borderId="0" xfId="65" applyFont="1" applyFill="1" applyBorder="1" applyAlignment="1" applyProtection="1"/>
    <xf numFmtId="0" fontId="0" fillId="0" borderId="13" xfId="0" applyBorder="1"/>
    <xf numFmtId="166" fontId="18" fillId="43" borderId="26" xfId="0" applyNumberFormat="1" applyFont="1" applyFill="1" applyBorder="1" applyAlignment="1">
      <alignment horizontal="center" wrapText="1"/>
    </xf>
    <xf numFmtId="5" fontId="24" fillId="57" borderId="82" xfId="0" applyNumberFormat="1" applyFont="1" applyFill="1" applyBorder="1" applyProtection="1"/>
    <xf numFmtId="5" fontId="24" fillId="43" borderId="82" xfId="0" applyNumberFormat="1" applyFont="1" applyFill="1" applyBorder="1" applyProtection="1"/>
    <xf numFmtId="6" fontId="9" fillId="43" borderId="10" xfId="0" applyNumberFormat="1" applyFont="1" applyFill="1" applyBorder="1"/>
    <xf numFmtId="6" fontId="9" fillId="43" borderId="11" xfId="0" applyNumberFormat="1" applyFont="1" applyFill="1" applyBorder="1"/>
    <xf numFmtId="6" fontId="9" fillId="43" borderId="13" xfId="0" applyNumberFormat="1" applyFont="1" applyFill="1" applyBorder="1"/>
    <xf numFmtId="6" fontId="9" fillId="57" borderId="10" xfId="0" applyNumberFormat="1" applyFont="1" applyFill="1" applyBorder="1"/>
    <xf numFmtId="6" fontId="9" fillId="57" borderId="11" xfId="0" applyNumberFormat="1" applyFont="1" applyFill="1" applyBorder="1"/>
    <xf numFmtId="6" fontId="9" fillId="57" borderId="13" xfId="0" applyNumberFormat="1" applyFont="1" applyFill="1" applyBorder="1"/>
    <xf numFmtId="0" fontId="67" fillId="0" borderId="60" xfId="65" applyNumberFormat="1" applyFont="1" applyFill="1" applyBorder="1" applyAlignment="1" applyProtection="1">
      <alignment horizontal="left"/>
    </xf>
    <xf numFmtId="0" fontId="67" fillId="0" borderId="33" xfId="65" applyFont="1" applyBorder="1"/>
    <xf numFmtId="0" fontId="67" fillId="0" borderId="66" xfId="65" applyFont="1" applyFill="1" applyBorder="1" applyProtection="1"/>
    <xf numFmtId="0" fontId="96" fillId="24" borderId="240" xfId="65" applyFont="1" applyFill="1" applyBorder="1" applyAlignment="1" applyProtection="1">
      <alignment horizontal="center"/>
    </xf>
    <xf numFmtId="0" fontId="5" fillId="0" borderId="51" xfId="65" applyFont="1" applyFill="1" applyBorder="1" applyAlignment="1" applyProtection="1"/>
    <xf numFmtId="0" fontId="96" fillId="0" borderId="131" xfId="65" applyFont="1" applyFill="1" applyBorder="1" applyAlignment="1" applyProtection="1">
      <alignment horizontal="center"/>
    </xf>
    <xf numFmtId="0" fontId="5" fillId="0" borderId="74" xfId="65" applyFont="1" applyFill="1" applyBorder="1" applyAlignment="1" applyProtection="1">
      <alignment vertical="top" wrapText="1"/>
    </xf>
    <xf numFmtId="0" fontId="5" fillId="0" borderId="0" xfId="65" applyFont="1" applyFill="1" applyBorder="1" applyAlignment="1" applyProtection="1"/>
    <xf numFmtId="0" fontId="5" fillId="0" borderId="0" xfId="65" applyFont="1" applyFill="1" applyBorder="1" applyAlignment="1" applyProtection="1">
      <alignment wrapText="1"/>
    </xf>
    <xf numFmtId="0" fontId="5" fillId="0" borderId="14" xfId="65" applyFont="1" applyFill="1" applyBorder="1" applyAlignment="1" applyProtection="1"/>
    <xf numFmtId="0" fontId="96" fillId="0" borderId="0" xfId="65" applyFont="1" applyFill="1" applyBorder="1" applyAlignment="1" applyProtection="1">
      <alignment horizontal="center"/>
    </xf>
    <xf numFmtId="0" fontId="5" fillId="0" borderId="74" xfId="65" applyFont="1" applyFill="1" applyBorder="1" applyAlignment="1" applyProtection="1">
      <alignment horizontal="left"/>
    </xf>
    <xf numFmtId="0" fontId="5" fillId="0" borderId="14" xfId="65" applyFont="1" applyFill="1" applyBorder="1" applyAlignment="1" applyProtection="1">
      <alignment horizontal="left"/>
    </xf>
    <xf numFmtId="0" fontId="67" fillId="41" borderId="34" xfId="65" applyNumberFormat="1" applyFont="1" applyFill="1" applyBorder="1" applyProtection="1"/>
    <xf numFmtId="0" fontId="67" fillId="41" borderId="35" xfId="65" applyNumberFormat="1" applyFont="1" applyFill="1" applyBorder="1" applyProtection="1"/>
    <xf numFmtId="0" fontId="138" fillId="0" borderId="74" xfId="65" applyFont="1" applyFill="1" applyBorder="1" applyAlignment="1" applyProtection="1">
      <alignment horizontal="left" vertical="top"/>
    </xf>
    <xf numFmtId="0" fontId="96" fillId="24" borderId="241" xfId="65" applyFont="1" applyFill="1" applyBorder="1" applyAlignment="1" applyProtection="1">
      <alignment horizontal="center"/>
    </xf>
    <xf numFmtId="0" fontId="67" fillId="0" borderId="33" xfId="65" applyFont="1" applyFill="1" applyBorder="1" applyAlignment="1" applyProtection="1">
      <alignment horizontal="left"/>
    </xf>
    <xf numFmtId="0" fontId="67" fillId="0" borderId="36" xfId="65" applyFont="1" applyFill="1" applyBorder="1" applyAlignment="1" applyProtection="1">
      <alignment horizontal="left"/>
    </xf>
    <xf numFmtId="0" fontId="96" fillId="0" borderId="226" xfId="65" applyFont="1" applyFill="1" applyBorder="1" applyAlignment="1" applyProtection="1">
      <alignment horizontal="center"/>
    </xf>
    <xf numFmtId="0" fontId="67" fillId="41" borderId="34" xfId="65" applyFont="1" applyFill="1" applyBorder="1" applyAlignment="1" applyProtection="1">
      <alignment horizontal="left"/>
    </xf>
    <xf numFmtId="0" fontId="67" fillId="41" borderId="67" xfId="65" applyNumberFormat="1" applyFont="1" applyFill="1" applyBorder="1" applyProtection="1"/>
    <xf numFmtId="0" fontId="67" fillId="0" borderId="242" xfId="65" applyNumberFormat="1" applyFont="1" applyFill="1" applyBorder="1" applyProtection="1"/>
    <xf numFmtId="0" fontId="67" fillId="0" borderId="34" xfId="0" applyFont="1" applyFill="1" applyBorder="1" applyAlignment="1">
      <alignment horizontal="left" vertical="top" wrapText="1"/>
    </xf>
    <xf numFmtId="0" fontId="67" fillId="0" borderId="34" xfId="0" applyFont="1" applyFill="1" applyBorder="1" applyAlignment="1">
      <alignment horizontal="left" wrapText="1"/>
    </xf>
    <xf numFmtId="0" fontId="67" fillId="0" borderId="35" xfId="0" applyFont="1" applyFill="1" applyBorder="1" applyAlignment="1">
      <alignment horizontal="left" wrapText="1"/>
    </xf>
    <xf numFmtId="0" fontId="67" fillId="41" borderId="35" xfId="0" applyFont="1" applyFill="1" applyBorder="1" applyAlignment="1">
      <alignment horizontal="left" wrapText="1"/>
    </xf>
    <xf numFmtId="0" fontId="67" fillId="0" borderId="35" xfId="65" applyNumberFormat="1" applyFont="1" applyFill="1" applyBorder="1" applyProtection="1"/>
    <xf numFmtId="0" fontId="96" fillId="24" borderId="243" xfId="65" applyFont="1" applyFill="1" applyBorder="1" applyAlignment="1" applyProtection="1">
      <alignment horizontal="center"/>
    </xf>
    <xf numFmtId="0" fontId="9" fillId="0" borderId="13" xfId="0" applyFont="1" applyBorder="1"/>
    <xf numFmtId="0" fontId="9" fillId="0" borderId="11" xfId="0" applyFont="1" applyBorder="1"/>
    <xf numFmtId="6" fontId="9" fillId="55" borderId="10" xfId="0" applyNumberFormat="1" applyFont="1" applyFill="1" applyBorder="1"/>
    <xf numFmtId="6" fontId="9" fillId="55" borderId="13" xfId="0" applyNumberFormat="1" applyFont="1" applyFill="1" applyBorder="1"/>
    <xf numFmtId="6" fontId="9" fillId="55" borderId="11" xfId="0" applyNumberFormat="1" applyFont="1" applyFill="1" applyBorder="1"/>
    <xf numFmtId="6" fontId="96" fillId="48" borderId="234" xfId="65" applyNumberFormat="1" applyFont="1" applyFill="1" applyBorder="1" applyAlignment="1" applyProtection="1"/>
    <xf numFmtId="6" fontId="96" fillId="48" borderId="236" xfId="65" applyNumberFormat="1" applyFont="1" applyFill="1" applyBorder="1" applyAlignment="1" applyProtection="1"/>
    <xf numFmtId="6" fontId="96" fillId="48" borderId="236" xfId="65" applyNumberFormat="1" applyFont="1" applyFill="1" applyBorder="1" applyAlignment="1" applyProtection="1">
      <alignment horizontal="center"/>
    </xf>
    <xf numFmtId="6" fontId="96" fillId="28" borderId="236" xfId="65" applyNumberFormat="1" applyFont="1" applyFill="1" applyBorder="1" applyAlignment="1" applyProtection="1"/>
    <xf numFmtId="6" fontId="96" fillId="28" borderId="234" xfId="65" applyNumberFormat="1" applyFont="1" applyFill="1" applyBorder="1" applyAlignment="1" applyProtection="1"/>
    <xf numFmtId="6" fontId="118" fillId="57" borderId="11" xfId="0" applyNumberFormat="1" applyFont="1" applyFill="1" applyBorder="1"/>
    <xf numFmtId="0" fontId="139" fillId="0" borderId="11" xfId="0" applyFont="1" applyBorder="1"/>
    <xf numFmtId="0" fontId="118" fillId="0" borderId="11" xfId="0" applyFont="1" applyBorder="1"/>
    <xf numFmtId="6" fontId="118" fillId="55" borderId="11" xfId="0" applyNumberFormat="1" applyFont="1" applyFill="1" applyBorder="1"/>
    <xf numFmtId="6" fontId="118" fillId="43" borderId="11" xfId="0" applyNumberFormat="1" applyFont="1" applyFill="1" applyBorder="1"/>
    <xf numFmtId="0" fontId="118" fillId="0" borderId="12" xfId="0" applyFont="1" applyBorder="1"/>
    <xf numFmtId="6" fontId="118" fillId="55" borderId="12" xfId="0" applyNumberFormat="1" applyFont="1" applyFill="1" applyBorder="1"/>
    <xf numFmtId="6" fontId="118" fillId="43" borderId="12" xfId="0" applyNumberFormat="1" applyFont="1" applyFill="1" applyBorder="1"/>
    <xf numFmtId="6" fontId="118" fillId="57" borderId="12" xfId="0" applyNumberFormat="1" applyFont="1" applyFill="1" applyBorder="1"/>
    <xf numFmtId="6" fontId="118" fillId="0" borderId="12" xfId="0" applyNumberFormat="1" applyFont="1" applyBorder="1"/>
    <xf numFmtId="5" fontId="12" fillId="0" borderId="244" xfId="0" applyNumberFormat="1" applyFont="1" applyFill="1" applyBorder="1" applyAlignment="1" applyProtection="1">
      <alignment vertical="center"/>
    </xf>
    <xf numFmtId="6" fontId="9" fillId="67" borderId="10" xfId="0" applyNumberFormat="1" applyFont="1" applyFill="1" applyBorder="1"/>
    <xf numFmtId="6" fontId="9" fillId="67" borderId="11" xfId="0" applyNumberFormat="1" applyFont="1" applyFill="1" applyBorder="1"/>
    <xf numFmtId="6" fontId="9" fillId="67" borderId="13" xfId="0" applyNumberFormat="1" applyFont="1" applyFill="1" applyBorder="1"/>
    <xf numFmtId="5" fontId="24" fillId="67" borderId="82" xfId="0" applyNumberFormat="1" applyFont="1" applyFill="1" applyBorder="1" applyProtection="1"/>
    <xf numFmtId="6" fontId="118" fillId="67" borderId="11" xfId="0" applyNumberFormat="1" applyFont="1" applyFill="1" applyBorder="1"/>
    <xf numFmtId="0" fontId="0" fillId="0" borderId="26" xfId="0" applyBorder="1"/>
    <xf numFmtId="6" fontId="9" fillId="55" borderId="26" xfId="0" applyNumberFormat="1" applyFont="1" applyFill="1" applyBorder="1"/>
    <xf numFmtId="6" fontId="9" fillId="43" borderId="26" xfId="0" applyNumberFormat="1" applyFont="1" applyFill="1" applyBorder="1"/>
    <xf numFmtId="6" fontId="9" fillId="57" borderId="26" xfId="0" applyNumberFormat="1" applyFont="1" applyFill="1" applyBorder="1"/>
    <xf numFmtId="6" fontId="9" fillId="67" borderId="26" xfId="0" applyNumberFormat="1" applyFont="1" applyFill="1" applyBorder="1"/>
    <xf numFmtId="6" fontId="118" fillId="67" borderId="12" xfId="0" applyNumberFormat="1" applyFont="1" applyFill="1" applyBorder="1"/>
    <xf numFmtId="1" fontId="110" fillId="26" borderId="246" xfId="53" applyNumberFormat="1" applyFont="1" applyFill="1" applyBorder="1" applyAlignment="1" applyProtection="1">
      <alignment horizontal="center" wrapText="1"/>
    </xf>
    <xf numFmtId="166" fontId="5" fillId="42" borderId="247" xfId="54" applyNumberFormat="1" applyFont="1" applyFill="1" applyBorder="1" applyAlignment="1" applyProtection="1">
      <alignment horizontal="right"/>
    </xf>
    <xf numFmtId="166" fontId="5" fillId="42" borderId="248" xfId="54" applyNumberFormat="1" applyFont="1" applyFill="1" applyBorder="1" applyAlignment="1" applyProtection="1">
      <alignment horizontal="right"/>
    </xf>
    <xf numFmtId="166" fontId="5" fillId="42" borderId="247" xfId="53" applyNumberFormat="1" applyFont="1" applyFill="1" applyBorder="1" applyAlignment="1" applyProtection="1">
      <alignment horizontal="right"/>
    </xf>
    <xf numFmtId="166" fontId="5" fillId="42" borderId="248" xfId="53" applyNumberFormat="1" applyFont="1" applyFill="1" applyBorder="1" applyAlignment="1" applyProtection="1">
      <alignment horizontal="right"/>
    </xf>
    <xf numFmtId="166" fontId="5" fillId="42" borderId="249" xfId="53" applyNumberFormat="1" applyFont="1" applyFill="1" applyBorder="1" applyAlignment="1" applyProtection="1">
      <alignment horizontal="right"/>
    </xf>
    <xf numFmtId="166" fontId="24" fillId="42" borderId="250" xfId="54" applyNumberFormat="1" applyFont="1" applyFill="1" applyBorder="1" applyAlignment="1" applyProtection="1">
      <alignment horizontal="right"/>
    </xf>
    <xf numFmtId="0" fontId="5" fillId="0" borderId="251" xfId="53" applyFont="1" applyFill="1" applyBorder="1" applyProtection="1"/>
    <xf numFmtId="172" fontId="5" fillId="41" borderId="253" xfId="53" applyNumberFormat="1" applyFont="1" applyFill="1" applyBorder="1" applyAlignment="1" applyProtection="1">
      <alignment horizontal="right"/>
    </xf>
    <xf numFmtId="166" fontId="5" fillId="0" borderId="254" xfId="53" applyNumberFormat="1" applyFont="1" applyFill="1" applyBorder="1" applyAlignment="1" applyProtection="1">
      <alignment horizontal="right"/>
    </xf>
    <xf numFmtId="166" fontId="5" fillId="42" borderId="254" xfId="53" applyNumberFormat="1" applyFont="1" applyFill="1" applyBorder="1" applyAlignment="1" applyProtection="1">
      <alignment horizontal="right"/>
    </xf>
    <xf numFmtId="166" fontId="5" fillId="0" borderId="255" xfId="53" applyNumberFormat="1" applyFont="1" applyFill="1" applyBorder="1" applyAlignment="1" applyProtection="1">
      <alignment horizontal="right"/>
    </xf>
    <xf numFmtId="166" fontId="5" fillId="43" borderId="252" xfId="53" applyNumberFormat="1" applyFont="1" applyFill="1" applyBorder="1" applyAlignment="1" applyProtection="1">
      <alignment horizontal="right"/>
    </xf>
    <xf numFmtId="37" fontId="0" fillId="0" borderId="11" xfId="0" applyNumberFormat="1" applyBorder="1"/>
    <xf numFmtId="0" fontId="0" fillId="0" borderId="246" xfId="0" applyBorder="1"/>
    <xf numFmtId="37" fontId="0" fillId="0" borderId="246" xfId="0" applyNumberFormat="1" applyBorder="1"/>
    <xf numFmtId="5" fontId="9" fillId="0" borderId="13" xfId="0" applyNumberFormat="1" applyFont="1" applyFill="1" applyBorder="1" applyProtection="1"/>
    <xf numFmtId="37" fontId="0" fillId="0" borderId="26" xfId="0" applyNumberFormat="1" applyBorder="1"/>
    <xf numFmtId="6" fontId="9" fillId="0" borderId="10" xfId="0" applyNumberFormat="1" applyFont="1" applyBorder="1"/>
    <xf numFmtId="6" fontId="9" fillId="0" borderId="13" xfId="0" applyNumberFormat="1" applyFont="1" applyBorder="1"/>
    <xf numFmtId="6" fontId="118" fillId="0" borderId="11" xfId="0" applyNumberFormat="1" applyFont="1" applyBorder="1"/>
    <xf numFmtId="6" fontId="9" fillId="0" borderId="11" xfId="0" applyNumberFormat="1" applyFont="1" applyBorder="1"/>
    <xf numFmtId="6" fontId="9" fillId="0" borderId="26" xfId="0" applyNumberFormat="1" applyFont="1" applyBorder="1"/>
    <xf numFmtId="6" fontId="9" fillId="0" borderId="13" xfId="0" applyNumberFormat="1" applyFont="1" applyFill="1" applyBorder="1" applyProtection="1"/>
    <xf numFmtId="6" fontId="9" fillId="0" borderId="246" xfId="0" applyNumberFormat="1" applyFont="1" applyFill="1" applyBorder="1" applyProtection="1"/>
    <xf numFmtId="5" fontId="20" fillId="0" borderId="257" xfId="0" applyNumberFormat="1" applyFont="1" applyFill="1" applyBorder="1" applyAlignment="1" applyProtection="1">
      <alignment horizontal="center"/>
    </xf>
    <xf numFmtId="5" fontId="20" fillId="0" borderId="257" xfId="0" applyNumberFormat="1" applyFont="1" applyFill="1" applyBorder="1" applyAlignment="1" applyProtection="1"/>
    <xf numFmtId="5" fontId="20" fillId="0" borderId="45" xfId="0" applyNumberFormat="1" applyFont="1" applyFill="1" applyBorder="1" applyAlignment="1" applyProtection="1"/>
    <xf numFmtId="0" fontId="20" fillId="27" borderId="258" xfId="0" applyFont="1" applyFill="1" applyBorder="1" applyAlignment="1">
      <alignment horizontal="center"/>
    </xf>
    <xf numFmtId="0" fontId="20" fillId="27" borderId="259" xfId="0" applyFont="1" applyFill="1" applyBorder="1" applyAlignment="1">
      <alignment horizontal="left"/>
    </xf>
    <xf numFmtId="0" fontId="37" fillId="27" borderId="259" xfId="0" applyFont="1" applyFill="1" applyBorder="1"/>
    <xf numFmtId="5" fontId="20" fillId="27" borderId="260" xfId="0" applyNumberFormat="1" applyFont="1" applyFill="1" applyBorder="1" applyAlignment="1" applyProtection="1"/>
    <xf numFmtId="5" fontId="20" fillId="27" borderId="261" xfId="0" applyNumberFormat="1" applyFont="1" applyFill="1" applyBorder="1" applyAlignment="1" applyProtection="1"/>
    <xf numFmtId="5" fontId="20" fillId="27" borderId="262" xfId="0" applyNumberFormat="1" applyFont="1" applyFill="1" applyBorder="1" applyProtection="1"/>
    <xf numFmtId="10" fontId="37" fillId="27" borderId="263" xfId="0" applyNumberFormat="1" applyFont="1" applyFill="1" applyBorder="1" applyProtection="1"/>
    <xf numFmtId="0" fontId="10" fillId="0" borderId="264" xfId="0" applyFont="1" applyFill="1" applyBorder="1" applyAlignment="1">
      <alignment horizontal="left"/>
    </xf>
    <xf numFmtId="0" fontId="10" fillId="0" borderId="265" xfId="0" applyFont="1" applyFill="1" applyBorder="1" applyAlignment="1">
      <alignment horizontal="left"/>
    </xf>
    <xf numFmtId="5" fontId="12" fillId="0" borderId="266" xfId="0" applyNumberFormat="1" applyFont="1" applyFill="1" applyBorder="1" applyProtection="1"/>
    <xf numFmtId="5" fontId="12" fillId="0" borderId="267" xfId="0" applyNumberFormat="1" applyFont="1" applyFill="1" applyBorder="1" applyProtection="1"/>
    <xf numFmtId="0" fontId="10" fillId="0" borderId="14" xfId="0" quotePrefix="1" applyFont="1" applyFill="1" applyBorder="1" applyAlignment="1">
      <alignment horizontal="center"/>
    </xf>
    <xf numFmtId="0" fontId="10" fillId="0" borderId="78" xfId="0" applyFont="1" applyFill="1" applyBorder="1" applyAlignment="1">
      <alignment horizontal="left"/>
    </xf>
    <xf numFmtId="10" fontId="18" fillId="27" borderId="26" xfId="0" applyNumberFormat="1" applyFont="1" applyFill="1" applyBorder="1" applyAlignment="1">
      <alignment horizontal="center" wrapText="1"/>
    </xf>
    <xf numFmtId="5" fontId="7" fillId="41" borderId="268" xfId="0" applyNumberFormat="1" applyFont="1" applyFill="1" applyBorder="1" applyProtection="1"/>
    <xf numFmtId="5" fontId="7" fillId="0" borderId="268" xfId="0" applyNumberFormat="1" applyFont="1" applyFill="1" applyBorder="1" applyProtection="1"/>
    <xf numFmtId="5" fontId="7" fillId="0" borderId="269" xfId="0" applyNumberFormat="1" applyFont="1" applyFill="1" applyBorder="1" applyProtection="1"/>
    <xf numFmtId="1" fontId="18" fillId="26" borderId="0" xfId="0" applyNumberFormat="1" applyFont="1" applyFill="1" applyBorder="1" applyAlignment="1" applyProtection="1">
      <alignment horizontal="center"/>
    </xf>
    <xf numFmtId="5" fontId="7" fillId="0" borderId="0" xfId="0" applyNumberFormat="1" applyFont="1" applyFill="1" applyBorder="1" applyProtection="1"/>
    <xf numFmtId="6" fontId="7" fillId="0" borderId="0" xfId="0" applyNumberFormat="1" applyFont="1" applyFill="1" applyBorder="1" applyProtection="1"/>
    <xf numFmtId="6" fontId="7" fillId="0" borderId="257" xfId="0" applyNumberFormat="1" applyFont="1" applyFill="1" applyBorder="1" applyProtection="1"/>
    <xf numFmtId="5" fontId="7" fillId="48" borderId="0" xfId="0" applyNumberFormat="1" applyFont="1" applyFill="1" applyBorder="1" applyProtection="1"/>
    <xf numFmtId="6" fontId="7" fillId="48" borderId="0" xfId="0" applyNumberFormat="1" applyFont="1" applyFill="1" applyBorder="1" applyProtection="1"/>
    <xf numFmtId="0" fontId="0" fillId="48" borderId="0" xfId="0" applyFill="1"/>
    <xf numFmtId="5" fontId="0" fillId="48" borderId="0" xfId="0" applyNumberFormat="1" applyFill="1"/>
    <xf numFmtId="5" fontId="108" fillId="48" borderId="0" xfId="0" applyNumberFormat="1" applyFont="1" applyFill="1" applyBorder="1" applyProtection="1"/>
    <xf numFmtId="0" fontId="0" fillId="0" borderId="0" xfId="0" applyFill="1" applyBorder="1" applyAlignment="1">
      <alignment wrapText="1"/>
    </xf>
    <xf numFmtId="0" fontId="24" fillId="0" borderId="257" xfId="0" applyFont="1" applyFill="1" applyBorder="1" applyAlignment="1">
      <alignment horizontal="center" vertical="center" wrapText="1"/>
    </xf>
    <xf numFmtId="1" fontId="18" fillId="0" borderId="0" xfId="0" applyNumberFormat="1" applyFont="1" applyFill="1" applyBorder="1" applyAlignment="1" applyProtection="1">
      <alignment horizontal="center"/>
    </xf>
    <xf numFmtId="166" fontId="7" fillId="39" borderId="45" xfId="0" applyNumberFormat="1" applyFont="1" applyFill="1" applyBorder="1"/>
    <xf numFmtId="166" fontId="7" fillId="39" borderId="11" xfId="28" applyNumberFormat="1" applyFont="1" applyFill="1" applyBorder="1"/>
    <xf numFmtId="166" fontId="5" fillId="39" borderId="11" xfId="0" applyNumberFormat="1" applyFont="1" applyFill="1" applyBorder="1"/>
    <xf numFmtId="0" fontId="7" fillId="0" borderId="246" xfId="0" applyFont="1" applyFill="1" applyBorder="1"/>
    <xf numFmtId="166" fontId="7" fillId="0" borderId="268" xfId="0" applyNumberFormat="1" applyFont="1" applyBorder="1"/>
    <xf numFmtId="166" fontId="7" fillId="41" borderId="268" xfId="0" applyNumberFormat="1" applyFont="1" applyFill="1" applyBorder="1"/>
    <xf numFmtId="166" fontId="9" fillId="0" borderId="270" xfId="0" applyNumberFormat="1" applyFont="1" applyBorder="1"/>
    <xf numFmtId="0" fontId="39" fillId="0" borderId="0" xfId="0" applyFont="1" applyFill="1" applyBorder="1" applyAlignment="1">
      <alignment horizontal="center"/>
    </xf>
    <xf numFmtId="0" fontId="24" fillId="25" borderId="246" xfId="0" applyFont="1" applyFill="1" applyBorder="1" applyAlignment="1">
      <alignment horizontal="center" vertical="center" wrapText="1"/>
    </xf>
    <xf numFmtId="0" fontId="24" fillId="39" borderId="246" xfId="0" applyFont="1" applyFill="1" applyBorder="1" applyAlignment="1">
      <alignment horizontal="center" vertical="center" wrapText="1"/>
    </xf>
    <xf numFmtId="166" fontId="7" fillId="39" borderId="268" xfId="0" applyNumberFormat="1" applyFont="1" applyFill="1" applyBorder="1"/>
    <xf numFmtId="166" fontId="9" fillId="39" borderId="270" xfId="0" applyNumberFormat="1" applyFont="1" applyFill="1" applyBorder="1"/>
    <xf numFmtId="166" fontId="7" fillId="0" borderId="268" xfId="0" applyNumberFormat="1" applyFont="1" applyFill="1" applyBorder="1"/>
    <xf numFmtId="166" fontId="9" fillId="0" borderId="270" xfId="0" applyNumberFormat="1" applyFont="1" applyFill="1" applyBorder="1"/>
    <xf numFmtId="166" fontId="136" fillId="0" borderId="270" xfId="0" applyNumberFormat="1" applyFont="1" applyBorder="1"/>
    <xf numFmtId="0" fontId="141" fillId="0" borderId="0" xfId="53" applyFont="1" applyFill="1" applyAlignment="1">
      <alignment horizontal="left" vertical="top" wrapText="1"/>
    </xf>
    <xf numFmtId="38" fontId="7" fillId="0" borderId="268" xfId="0" applyNumberFormat="1" applyFont="1" applyFill="1" applyBorder="1" applyProtection="1"/>
    <xf numFmtId="38" fontId="7" fillId="0" borderId="269" xfId="0" applyNumberFormat="1" applyFont="1" applyFill="1" applyBorder="1" applyProtection="1"/>
    <xf numFmtId="0" fontId="95" fillId="0" borderId="0" xfId="53" applyFont="1"/>
    <xf numFmtId="175" fontId="95" fillId="0" borderId="0" xfId="68" applyNumberFormat="1" applyFont="1"/>
    <xf numFmtId="0" fontId="99" fillId="0" borderId="0" xfId="53" applyFont="1" applyFill="1"/>
    <xf numFmtId="0" fontId="95" fillId="0" borderId="0" xfId="53" applyFont="1" applyBorder="1"/>
    <xf numFmtId="10" fontId="95" fillId="0" borderId="0" xfId="55" applyNumberFormat="1" applyFont="1" applyBorder="1"/>
    <xf numFmtId="175" fontId="95" fillId="0" borderId="0" xfId="68" applyNumberFormat="1" applyFont="1" applyBorder="1"/>
    <xf numFmtId="0" fontId="99" fillId="0" borderId="257" xfId="53" applyFont="1" applyFill="1" applyBorder="1" applyAlignment="1">
      <alignment horizontal="center"/>
    </xf>
    <xf numFmtId="166" fontId="142" fillId="69" borderId="271" xfId="68" quotePrefix="1" applyNumberFormat="1" applyFont="1" applyFill="1" applyBorder="1" applyAlignment="1">
      <alignment horizontal="right"/>
    </xf>
    <xf numFmtId="166" fontId="142" fillId="69" borderId="271" xfId="53" quotePrefix="1" applyNumberFormat="1" applyFont="1" applyFill="1" applyBorder="1" applyAlignment="1">
      <alignment horizontal="right"/>
    </xf>
    <xf numFmtId="10" fontId="142" fillId="69" borderId="271" xfId="53" quotePrefix="1" applyNumberFormat="1" applyFont="1" applyFill="1" applyBorder="1" applyAlignment="1">
      <alignment horizontal="right"/>
    </xf>
    <xf numFmtId="166" fontId="142" fillId="69" borderId="246" xfId="53" quotePrefix="1" applyNumberFormat="1" applyFont="1" applyFill="1" applyBorder="1" applyAlignment="1">
      <alignment horizontal="right"/>
    </xf>
    <xf numFmtId="0" fontId="142" fillId="69" borderId="271" xfId="53" applyNumberFormat="1" applyFont="1" applyFill="1" applyBorder="1" applyAlignment="1">
      <alignment horizontal="right"/>
    </xf>
    <xf numFmtId="1" fontId="142" fillId="69" borderId="271" xfId="53" quotePrefix="1" applyNumberFormat="1" applyFont="1" applyFill="1" applyBorder="1" applyAlignment="1">
      <alignment horizontal="left"/>
    </xf>
    <xf numFmtId="1" fontId="142" fillId="69" borderId="271" xfId="53" quotePrefix="1" applyNumberFormat="1" applyFont="1" applyFill="1" applyBorder="1" applyAlignment="1">
      <alignment horizontal="right"/>
    </xf>
    <xf numFmtId="165" fontId="142" fillId="69" borderId="246" xfId="69" applyNumberFormat="1" applyFont="1" applyFill="1" applyBorder="1" applyProtection="1"/>
    <xf numFmtId="0" fontId="142" fillId="69" borderId="272" xfId="53" applyFont="1" applyFill="1" applyBorder="1" applyProtection="1"/>
    <xf numFmtId="0" fontId="142" fillId="69" borderId="273" xfId="53" applyFont="1" applyFill="1" applyBorder="1" applyProtection="1"/>
    <xf numFmtId="166" fontId="95" fillId="39" borderId="210" xfId="68" quotePrefix="1" applyNumberFormat="1" applyFont="1" applyFill="1" applyBorder="1" applyAlignment="1">
      <alignment horizontal="right"/>
    </xf>
    <xf numFmtId="170" fontId="95" fillId="0" borderId="231" xfId="53" quotePrefix="1" applyNumberFormat="1" applyFont="1" applyFill="1" applyBorder="1" applyAlignment="1">
      <alignment horizontal="right"/>
    </xf>
    <xf numFmtId="166" fontId="95" fillId="0" borderId="231" xfId="53" quotePrefix="1" applyNumberFormat="1" applyFont="1" applyFill="1" applyBorder="1" applyAlignment="1">
      <alignment horizontal="right"/>
    </xf>
    <xf numFmtId="166" fontId="95" fillId="62" borderId="210" xfId="68" quotePrefix="1" applyNumberFormat="1" applyFont="1" applyFill="1" applyBorder="1" applyAlignment="1">
      <alignment horizontal="right"/>
    </xf>
    <xf numFmtId="10" fontId="95" fillId="0" borderId="210" xfId="53" quotePrefix="1" applyNumberFormat="1" applyFont="1" applyFill="1" applyBorder="1" applyAlignment="1">
      <alignment horizontal="right"/>
    </xf>
    <xf numFmtId="166" fontId="95" fillId="0" borderId="210" xfId="53" quotePrefix="1" applyNumberFormat="1" applyFont="1" applyFill="1" applyBorder="1" applyAlignment="1">
      <alignment horizontal="right"/>
    </xf>
    <xf numFmtId="166" fontId="95" fillId="0" borderId="210" xfId="68" quotePrefix="1" applyNumberFormat="1" applyFont="1" applyFill="1" applyBorder="1" applyAlignment="1">
      <alignment horizontal="right"/>
    </xf>
    <xf numFmtId="166" fontId="95" fillId="0" borderId="274" xfId="53" quotePrefix="1" applyNumberFormat="1" applyFont="1" applyFill="1" applyBorder="1" applyAlignment="1">
      <alignment horizontal="right"/>
    </xf>
    <xf numFmtId="0" fontId="95" fillId="0" borderId="210" xfId="53" applyNumberFormat="1" applyFont="1" applyFill="1" applyBorder="1" applyAlignment="1">
      <alignment horizontal="center"/>
    </xf>
    <xf numFmtId="1" fontId="95" fillId="0" borderId="210" xfId="53" quotePrefix="1" applyNumberFormat="1" applyFont="1" applyFill="1" applyBorder="1" applyAlignment="1">
      <alignment horizontal="left"/>
    </xf>
    <xf numFmtId="1" fontId="95" fillId="0" borderId="210" xfId="53" quotePrefix="1" applyNumberFormat="1" applyFont="1" applyFill="1" applyBorder="1" applyAlignment="1">
      <alignment horizontal="right"/>
    </xf>
    <xf numFmtId="165" fontId="95" fillId="0" borderId="274" xfId="69" applyNumberFormat="1" applyFont="1" applyFill="1" applyBorder="1" applyProtection="1"/>
    <xf numFmtId="0" fontId="95" fillId="0" borderId="275" xfId="53" applyFont="1" applyFill="1" applyBorder="1" applyProtection="1"/>
    <xf numFmtId="0" fontId="95" fillId="0" borderId="276" xfId="53" applyFont="1" applyFill="1" applyBorder="1" applyProtection="1"/>
    <xf numFmtId="0" fontId="142" fillId="69" borderId="271" xfId="53" applyNumberFormat="1" applyFont="1" applyFill="1" applyBorder="1" applyAlignment="1">
      <alignment horizontal="center"/>
    </xf>
    <xf numFmtId="1" fontId="95" fillId="64" borderId="210" xfId="53" applyNumberFormat="1" applyFont="1" applyFill="1" applyBorder="1" applyAlignment="1">
      <alignment horizontal="left"/>
    </xf>
    <xf numFmtId="0" fontId="95" fillId="0" borderId="0" xfId="53" applyFont="1" applyFill="1"/>
    <xf numFmtId="0" fontId="95" fillId="0" borderId="0" xfId="53" applyFont="1" applyFill="1" applyBorder="1"/>
    <xf numFmtId="10" fontId="95" fillId="0" borderId="0" xfId="55" applyNumberFormat="1" applyFont="1" applyFill="1" applyBorder="1"/>
    <xf numFmtId="175" fontId="95" fillId="0" borderId="0" xfId="68" applyNumberFormat="1" applyFont="1" applyFill="1" applyBorder="1"/>
    <xf numFmtId="166" fontId="95" fillId="39" borderId="264" xfId="68" quotePrefix="1" applyNumberFormat="1" applyFont="1" applyFill="1" applyBorder="1" applyAlignment="1">
      <alignment horizontal="right"/>
    </xf>
    <xf numFmtId="166" fontId="95" fillId="0" borderId="45" xfId="53" quotePrefix="1" applyNumberFormat="1" applyFont="1" applyFill="1" applyBorder="1" applyAlignment="1">
      <alignment horizontal="right"/>
    </xf>
    <xf numFmtId="166" fontId="95" fillId="62" borderId="264" xfId="68" quotePrefix="1" applyNumberFormat="1" applyFont="1" applyFill="1" applyBorder="1" applyAlignment="1">
      <alignment horizontal="right"/>
    </xf>
    <xf numFmtId="166" fontId="95" fillId="0" borderId="264" xfId="53" quotePrefix="1" applyNumberFormat="1" applyFont="1" applyFill="1" applyBorder="1" applyAlignment="1">
      <alignment horizontal="right"/>
    </xf>
    <xf numFmtId="166" fontId="95" fillId="0" borderId="264" xfId="68" quotePrefix="1" applyNumberFormat="1" applyFont="1" applyFill="1" applyBorder="1" applyAlignment="1">
      <alignment horizontal="right"/>
    </xf>
    <xf numFmtId="0" fontId="95" fillId="0" borderId="264" xfId="53" applyNumberFormat="1" applyFont="1" applyFill="1" applyBorder="1" applyAlignment="1">
      <alignment horizontal="center"/>
    </xf>
    <xf numFmtId="1" fontId="95" fillId="0" borderId="264" xfId="53" quotePrefix="1" applyNumberFormat="1" applyFont="1" applyFill="1" applyBorder="1" applyAlignment="1">
      <alignment horizontal="left"/>
    </xf>
    <xf numFmtId="1" fontId="95" fillId="0" borderId="264" xfId="53" quotePrefix="1" applyNumberFormat="1" applyFont="1" applyFill="1" applyBorder="1" applyAlignment="1">
      <alignment horizontal="right"/>
    </xf>
    <xf numFmtId="165" fontId="95" fillId="0" borderId="277" xfId="69" applyNumberFormat="1" applyFont="1" applyFill="1" applyBorder="1" applyProtection="1"/>
    <xf numFmtId="0" fontId="95" fillId="0" borderId="278" xfId="53" applyFont="1" applyFill="1" applyBorder="1" applyProtection="1"/>
    <xf numFmtId="0" fontId="95" fillId="0" borderId="279" xfId="53" applyFont="1" applyFill="1" applyBorder="1" applyProtection="1"/>
    <xf numFmtId="166" fontId="95" fillId="39" borderId="231" xfId="68" quotePrefix="1" applyNumberFormat="1" applyFont="1" applyFill="1" applyBorder="1" applyAlignment="1">
      <alignment horizontal="right"/>
    </xf>
    <xf numFmtId="166" fontId="95" fillId="62" borderId="231" xfId="68" quotePrefix="1" applyNumberFormat="1" applyFont="1" applyFill="1" applyBorder="1" applyAlignment="1">
      <alignment horizontal="right"/>
    </xf>
    <xf numFmtId="166" fontId="95" fillId="0" borderId="231" xfId="68" quotePrefix="1" applyNumberFormat="1" applyFont="1" applyFill="1" applyBorder="1" applyAlignment="1">
      <alignment horizontal="right"/>
    </xf>
    <xf numFmtId="0" fontId="95" fillId="0" borderId="231" xfId="53" applyNumberFormat="1" applyFont="1" applyFill="1" applyBorder="1" applyAlignment="1">
      <alignment horizontal="center"/>
    </xf>
    <xf numFmtId="1" fontId="95" fillId="0" borderId="231" xfId="53" quotePrefix="1" applyNumberFormat="1" applyFont="1" applyFill="1" applyBorder="1" applyAlignment="1">
      <alignment horizontal="left"/>
    </xf>
    <xf numFmtId="1" fontId="95" fillId="0" borderId="231" xfId="53" quotePrefix="1" applyNumberFormat="1" applyFont="1" applyFill="1" applyBorder="1" applyAlignment="1">
      <alignment horizontal="right"/>
    </xf>
    <xf numFmtId="165" fontId="95" fillId="0" borderId="280" xfId="69" applyNumberFormat="1" applyFont="1" applyFill="1" applyBorder="1" applyProtection="1"/>
    <xf numFmtId="0" fontId="95" fillId="0" borderId="281" xfId="53" applyFont="1" applyFill="1" applyBorder="1" applyProtection="1"/>
    <xf numFmtId="0" fontId="95" fillId="0" borderId="282" xfId="53" applyFont="1" applyFill="1" applyBorder="1" applyProtection="1"/>
    <xf numFmtId="0" fontId="99" fillId="0" borderId="257" xfId="53" applyFont="1" applyFill="1" applyBorder="1"/>
    <xf numFmtId="1" fontId="121" fillId="26" borderId="246" xfId="53" quotePrefix="1" applyNumberFormat="1" applyFont="1" applyFill="1" applyBorder="1" applyAlignment="1">
      <alignment horizontal="center"/>
    </xf>
    <xf numFmtId="0" fontId="95" fillId="63" borderId="246" xfId="53" applyFont="1" applyFill="1" applyBorder="1"/>
    <xf numFmtId="0" fontId="143" fillId="0" borderId="0" xfId="53" applyFont="1"/>
    <xf numFmtId="0" fontId="143" fillId="0" borderId="0" xfId="53" applyFont="1" applyBorder="1"/>
    <xf numFmtId="175" fontId="143" fillId="0" borderId="0" xfId="68" applyNumberFormat="1" applyFont="1" applyBorder="1"/>
    <xf numFmtId="0" fontId="143" fillId="0" borderId="257" xfId="53" applyFont="1" applyFill="1" applyBorder="1"/>
    <xf numFmtId="0" fontId="144" fillId="27" borderId="13" xfId="53" applyFont="1" applyFill="1" applyBorder="1" applyAlignment="1">
      <alignment horizontal="center" vertical="center" wrapText="1"/>
    </xf>
    <xf numFmtId="0" fontId="144" fillId="63" borderId="13" xfId="53" applyFont="1" applyFill="1" applyBorder="1" applyAlignment="1">
      <alignment horizontal="center" vertical="center" wrapText="1"/>
    </xf>
    <xf numFmtId="0" fontId="144" fillId="63" borderId="246" xfId="53" applyFont="1" applyFill="1" applyBorder="1" applyAlignment="1">
      <alignment horizontal="center" vertical="center" wrapText="1"/>
    </xf>
    <xf numFmtId="0" fontId="145" fillId="63" borderId="13" xfId="53" applyFont="1" applyFill="1" applyBorder="1" applyAlignment="1">
      <alignment horizontal="center" vertical="center"/>
    </xf>
    <xf numFmtId="0" fontId="123" fillId="27" borderId="13" xfId="53" applyFont="1" applyFill="1" applyBorder="1" applyAlignment="1">
      <alignment vertical="center" wrapText="1"/>
    </xf>
    <xf numFmtId="0" fontId="123" fillId="53" borderId="13" xfId="53" applyFont="1" applyFill="1" applyBorder="1" applyAlignment="1">
      <alignment horizontal="center" vertical="center" wrapText="1"/>
    </xf>
    <xf numFmtId="0" fontId="123" fillId="25" borderId="13" xfId="53" applyFont="1" applyFill="1" applyBorder="1" applyAlignment="1">
      <alignment horizontal="center" vertical="center" wrapText="1"/>
    </xf>
    <xf numFmtId="0" fontId="123" fillId="27" borderId="256" xfId="53" applyFont="1" applyFill="1" applyBorder="1" applyAlignment="1">
      <alignment horizontal="center" vertical="center" wrapText="1"/>
    </xf>
    <xf numFmtId="0" fontId="123" fillId="53" borderId="256" xfId="53" applyFont="1" applyFill="1" applyBorder="1" applyAlignment="1">
      <alignment horizontal="center" vertical="center" wrapText="1"/>
    </xf>
    <xf numFmtId="0" fontId="123" fillId="25" borderId="256" xfId="53" applyFont="1" applyFill="1" applyBorder="1" applyAlignment="1">
      <alignment horizontal="center" vertical="center" wrapText="1"/>
    </xf>
    <xf numFmtId="0" fontId="99" fillId="0" borderId="0" xfId="53" applyFont="1" applyAlignment="1">
      <alignment vertical="center"/>
    </xf>
    <xf numFmtId="175" fontId="99" fillId="0" borderId="0" xfId="68" applyNumberFormat="1" applyFont="1" applyAlignment="1">
      <alignment vertical="center"/>
    </xf>
    <xf numFmtId="0" fontId="99" fillId="0" borderId="0" xfId="53" applyFont="1" applyFill="1" applyAlignment="1">
      <alignment vertical="center"/>
    </xf>
    <xf numFmtId="37" fontId="123" fillId="0" borderId="0" xfId="69" applyNumberFormat="1" applyFont="1" applyBorder="1" applyAlignment="1">
      <alignment vertical="center"/>
    </xf>
    <xf numFmtId="0" fontId="123" fillId="0" borderId="0" xfId="53" applyFont="1" applyBorder="1" applyAlignment="1">
      <alignment vertical="center"/>
    </xf>
    <xf numFmtId="0" fontId="99" fillId="0" borderId="0" xfId="53" applyFont="1"/>
    <xf numFmtId="175" fontId="99" fillId="0" borderId="0" xfId="68" applyNumberFormat="1" applyFont="1"/>
    <xf numFmtId="37" fontId="123" fillId="0" borderId="0" xfId="69" applyNumberFormat="1" applyFont="1" applyBorder="1"/>
    <xf numFmtId="0" fontId="123" fillId="0" borderId="0" xfId="53" applyFont="1" applyBorder="1"/>
    <xf numFmtId="0" fontId="147" fillId="0" borderId="0" xfId="53" applyFont="1" applyFill="1" applyAlignment="1">
      <alignment horizontal="left" vertical="top" wrapText="1"/>
    </xf>
    <xf numFmtId="0" fontId="120" fillId="0" borderId="0" xfId="53" applyFont="1" applyBorder="1" applyAlignment="1">
      <alignment horizontal="center" wrapText="1"/>
    </xf>
    <xf numFmtId="0" fontId="120" fillId="0" borderId="0" xfId="53" applyFont="1" applyAlignment="1">
      <alignment horizontal="center" wrapText="1"/>
    </xf>
    <xf numFmtId="0" fontId="10" fillId="0" borderId="284" xfId="0" applyFont="1" applyFill="1" applyBorder="1" applyAlignment="1">
      <alignment horizontal="left"/>
    </xf>
    <xf numFmtId="165" fontId="12" fillId="0" borderId="285" xfId="28" applyNumberFormat="1" applyFont="1" applyFill="1" applyBorder="1" applyAlignment="1" applyProtection="1"/>
    <xf numFmtId="165" fontId="12" fillId="0" borderId="284" xfId="28" applyNumberFormat="1" applyFont="1" applyFill="1" applyBorder="1" applyAlignment="1" applyProtection="1"/>
    <xf numFmtId="10" fontId="12" fillId="0" borderId="93" xfId="0" applyNumberFormat="1" applyFont="1" applyFill="1" applyBorder="1" applyProtection="1"/>
    <xf numFmtId="0" fontId="10" fillId="0" borderId="196" xfId="0" quotePrefix="1" applyFont="1" applyFill="1" applyBorder="1" applyAlignment="1">
      <alignment horizontal="center"/>
    </xf>
    <xf numFmtId="0" fontId="10" fillId="0" borderId="31" xfId="0" quotePrefix="1" applyFont="1" applyFill="1" applyBorder="1" applyAlignment="1">
      <alignment horizontal="center"/>
    </xf>
    <xf numFmtId="5" fontId="12" fillId="0" borderId="149" xfId="0" applyNumberFormat="1" applyFont="1" applyFill="1" applyBorder="1" applyAlignment="1" applyProtection="1">
      <alignment vertical="center"/>
    </xf>
    <xf numFmtId="5" fontId="12" fillId="0" borderId="25" xfId="0" applyNumberFormat="1" applyFont="1" applyFill="1" applyBorder="1" applyAlignment="1" applyProtection="1">
      <alignment vertical="center"/>
    </xf>
    <xf numFmtId="5" fontId="12" fillId="0" borderId="50" xfId="0" applyNumberFormat="1" applyFont="1" applyFill="1" applyBorder="1" applyAlignment="1" applyProtection="1">
      <alignment vertical="center"/>
    </xf>
    <xf numFmtId="5" fontId="12" fillId="0" borderId="179" xfId="0" applyNumberFormat="1" applyFont="1" applyFill="1" applyBorder="1" applyAlignment="1" applyProtection="1">
      <alignment vertical="center"/>
    </xf>
    <xf numFmtId="5" fontId="12" fillId="0" borderId="177" xfId="0" applyNumberFormat="1" applyFont="1" applyFill="1" applyBorder="1" applyAlignment="1" applyProtection="1">
      <alignment vertical="center"/>
    </xf>
    <xf numFmtId="0" fontId="24" fillId="57" borderId="26" xfId="0" applyFont="1" applyFill="1" applyBorder="1" applyAlignment="1">
      <alignment horizontal="center" vertical="center" wrapText="1"/>
    </xf>
    <xf numFmtId="0" fontId="24" fillId="25" borderId="13" xfId="0" applyFont="1" applyFill="1" applyBorder="1" applyAlignment="1">
      <alignment horizontal="center" vertical="center" wrapText="1"/>
    </xf>
    <xf numFmtId="0" fontId="24" fillId="43" borderId="13" xfId="0" applyFont="1" applyFill="1" applyBorder="1" applyAlignment="1">
      <alignment horizontal="center" vertical="center" wrapText="1"/>
    </xf>
    <xf numFmtId="0" fontId="24" fillId="52" borderId="13" xfId="0" applyFont="1" applyFill="1" applyBorder="1" applyAlignment="1">
      <alignment horizontal="center" vertical="center" wrapText="1"/>
    </xf>
    <xf numFmtId="0" fontId="24" fillId="56" borderId="13" xfId="0" applyFont="1" applyFill="1" applyBorder="1" applyAlignment="1">
      <alignment horizontal="center" vertical="center" wrapText="1"/>
    </xf>
    <xf numFmtId="0" fontId="8" fillId="0" borderId="283" xfId="0" applyFont="1" applyFill="1" applyBorder="1" applyAlignment="1">
      <alignment horizontal="center" vertical="center"/>
    </xf>
    <xf numFmtId="0" fontId="24" fillId="25" borderId="26" xfId="0" applyFont="1" applyFill="1" applyBorder="1" applyAlignment="1">
      <alignment horizontal="center" vertical="center" wrapText="1"/>
    </xf>
    <xf numFmtId="49" fontId="63" fillId="27" borderId="0" xfId="53" applyNumberFormat="1" applyFont="1" applyFill="1" applyBorder="1" applyAlignment="1">
      <alignment horizontal="center" vertical="center" wrapText="1"/>
    </xf>
    <xf numFmtId="38" fontId="72" fillId="48" borderId="13" xfId="0" applyNumberFormat="1" applyFont="1" applyFill="1" applyBorder="1" applyAlignment="1">
      <alignment wrapText="1"/>
    </xf>
    <xf numFmtId="49" fontId="63" fillId="27" borderId="245" xfId="53" applyNumberFormat="1" applyFont="1" applyFill="1" applyBorder="1" applyAlignment="1">
      <alignment horizontal="center" vertical="center" wrapText="1"/>
    </xf>
    <xf numFmtId="49" fontId="63" fillId="27" borderId="0" xfId="53" applyNumberFormat="1" applyFont="1" applyFill="1" applyBorder="1" applyAlignment="1">
      <alignment horizontal="center" vertical="center" wrapText="1"/>
    </xf>
    <xf numFmtId="1" fontId="105" fillId="26" borderId="246" xfId="53" applyNumberFormat="1" applyFont="1" applyFill="1" applyBorder="1" applyAlignment="1" applyProtection="1">
      <alignment horizontal="center"/>
    </xf>
    <xf numFmtId="1" fontId="18" fillId="26" borderId="271" xfId="53" applyNumberFormat="1" applyFont="1" applyFill="1" applyBorder="1" applyAlignment="1" applyProtection="1">
      <alignment horizontal="center"/>
    </xf>
    <xf numFmtId="6" fontId="0" fillId="57" borderId="13" xfId="0" applyNumberFormat="1" applyFill="1" applyBorder="1"/>
    <xf numFmtId="6" fontId="24" fillId="57" borderId="238" xfId="0" applyNumberFormat="1" applyFont="1" applyFill="1" applyBorder="1"/>
    <xf numFmtId="6" fontId="0" fillId="39" borderId="13" xfId="0" applyNumberFormat="1" applyFill="1" applyBorder="1"/>
    <xf numFmtId="6" fontId="24" fillId="39" borderId="238" xfId="0" applyNumberFormat="1" applyFont="1" applyFill="1" applyBorder="1"/>
    <xf numFmtId="166" fontId="5" fillId="57" borderId="117" xfId="54" applyNumberFormat="1" applyFont="1" applyFill="1" applyBorder="1" applyAlignment="1" applyProtection="1">
      <alignment horizontal="right"/>
    </xf>
    <xf numFmtId="166" fontId="5" fillId="57" borderId="247" xfId="54" applyNumberFormat="1" applyFont="1" applyFill="1" applyBorder="1" applyAlignment="1" applyProtection="1">
      <alignment horizontal="right"/>
    </xf>
    <xf numFmtId="166" fontId="5" fillId="57" borderId="248" xfId="54" applyNumberFormat="1" applyFont="1" applyFill="1" applyBorder="1" applyAlignment="1" applyProtection="1">
      <alignment horizontal="right"/>
    </xf>
    <xf numFmtId="166" fontId="5" fillId="57" borderId="247" xfId="53" applyNumberFormat="1" applyFont="1" applyFill="1" applyBorder="1" applyAlignment="1" applyProtection="1">
      <alignment horizontal="right"/>
    </xf>
    <xf numFmtId="166" fontId="5" fillId="57" borderId="248" xfId="53" applyNumberFormat="1" applyFont="1" applyFill="1" applyBorder="1" applyAlignment="1" applyProtection="1">
      <alignment horizontal="right"/>
    </xf>
    <xf numFmtId="166" fontId="5" fillId="57" borderId="117" xfId="53" applyNumberFormat="1" applyFont="1" applyFill="1" applyBorder="1" applyAlignment="1" applyProtection="1">
      <alignment horizontal="right"/>
    </xf>
    <xf numFmtId="166" fontId="5" fillId="57" borderId="249" xfId="53" applyNumberFormat="1" applyFont="1" applyFill="1" applyBorder="1" applyAlignment="1" applyProtection="1">
      <alignment horizontal="right"/>
    </xf>
    <xf numFmtId="166" fontId="5" fillId="57" borderId="254" xfId="53" applyNumberFormat="1" applyFont="1" applyFill="1" applyBorder="1" applyAlignment="1" applyProtection="1">
      <alignment horizontal="right"/>
    </xf>
    <xf numFmtId="166" fontId="24" fillId="57" borderId="81" xfId="54" applyNumberFormat="1" applyFont="1" applyFill="1" applyBorder="1" applyAlignment="1" applyProtection="1">
      <alignment horizontal="right"/>
    </xf>
    <xf numFmtId="166" fontId="5" fillId="57" borderId="121" xfId="54" applyNumberFormat="1" applyFont="1" applyFill="1" applyBorder="1" applyAlignment="1" applyProtection="1">
      <alignment horizontal="right"/>
    </xf>
    <xf numFmtId="166" fontId="5" fillId="57" borderId="124" xfId="54" applyNumberFormat="1" applyFont="1" applyFill="1" applyBorder="1" applyAlignment="1" applyProtection="1">
      <alignment horizontal="right"/>
    </xf>
    <xf numFmtId="166" fontId="5" fillId="57" borderId="121" xfId="53" applyNumberFormat="1" applyFont="1" applyFill="1" applyBorder="1" applyAlignment="1" applyProtection="1">
      <alignment horizontal="right"/>
    </xf>
    <xf numFmtId="166" fontId="5" fillId="57" borderId="124" xfId="53" applyNumberFormat="1" applyFont="1" applyFill="1" applyBorder="1" applyAlignment="1" applyProtection="1">
      <alignment horizontal="right"/>
    </xf>
    <xf numFmtId="166" fontId="5" fillId="57" borderId="128" xfId="53" applyNumberFormat="1" applyFont="1" applyFill="1" applyBorder="1" applyAlignment="1" applyProtection="1">
      <alignment horizontal="right"/>
    </xf>
    <xf numFmtId="0" fontId="24" fillId="43" borderId="13" xfId="0" applyFont="1" applyFill="1" applyBorder="1" applyAlignment="1">
      <alignment horizontal="center" vertical="center" wrapText="1"/>
    </xf>
    <xf numFmtId="0" fontId="24" fillId="56" borderId="13" xfId="0" applyFont="1" applyFill="1" applyBorder="1" applyAlignment="1">
      <alignment horizontal="center" vertical="center" wrapText="1"/>
    </xf>
    <xf numFmtId="0" fontId="95" fillId="41" borderId="256" xfId="0" applyFont="1" applyFill="1" applyBorder="1" applyAlignment="1">
      <alignment horizontal="left" wrapText="1"/>
    </xf>
    <xf numFmtId="0" fontId="24" fillId="25" borderId="13" xfId="0" applyFont="1" applyFill="1" applyBorder="1" applyAlignment="1">
      <alignment horizontal="center" vertical="center" wrapText="1"/>
    </xf>
    <xf numFmtId="0" fontId="24" fillId="52" borderId="13" xfId="0" applyFont="1" applyFill="1" applyBorder="1" applyAlignment="1">
      <alignment horizontal="center" vertical="center" wrapText="1"/>
    </xf>
    <xf numFmtId="49" fontId="24" fillId="43" borderId="13" xfId="53" applyNumberFormat="1" applyFont="1" applyFill="1" applyBorder="1" applyAlignment="1">
      <alignment horizontal="center" vertical="center" wrapText="1"/>
    </xf>
    <xf numFmtId="49" fontId="24" fillId="42" borderId="10" xfId="53" applyNumberFormat="1" applyFont="1" applyFill="1" applyBorder="1" applyAlignment="1">
      <alignment horizontal="center" vertical="center" wrapText="1"/>
    </xf>
    <xf numFmtId="49" fontId="24" fillId="43" borderId="10" xfId="53" applyNumberFormat="1" applyFont="1" applyFill="1" applyBorder="1" applyAlignment="1">
      <alignment horizontal="center" vertical="center" wrapText="1"/>
    </xf>
    <xf numFmtId="0" fontId="123" fillId="25" borderId="10" xfId="0" applyFont="1" applyFill="1" applyBorder="1" applyAlignment="1">
      <alignment horizontal="center" vertical="center" wrapText="1"/>
    </xf>
    <xf numFmtId="0" fontId="24" fillId="27" borderId="26" xfId="0" applyFont="1" applyFill="1" applyBorder="1" applyAlignment="1">
      <alignment horizontal="center" vertical="center" wrapText="1"/>
    </xf>
    <xf numFmtId="0" fontId="24" fillId="27" borderId="13" xfId="0" applyFont="1" applyFill="1" applyBorder="1" applyAlignment="1">
      <alignment horizontal="center" vertical="center" wrapText="1"/>
    </xf>
    <xf numFmtId="10" fontId="108" fillId="0" borderId="257" xfId="48" applyNumberFormat="1" applyFont="1" applyBorder="1"/>
    <xf numFmtId="38" fontId="7" fillId="0" borderId="0" xfId="0" applyNumberFormat="1" applyFont="1" applyBorder="1"/>
    <xf numFmtId="38" fontId="7" fillId="0" borderId="0" xfId="0" applyNumberFormat="1" applyFont="1" applyFill="1" applyBorder="1"/>
    <xf numFmtId="10" fontId="5" fillId="0" borderId="257" xfId="48" applyNumberFormat="1" applyFont="1" applyBorder="1"/>
    <xf numFmtId="3" fontId="7" fillId="40" borderId="0" xfId="0" applyNumberFormat="1" applyFont="1" applyFill="1" applyBorder="1"/>
    <xf numFmtId="38" fontId="7" fillId="40" borderId="0" xfId="0" applyNumberFormat="1" applyFont="1" applyFill="1" applyBorder="1"/>
    <xf numFmtId="10" fontId="108" fillId="41" borderId="257" xfId="48" applyNumberFormat="1" applyFont="1" applyFill="1" applyBorder="1"/>
    <xf numFmtId="6" fontId="7" fillId="41" borderId="0" xfId="0" applyNumberFormat="1" applyFont="1" applyFill="1" applyBorder="1"/>
    <xf numFmtId="3" fontId="7" fillId="41" borderId="0" xfId="0" applyNumberFormat="1" applyFont="1" applyFill="1" applyBorder="1"/>
    <xf numFmtId="38" fontId="7" fillId="41" borderId="0" xfId="0" applyNumberFormat="1" applyFont="1" applyFill="1" applyBorder="1"/>
    <xf numFmtId="3" fontId="7" fillId="31" borderId="0" xfId="0" applyNumberFormat="1" applyFont="1" applyFill="1" applyBorder="1"/>
    <xf numFmtId="38" fontId="7" fillId="31" borderId="0" xfId="0" applyNumberFormat="1" applyFont="1" applyFill="1" applyBorder="1"/>
    <xf numFmtId="3" fontId="7" fillId="0" borderId="0" xfId="0" applyNumberFormat="1" applyFont="1" applyFill="1" applyBorder="1" applyAlignment="1">
      <alignment horizontal="right"/>
    </xf>
    <xf numFmtId="38" fontId="7" fillId="0" borderId="0" xfId="0" applyNumberFormat="1" applyFont="1" applyFill="1" applyBorder="1" applyAlignment="1">
      <alignment horizontal="right"/>
    </xf>
    <xf numFmtId="10" fontId="9" fillId="0" borderId="257" xfId="48" applyNumberFormat="1" applyFont="1" applyBorder="1"/>
    <xf numFmtId="166" fontId="9" fillId="0" borderId="0" xfId="0" applyNumberFormat="1" applyFont="1" applyBorder="1"/>
    <xf numFmtId="6" fontId="9" fillId="0" borderId="0" xfId="0" applyNumberFormat="1" applyFont="1" applyBorder="1"/>
    <xf numFmtId="38" fontId="0" fillId="0" borderId="0" xfId="0" applyNumberFormat="1" applyBorder="1"/>
    <xf numFmtId="171" fontId="0" fillId="0" borderId="0" xfId="0" applyNumberFormat="1" applyBorder="1"/>
    <xf numFmtId="7" fontId="8" fillId="0" borderId="0" xfId="32" applyNumberFormat="1" applyFont="1" applyBorder="1"/>
    <xf numFmtId="0" fontId="0" fillId="0" borderId="0" xfId="0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16" fontId="9" fillId="0" borderId="0" xfId="0" quotePrefix="1" applyNumberFormat="1" applyFont="1" applyFill="1" applyBorder="1" applyAlignment="1">
      <alignment horizontal="center" vertical="center"/>
    </xf>
    <xf numFmtId="1" fontId="18" fillId="0" borderId="257" xfId="28" quotePrefix="1" applyNumberFormat="1" applyFont="1" applyFill="1" applyBorder="1" applyAlignment="1">
      <alignment horizontal="center"/>
    </xf>
    <xf numFmtId="1" fontId="18" fillId="0" borderId="0" xfId="28" quotePrefix="1" applyNumberFormat="1" applyFont="1" applyFill="1" applyBorder="1" applyAlignment="1">
      <alignment horizontal="center"/>
    </xf>
    <xf numFmtId="1" fontId="0" fillId="0" borderId="0" xfId="0" applyNumberFormat="1" applyFill="1" applyAlignment="1">
      <alignment horizontal="center"/>
    </xf>
    <xf numFmtId="6" fontId="0" fillId="0" borderId="0" xfId="0" applyNumberFormat="1" applyBorder="1"/>
    <xf numFmtId="165" fontId="0" fillId="0" borderId="0" xfId="0" applyNumberFormat="1" applyBorder="1"/>
    <xf numFmtId="0" fontId="0" fillId="0" borderId="0" xfId="0" applyBorder="1" applyAlignment="1">
      <alignment vertical="top" wrapText="1"/>
    </xf>
    <xf numFmtId="6" fontId="0" fillId="0" borderId="0" xfId="0" applyNumberFormat="1" applyBorder="1" applyAlignment="1">
      <alignment vertical="top" wrapText="1"/>
    </xf>
    <xf numFmtId="0" fontId="0" fillId="0" borderId="0" xfId="0" applyBorder="1" applyAlignment="1">
      <alignment horizontal="center" vertical="top" wrapText="1"/>
    </xf>
    <xf numFmtId="6" fontId="0" fillId="0" borderId="0" xfId="0" applyNumberFormat="1" applyBorder="1" applyAlignment="1">
      <alignment horizontal="center" vertical="top" wrapText="1"/>
    </xf>
    <xf numFmtId="167" fontId="7" fillId="0" borderId="64" xfId="0" applyNumberFormat="1" applyFont="1" applyFill="1" applyBorder="1"/>
    <xf numFmtId="8" fontId="7" fillId="0" borderId="0" xfId="0" applyNumberFormat="1" applyFont="1" applyBorder="1"/>
    <xf numFmtId="166" fontId="7" fillId="0" borderId="0" xfId="0" applyNumberFormat="1" applyFont="1" applyBorder="1"/>
    <xf numFmtId="166" fontId="9" fillId="27" borderId="0" xfId="0" applyNumberFormat="1" applyFont="1" applyFill="1" applyBorder="1"/>
    <xf numFmtId="3" fontId="7" fillId="48" borderId="0" xfId="0" applyNumberFormat="1" applyFont="1" applyFill="1" applyBorder="1"/>
    <xf numFmtId="8" fontId="7" fillId="48" borderId="0" xfId="0" applyNumberFormat="1" applyFont="1" applyFill="1" applyBorder="1"/>
    <xf numFmtId="0" fontId="5" fillId="48" borderId="0" xfId="0" applyFont="1" applyFill="1" applyBorder="1"/>
    <xf numFmtId="0" fontId="5" fillId="0" borderId="0" xfId="0" applyFont="1" applyBorder="1"/>
    <xf numFmtId="1" fontId="117" fillId="0" borderId="0" xfId="64" applyNumberFormat="1" applyFont="1" applyFill="1" applyBorder="1" applyAlignment="1">
      <alignment horizontal="right" wrapText="1"/>
    </xf>
    <xf numFmtId="166" fontId="7" fillId="51" borderId="0" xfId="0" applyNumberFormat="1" applyFont="1" applyFill="1" applyBorder="1"/>
    <xf numFmtId="0" fontId="5" fillId="64" borderId="0" xfId="0" applyFont="1" applyFill="1" applyBorder="1"/>
    <xf numFmtId="6" fontId="7" fillId="64" borderId="0" xfId="0" applyNumberFormat="1" applyFont="1" applyFill="1" applyBorder="1"/>
    <xf numFmtId="0" fontId="5" fillId="0" borderId="0" xfId="0" applyFont="1" applyBorder="1" applyAlignment="1">
      <alignment wrapText="1"/>
    </xf>
    <xf numFmtId="49" fontId="63" fillId="53" borderId="257" xfId="53" applyNumberFormat="1" applyFont="1" applyFill="1" applyBorder="1" applyAlignment="1">
      <alignment vertical="center" wrapText="1"/>
    </xf>
    <xf numFmtId="1" fontId="34" fillId="0" borderId="257" xfId="53" applyNumberFormat="1" applyFont="1" applyBorder="1" applyAlignment="1">
      <alignment horizontal="center"/>
    </xf>
    <xf numFmtId="1" fontId="34" fillId="0" borderId="0" xfId="53" applyNumberFormat="1" applyFont="1" applyBorder="1" applyAlignment="1">
      <alignment horizontal="center"/>
    </xf>
    <xf numFmtId="0" fontId="15" fillId="0" borderId="0" xfId="53" applyFont="1" applyBorder="1" applyAlignment="1">
      <alignment horizontal="center"/>
    </xf>
    <xf numFmtId="0" fontId="5" fillId="0" borderId="257" xfId="53" applyFont="1" applyBorder="1"/>
    <xf numFmtId="0" fontId="5" fillId="0" borderId="0" xfId="53" applyFont="1" applyBorder="1"/>
    <xf numFmtId="1" fontId="5" fillId="0" borderId="257" xfId="53" applyNumberFormat="1" applyFont="1" applyBorder="1" applyAlignment="1">
      <alignment horizontal="center"/>
    </xf>
    <xf numFmtId="1" fontId="5" fillId="0" borderId="0" xfId="53" applyNumberFormat="1" applyFont="1" applyBorder="1" applyAlignment="1">
      <alignment horizontal="center"/>
    </xf>
    <xf numFmtId="6" fontId="72" fillId="27" borderId="268" xfId="0" applyNumberFormat="1" applyFont="1" applyFill="1" applyBorder="1" applyAlignment="1">
      <alignment horizontal="center"/>
    </xf>
    <xf numFmtId="6" fontId="72" fillId="41" borderId="268" xfId="0" applyNumberFormat="1" applyFont="1" applyFill="1" applyBorder="1" applyAlignment="1">
      <alignment horizontal="center"/>
    </xf>
    <xf numFmtId="6" fontId="72" fillId="27" borderId="257" xfId="0" applyNumberFormat="1" applyFont="1" applyFill="1" applyBorder="1"/>
    <xf numFmtId="6" fontId="72" fillId="41" borderId="0" xfId="0" applyNumberFormat="1" applyFont="1" applyFill="1" applyBorder="1"/>
    <xf numFmtId="6" fontId="72" fillId="27" borderId="0" xfId="0" applyNumberFormat="1" applyFont="1" applyFill="1" applyBorder="1"/>
    <xf numFmtId="8" fontId="72" fillId="27" borderId="0" xfId="0" applyNumberFormat="1" applyFont="1" applyFill="1" applyBorder="1"/>
    <xf numFmtId="0" fontId="150" fillId="0" borderId="0" xfId="0" applyFont="1" applyBorder="1" applyAlignment="1">
      <alignment horizontal="center" wrapText="1"/>
    </xf>
    <xf numFmtId="0" fontId="151" fillId="0" borderId="0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13" fillId="0" borderId="17" xfId="0" quotePrefix="1" applyFont="1" applyBorder="1" applyAlignment="1">
      <alignment horizontal="center" wrapText="1"/>
    </xf>
    <xf numFmtId="0" fontId="13" fillId="0" borderId="17" xfId="0" applyFont="1" applyBorder="1" applyAlignment="1">
      <alignment horizontal="center" wrapText="1"/>
    </xf>
    <xf numFmtId="0" fontId="53" fillId="27" borderId="136" xfId="0" applyFont="1" applyFill="1" applyBorder="1" applyAlignment="1">
      <alignment horizontal="center" vertical="center" wrapText="1"/>
    </xf>
    <xf numFmtId="0" fontId="21" fillId="27" borderId="50" xfId="0" applyFont="1" applyFill="1" applyBorder="1" applyAlignment="1">
      <alignment horizontal="center" vertical="center" wrapText="1"/>
    </xf>
    <xf numFmtId="0" fontId="21" fillId="27" borderId="23" xfId="0" applyFont="1" applyFill="1" applyBorder="1" applyAlignment="1">
      <alignment horizontal="center" vertical="center" wrapText="1"/>
    </xf>
    <xf numFmtId="0" fontId="20" fillId="27" borderId="136" xfId="0" quotePrefix="1" applyFont="1" applyFill="1" applyBorder="1" applyAlignment="1">
      <alignment horizontal="center" vertical="center" wrapText="1"/>
    </xf>
    <xf numFmtId="0" fontId="20" fillId="27" borderId="50" xfId="0" applyFont="1" applyFill="1" applyBorder="1" applyAlignment="1">
      <alignment horizontal="center" vertical="center" wrapText="1"/>
    </xf>
    <xf numFmtId="0" fontId="20" fillId="27" borderId="23" xfId="0" applyFont="1" applyFill="1" applyBorder="1" applyAlignment="1">
      <alignment horizontal="center" vertical="center" wrapText="1"/>
    </xf>
    <xf numFmtId="0" fontId="20" fillId="0" borderId="139" xfId="0" applyFont="1" applyFill="1" applyBorder="1" applyAlignment="1">
      <alignment horizontal="center" vertical="center" wrapText="1"/>
    </xf>
    <xf numFmtId="0" fontId="20" fillId="0" borderId="140" xfId="0" applyFont="1" applyFill="1" applyBorder="1" applyAlignment="1">
      <alignment horizontal="center" vertical="center"/>
    </xf>
    <xf numFmtId="0" fontId="20" fillId="0" borderId="108" xfId="0" applyFont="1" applyFill="1" applyBorder="1" applyAlignment="1">
      <alignment horizontal="center" vertical="center"/>
    </xf>
    <xf numFmtId="0" fontId="53" fillId="27" borderId="148" xfId="0" applyFont="1" applyFill="1" applyBorder="1" applyAlignment="1">
      <alignment horizontal="center" vertical="center" wrapText="1"/>
    </xf>
    <xf numFmtId="0" fontId="53" fillId="27" borderId="24" xfId="0" applyFont="1" applyFill="1" applyBorder="1" applyAlignment="1">
      <alignment horizontal="center" vertical="center" wrapText="1"/>
    </xf>
    <xf numFmtId="0" fontId="53" fillId="27" borderId="149" xfId="0" applyFont="1" applyFill="1" applyBorder="1" applyAlignment="1">
      <alignment horizontal="center" vertical="center" wrapText="1"/>
    </xf>
    <xf numFmtId="0" fontId="53" fillId="27" borderId="25" xfId="0" applyFont="1" applyFill="1" applyBorder="1" applyAlignment="1">
      <alignment horizontal="center" vertical="center" wrapText="1"/>
    </xf>
    <xf numFmtId="0" fontId="53" fillId="27" borderId="150" xfId="0" applyFont="1" applyFill="1" applyBorder="1" applyAlignment="1">
      <alignment horizontal="center" vertical="center" wrapText="1"/>
    </xf>
    <xf numFmtId="0" fontId="53" fillId="27" borderId="151" xfId="0" applyFont="1" applyFill="1" applyBorder="1" applyAlignment="1">
      <alignment horizontal="center" vertical="center" wrapText="1"/>
    </xf>
    <xf numFmtId="0" fontId="67" fillId="0" borderId="16" xfId="0" applyFont="1" applyBorder="1" applyAlignment="1">
      <alignment horizontal="left" vertical="top" wrapText="1"/>
    </xf>
    <xf numFmtId="0" fontId="10" fillId="0" borderId="143" xfId="0" applyFont="1" applyFill="1" applyBorder="1" applyAlignment="1">
      <alignment horizontal="left" vertical="top" wrapText="1"/>
    </xf>
    <xf numFmtId="0" fontId="10" fillId="0" borderId="144" xfId="0" applyFont="1" applyFill="1" applyBorder="1" applyAlignment="1">
      <alignment horizontal="left" vertical="top" wrapText="1"/>
    </xf>
    <xf numFmtId="0" fontId="20" fillId="0" borderId="137" xfId="0" quotePrefix="1" applyFont="1" applyFill="1" applyBorder="1" applyAlignment="1">
      <alignment horizontal="left" vertical="center" wrapText="1"/>
    </xf>
    <xf numFmtId="0" fontId="20" fillId="0" borderId="138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/>
    </xf>
    <xf numFmtId="0" fontId="17" fillId="27" borderId="62" xfId="0" applyFont="1" applyFill="1" applyBorder="1" applyAlignment="1">
      <alignment horizontal="left" vertical="center" wrapText="1"/>
    </xf>
    <xf numFmtId="0" fontId="0" fillId="0" borderId="141" xfId="0" applyBorder="1" applyAlignment="1">
      <alignment horizontal="left" vertical="center" wrapText="1"/>
    </xf>
    <xf numFmtId="0" fontId="17" fillId="27" borderId="142" xfId="0" applyFont="1" applyFill="1" applyBorder="1" applyAlignment="1">
      <alignment horizontal="left" vertical="center" wrapText="1"/>
    </xf>
    <xf numFmtId="0" fontId="17" fillId="27" borderId="113" xfId="0" applyFont="1" applyFill="1" applyBorder="1" applyAlignment="1">
      <alignment horizontal="left" vertical="center" wrapText="1"/>
    </xf>
    <xf numFmtId="0" fontId="10" fillId="0" borderId="286" xfId="0" applyFont="1" applyFill="1" applyBorder="1" applyAlignment="1">
      <alignment horizontal="left" vertical="center" wrapText="1"/>
    </xf>
    <xf numFmtId="0" fontId="10" fillId="0" borderId="287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wrapText="1"/>
    </xf>
    <xf numFmtId="0" fontId="5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24" fillId="27" borderId="26" xfId="0" applyFont="1" applyFill="1" applyBorder="1" applyAlignment="1">
      <alignment horizontal="center" vertical="center" wrapText="1"/>
    </xf>
    <xf numFmtId="0" fontId="24" fillId="35" borderId="256" xfId="0" applyFont="1" applyFill="1" applyBorder="1" applyAlignment="1">
      <alignment horizontal="center" vertical="center" wrapText="1"/>
    </xf>
    <xf numFmtId="0" fontId="24" fillId="35" borderId="268" xfId="0" applyFont="1" applyFill="1" applyBorder="1" applyAlignment="1">
      <alignment horizontal="center" vertical="center" wrapText="1"/>
    </xf>
    <xf numFmtId="0" fontId="24" fillId="35" borderId="13" xfId="0" applyFont="1" applyFill="1" applyBorder="1" applyAlignment="1">
      <alignment horizontal="center" vertical="center" wrapText="1"/>
    </xf>
    <xf numFmtId="0" fontId="24" fillId="35" borderId="10" xfId="0" applyFont="1" applyFill="1" applyBorder="1" applyAlignment="1">
      <alignment horizontal="center" vertical="center" wrapText="1"/>
    </xf>
    <xf numFmtId="0" fontId="24" fillId="35" borderId="11" xfId="0" applyFont="1" applyFill="1" applyBorder="1" applyAlignment="1">
      <alignment horizontal="center" vertical="center" wrapText="1"/>
    </xf>
    <xf numFmtId="0" fontId="24" fillId="31" borderId="26" xfId="0" applyFont="1" applyFill="1" applyBorder="1" applyAlignment="1">
      <alignment horizontal="center" vertical="center" wrapText="1"/>
    </xf>
    <xf numFmtId="0" fontId="24" fillId="57" borderId="26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14" xfId="0" applyBorder="1" applyAlignment="1">
      <alignment horizontal="center"/>
    </xf>
    <xf numFmtId="0" fontId="24" fillId="48" borderId="0" xfId="0" applyFont="1" applyFill="1" applyBorder="1" applyAlignment="1">
      <alignment horizontal="center" vertical="center" wrapText="1"/>
    </xf>
    <xf numFmtId="0" fontId="24" fillId="25" borderId="10" xfId="0" applyFont="1" applyFill="1" applyBorder="1" applyAlignment="1" applyProtection="1">
      <alignment horizontal="center" vertical="center"/>
    </xf>
    <xf numFmtId="0" fontId="24" fillId="25" borderId="11" xfId="0" applyFont="1" applyFill="1" applyBorder="1" applyAlignment="1" applyProtection="1">
      <alignment horizontal="center" vertical="center"/>
    </xf>
    <xf numFmtId="0" fontId="24" fillId="25" borderId="13" xfId="0" applyFont="1" applyFill="1" applyBorder="1" applyAlignment="1" applyProtection="1">
      <alignment horizontal="center" vertical="center"/>
    </xf>
    <xf numFmtId="0" fontId="9" fillId="25" borderId="26" xfId="0" applyFont="1" applyFill="1" applyBorder="1" applyAlignment="1">
      <alignment horizontal="center" vertical="center" wrapText="1"/>
    </xf>
    <xf numFmtId="0" fontId="24" fillId="27" borderId="10" xfId="0" applyFont="1" applyFill="1" applyBorder="1" applyAlignment="1">
      <alignment horizontal="center" vertical="center" wrapText="1"/>
    </xf>
    <xf numFmtId="0" fontId="24" fillId="27" borderId="11" xfId="0" applyFont="1" applyFill="1" applyBorder="1" applyAlignment="1">
      <alignment horizontal="center" vertical="center" wrapText="1"/>
    </xf>
    <xf numFmtId="0" fontId="24" fillId="27" borderId="13" xfId="0" applyFont="1" applyFill="1" applyBorder="1" applyAlignment="1">
      <alignment horizontal="center" vertical="center" wrapText="1"/>
    </xf>
    <xf numFmtId="0" fontId="24" fillId="25" borderId="10" xfId="0" applyFont="1" applyFill="1" applyBorder="1" applyAlignment="1">
      <alignment horizontal="center" vertical="center" wrapText="1"/>
    </xf>
    <xf numFmtId="0" fontId="24" fillId="25" borderId="11" xfId="0" applyFont="1" applyFill="1" applyBorder="1" applyAlignment="1">
      <alignment horizontal="center" vertical="center" wrapText="1"/>
    </xf>
    <xf numFmtId="0" fontId="24" fillId="25" borderId="13" xfId="0" applyFont="1" applyFill="1" applyBorder="1" applyAlignment="1">
      <alignment horizontal="center" vertical="center" wrapText="1"/>
    </xf>
    <xf numFmtId="0" fontId="24" fillId="25" borderId="10" xfId="0" applyFont="1" applyFill="1" applyBorder="1" applyAlignment="1" applyProtection="1">
      <alignment horizontal="center" vertical="center" wrapText="1"/>
    </xf>
    <xf numFmtId="0" fontId="69" fillId="25" borderId="36" xfId="0" applyFont="1" applyFill="1" applyBorder="1" applyAlignment="1">
      <alignment horizontal="center"/>
    </xf>
    <xf numFmtId="0" fontId="69" fillId="25" borderId="51" xfId="0" applyFont="1" applyFill="1" applyBorder="1" applyAlignment="1">
      <alignment horizontal="center"/>
    </xf>
    <xf numFmtId="0" fontId="69" fillId="25" borderId="42" xfId="0" applyFont="1" applyFill="1" applyBorder="1" applyAlignment="1">
      <alignment horizontal="center"/>
    </xf>
    <xf numFmtId="0" fontId="24" fillId="62" borderId="10" xfId="0" applyFont="1" applyFill="1" applyBorder="1" applyAlignment="1">
      <alignment horizontal="center" vertical="center" wrapText="1"/>
    </xf>
    <xf numFmtId="0" fontId="24" fillId="62" borderId="11" xfId="0" applyFont="1" applyFill="1" applyBorder="1" applyAlignment="1">
      <alignment horizontal="center" vertical="center" wrapText="1"/>
    </xf>
    <xf numFmtId="0" fontId="24" fillId="62" borderId="13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wrapText="1"/>
    </xf>
    <xf numFmtId="0" fontId="57" fillId="0" borderId="0" xfId="0" applyFont="1" applyBorder="1" applyAlignment="1">
      <alignment horizontal="center" vertical="top" wrapText="1"/>
    </xf>
    <xf numFmtId="0" fontId="24" fillId="57" borderId="10" xfId="0" applyFont="1" applyFill="1" applyBorder="1" applyAlignment="1">
      <alignment horizontal="center" vertical="center" wrapText="1"/>
    </xf>
    <xf numFmtId="0" fontId="24" fillId="57" borderId="11" xfId="0" applyFont="1" applyFill="1" applyBorder="1" applyAlignment="1">
      <alignment horizontal="center" vertical="center" wrapText="1"/>
    </xf>
    <xf numFmtId="0" fontId="24" fillId="57" borderId="13" xfId="0" applyFont="1" applyFill="1" applyBorder="1" applyAlignment="1">
      <alignment horizontal="center" vertical="center" wrapText="1"/>
    </xf>
    <xf numFmtId="0" fontId="24" fillId="43" borderId="10" xfId="0" applyFont="1" applyFill="1" applyBorder="1" applyAlignment="1">
      <alignment horizontal="center" vertical="center" wrapText="1"/>
    </xf>
    <xf numFmtId="0" fontId="24" fillId="43" borderId="11" xfId="0" applyFont="1" applyFill="1" applyBorder="1" applyAlignment="1">
      <alignment horizontal="center" vertical="center" wrapText="1"/>
    </xf>
    <xf numFmtId="0" fontId="24" fillId="43" borderId="13" xfId="0" applyFont="1" applyFill="1" applyBorder="1" applyAlignment="1">
      <alignment horizontal="center" vertical="center" wrapText="1"/>
    </xf>
    <xf numFmtId="0" fontId="45" fillId="0" borderId="0" xfId="0" applyFont="1" applyBorder="1" applyAlignment="1">
      <alignment horizontal="center" vertical="center" wrapText="1"/>
    </xf>
    <xf numFmtId="0" fontId="24" fillId="52" borderId="10" xfId="0" applyFont="1" applyFill="1" applyBorder="1" applyAlignment="1">
      <alignment horizontal="center" vertical="center" wrapText="1"/>
    </xf>
    <xf numFmtId="0" fontId="24" fillId="52" borderId="11" xfId="0" applyFont="1" applyFill="1" applyBorder="1" applyAlignment="1">
      <alignment horizontal="center" vertical="center" wrapText="1"/>
    </xf>
    <xf numFmtId="0" fontId="24" fillId="52" borderId="13" xfId="0" applyFont="1" applyFill="1" applyBorder="1" applyAlignment="1">
      <alignment horizontal="center" vertical="center" wrapText="1"/>
    </xf>
    <xf numFmtId="0" fontId="24" fillId="60" borderId="10" xfId="0" applyFont="1" applyFill="1" applyBorder="1" applyAlignment="1">
      <alignment horizontal="center" vertical="center" wrapText="1"/>
    </xf>
    <xf numFmtId="0" fontId="24" fillId="60" borderId="11" xfId="0" applyFont="1" applyFill="1" applyBorder="1" applyAlignment="1">
      <alignment horizontal="center" vertical="center" wrapText="1"/>
    </xf>
    <xf numFmtId="0" fontId="24" fillId="60" borderId="13" xfId="0" applyFont="1" applyFill="1" applyBorder="1" applyAlignment="1">
      <alignment horizontal="center" vertical="center" wrapText="1"/>
    </xf>
    <xf numFmtId="0" fontId="114" fillId="0" borderId="0" xfId="0" applyFont="1" applyAlignment="1">
      <alignment horizontal="left" wrapText="1"/>
    </xf>
    <xf numFmtId="0" fontId="149" fillId="51" borderId="0" xfId="0" applyFont="1" applyFill="1" applyBorder="1" applyAlignment="1">
      <alignment horizontal="center" wrapText="1"/>
    </xf>
    <xf numFmtId="0" fontId="149" fillId="51" borderId="0" xfId="0" applyFont="1" applyFill="1" applyBorder="1" applyAlignment="1">
      <alignment horizontal="center"/>
    </xf>
    <xf numFmtId="0" fontId="134" fillId="57" borderId="283" xfId="0" applyFont="1" applyFill="1" applyBorder="1" applyAlignment="1">
      <alignment horizontal="center" vertical="center" wrapText="1"/>
    </xf>
    <xf numFmtId="0" fontId="134" fillId="57" borderId="245" xfId="0" applyFont="1" applyFill="1" applyBorder="1" applyAlignment="1">
      <alignment horizontal="center" vertical="center" wrapText="1"/>
    </xf>
    <xf numFmtId="0" fontId="134" fillId="57" borderId="271" xfId="0" applyFont="1" applyFill="1" applyBorder="1" applyAlignment="1">
      <alignment horizontal="center" vertical="center" wrapText="1"/>
    </xf>
    <xf numFmtId="0" fontId="131" fillId="57" borderId="283" xfId="0" applyFont="1" applyFill="1" applyBorder="1" applyAlignment="1">
      <alignment horizontal="center"/>
    </xf>
    <xf numFmtId="0" fontId="131" fillId="57" borderId="245" xfId="0" applyFont="1" applyFill="1" applyBorder="1" applyAlignment="1">
      <alignment horizontal="center"/>
    </xf>
    <xf numFmtId="0" fontId="131" fillId="57" borderId="271" xfId="0" applyFont="1" applyFill="1" applyBorder="1" applyAlignment="1">
      <alignment horizontal="center"/>
    </xf>
    <xf numFmtId="9" fontId="19" fillId="27" borderId="283" xfId="0" applyNumberFormat="1" applyFont="1" applyFill="1" applyBorder="1" applyAlignment="1">
      <alignment horizontal="center"/>
    </xf>
    <xf numFmtId="9" fontId="19" fillId="27" borderId="271" xfId="0" applyNumberFormat="1" applyFont="1" applyFill="1" applyBorder="1" applyAlignment="1">
      <alignment horizontal="center"/>
    </xf>
    <xf numFmtId="0" fontId="31" fillId="0" borderId="0" xfId="0" applyFont="1" applyBorder="1" applyAlignment="1">
      <alignment horizontal="center" vertical="center" wrapText="1"/>
    </xf>
    <xf numFmtId="0" fontId="31" fillId="0" borderId="0" xfId="0" applyFont="1" applyBorder="1" applyAlignment="1">
      <alignment vertical="center" wrapText="1"/>
    </xf>
    <xf numFmtId="0" fontId="28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vertical="center" wrapText="1"/>
    </xf>
    <xf numFmtId="0" fontId="39" fillId="31" borderId="85" xfId="0" applyFont="1" applyFill="1" applyBorder="1" applyAlignment="1">
      <alignment horizontal="center"/>
    </xf>
    <xf numFmtId="0" fontId="39" fillId="31" borderId="37" xfId="0" applyFont="1" applyFill="1" applyBorder="1" applyAlignment="1">
      <alignment horizontal="center"/>
    </xf>
    <xf numFmtId="0" fontId="39" fillId="31" borderId="75" xfId="0" applyFont="1" applyFill="1" applyBorder="1" applyAlignment="1">
      <alignment horizontal="center"/>
    </xf>
    <xf numFmtId="0" fontId="133" fillId="43" borderId="26" xfId="0" applyFont="1" applyFill="1" applyBorder="1" applyAlignment="1">
      <alignment horizontal="center" vertical="center" wrapText="1"/>
    </xf>
    <xf numFmtId="0" fontId="132" fillId="66" borderId="33" xfId="0" applyFont="1" applyFill="1" applyBorder="1" applyAlignment="1">
      <alignment horizontal="center" vertical="center" wrapText="1"/>
    </xf>
    <xf numFmtId="0" fontId="132" fillId="66" borderId="74" xfId="0" applyFont="1" applyFill="1" applyBorder="1" applyAlignment="1">
      <alignment horizontal="center" vertical="center" wrapText="1"/>
    </xf>
    <xf numFmtId="0" fontId="132" fillId="66" borderId="44" xfId="0" applyFont="1" applyFill="1" applyBorder="1" applyAlignment="1">
      <alignment horizontal="center" vertical="center" wrapText="1"/>
    </xf>
    <xf numFmtId="0" fontId="132" fillId="66" borderId="34" xfId="0" applyFont="1" applyFill="1" applyBorder="1" applyAlignment="1">
      <alignment horizontal="center" vertical="center" wrapText="1"/>
    </xf>
    <xf numFmtId="0" fontId="132" fillId="66" borderId="0" xfId="0" applyFont="1" applyFill="1" applyBorder="1" applyAlignment="1">
      <alignment horizontal="center" vertical="center" wrapText="1"/>
    </xf>
    <xf numFmtId="0" fontId="132" fillId="66" borderId="45" xfId="0" applyFont="1" applyFill="1" applyBorder="1" applyAlignment="1">
      <alignment horizontal="center" vertical="center" wrapText="1"/>
    </xf>
    <xf numFmtId="0" fontId="132" fillId="66" borderId="35" xfId="0" applyFont="1" applyFill="1" applyBorder="1" applyAlignment="1">
      <alignment horizontal="center" vertical="center" wrapText="1"/>
    </xf>
    <xf numFmtId="0" fontId="132" fillId="66" borderId="14" xfId="0" applyFont="1" applyFill="1" applyBorder="1" applyAlignment="1">
      <alignment horizontal="center" vertical="center" wrapText="1"/>
    </xf>
    <xf numFmtId="0" fontId="132" fillId="66" borderId="78" xfId="0" applyFont="1" applyFill="1" applyBorder="1" applyAlignment="1">
      <alignment horizontal="center" vertical="center" wrapText="1"/>
    </xf>
    <xf numFmtId="0" fontId="131" fillId="57" borderId="42" xfId="0" applyFont="1" applyFill="1" applyBorder="1" applyAlignment="1">
      <alignment horizontal="center"/>
    </xf>
    <xf numFmtId="0" fontId="131" fillId="57" borderId="26" xfId="0" applyFont="1" applyFill="1" applyBorder="1" applyAlignment="1">
      <alignment horizontal="center"/>
    </xf>
    <xf numFmtId="0" fontId="131" fillId="57" borderId="26" xfId="0" applyFont="1" applyFill="1" applyBorder="1" applyAlignment="1">
      <alignment horizontal="center" wrapText="1"/>
    </xf>
    <xf numFmtId="0" fontId="23" fillId="56" borderId="36" xfId="0" applyFont="1" applyFill="1" applyBorder="1" applyAlignment="1">
      <alignment horizontal="center"/>
    </xf>
    <xf numFmtId="0" fontId="23" fillId="56" borderId="51" xfId="0" applyFont="1" applyFill="1" applyBorder="1" applyAlignment="1">
      <alignment horizontal="center"/>
    </xf>
    <xf numFmtId="0" fontId="23" fillId="56" borderId="42" xfId="0" applyFont="1" applyFill="1" applyBorder="1" applyAlignment="1">
      <alignment horizontal="center"/>
    </xf>
    <xf numFmtId="0" fontId="23" fillId="68" borderId="36" xfId="0" applyFont="1" applyFill="1" applyBorder="1" applyAlignment="1">
      <alignment horizontal="center" wrapText="1"/>
    </xf>
    <xf numFmtId="0" fontId="23" fillId="68" borderId="42" xfId="0" applyFont="1" applyFill="1" applyBorder="1" applyAlignment="1">
      <alignment horizontal="center"/>
    </xf>
    <xf numFmtId="0" fontId="134" fillId="57" borderId="36" xfId="0" applyFont="1" applyFill="1" applyBorder="1" applyAlignment="1">
      <alignment horizontal="center" vertical="center" wrapText="1"/>
    </xf>
    <xf numFmtId="0" fontId="134" fillId="57" borderId="51" xfId="0" applyFont="1" applyFill="1" applyBorder="1" applyAlignment="1">
      <alignment horizontal="center" vertical="center" wrapText="1"/>
    </xf>
    <xf numFmtId="0" fontId="134" fillId="57" borderId="42" xfId="0" applyFont="1" applyFill="1" applyBorder="1" applyAlignment="1">
      <alignment horizontal="center" vertical="center" wrapText="1"/>
    </xf>
    <xf numFmtId="9" fontId="19" fillId="27" borderId="283" xfId="48" applyFont="1" applyFill="1" applyBorder="1" applyAlignment="1">
      <alignment horizontal="center"/>
    </xf>
    <xf numFmtId="9" fontId="19" fillId="27" borderId="271" xfId="48" applyFont="1" applyFill="1" applyBorder="1" applyAlignment="1">
      <alignment horizontal="center"/>
    </xf>
    <xf numFmtId="0" fontId="132" fillId="55" borderId="33" xfId="0" applyFont="1" applyFill="1" applyBorder="1" applyAlignment="1">
      <alignment horizontal="center" wrapText="1"/>
    </xf>
    <xf numFmtId="0" fontId="132" fillId="55" borderId="44" xfId="0" applyFont="1" applyFill="1" applyBorder="1" applyAlignment="1">
      <alignment horizontal="center" wrapText="1"/>
    </xf>
    <xf numFmtId="0" fontId="132" fillId="55" borderId="257" xfId="0" applyFont="1" applyFill="1" applyBorder="1" applyAlignment="1">
      <alignment horizontal="center" wrapText="1"/>
    </xf>
    <xf numFmtId="0" fontId="132" fillId="55" borderId="45" xfId="0" applyFont="1" applyFill="1" applyBorder="1" applyAlignment="1">
      <alignment horizontal="center" wrapText="1"/>
    </xf>
    <xf numFmtId="0" fontId="132" fillId="55" borderId="35" xfId="0" applyFont="1" applyFill="1" applyBorder="1" applyAlignment="1">
      <alignment horizontal="center" wrapText="1"/>
    </xf>
    <xf numFmtId="0" fontId="132" fillId="55" borderId="78" xfId="0" applyFont="1" applyFill="1" applyBorder="1" applyAlignment="1">
      <alignment horizontal="center" wrapText="1"/>
    </xf>
    <xf numFmtId="9" fontId="19" fillId="27" borderId="288" xfId="0" applyNumberFormat="1" applyFont="1" applyFill="1" applyBorder="1" applyAlignment="1">
      <alignment horizontal="center"/>
    </xf>
    <xf numFmtId="9" fontId="19" fillId="27" borderId="289" xfId="0" applyNumberFormat="1" applyFont="1" applyFill="1" applyBorder="1" applyAlignment="1">
      <alignment horizontal="center"/>
    </xf>
    <xf numFmtId="0" fontId="8" fillId="31" borderId="36" xfId="0" applyFont="1" applyFill="1" applyBorder="1" applyAlignment="1">
      <alignment horizontal="center"/>
    </xf>
    <xf numFmtId="0" fontId="8" fillId="31" borderId="42" xfId="0" applyFont="1" applyFill="1" applyBorder="1" applyAlignment="1">
      <alignment horizontal="center"/>
    </xf>
    <xf numFmtId="7" fontId="54" fillId="0" borderId="0" xfId="32" applyNumberFormat="1" applyFont="1" applyAlignment="1">
      <alignment horizontal="center" wrapText="1"/>
    </xf>
    <xf numFmtId="0" fontId="29" fillId="0" borderId="0" xfId="0" applyFont="1" applyBorder="1" applyAlignment="1">
      <alignment horizontal="center" vertical="center" wrapText="1"/>
    </xf>
    <xf numFmtId="0" fontId="30" fillId="0" borderId="0" xfId="0" applyFont="1" applyBorder="1" applyAlignment="1">
      <alignment vertical="center" wrapText="1"/>
    </xf>
    <xf numFmtId="0" fontId="39" fillId="36" borderId="85" xfId="0" applyFont="1" applyFill="1" applyBorder="1" applyAlignment="1">
      <alignment horizontal="center"/>
    </xf>
    <xf numFmtId="0" fontId="39" fillId="36" borderId="37" xfId="0" applyFont="1" applyFill="1" applyBorder="1" applyAlignment="1">
      <alignment horizontal="center"/>
    </xf>
    <xf numFmtId="0" fontId="39" fillId="36" borderId="75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 wrapText="1"/>
    </xf>
    <xf numFmtId="0" fontId="131" fillId="57" borderId="36" xfId="0" applyFont="1" applyFill="1" applyBorder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24" fillId="25" borderId="26" xfId="0" applyFont="1" applyFill="1" applyBorder="1" applyAlignment="1" applyProtection="1">
      <alignment horizontal="center" vertical="center" wrapText="1"/>
    </xf>
    <xf numFmtId="0" fontId="24" fillId="25" borderId="26" xfId="0" applyFont="1" applyFill="1" applyBorder="1" applyAlignment="1" applyProtection="1">
      <alignment horizontal="center" vertical="center"/>
    </xf>
    <xf numFmtId="0" fontId="24" fillId="25" borderId="36" xfId="0" applyFont="1" applyFill="1" applyBorder="1" applyAlignment="1" applyProtection="1">
      <alignment horizontal="center" vertical="center" wrapText="1"/>
    </xf>
    <xf numFmtId="0" fontId="43" fillId="25" borderId="10" xfId="0" applyFont="1" applyFill="1" applyBorder="1" applyAlignment="1">
      <alignment horizontal="center" vertical="center" wrapText="1"/>
    </xf>
    <xf numFmtId="0" fontId="43" fillId="25" borderId="13" xfId="0" applyFont="1" applyFill="1" applyBorder="1" applyAlignment="1">
      <alignment horizontal="center" vertical="center" wrapText="1"/>
    </xf>
    <xf numFmtId="0" fontId="24" fillId="25" borderId="13" xfId="0" quotePrefix="1" applyFont="1" applyFill="1" applyBorder="1" applyAlignment="1">
      <alignment horizontal="center" vertical="center" wrapText="1"/>
    </xf>
    <xf numFmtId="0" fontId="24" fillId="55" borderId="10" xfId="0" applyFont="1" applyFill="1" applyBorder="1" applyAlignment="1">
      <alignment horizontal="center" vertical="center" wrapText="1"/>
    </xf>
    <xf numFmtId="0" fontId="24" fillId="55" borderId="13" xfId="0" applyFont="1" applyFill="1" applyBorder="1" applyAlignment="1">
      <alignment horizontal="center" vertical="center" wrapText="1"/>
    </xf>
    <xf numFmtId="0" fontId="63" fillId="27" borderId="10" xfId="0" applyFont="1" applyFill="1" applyBorder="1" applyAlignment="1">
      <alignment horizontal="center" vertical="center" wrapText="1"/>
    </xf>
    <xf numFmtId="0" fontId="63" fillId="61" borderId="36" xfId="0" applyFont="1" applyFill="1" applyBorder="1" applyAlignment="1" applyProtection="1">
      <alignment horizontal="center" vertical="center" wrapText="1"/>
    </xf>
    <xf numFmtId="0" fontId="63" fillId="61" borderId="51" xfId="0" applyFont="1" applyFill="1" applyBorder="1" applyAlignment="1" applyProtection="1">
      <alignment horizontal="center" vertical="center" wrapText="1"/>
    </xf>
    <xf numFmtId="0" fontId="63" fillId="61" borderId="42" xfId="0" applyFont="1" applyFill="1" applyBorder="1" applyAlignment="1" applyProtection="1">
      <alignment horizontal="center" vertical="center" wrapText="1"/>
    </xf>
    <xf numFmtId="0" fontId="63" fillId="37" borderId="36" xfId="0" applyFont="1" applyFill="1" applyBorder="1" applyAlignment="1" applyProtection="1">
      <alignment horizontal="center" vertical="center" wrapText="1"/>
    </xf>
    <xf numFmtId="0" fontId="63" fillId="37" borderId="42" xfId="0" quotePrefix="1" applyFont="1" applyFill="1" applyBorder="1" applyAlignment="1" applyProtection="1">
      <alignment horizontal="center" vertical="center" wrapText="1"/>
    </xf>
    <xf numFmtId="6" fontId="92" fillId="0" borderId="135" xfId="0" applyNumberFormat="1" applyFont="1" applyFill="1" applyBorder="1" applyAlignment="1" applyProtection="1">
      <alignment horizontal="center" vertical="top" wrapText="1"/>
    </xf>
    <xf numFmtId="6" fontId="92" fillId="0" borderId="0" xfId="0" applyNumberFormat="1" applyFont="1" applyFill="1" applyBorder="1" applyAlignment="1" applyProtection="1">
      <alignment horizontal="center" vertical="top" wrapText="1"/>
    </xf>
    <xf numFmtId="6" fontId="92" fillId="0" borderId="14" xfId="0" applyNumberFormat="1" applyFont="1" applyFill="1" applyBorder="1" applyAlignment="1" applyProtection="1">
      <alignment horizontal="center" vertical="top" wrapText="1"/>
    </xf>
    <xf numFmtId="0" fontId="63" fillId="27" borderId="36" xfId="0" applyFont="1" applyFill="1" applyBorder="1" applyAlignment="1">
      <alignment horizontal="center" vertical="center" wrapText="1"/>
    </xf>
    <xf numFmtId="0" fontId="63" fillId="27" borderId="42" xfId="0" applyFont="1" applyFill="1" applyBorder="1" applyAlignment="1">
      <alignment horizontal="center" vertical="center" wrapText="1"/>
    </xf>
    <xf numFmtId="0" fontId="148" fillId="67" borderId="34" xfId="0" applyFont="1" applyFill="1" applyBorder="1" applyAlignment="1">
      <alignment horizontal="center" vertical="center"/>
    </xf>
    <xf numFmtId="0" fontId="148" fillId="67" borderId="35" xfId="0" applyFont="1" applyFill="1" applyBorder="1" applyAlignment="1">
      <alignment horizontal="center" vertical="center"/>
    </xf>
    <xf numFmtId="0" fontId="63" fillId="37" borderId="51" xfId="0" applyFont="1" applyFill="1" applyBorder="1" applyAlignment="1" applyProtection="1">
      <alignment horizontal="center" vertical="center" wrapText="1"/>
    </xf>
    <xf numFmtId="0" fontId="63" fillId="37" borderId="42" xfId="0" applyFont="1" applyFill="1" applyBorder="1" applyAlignment="1" applyProtection="1">
      <alignment horizontal="center" vertical="center" wrapText="1"/>
    </xf>
    <xf numFmtId="0" fontId="64" fillId="43" borderId="42" xfId="0" applyFont="1" applyFill="1" applyBorder="1" applyAlignment="1">
      <alignment horizontal="center" vertical="center" wrapText="1"/>
    </xf>
    <xf numFmtId="0" fontId="67" fillId="25" borderId="26" xfId="65" applyFont="1" applyFill="1" applyBorder="1" applyAlignment="1">
      <alignment horizontal="center" vertical="center" wrapText="1"/>
    </xf>
    <xf numFmtId="0" fontId="67" fillId="25" borderId="26" xfId="65" applyFont="1" applyFill="1" applyBorder="1" applyAlignment="1">
      <alignment horizontal="center" vertical="center"/>
    </xf>
    <xf numFmtId="0" fontId="24" fillId="27" borderId="256" xfId="0" applyFont="1" applyFill="1" applyBorder="1" applyAlignment="1">
      <alignment horizontal="center" vertical="center" wrapText="1"/>
    </xf>
    <xf numFmtId="0" fontId="24" fillId="27" borderId="13" xfId="0" quotePrefix="1" applyFont="1" applyFill="1" applyBorder="1" applyAlignment="1">
      <alignment horizontal="center" vertical="center" wrapText="1"/>
    </xf>
    <xf numFmtId="0" fontId="136" fillId="29" borderId="256" xfId="0" quotePrefix="1" applyFont="1" applyFill="1" applyBorder="1" applyAlignment="1">
      <alignment horizontal="center" vertical="center" wrapText="1"/>
    </xf>
    <xf numFmtId="0" fontId="24" fillId="29" borderId="13" xfId="0" quotePrefix="1" applyFont="1" applyFill="1" applyBorder="1" applyAlignment="1">
      <alignment horizontal="center" vertical="center" wrapText="1"/>
    </xf>
    <xf numFmtId="0" fontId="24" fillId="25" borderId="10" xfId="0" quotePrefix="1" applyFont="1" applyFill="1" applyBorder="1" applyAlignment="1">
      <alignment horizontal="center" vertical="center" wrapText="1"/>
    </xf>
    <xf numFmtId="0" fontId="24" fillId="43" borderId="10" xfId="0" quotePrefix="1" applyFont="1" applyFill="1" applyBorder="1" applyAlignment="1">
      <alignment horizontal="center" vertical="center" wrapText="1"/>
    </xf>
    <xf numFmtId="0" fontId="24" fillId="43" borderId="13" xfId="0" quotePrefix="1" applyFont="1" applyFill="1" applyBorder="1" applyAlignment="1">
      <alignment horizontal="center" vertical="center" wrapText="1"/>
    </xf>
    <xf numFmtId="0" fontId="140" fillId="57" borderId="256" xfId="0" applyFont="1" applyFill="1" applyBorder="1" applyAlignment="1">
      <alignment horizontal="center" vertical="center" wrapText="1"/>
    </xf>
    <xf numFmtId="0" fontId="140" fillId="57" borderId="268" xfId="0" applyFont="1" applyFill="1" applyBorder="1" applyAlignment="1">
      <alignment horizontal="center" vertical="center" wrapText="1"/>
    </xf>
    <xf numFmtId="0" fontId="140" fillId="57" borderId="13" xfId="0" applyFont="1" applyFill="1" applyBorder="1" applyAlignment="1">
      <alignment horizontal="center" vertical="center" wrapText="1"/>
    </xf>
    <xf numFmtId="0" fontId="58" fillId="0" borderId="0" xfId="0" applyFont="1" applyFill="1" applyAlignment="1">
      <alignment horizontal="left" vertical="top" wrapText="1"/>
    </xf>
    <xf numFmtId="0" fontId="24" fillId="57" borderId="256" xfId="0" applyFont="1" applyFill="1" applyBorder="1" applyAlignment="1">
      <alignment horizontal="center" vertical="center" wrapText="1"/>
    </xf>
    <xf numFmtId="0" fontId="24" fillId="56" borderId="10" xfId="0" applyFont="1" applyFill="1" applyBorder="1" applyAlignment="1">
      <alignment horizontal="center" vertical="center" wrapText="1"/>
    </xf>
    <xf numFmtId="0" fontId="24" fillId="56" borderId="13" xfId="0" applyFont="1" applyFill="1" applyBorder="1" applyAlignment="1">
      <alignment horizontal="center" vertical="center" wrapText="1"/>
    </xf>
    <xf numFmtId="0" fontId="24" fillId="29" borderId="10" xfId="0" applyFont="1" applyFill="1" applyBorder="1" applyAlignment="1">
      <alignment horizontal="center" vertical="center" wrapText="1"/>
    </xf>
    <xf numFmtId="0" fontId="24" fillId="29" borderId="13" xfId="0" applyFont="1" applyFill="1" applyBorder="1" applyAlignment="1">
      <alignment horizontal="center" vertical="center" wrapText="1"/>
    </xf>
    <xf numFmtId="49" fontId="63" fillId="53" borderId="36" xfId="53" applyNumberFormat="1" applyFont="1" applyFill="1" applyBorder="1" applyAlignment="1">
      <alignment horizontal="center" vertical="center" wrapText="1"/>
    </xf>
    <xf numFmtId="49" fontId="63" fillId="53" borderId="51" xfId="53" applyNumberFormat="1" applyFont="1" applyFill="1" applyBorder="1" applyAlignment="1">
      <alignment horizontal="center" vertical="center" wrapText="1"/>
    </xf>
    <xf numFmtId="49" fontId="63" fillId="53" borderId="42" xfId="53" applyNumberFormat="1" applyFont="1" applyFill="1" applyBorder="1" applyAlignment="1">
      <alignment horizontal="center" vertical="center" wrapText="1"/>
    </xf>
    <xf numFmtId="49" fontId="24" fillId="44" borderId="10" xfId="53" applyNumberFormat="1" applyFont="1" applyFill="1" applyBorder="1" applyAlignment="1">
      <alignment horizontal="center" vertical="center" wrapText="1"/>
    </xf>
    <xf numFmtId="49" fontId="24" fillId="44" borderId="11" xfId="53" applyNumberFormat="1" applyFont="1" applyFill="1" applyBorder="1" applyAlignment="1">
      <alignment horizontal="center" vertical="center" wrapText="1"/>
    </xf>
    <xf numFmtId="49" fontId="24" fillId="44" borderId="13" xfId="53" applyNumberFormat="1" applyFont="1" applyFill="1" applyBorder="1" applyAlignment="1">
      <alignment horizontal="center" vertical="center" wrapText="1"/>
    </xf>
    <xf numFmtId="49" fontId="24" fillId="43" borderId="11" xfId="53" applyNumberFormat="1" applyFont="1" applyFill="1" applyBorder="1" applyAlignment="1">
      <alignment horizontal="center" vertical="center" wrapText="1"/>
    </xf>
    <xf numFmtId="49" fontId="24" fillId="43" borderId="13" xfId="53" applyNumberFormat="1" applyFont="1" applyFill="1" applyBorder="1" applyAlignment="1">
      <alignment horizontal="center" vertical="center" wrapText="1"/>
    </xf>
    <xf numFmtId="0" fontId="24" fillId="25" borderId="33" xfId="53" applyFont="1" applyFill="1" applyBorder="1" applyAlignment="1" applyProtection="1">
      <alignment horizontal="center" vertical="center" wrapText="1"/>
    </xf>
    <xf numFmtId="0" fontId="24" fillId="25" borderId="44" xfId="53" applyFont="1" applyFill="1" applyBorder="1" applyAlignment="1" applyProtection="1">
      <alignment horizontal="center" vertical="center" wrapText="1"/>
    </xf>
    <xf numFmtId="0" fontId="24" fillId="25" borderId="34" xfId="53" applyFont="1" applyFill="1" applyBorder="1" applyAlignment="1" applyProtection="1">
      <alignment horizontal="center" vertical="center" wrapText="1"/>
    </xf>
    <xf numFmtId="0" fontId="24" fillId="25" borderId="45" xfId="53" applyFont="1" applyFill="1" applyBorder="1" applyAlignment="1" applyProtection="1">
      <alignment horizontal="center" vertical="center" wrapText="1"/>
    </xf>
    <xf numFmtId="0" fontId="24" fillId="25" borderId="35" xfId="53" applyFont="1" applyFill="1" applyBorder="1" applyAlignment="1" applyProtection="1">
      <alignment horizontal="center" vertical="center" wrapText="1"/>
    </xf>
    <xf numFmtId="0" fontId="24" fillId="25" borderId="78" xfId="53" applyFont="1" applyFill="1" applyBorder="1" applyAlignment="1" applyProtection="1">
      <alignment horizontal="center" vertical="center" wrapText="1"/>
    </xf>
    <xf numFmtId="49" fontId="24" fillId="42" borderId="10" xfId="53" applyNumberFormat="1" applyFont="1" applyFill="1" applyBorder="1" applyAlignment="1">
      <alignment horizontal="center" vertical="center" wrapText="1"/>
    </xf>
    <xf numFmtId="49" fontId="24" fillId="42" borderId="13" xfId="53" applyNumberFormat="1" applyFont="1" applyFill="1" applyBorder="1" applyAlignment="1">
      <alignment horizontal="center" vertical="center" wrapText="1"/>
    </xf>
    <xf numFmtId="49" fontId="24" fillId="42" borderId="26" xfId="53" applyNumberFormat="1" applyFont="1" applyFill="1" applyBorder="1" applyAlignment="1">
      <alignment horizontal="center" vertical="center" wrapText="1"/>
    </xf>
    <xf numFmtId="49" fontId="24" fillId="43" borderId="44" xfId="53" applyNumberFormat="1" applyFont="1" applyFill="1" applyBorder="1" applyAlignment="1">
      <alignment horizontal="center" vertical="center" wrapText="1"/>
    </xf>
    <xf numFmtId="49" fontId="24" fillId="43" borderId="78" xfId="53" applyNumberFormat="1" applyFont="1" applyFill="1" applyBorder="1" applyAlignment="1">
      <alignment horizontal="center" vertical="center" wrapText="1"/>
    </xf>
    <xf numFmtId="49" fontId="63" fillId="27" borderId="36" xfId="53" applyNumberFormat="1" applyFont="1" applyFill="1" applyBorder="1" applyAlignment="1">
      <alignment horizontal="center" vertical="center" wrapText="1"/>
    </xf>
    <xf numFmtId="49" fontId="63" fillId="27" borderId="51" xfId="53" applyNumberFormat="1" applyFont="1" applyFill="1" applyBorder="1" applyAlignment="1">
      <alignment horizontal="center" vertical="center" wrapText="1"/>
    </xf>
    <xf numFmtId="49" fontId="63" fillId="27" borderId="245" xfId="53" applyNumberFormat="1" applyFont="1" applyFill="1" applyBorder="1" applyAlignment="1">
      <alignment horizontal="center" vertical="center" wrapText="1"/>
    </xf>
    <xf numFmtId="49" fontId="24" fillId="62" borderId="10" xfId="53" applyNumberFormat="1" applyFont="1" applyFill="1" applyBorder="1" applyAlignment="1">
      <alignment horizontal="center" vertical="center" wrapText="1"/>
    </xf>
    <xf numFmtId="49" fontId="24" fillId="62" borderId="13" xfId="53" applyNumberFormat="1" applyFont="1" applyFill="1" applyBorder="1" applyAlignment="1">
      <alignment horizontal="center" vertical="center" wrapText="1"/>
    </xf>
    <xf numFmtId="49" fontId="24" fillId="62" borderId="26" xfId="53" applyNumberFormat="1" applyFont="1" applyFill="1" applyBorder="1" applyAlignment="1">
      <alignment horizontal="center" vertical="center" wrapText="1"/>
    </xf>
    <xf numFmtId="49" fontId="63" fillId="27" borderId="0" xfId="53" applyNumberFormat="1" applyFont="1" applyFill="1" applyBorder="1" applyAlignment="1">
      <alignment horizontal="center" vertical="center" wrapText="1"/>
    </xf>
    <xf numFmtId="49" fontId="63" fillId="27" borderId="45" xfId="53" applyNumberFormat="1" applyFont="1" applyFill="1" applyBorder="1" applyAlignment="1">
      <alignment horizontal="center" vertical="center" wrapText="1"/>
    </xf>
    <xf numFmtId="49" fontId="24" fillId="43" borderId="10" xfId="53" applyNumberFormat="1" applyFont="1" applyFill="1" applyBorder="1" applyAlignment="1">
      <alignment horizontal="center" vertical="center" wrapText="1"/>
    </xf>
    <xf numFmtId="0" fontId="129" fillId="0" borderId="0" xfId="0" applyFont="1" applyBorder="1" applyAlignment="1">
      <alignment horizontal="left" wrapText="1"/>
    </xf>
    <xf numFmtId="0" fontId="127" fillId="0" borderId="0" xfId="0" applyFont="1" applyAlignment="1">
      <alignment horizontal="left" wrapText="1"/>
    </xf>
    <xf numFmtId="0" fontId="127" fillId="0" borderId="0" xfId="0" applyFont="1" applyAlignment="1">
      <alignment horizontal="left"/>
    </xf>
    <xf numFmtId="0" fontId="99" fillId="0" borderId="0" xfId="0" applyFont="1" applyBorder="1" applyAlignment="1">
      <alignment horizontal="left" wrapText="1"/>
    </xf>
    <xf numFmtId="0" fontId="119" fillId="28" borderId="36" xfId="0" applyFont="1" applyFill="1" applyBorder="1" applyAlignment="1">
      <alignment horizontal="center" wrapText="1"/>
    </xf>
    <xf numFmtId="0" fontId="119" fillId="28" borderId="51" xfId="0" applyFont="1" applyFill="1" applyBorder="1" applyAlignment="1">
      <alignment horizontal="center" wrapText="1"/>
    </xf>
    <xf numFmtId="0" fontId="123" fillId="27" borderId="10" xfId="0" applyFont="1" applyFill="1" applyBorder="1" applyAlignment="1">
      <alignment horizontal="center" vertical="center" wrapText="1"/>
    </xf>
    <xf numFmtId="0" fontId="123" fillId="27" borderId="13" xfId="0" applyFont="1" applyFill="1" applyBorder="1" applyAlignment="1">
      <alignment horizontal="center" vertical="center" wrapText="1"/>
    </xf>
    <xf numFmtId="0" fontId="123" fillId="25" borderId="10" xfId="0" applyFont="1" applyFill="1" applyBorder="1" applyAlignment="1">
      <alignment horizontal="center" vertical="center" wrapText="1"/>
    </xf>
    <xf numFmtId="0" fontId="123" fillId="25" borderId="13" xfId="0" applyFont="1" applyFill="1" applyBorder="1" applyAlignment="1">
      <alignment horizontal="center" vertical="center" wrapText="1"/>
    </xf>
    <xf numFmtId="0" fontId="123" fillId="29" borderId="10" xfId="0" applyFont="1" applyFill="1" applyBorder="1" applyAlignment="1">
      <alignment horizontal="center" vertical="center" wrapText="1"/>
    </xf>
    <xf numFmtId="0" fontId="123" fillId="29" borderId="13" xfId="0" applyFont="1" applyFill="1" applyBorder="1" applyAlignment="1">
      <alignment horizontal="center" vertical="center" wrapText="1"/>
    </xf>
    <xf numFmtId="0" fontId="130" fillId="49" borderId="36" xfId="0" applyFont="1" applyFill="1" applyBorder="1" applyAlignment="1">
      <alignment horizontal="center" vertical="center" wrapText="1"/>
    </xf>
    <xf numFmtId="0" fontId="130" fillId="49" borderId="51" xfId="0" applyFont="1" applyFill="1" applyBorder="1" applyAlignment="1">
      <alignment horizontal="center" vertical="center" wrapText="1"/>
    </xf>
    <xf numFmtId="0" fontId="130" fillId="49" borderId="42" xfId="0" applyFont="1" applyFill="1" applyBorder="1" applyAlignment="1">
      <alignment horizontal="center" vertical="center" wrapText="1"/>
    </xf>
    <xf numFmtId="0" fontId="126" fillId="29" borderId="10" xfId="0" applyFont="1" applyFill="1" applyBorder="1" applyAlignment="1">
      <alignment horizontal="center" vertical="center" wrapText="1"/>
    </xf>
    <xf numFmtId="0" fontId="126" fillId="29" borderId="13" xfId="0" applyFont="1" applyFill="1" applyBorder="1" applyAlignment="1">
      <alignment horizontal="center" vertical="center" wrapText="1"/>
    </xf>
    <xf numFmtId="0" fontId="119" fillId="28" borderId="257" xfId="0" applyFont="1" applyFill="1" applyBorder="1" applyAlignment="1">
      <alignment horizontal="center" wrapText="1"/>
    </xf>
    <xf numFmtId="0" fontId="0" fillId="0" borderId="0" xfId="0" applyBorder="1"/>
    <xf numFmtId="0" fontId="123" fillId="42" borderId="10" xfId="0" applyFont="1" applyFill="1" applyBorder="1" applyAlignment="1">
      <alignment horizontal="center" vertical="center" wrapText="1"/>
    </xf>
    <xf numFmtId="0" fontId="123" fillId="42" borderId="13" xfId="0" applyFont="1" applyFill="1" applyBorder="1" applyAlignment="1">
      <alignment horizontal="center" vertical="center" wrapText="1"/>
    </xf>
    <xf numFmtId="0" fontId="123" fillId="52" borderId="10" xfId="0" applyFont="1" applyFill="1" applyBorder="1" applyAlignment="1">
      <alignment horizontal="center" vertical="center" wrapText="1"/>
    </xf>
    <xf numFmtId="0" fontId="123" fillId="52" borderId="13" xfId="0" applyFont="1" applyFill="1" applyBorder="1" applyAlignment="1">
      <alignment horizontal="center" vertical="center" wrapText="1"/>
    </xf>
    <xf numFmtId="0" fontId="122" fillId="37" borderId="35" xfId="0" applyFont="1" applyFill="1" applyBorder="1" applyAlignment="1" applyProtection="1">
      <alignment horizontal="center" vertical="center" wrapText="1"/>
    </xf>
    <xf numFmtId="0" fontId="122" fillId="37" borderId="78" xfId="0" quotePrefix="1" applyFont="1" applyFill="1" applyBorder="1" applyAlignment="1" applyProtection="1">
      <alignment horizontal="center" vertical="center" wrapText="1"/>
    </xf>
    <xf numFmtId="0" fontId="9" fillId="0" borderId="0" xfId="0" applyFont="1" applyBorder="1" applyAlignment="1">
      <alignment horizontal="left" vertical="top" wrapText="1"/>
    </xf>
    <xf numFmtId="0" fontId="24" fillId="53" borderId="10" xfId="0" applyFont="1" applyFill="1" applyBorder="1" applyAlignment="1">
      <alignment horizontal="center" vertical="center" wrapText="1"/>
    </xf>
    <xf numFmtId="0" fontId="24" fillId="53" borderId="13" xfId="0" applyFont="1" applyFill="1" applyBorder="1" applyAlignment="1">
      <alignment horizontal="center" vertical="center" wrapText="1"/>
    </xf>
    <xf numFmtId="0" fontId="45" fillId="53" borderId="26" xfId="0" applyFont="1" applyFill="1" applyBorder="1" applyAlignment="1">
      <alignment horizontal="center" vertical="center"/>
    </xf>
    <xf numFmtId="0" fontId="24" fillId="54" borderId="10" xfId="0" applyFont="1" applyFill="1" applyBorder="1" applyAlignment="1">
      <alignment horizontal="center" vertical="center" wrapText="1"/>
    </xf>
    <xf numFmtId="0" fontId="24" fillId="54" borderId="13" xfId="0" applyFont="1" applyFill="1" applyBorder="1" applyAlignment="1">
      <alignment horizontal="center" vertical="center" wrapText="1"/>
    </xf>
    <xf numFmtId="0" fontId="104" fillId="0" borderId="0" xfId="0" applyFont="1" applyBorder="1" applyAlignment="1">
      <alignment horizontal="left" wrapText="1"/>
    </xf>
    <xf numFmtId="0" fontId="16" fillId="51" borderId="0" xfId="0" applyFont="1" applyFill="1" applyAlignment="1">
      <alignment horizontal="center" vertical="center" wrapText="1"/>
    </xf>
    <xf numFmtId="0" fontId="63" fillId="38" borderId="36" xfId="0" applyFont="1" applyFill="1" applyBorder="1" applyAlignment="1" applyProtection="1">
      <alignment horizontal="center" vertical="center" wrapText="1"/>
    </xf>
    <xf numFmtId="0" fontId="63" fillId="38" borderId="42" xfId="0" quotePrefix="1" applyFont="1" applyFill="1" applyBorder="1" applyAlignment="1" applyProtection="1">
      <alignment horizontal="center" vertical="center" wrapText="1"/>
    </xf>
    <xf numFmtId="15" fontId="24" fillId="25" borderId="10" xfId="0" applyNumberFormat="1" applyFont="1" applyFill="1" applyBorder="1" applyAlignment="1">
      <alignment horizontal="center" vertical="center" wrapText="1"/>
    </xf>
    <xf numFmtId="15" fontId="24" fillId="25" borderId="13" xfId="0" applyNumberFormat="1" applyFont="1" applyFill="1" applyBorder="1" applyAlignment="1">
      <alignment horizontal="center" vertical="center" wrapText="1"/>
    </xf>
    <xf numFmtId="0" fontId="24" fillId="28" borderId="10" xfId="0" applyFont="1" applyFill="1" applyBorder="1" applyAlignment="1">
      <alignment horizontal="center" vertical="center" wrapText="1"/>
    </xf>
    <xf numFmtId="0" fontId="24" fillId="28" borderId="13" xfId="0" applyFont="1" applyFill="1" applyBorder="1" applyAlignment="1">
      <alignment horizontal="center" vertical="center" wrapText="1"/>
    </xf>
    <xf numFmtId="0" fontId="96" fillId="25" borderId="33" xfId="0" applyFont="1" applyFill="1" applyBorder="1" applyAlignment="1">
      <alignment horizontal="center" vertical="center" wrapText="1"/>
    </xf>
    <xf numFmtId="0" fontId="96" fillId="25" borderId="44" xfId="0" applyFont="1" applyFill="1" applyBorder="1" applyAlignment="1">
      <alignment horizontal="center" vertical="center" wrapText="1"/>
    </xf>
    <xf numFmtId="0" fontId="96" fillId="25" borderId="34" xfId="0" applyFont="1" applyFill="1" applyBorder="1" applyAlignment="1">
      <alignment horizontal="center" vertical="center" wrapText="1"/>
    </xf>
    <xf numFmtId="0" fontId="96" fillId="25" borderId="45" xfId="0" applyFont="1" applyFill="1" applyBorder="1" applyAlignment="1">
      <alignment horizontal="center" vertical="center" wrapText="1"/>
    </xf>
    <xf numFmtId="0" fontId="96" fillId="25" borderId="35" xfId="0" applyFont="1" applyFill="1" applyBorder="1" applyAlignment="1">
      <alignment horizontal="center" vertical="center" wrapText="1"/>
    </xf>
    <xf numFmtId="0" fontId="96" fillId="25" borderId="78" xfId="0" applyFont="1" applyFill="1" applyBorder="1" applyAlignment="1">
      <alignment horizontal="center" vertical="center" wrapText="1"/>
    </xf>
    <xf numFmtId="49" fontId="63" fillId="27" borderId="34" xfId="53" applyNumberFormat="1" applyFont="1" applyFill="1" applyBorder="1" applyAlignment="1">
      <alignment horizontal="center" vertical="center" wrapText="1"/>
    </xf>
    <xf numFmtId="0" fontId="96" fillId="43" borderId="33" xfId="0" applyFont="1" applyFill="1" applyBorder="1" applyAlignment="1">
      <alignment horizontal="center" vertical="center" wrapText="1"/>
    </xf>
    <xf numFmtId="0" fontId="96" fillId="43" borderId="44" xfId="0" applyFont="1" applyFill="1" applyBorder="1" applyAlignment="1">
      <alignment horizontal="center" vertical="center" wrapText="1"/>
    </xf>
    <xf numFmtId="0" fontId="96" fillId="43" borderId="34" xfId="0" applyFont="1" applyFill="1" applyBorder="1" applyAlignment="1">
      <alignment horizontal="center" vertical="center" wrapText="1"/>
    </xf>
    <xf numFmtId="0" fontId="96" fillId="43" borderId="45" xfId="0" applyFont="1" applyFill="1" applyBorder="1" applyAlignment="1">
      <alignment horizontal="center" vertical="center" wrapText="1"/>
    </xf>
    <xf numFmtId="0" fontId="96" fillId="43" borderId="35" xfId="0" applyFont="1" applyFill="1" applyBorder="1" applyAlignment="1">
      <alignment horizontal="center" vertical="center" wrapText="1"/>
    </xf>
    <xf numFmtId="0" fontId="96" fillId="43" borderId="78" xfId="0" applyFont="1" applyFill="1" applyBorder="1" applyAlignment="1">
      <alignment horizontal="center" vertical="center" wrapText="1"/>
    </xf>
    <xf numFmtId="0" fontId="96" fillId="55" borderId="33" xfId="0" applyFont="1" applyFill="1" applyBorder="1" applyAlignment="1">
      <alignment horizontal="center" vertical="center" wrapText="1"/>
    </xf>
    <xf numFmtId="0" fontId="96" fillId="55" borderId="44" xfId="0" applyFont="1" applyFill="1" applyBorder="1" applyAlignment="1">
      <alignment horizontal="center" vertical="center" wrapText="1"/>
    </xf>
    <xf numFmtId="0" fontId="96" fillId="55" borderId="34" xfId="0" applyFont="1" applyFill="1" applyBorder="1" applyAlignment="1">
      <alignment horizontal="center" vertical="center" wrapText="1"/>
    </xf>
    <xf numFmtId="0" fontId="96" fillId="55" borderId="45" xfId="0" applyFont="1" applyFill="1" applyBorder="1" applyAlignment="1">
      <alignment horizontal="center" vertical="center" wrapText="1"/>
    </xf>
    <xf numFmtId="0" fontId="96" fillId="55" borderId="35" xfId="0" applyFont="1" applyFill="1" applyBorder="1" applyAlignment="1">
      <alignment horizontal="center" vertical="center" wrapText="1"/>
    </xf>
    <xf numFmtId="0" fontId="96" fillId="55" borderId="78" xfId="0" applyFont="1" applyFill="1" applyBorder="1" applyAlignment="1">
      <alignment horizontal="center" vertical="center" wrapText="1"/>
    </xf>
    <xf numFmtId="49" fontId="63" fillId="27" borderId="283" xfId="53" applyNumberFormat="1" applyFont="1" applyFill="1" applyBorder="1" applyAlignment="1">
      <alignment horizontal="center" vertical="center" wrapText="1"/>
    </xf>
    <xf numFmtId="49" fontId="63" fillId="27" borderId="14" xfId="53" applyNumberFormat="1" applyFont="1" applyFill="1" applyBorder="1" applyAlignment="1">
      <alignment horizontal="center" vertical="center" wrapText="1"/>
    </xf>
    <xf numFmtId="49" fontId="63" fillId="27" borderId="78" xfId="53" applyNumberFormat="1" applyFont="1" applyFill="1" applyBorder="1" applyAlignment="1">
      <alignment horizontal="center" vertical="center" wrapText="1"/>
    </xf>
    <xf numFmtId="0" fontId="24" fillId="43" borderId="256" xfId="0" applyFont="1" applyFill="1" applyBorder="1" applyAlignment="1">
      <alignment horizontal="center" vertical="center" wrapText="1"/>
    </xf>
    <xf numFmtId="0" fontId="96" fillId="25" borderId="33" xfId="53" applyFont="1" applyFill="1" applyBorder="1" applyAlignment="1">
      <alignment horizontal="center" vertical="center" wrapText="1"/>
    </xf>
    <xf numFmtId="0" fontId="96" fillId="25" borderId="44" xfId="53" applyFont="1" applyFill="1" applyBorder="1" applyAlignment="1">
      <alignment horizontal="center" vertical="center" wrapText="1"/>
    </xf>
    <xf numFmtId="0" fontId="96" fillId="25" borderId="34" xfId="53" applyFont="1" applyFill="1" applyBorder="1" applyAlignment="1">
      <alignment horizontal="center" vertical="center" wrapText="1"/>
    </xf>
    <xf numFmtId="0" fontId="96" fillId="25" borderId="45" xfId="53" applyFont="1" applyFill="1" applyBorder="1" applyAlignment="1">
      <alignment horizontal="center" vertical="center" wrapText="1"/>
    </xf>
    <xf numFmtId="0" fontId="96" fillId="25" borderId="35" xfId="53" applyFont="1" applyFill="1" applyBorder="1" applyAlignment="1">
      <alignment horizontal="center" vertical="center" wrapText="1"/>
    </xf>
    <xf numFmtId="0" fontId="96" fillId="25" borderId="78" xfId="53" applyFont="1" applyFill="1" applyBorder="1" applyAlignment="1">
      <alignment horizontal="center" vertical="center" wrapText="1"/>
    </xf>
    <xf numFmtId="15" fontId="135" fillId="42" borderId="10" xfId="53" applyNumberFormat="1" applyFont="1" applyFill="1" applyBorder="1" applyAlignment="1">
      <alignment horizontal="center" vertical="center" wrapText="1"/>
    </xf>
    <xf numFmtId="15" fontId="24" fillId="42" borderId="13" xfId="53" applyNumberFormat="1" applyFont="1" applyFill="1" applyBorder="1" applyAlignment="1">
      <alignment horizontal="center" vertical="center" wrapText="1"/>
    </xf>
    <xf numFmtId="0" fontId="96" fillId="25" borderId="26" xfId="0" applyFont="1" applyFill="1" applyBorder="1" applyAlignment="1">
      <alignment horizontal="center" vertical="center" wrapText="1"/>
    </xf>
    <xf numFmtId="0" fontId="96" fillId="25" borderId="26" xfId="0" applyFont="1" applyFill="1" applyBorder="1" applyAlignment="1">
      <alignment horizontal="center" vertical="center"/>
    </xf>
    <xf numFmtId="15" fontId="24" fillId="55" borderId="10" xfId="0" applyNumberFormat="1" applyFont="1" applyFill="1" applyBorder="1" applyAlignment="1">
      <alignment horizontal="center" vertical="center" wrapText="1"/>
    </xf>
    <xf numFmtId="15" fontId="24" fillId="55" borderId="13" xfId="0" applyNumberFormat="1" applyFont="1" applyFill="1" applyBorder="1" applyAlignment="1">
      <alignment horizontal="center" vertical="center" wrapText="1"/>
    </xf>
    <xf numFmtId="0" fontId="24" fillId="39" borderId="26" xfId="0" quotePrefix="1" applyFont="1" applyFill="1" applyBorder="1" applyAlignment="1">
      <alignment horizontal="center" vertical="center" wrapText="1"/>
    </xf>
    <xf numFmtId="0" fontId="24" fillId="53" borderId="26" xfId="0" applyFont="1" applyFill="1" applyBorder="1" applyAlignment="1">
      <alignment horizontal="center" vertical="center" wrapText="1"/>
    </xf>
    <xf numFmtId="0" fontId="43" fillId="29" borderId="10" xfId="0" applyFont="1" applyFill="1" applyBorder="1" applyAlignment="1">
      <alignment horizontal="center" vertical="center" wrapText="1"/>
    </xf>
    <xf numFmtId="0" fontId="106" fillId="58" borderId="10" xfId="0" applyFont="1" applyFill="1" applyBorder="1" applyAlignment="1">
      <alignment horizontal="center" vertical="center" wrapText="1"/>
    </xf>
    <xf numFmtId="0" fontId="106" fillId="58" borderId="13" xfId="0" applyFont="1" applyFill="1" applyBorder="1" applyAlignment="1">
      <alignment horizontal="center" vertical="center" wrapText="1"/>
    </xf>
    <xf numFmtId="0" fontId="24" fillId="58" borderId="10" xfId="0" applyFont="1" applyFill="1" applyBorder="1" applyAlignment="1">
      <alignment horizontal="center" vertical="center" wrapText="1"/>
    </xf>
    <xf numFmtId="0" fontId="24" fillId="58" borderId="13" xfId="0" applyFont="1" applyFill="1" applyBorder="1" applyAlignment="1">
      <alignment horizontal="center" vertical="center" wrapText="1"/>
    </xf>
    <xf numFmtId="0" fontId="106" fillId="29" borderId="11" xfId="0" applyFont="1" applyFill="1" applyBorder="1" applyAlignment="1">
      <alignment horizontal="center" vertical="center" wrapText="1"/>
    </xf>
    <xf numFmtId="0" fontId="106" fillId="29" borderId="13" xfId="0" applyFont="1" applyFill="1" applyBorder="1" applyAlignment="1">
      <alignment horizontal="center" vertical="center" wrapText="1"/>
    </xf>
    <xf numFmtId="6" fontId="97" fillId="0" borderId="0" xfId="0" applyNumberFormat="1" applyFont="1" applyBorder="1" applyAlignment="1">
      <alignment horizontal="left" wrapText="1"/>
    </xf>
    <xf numFmtId="0" fontId="24" fillId="50" borderId="10" xfId="0" applyFont="1" applyFill="1" applyBorder="1" applyAlignment="1">
      <alignment horizontal="center" vertical="center" wrapText="1"/>
    </xf>
    <xf numFmtId="0" fontId="24" fillId="50" borderId="13" xfId="0" applyFont="1" applyFill="1" applyBorder="1" applyAlignment="1">
      <alignment horizontal="center" vertical="center" wrapText="1"/>
    </xf>
    <xf numFmtId="0" fontId="24" fillId="39" borderId="10" xfId="0" applyFont="1" applyFill="1" applyBorder="1" applyAlignment="1">
      <alignment horizontal="center" vertical="center" wrapText="1"/>
    </xf>
    <xf numFmtId="0" fontId="24" fillId="39" borderId="13" xfId="0" quotePrefix="1" applyFont="1" applyFill="1" applyBorder="1" applyAlignment="1">
      <alignment horizontal="center" vertical="center" wrapText="1"/>
    </xf>
    <xf numFmtId="0" fontId="106" fillId="29" borderId="10" xfId="0" applyFont="1" applyFill="1" applyBorder="1" applyAlignment="1">
      <alignment horizontal="center" vertical="center" wrapText="1"/>
    </xf>
    <xf numFmtId="15" fontId="24" fillId="42" borderId="10" xfId="0" applyNumberFormat="1" applyFont="1" applyFill="1" applyBorder="1" applyAlignment="1">
      <alignment horizontal="center" vertical="center" wrapText="1"/>
    </xf>
    <xf numFmtId="15" fontId="24" fillId="42" borderId="13" xfId="0" applyNumberFormat="1" applyFont="1" applyFill="1" applyBorder="1" applyAlignment="1">
      <alignment horizontal="center" vertical="center" wrapText="1"/>
    </xf>
    <xf numFmtId="0" fontId="24" fillId="53" borderId="33" xfId="53" applyFont="1" applyFill="1" applyBorder="1" applyAlignment="1" applyProtection="1">
      <alignment horizontal="center" vertical="center" wrapText="1"/>
    </xf>
    <xf numFmtId="0" fontId="24" fillId="53" borderId="44" xfId="53" applyFont="1" applyFill="1" applyBorder="1" applyAlignment="1" applyProtection="1">
      <alignment horizontal="center" vertical="center" wrapText="1"/>
    </xf>
    <xf numFmtId="0" fontId="24" fillId="53" borderId="34" xfId="53" applyFont="1" applyFill="1" applyBorder="1" applyAlignment="1" applyProtection="1">
      <alignment horizontal="center" vertical="center" wrapText="1"/>
    </xf>
    <xf numFmtId="0" fontId="24" fillId="53" borderId="45" xfId="53" applyFont="1" applyFill="1" applyBorder="1" applyAlignment="1" applyProtection="1">
      <alignment horizontal="center" vertical="center" wrapText="1"/>
    </xf>
    <xf numFmtId="0" fontId="24" fillId="53" borderId="35" xfId="53" applyFont="1" applyFill="1" applyBorder="1" applyAlignment="1" applyProtection="1">
      <alignment horizontal="center" vertical="center" wrapText="1"/>
    </xf>
    <xf numFmtId="0" fontId="24" fillId="53" borderId="78" xfId="53" applyFont="1" applyFill="1" applyBorder="1" applyAlignment="1" applyProtection="1">
      <alignment horizontal="center" vertical="center" wrapText="1"/>
    </xf>
    <xf numFmtId="49" fontId="24" fillId="43" borderId="256" xfId="53" applyNumberFormat="1" applyFont="1" applyFill="1" applyBorder="1" applyAlignment="1">
      <alignment horizontal="center" vertical="center" wrapText="1"/>
    </xf>
    <xf numFmtId="15" fontId="135" fillId="42" borderId="13" xfId="0" applyNumberFormat="1" applyFont="1" applyFill="1" applyBorder="1" applyAlignment="1">
      <alignment horizontal="center" vertical="center" wrapText="1"/>
    </xf>
    <xf numFmtId="49" fontId="63" fillId="27" borderId="42" xfId="53" applyNumberFormat="1" applyFont="1" applyFill="1" applyBorder="1" applyAlignment="1">
      <alignment horizontal="center" vertical="center" wrapText="1"/>
    </xf>
    <xf numFmtId="0" fontId="24" fillId="25" borderId="33" xfId="0" applyFont="1" applyFill="1" applyBorder="1" applyAlignment="1" applyProtection="1">
      <alignment horizontal="center" vertical="center" wrapText="1"/>
    </xf>
    <xf numFmtId="0" fontId="24" fillId="25" borderId="44" xfId="0" applyFont="1" applyFill="1" applyBorder="1" applyAlignment="1" applyProtection="1">
      <alignment horizontal="center" vertical="center" wrapText="1"/>
    </xf>
    <xf numFmtId="0" fontId="24" fillId="25" borderId="34" xfId="0" applyFont="1" applyFill="1" applyBorder="1" applyAlignment="1" applyProtection="1">
      <alignment horizontal="center" vertical="center" wrapText="1"/>
    </xf>
    <xf numFmtId="0" fontId="24" fillId="25" borderId="45" xfId="0" applyFont="1" applyFill="1" applyBorder="1" applyAlignment="1" applyProtection="1">
      <alignment horizontal="center" vertical="center" wrapText="1"/>
    </xf>
    <xf numFmtId="0" fontId="24" fillId="25" borderId="35" xfId="0" applyFont="1" applyFill="1" applyBorder="1" applyAlignment="1" applyProtection="1">
      <alignment horizontal="center" vertical="center" wrapText="1"/>
    </xf>
    <xf numFmtId="0" fontId="24" fillId="25" borderId="78" xfId="0" applyFont="1" applyFill="1" applyBorder="1" applyAlignment="1" applyProtection="1">
      <alignment horizontal="center" vertical="center" wrapText="1"/>
    </xf>
    <xf numFmtId="49" fontId="24" fillId="44" borderId="10" xfId="0" applyNumberFormat="1" applyFont="1" applyFill="1" applyBorder="1" applyAlignment="1">
      <alignment horizontal="center" vertical="center" wrapText="1"/>
    </xf>
    <xf numFmtId="49" fontId="24" fillId="44" borderId="11" xfId="0" applyNumberFormat="1" applyFont="1" applyFill="1" applyBorder="1" applyAlignment="1">
      <alignment horizontal="center" vertical="center" wrapText="1"/>
    </xf>
    <xf numFmtId="49" fontId="24" fillId="44" borderId="13" xfId="0" applyNumberFormat="1" applyFont="1" applyFill="1" applyBorder="1" applyAlignment="1">
      <alignment horizontal="center" vertical="center" wrapText="1"/>
    </xf>
    <xf numFmtId="49" fontId="24" fillId="42" borderId="10" xfId="0" applyNumberFormat="1" applyFont="1" applyFill="1" applyBorder="1" applyAlignment="1">
      <alignment horizontal="center" vertical="center" wrapText="1"/>
    </xf>
    <xf numFmtId="49" fontId="24" fillId="42" borderId="13" xfId="0" applyNumberFormat="1" applyFont="1" applyFill="1" applyBorder="1" applyAlignment="1">
      <alignment horizontal="center" vertical="center" wrapText="1"/>
    </xf>
    <xf numFmtId="49" fontId="24" fillId="42" borderId="26" xfId="0" applyNumberFormat="1" applyFont="1" applyFill="1" applyBorder="1" applyAlignment="1">
      <alignment horizontal="center" vertical="center" wrapText="1"/>
    </xf>
    <xf numFmtId="49" fontId="63" fillId="27" borderId="34" xfId="0" applyNumberFormat="1" applyFont="1" applyFill="1" applyBorder="1" applyAlignment="1">
      <alignment horizontal="center" vertical="center" wrapText="1"/>
    </xf>
    <xf numFmtId="49" fontId="63" fillId="27" borderId="0" xfId="0" applyNumberFormat="1" applyFont="1" applyFill="1" applyBorder="1" applyAlignment="1">
      <alignment horizontal="center" vertical="center" wrapText="1"/>
    </xf>
    <xf numFmtId="49" fontId="63" fillId="27" borderId="45" xfId="0" applyNumberFormat="1" applyFont="1" applyFill="1" applyBorder="1" applyAlignment="1">
      <alignment horizontal="center" vertical="center" wrapText="1"/>
    </xf>
    <xf numFmtId="49" fontId="63" fillId="53" borderId="36" xfId="0" applyNumberFormat="1" applyFont="1" applyFill="1" applyBorder="1" applyAlignment="1">
      <alignment horizontal="center" vertical="center" wrapText="1"/>
    </xf>
    <xf numFmtId="49" fontId="63" fillId="53" borderId="51" xfId="0" applyNumberFormat="1" applyFont="1" applyFill="1" applyBorder="1" applyAlignment="1">
      <alignment horizontal="center" vertical="center" wrapText="1"/>
    </xf>
    <xf numFmtId="49" fontId="63" fillId="53" borderId="42" xfId="0" applyNumberFormat="1" applyFont="1" applyFill="1" applyBorder="1" applyAlignment="1">
      <alignment horizontal="center" vertical="center" wrapText="1"/>
    </xf>
    <xf numFmtId="166" fontId="7" fillId="41" borderId="0" xfId="30" applyNumberFormat="1" applyFont="1" applyFill="1" applyBorder="1" applyAlignment="1" applyProtection="1">
      <alignment horizontal="left" wrapText="1"/>
    </xf>
    <xf numFmtId="49" fontId="24" fillId="43" borderId="10" xfId="0" applyNumberFormat="1" applyFont="1" applyFill="1" applyBorder="1" applyAlignment="1">
      <alignment horizontal="center" vertical="center" wrapText="1"/>
    </xf>
    <xf numFmtId="49" fontId="24" fillId="43" borderId="13" xfId="0" applyNumberFormat="1" applyFont="1" applyFill="1" applyBorder="1" applyAlignment="1">
      <alignment horizontal="center" vertical="center" wrapText="1"/>
    </xf>
    <xf numFmtId="166" fontId="7" fillId="41" borderId="0" xfId="30" applyNumberFormat="1" applyFont="1" applyFill="1" applyBorder="1" applyAlignment="1" applyProtection="1">
      <alignment horizontal="left" vertical="top" wrapText="1"/>
    </xf>
    <xf numFmtId="49" fontId="24" fillId="43" borderId="44" xfId="0" applyNumberFormat="1" applyFont="1" applyFill="1" applyBorder="1" applyAlignment="1">
      <alignment horizontal="center" vertical="center" wrapText="1"/>
    </xf>
    <xf numFmtId="49" fontId="24" fillId="43" borderId="78" xfId="0" applyNumberFormat="1" applyFont="1" applyFill="1" applyBorder="1" applyAlignment="1">
      <alignment horizontal="center" vertical="center" wrapText="1"/>
    </xf>
    <xf numFmtId="0" fontId="123" fillId="42" borderId="246" xfId="53" applyFont="1" applyFill="1" applyBorder="1" applyAlignment="1">
      <alignment horizontal="center" vertical="center" wrapText="1"/>
    </xf>
    <xf numFmtId="0" fontId="141" fillId="0" borderId="0" xfId="53" applyFont="1" applyFill="1" applyAlignment="1">
      <alignment horizontal="left" vertical="top" wrapText="1"/>
    </xf>
    <xf numFmtId="8" fontId="123" fillId="39" borderId="283" xfId="53" applyNumberFormat="1" applyFont="1" applyFill="1" applyBorder="1" applyAlignment="1">
      <alignment horizontal="center" vertical="center"/>
    </xf>
    <xf numFmtId="8" fontId="123" fillId="39" borderId="271" xfId="53" applyNumberFormat="1" applyFont="1" applyFill="1" applyBorder="1" applyAlignment="1">
      <alignment horizontal="center" vertical="center"/>
    </xf>
    <xf numFmtId="8" fontId="123" fillId="53" borderId="283" xfId="53" applyNumberFormat="1" applyFont="1" applyFill="1" applyBorder="1" applyAlignment="1">
      <alignment horizontal="center" vertical="center"/>
    </xf>
    <xf numFmtId="8" fontId="123" fillId="53" borderId="245" xfId="53" applyNumberFormat="1" applyFont="1" applyFill="1" applyBorder="1" applyAlignment="1">
      <alignment horizontal="center" vertical="center"/>
    </xf>
    <xf numFmtId="8" fontId="123" fillId="53" borderId="271" xfId="53" applyNumberFormat="1" applyFont="1" applyFill="1" applyBorder="1" applyAlignment="1">
      <alignment horizontal="center" vertical="center"/>
    </xf>
    <xf numFmtId="8" fontId="123" fillId="0" borderId="14" xfId="53" applyNumberFormat="1" applyFont="1" applyFill="1" applyBorder="1" applyAlignment="1">
      <alignment horizontal="center" vertical="center" wrapText="1"/>
    </xf>
    <xf numFmtId="8" fontId="123" fillId="0" borderId="14" xfId="53" applyNumberFormat="1" applyFont="1" applyFill="1" applyBorder="1" applyAlignment="1">
      <alignment horizontal="center" vertical="center"/>
    </xf>
    <xf numFmtId="0" fontId="99" fillId="0" borderId="14" xfId="53" applyFont="1" applyFill="1" applyBorder="1" applyAlignment="1">
      <alignment horizontal="center" vertical="center" wrapText="1"/>
    </xf>
    <xf numFmtId="0" fontId="123" fillId="25" borderId="256" xfId="53" applyFont="1" applyFill="1" applyBorder="1" applyAlignment="1">
      <alignment horizontal="center" vertical="center" wrapText="1"/>
    </xf>
    <xf numFmtId="0" fontId="123" fillId="25" borderId="13" xfId="53" applyFont="1" applyFill="1" applyBorder="1" applyAlignment="1">
      <alignment horizontal="center" vertical="center" wrapText="1"/>
    </xf>
    <xf numFmtId="0" fontId="123" fillId="27" borderId="256" xfId="53" applyFont="1" applyFill="1" applyBorder="1" applyAlignment="1">
      <alignment horizontal="center" vertical="center" wrapText="1"/>
    </xf>
    <xf numFmtId="0" fontId="123" fillId="27" borderId="13" xfId="53" applyFont="1" applyFill="1" applyBorder="1" applyAlignment="1">
      <alignment horizontal="center" vertical="center" wrapText="1"/>
    </xf>
    <xf numFmtId="0" fontId="123" fillId="55" borderId="256" xfId="53" applyFont="1" applyFill="1" applyBorder="1" applyAlignment="1">
      <alignment horizontal="center" vertical="center" wrapText="1"/>
    </xf>
    <xf numFmtId="0" fontId="123" fillId="55" borderId="13" xfId="53" applyFont="1" applyFill="1" applyBorder="1" applyAlignment="1">
      <alignment horizontal="center" vertical="center" wrapText="1"/>
    </xf>
    <xf numFmtId="0" fontId="123" fillId="42" borderId="256" xfId="53" applyFont="1" applyFill="1" applyBorder="1" applyAlignment="1">
      <alignment horizontal="center" vertical="center" wrapText="1"/>
    </xf>
    <xf numFmtId="0" fontId="123" fillId="42" borderId="13" xfId="53" applyFont="1" applyFill="1" applyBorder="1" applyAlignment="1">
      <alignment horizontal="center" vertical="center" wrapText="1"/>
    </xf>
    <xf numFmtId="0" fontId="123" fillId="55" borderId="246" xfId="53" applyFont="1" applyFill="1" applyBorder="1" applyAlignment="1">
      <alignment horizontal="center" vertical="center" wrapText="1"/>
    </xf>
    <xf numFmtId="0" fontId="123" fillId="53" borderId="246" xfId="53" applyFont="1" applyFill="1" applyBorder="1" applyAlignment="1">
      <alignment horizontal="center" vertical="center" wrapText="1"/>
    </xf>
    <xf numFmtId="0" fontId="123" fillId="53" borderId="256" xfId="53" applyFont="1" applyFill="1" applyBorder="1" applyAlignment="1">
      <alignment horizontal="center" vertical="center" wrapText="1"/>
    </xf>
    <xf numFmtId="0" fontId="123" fillId="53" borderId="13" xfId="53" applyFont="1" applyFill="1" applyBorder="1" applyAlignment="1">
      <alignment horizontal="center" vertical="center" wrapText="1"/>
    </xf>
    <xf numFmtId="0" fontId="123" fillId="39" borderId="256" xfId="53" applyFont="1" applyFill="1" applyBorder="1" applyAlignment="1">
      <alignment horizontal="center" vertical="center" wrapText="1"/>
    </xf>
    <xf numFmtId="0" fontId="123" fillId="39" borderId="13" xfId="53" applyFont="1" applyFill="1" applyBorder="1" applyAlignment="1">
      <alignment horizontal="center" vertical="center" wrapText="1"/>
    </xf>
    <xf numFmtId="0" fontId="146" fillId="55" borderId="256" xfId="53" applyFont="1" applyFill="1" applyBorder="1" applyAlignment="1">
      <alignment horizontal="center" vertical="center" wrapText="1"/>
    </xf>
    <xf numFmtId="0" fontId="146" fillId="55" borderId="13" xfId="53" applyFont="1" applyFill="1" applyBorder="1" applyAlignment="1">
      <alignment horizontal="center" vertical="center"/>
    </xf>
    <xf numFmtId="0" fontId="123" fillId="25" borderId="246" xfId="53" applyFont="1" applyFill="1" applyBorder="1" applyAlignment="1">
      <alignment horizontal="center" vertical="center" wrapText="1"/>
    </xf>
    <xf numFmtId="0" fontId="24" fillId="25" borderId="11" xfId="0" applyFont="1" applyFill="1" applyBorder="1" applyAlignment="1">
      <alignment horizontal="center" vertical="center"/>
    </xf>
    <xf numFmtId="0" fontId="24" fillId="25" borderId="13" xfId="0" applyFont="1" applyFill="1" applyBorder="1" applyAlignment="1">
      <alignment horizontal="center" vertical="center"/>
    </xf>
    <xf numFmtId="0" fontId="44" fillId="27" borderId="36" xfId="0" applyFont="1" applyFill="1" applyBorder="1" applyAlignment="1">
      <alignment horizontal="center" vertical="center" wrapText="1"/>
    </xf>
    <xf numFmtId="0" fontId="44" fillId="27" borderId="51" xfId="0" applyFont="1" applyFill="1" applyBorder="1" applyAlignment="1">
      <alignment horizontal="center" vertical="center" wrapText="1"/>
    </xf>
    <xf numFmtId="0" fontId="44" fillId="27" borderId="42" xfId="0" applyFont="1" applyFill="1" applyBorder="1" applyAlignment="1">
      <alignment horizontal="center" vertical="center" wrapText="1"/>
    </xf>
    <xf numFmtId="0" fontId="24" fillId="25" borderId="26" xfId="0" applyFont="1" applyFill="1" applyBorder="1" applyAlignment="1">
      <alignment horizontal="center" vertical="center" wrapText="1"/>
    </xf>
    <xf numFmtId="0" fontId="18" fillId="25" borderId="10" xfId="0" applyFont="1" applyFill="1" applyBorder="1" applyAlignment="1">
      <alignment horizontal="center" vertical="center" wrapText="1"/>
    </xf>
    <xf numFmtId="0" fontId="18" fillId="25" borderId="11" xfId="0" applyFont="1" applyFill="1" applyBorder="1" applyAlignment="1">
      <alignment horizontal="center" vertical="center" wrapText="1"/>
    </xf>
    <xf numFmtId="0" fontId="18" fillId="25" borderId="13" xfId="0" applyFont="1" applyFill="1" applyBorder="1" applyAlignment="1">
      <alignment horizontal="center" vertical="center"/>
    </xf>
    <xf numFmtId="0" fontId="44" fillId="27" borderId="36" xfId="0" applyFont="1" applyFill="1" applyBorder="1" applyAlignment="1">
      <alignment horizontal="center" vertical="center"/>
    </xf>
    <xf numFmtId="0" fontId="44" fillId="27" borderId="51" xfId="0" applyFont="1" applyFill="1" applyBorder="1" applyAlignment="1">
      <alignment horizontal="center" vertical="center"/>
    </xf>
    <xf numFmtId="0" fontId="44" fillId="27" borderId="42" xfId="0" applyFont="1" applyFill="1" applyBorder="1" applyAlignment="1">
      <alignment horizontal="center" vertical="center"/>
    </xf>
    <xf numFmtId="0" fontId="24" fillId="25" borderId="26" xfId="0" applyFont="1" applyFill="1" applyBorder="1" applyAlignment="1">
      <alignment horizontal="center" wrapText="1"/>
    </xf>
    <xf numFmtId="0" fontId="40" fillId="25" borderId="26" xfId="0" applyFont="1" applyFill="1" applyBorder="1" applyAlignment="1">
      <alignment horizontal="center" vertical="center" wrapText="1"/>
    </xf>
    <xf numFmtId="0" fontId="40" fillId="25" borderId="26" xfId="0" applyFont="1" applyFill="1" applyBorder="1" applyAlignment="1">
      <alignment horizontal="center" wrapText="1"/>
    </xf>
    <xf numFmtId="0" fontId="33" fillId="0" borderId="36" xfId="0" applyFont="1" applyBorder="1" applyAlignment="1">
      <alignment horizontal="center" vertical="center" wrapText="1"/>
    </xf>
    <xf numFmtId="0" fontId="33" fillId="0" borderId="42" xfId="0" applyFont="1" applyBorder="1" applyAlignment="1">
      <alignment horizontal="center" vertical="center" wrapText="1"/>
    </xf>
    <xf numFmtId="0" fontId="65" fillId="27" borderId="36" xfId="0" quotePrefix="1" applyFont="1" applyFill="1" applyBorder="1" applyAlignment="1">
      <alignment horizontal="center" vertical="center"/>
    </xf>
    <xf numFmtId="0" fontId="65" fillId="27" borderId="51" xfId="0" quotePrefix="1" applyFont="1" applyFill="1" applyBorder="1" applyAlignment="1">
      <alignment horizontal="center" vertical="center"/>
    </xf>
    <xf numFmtId="0" fontId="57" fillId="0" borderId="51" xfId="0" applyFont="1" applyBorder="1" applyAlignment="1">
      <alignment horizontal="center" vertical="center"/>
    </xf>
    <xf numFmtId="0" fontId="57" fillId="0" borderId="42" xfId="0" applyFont="1" applyBorder="1" applyAlignment="1">
      <alignment horizontal="center" vertical="center"/>
    </xf>
    <xf numFmtId="0" fontId="40" fillId="27" borderId="10" xfId="0" applyFont="1" applyFill="1" applyBorder="1" applyAlignment="1">
      <alignment horizontal="center" vertical="center" wrapText="1"/>
    </xf>
    <xf numFmtId="0" fontId="61" fillId="27" borderId="11" xfId="0" applyFont="1" applyFill="1" applyBorder="1" applyAlignment="1">
      <alignment vertical="center"/>
    </xf>
    <xf numFmtId="0" fontId="61" fillId="27" borderId="13" xfId="0" applyFont="1" applyFill="1" applyBorder="1" applyAlignment="1">
      <alignment vertical="center"/>
    </xf>
    <xf numFmtId="0" fontId="40" fillId="27" borderId="10" xfId="0" quotePrefix="1" applyFont="1" applyFill="1" applyBorder="1" applyAlignment="1">
      <alignment horizontal="center" vertical="center" wrapText="1"/>
    </xf>
    <xf numFmtId="0" fontId="19" fillId="25" borderId="10" xfId="0" applyFont="1" applyFill="1" applyBorder="1" applyAlignment="1">
      <alignment horizontal="center" wrapText="1"/>
    </xf>
    <xf numFmtId="0" fontId="19" fillId="25" borderId="11" xfId="0" applyFont="1" applyFill="1" applyBorder="1" applyAlignment="1">
      <alignment horizontal="center" wrapText="1"/>
    </xf>
    <xf numFmtId="0" fontId="32" fillId="25" borderId="13" xfId="0" applyFont="1" applyFill="1" applyBorder="1" applyAlignment="1">
      <alignment horizontal="center" wrapText="1"/>
    </xf>
  </cellXfs>
  <cellStyles count="7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/>
    <cellStyle name="Comma 2 2" xfId="69"/>
    <cellStyle name="Comma 3" xfId="30"/>
    <cellStyle name="Comma 3 2" xfId="54"/>
    <cellStyle name="Comma 4" xfId="31"/>
    <cellStyle name="Comma 5" xfId="57"/>
    <cellStyle name="Comma 5 2" xfId="66"/>
    <cellStyle name="Comma 6" xfId="63"/>
    <cellStyle name="Currency" xfId="32" builtinId="4"/>
    <cellStyle name="Currency 2" xfId="33"/>
    <cellStyle name="Currency 2 2" xfId="68"/>
    <cellStyle name="Currency 3" xfId="34"/>
    <cellStyle name="Currency 3 2" xfId="56"/>
    <cellStyle name="Explanatory Text" xfId="35" builtinId="53" customBuiltin="1"/>
    <cellStyle name="Good" xfId="36" builtinId="26" customBuiltin="1"/>
    <cellStyle name="Heading 1" xfId="37" builtinId="16" customBuiltin="1"/>
    <cellStyle name="Heading 2" xfId="38" builtinId="17" customBuiltin="1"/>
    <cellStyle name="Heading 3" xfId="39" builtinId="18" customBuiltin="1"/>
    <cellStyle name="Heading 4" xfId="40" builtinId="19" customBuiltin="1"/>
    <cellStyle name="Input" xfId="41" builtinId="20" customBuiltin="1"/>
    <cellStyle name="Linked Cell" xfId="42" builtinId="24" customBuiltin="1"/>
    <cellStyle name="Neutral" xfId="43" builtinId="28" customBuiltin="1"/>
    <cellStyle name="Normal" xfId="0" builtinId="0"/>
    <cellStyle name="Normal 2" xfId="44"/>
    <cellStyle name="Normal 2 2" xfId="65"/>
    <cellStyle name="Normal 3" xfId="53"/>
    <cellStyle name="Normal 4" xfId="60"/>
    <cellStyle name="Normal 5" xfId="61"/>
    <cellStyle name="Normal 6" xfId="62"/>
    <cellStyle name="Normal 8" xfId="58"/>
    <cellStyle name="Normal 9" xfId="59"/>
    <cellStyle name="Normal_Sheet1" xfId="45"/>
    <cellStyle name="Normal_Sheet1 3" xfId="64"/>
    <cellStyle name="Note" xfId="46" builtinId="10" customBuiltin="1"/>
    <cellStyle name="Output" xfId="47" builtinId="21" customBuiltin="1"/>
    <cellStyle name="Percent" xfId="48" builtinId="5"/>
    <cellStyle name="Percent 2" xfId="49"/>
    <cellStyle name="Percent 2 2" xfId="55"/>
    <cellStyle name="Percent 3" xfId="67"/>
    <cellStyle name="Title" xfId="50" builtinId="15" customBuiltin="1"/>
    <cellStyle name="Total" xfId="51" builtinId="25" customBuiltin="1"/>
    <cellStyle name="Warning Text" xfId="52" builtinId="11" customBuiltin="1"/>
  </cellStyles>
  <dxfs count="1">
    <dxf>
      <font>
        <color rgb="FFFF0000"/>
      </font>
    </dxf>
  </dxfs>
  <tableStyles count="0" defaultTableStyle="TableStyleMedium9" defaultPivotStyle="PivotStyleLight16"/>
  <colors>
    <mruColors>
      <color rgb="FFFFFF99"/>
      <color rgb="FF000066"/>
      <color rgb="FFCCFFCC"/>
      <color rgb="FFB7DEE8"/>
      <color rgb="FF9999FF"/>
      <color rgb="FFFF99CC"/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4.xml"/><Relationship Id="rId50" Type="http://schemas.openxmlformats.org/officeDocument/2006/relationships/externalLink" Target="externalLinks/externalLink7.xml"/><Relationship Id="rId55" Type="http://schemas.openxmlformats.org/officeDocument/2006/relationships/externalLink" Target="externalLinks/externalLink12.xml"/><Relationship Id="rId63" Type="http://schemas.openxmlformats.org/officeDocument/2006/relationships/externalLink" Target="externalLinks/externalLink20.xml"/><Relationship Id="rId68" Type="http://schemas.openxmlformats.org/officeDocument/2006/relationships/externalLink" Target="externalLinks/externalLink2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2.xml"/><Relationship Id="rId53" Type="http://schemas.openxmlformats.org/officeDocument/2006/relationships/externalLink" Target="externalLinks/externalLink10.xml"/><Relationship Id="rId58" Type="http://schemas.openxmlformats.org/officeDocument/2006/relationships/externalLink" Target="externalLinks/externalLink15.xml"/><Relationship Id="rId66" Type="http://schemas.openxmlformats.org/officeDocument/2006/relationships/externalLink" Target="externalLinks/externalLink23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6.xml"/><Relationship Id="rId57" Type="http://schemas.openxmlformats.org/officeDocument/2006/relationships/externalLink" Target="externalLinks/externalLink14.xml"/><Relationship Id="rId61" Type="http://schemas.openxmlformats.org/officeDocument/2006/relationships/externalLink" Target="externalLinks/externalLink1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52" Type="http://schemas.openxmlformats.org/officeDocument/2006/relationships/externalLink" Target="externalLinks/externalLink9.xml"/><Relationship Id="rId60" Type="http://schemas.openxmlformats.org/officeDocument/2006/relationships/externalLink" Target="externalLinks/externalLink17.xml"/><Relationship Id="rId65" Type="http://schemas.openxmlformats.org/officeDocument/2006/relationships/externalLink" Target="externalLinks/externalLink22.xml"/><Relationship Id="rId73" Type="http://schemas.openxmlformats.org/officeDocument/2006/relationships/externalLink" Target="externalLinks/externalLink3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5.xml"/><Relationship Id="rId56" Type="http://schemas.openxmlformats.org/officeDocument/2006/relationships/externalLink" Target="externalLinks/externalLink13.xml"/><Relationship Id="rId64" Type="http://schemas.openxmlformats.org/officeDocument/2006/relationships/externalLink" Target="externalLinks/externalLink21.xml"/><Relationship Id="rId69" Type="http://schemas.openxmlformats.org/officeDocument/2006/relationships/externalLink" Target="externalLinks/externalLink26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8.xml"/><Relationship Id="rId72" Type="http://schemas.openxmlformats.org/officeDocument/2006/relationships/externalLink" Target="externalLinks/externalLink2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3.xml"/><Relationship Id="rId59" Type="http://schemas.openxmlformats.org/officeDocument/2006/relationships/externalLink" Target="externalLinks/externalLink16.xml"/><Relationship Id="rId67" Type="http://schemas.openxmlformats.org/officeDocument/2006/relationships/externalLink" Target="externalLinks/externalLink2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1.xml"/><Relationship Id="rId62" Type="http://schemas.openxmlformats.org/officeDocument/2006/relationships/externalLink" Target="externalLinks/externalLink19.xml"/><Relationship Id="rId70" Type="http://schemas.openxmlformats.org/officeDocument/2006/relationships/externalLink" Target="externalLinks/externalLink27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_tax%20and%20student%20data/Prior%20Year%20Adjusted%20Budget%20Letter/FY2012-13%20Adjusted%20BL_CAFR,%20Base%20and%20October%20midyear/Summary%20of%20Audit%20Adjustments%20for%2013-14%20MFP_state%20and%20local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Studies\BESE%202012-13_FY%202013-14%20MFP\Special%20Ed%20Weight_includes%20simulations%20and%20VAM_LAA\Declassifying%20Weight\MS%205669_Declassified_2-19-201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_tax%20and%20student%20data/Student%20Data/SER%20DATA/SER%20DATA%20-%20New%20Policy%20Format/MS5639_V124_SER%20GT%20by%20grade_MFP%20Format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Studies/BESE%202012-13_FY%202013-14%20MFP/High%20Performing%20Weight/Advanced%20Course%20Rewards_3_11_13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Simulation_FY2012-13%20MFP%20Budget%20Letter_FinalJuly%202012_severity_placement_performance_4B-1_FINAL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1-2012/Budget%20Letters/July/FY2011-12%20MFP%20Budget%20Letter_July%202011_email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2-2013/Budget%20Letters/July%202012/FY2012-13%20MFP%20Budget%20Letter_July%202012%20-%20Final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2-2013/Foreign%20Associate%20Teacher%20Data/Table%204A_August%202012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S01\doe\mf\EFS\MFPAdm\MFP%20Budget%20Letter\2009-2010\Final%20Budget%20Letter\July%202009\FY2009-10%20MFP%20BUDGET%20LETTER_JULY%202009_Revised%20RSD%20&amp;%20OPSB%20&amp;%20EB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EDFIN_AC/Charters/2012-13/Per%20Pupil%20Calculations/Final%20Per%20Pupil%20Amounts_March%202013/FY2012-13%20FINAL%20PER%20PUPIL%20AMOUNTS%20-%20FINAL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_tax%20and%20student%20data/Student%20Data/SIS/February%202013/February%202013/RSD_NO_by_Site_Feb_1_2013_MFP_Membershi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_tax%20and%20student%20data/Student%20Data/SIS/February%202013/February%202013/MFP_Funded_Membership_Feb_1_2013_Other_Funded_Membership_by_School_Location_or_Student_Residence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_tax%20and%20student%20data/Prior%20Year%20Adjusted%20Budget%20Letter/FY2012-13%20Adjusted%20BL_CAFR,%20Base%20and%20October%20midyear/Summary%20of%20Audit%20Adjs%20for%2013-14%20MFP_state%20and%20local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_tax%20and%20student%20data/Student%20Data/SIS/February%202013/February%202013/KIPP_398_by_Site_and_Grade_Feb_1_2013_MFP_Membership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_tax%20and%20student%20data/Student%20Data/SIS/February%202013/February%202013/RSD_396_by_Site_Feb_1_2013_MFP_Membership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Studies/BESE%202012-13_FY%202013-14%20MFP/Budget%20Letter%20Simulations_including%20PDFs%20to%20Districts/FY2013-14%20MFP%20Budget%20Letter%20Simulation_July%202012%20with%2011-12%20prelim%20revenues_updated%20T7%20and%20est%202.1%20count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_tax%20and%20student%20data/Prior%20Year%20Adjusted%20Budget%20Letter/FY2012-13%20Adjusted%20BL_CAFR,%20Base%20and%20October%20midyear/October%20Mid-Year%20Adjustment_FY2012-13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_tax%20and%20student%20data/Prior%20Year%20Adjusted%20Budget%20Letter/FY2012-13%20Adjusted%20BL_CAFR,%20Base%20and%20October%20midyear/FY2012-13%20MFP%20Budget%20Letter_July%202012_CAFR%20Adj%20and%20Base%20counts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_tax%20and%20student%20data/Prior%20Year%20Adjusted%20Budget%20Letter/FY2011-12%20Adjusted%20BL_February%20midyear%20only/February%202012%20Midyear%20Adjustment_FY2011-1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Budget%20Letter\2012-2013_being%20developed\Prior%20Year%20Adjusted%20Budget%20Letters\FY2011-12%20Adjusted%20BL_CAFR,%20Base%20and%20October%20midyear\Summary%20of%20Audit%20Adjustments%20for%2012-13%20MFP_state%20and%20local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_tax%20and%20student%20data/Student%20Data/SIS/February%202013/February%202013/Belle_Chasse_Academy_By_Residence_and_Base_Status_Feb_1_2013_Final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Budget%20Letter\2012-2013_being%20developed\Student%20Data\OJJ\004908AdmForOjj_11-12%20ADM_Final%20for%2012-13%20MFP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_tax%20and%20student%20data/Student%20Data/SIS/February%202013/February%202013/MFP_At_Risk_Funded_Membership_Feb_1_2013_Other_Funded_At_Risk_by%20Residency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Budget%20Letter\2012-2013_being%20developed\Prior%20Year%20Adjusted%20Budget%20Letters\FY2011-12%20Adjusted%20BL_CAFR,%20Base%20and%20October%20midyear\October%20Midyear%20Adjustment_FY2011-1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_tax%20and%20student%20data/Student%20Data/CTE%20Data/MS5627_CTE%20Report_MFP%20Layou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Studies/BESE%202012-13_FY%202013-14%20MFP/Special%20Ed%20Weight_includes%20simulations%20and%20VAM_LAA/Special%20Ed%20by%20SEVERITY/MS5628_V115_SER%20by%20severity_MFP%20Format%20_FIN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Studies/BESE%202012-13_FY%202013-14%20MFP/Special%20Ed%20Weight_includes%20simulations%20and%20VAM_LAA/Special%20Ed%20by%20PLACEMENT/MS5630_V117_MFP%20Format_placement_FIN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Studies\BESE%202012-13_FY%202013-14%20MFP\Special%20Ed%20Weight_includes%20simulations%20and%20VAM_LAA\VAM_Value%20Added%20Model\LAA%201%202%20VAM%20MFP%20FIN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Studies/BESE%202012-13_FY%202013-14%20MFP/Special%20Ed%20Weight_includes%20simulations%20and%20VAM_LAA/VAM_Value%20Added%20Model/LAA%201%202%20VAM%20MFP%20FINAL%202_2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Studies\BESE%202012-13_FY%202013-14%20MFP\Special%20Ed%20Weight_includes%20simulations%20and%20VAM_LAA\Grad%20Rates%20of%20SWD\SWD%20Grad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ed Amounts"/>
    </sheetNames>
    <sheetDataSet>
      <sheetData sheetId="0">
        <row r="7">
          <cell r="C7">
            <v>0</v>
          </cell>
          <cell r="H7">
            <v>0</v>
          </cell>
        </row>
        <row r="8">
          <cell r="C8">
            <v>10338.090149683587</v>
          </cell>
          <cell r="H8">
            <v>-10404.868726500528</v>
          </cell>
        </row>
        <row r="9">
          <cell r="C9">
            <v>0</v>
          </cell>
          <cell r="H9">
            <v>0</v>
          </cell>
        </row>
        <row r="10">
          <cell r="C10">
            <v>0</v>
          </cell>
          <cell r="H10">
            <v>26804.111399455669</v>
          </cell>
        </row>
        <row r="11">
          <cell r="C11">
            <v>-2718.3215289424334</v>
          </cell>
          <cell r="H11">
            <v>-14898.652153232735</v>
          </cell>
        </row>
        <row r="12">
          <cell r="C12">
            <v>-3090.6922071054432</v>
          </cell>
          <cell r="H12">
            <v>-563657.08136421745</v>
          </cell>
        </row>
        <row r="13">
          <cell r="C13">
            <v>-1148.4454043616533</v>
          </cell>
          <cell r="H13">
            <v>231.94927088567465</v>
          </cell>
        </row>
        <row r="14">
          <cell r="C14">
            <v>0</v>
          </cell>
          <cell r="H14">
            <v>277.97634458447101</v>
          </cell>
        </row>
        <row r="15">
          <cell r="C15">
            <v>-15389.013847659691</v>
          </cell>
          <cell r="H15">
            <v>-270388.85270580422</v>
          </cell>
        </row>
        <row r="16">
          <cell r="C16">
            <v>-41821.566594872507</v>
          </cell>
          <cell r="H16">
            <v>-69226.005757263818</v>
          </cell>
        </row>
        <row r="17">
          <cell r="C17">
            <v>0</v>
          </cell>
          <cell r="H17">
            <v>0</v>
          </cell>
        </row>
        <row r="18">
          <cell r="C18">
            <v>0</v>
          </cell>
          <cell r="H18">
            <v>0</v>
          </cell>
        </row>
        <row r="19">
          <cell r="C19">
            <v>3362.7373720844844</v>
          </cell>
          <cell r="H19">
            <v>-2076.4584579369912</v>
          </cell>
        </row>
        <row r="20">
          <cell r="C20">
            <v>-3279.4790639259299</v>
          </cell>
          <cell r="H20">
            <v>1289.4481599599821</v>
          </cell>
        </row>
        <row r="21">
          <cell r="C21">
            <v>0</v>
          </cell>
          <cell r="H21">
            <v>0</v>
          </cell>
        </row>
        <row r="22">
          <cell r="C22">
            <v>3299.8885375240538</v>
          </cell>
          <cell r="H22">
            <v>0</v>
          </cell>
        </row>
        <row r="23">
          <cell r="C23">
            <v>-120014.25804068119</v>
          </cell>
          <cell r="H23">
            <v>-129415.9164372345</v>
          </cell>
        </row>
        <row r="24">
          <cell r="C24">
            <v>9922.943186610486</v>
          </cell>
          <cell r="H24">
            <v>8155.6939962300639</v>
          </cell>
        </row>
        <row r="25">
          <cell r="C25">
            <v>3054.7964737814182</v>
          </cell>
          <cell r="H25">
            <v>-14458.638646907006</v>
          </cell>
        </row>
        <row r="26">
          <cell r="C26">
            <v>0</v>
          </cell>
          <cell r="H26">
            <v>0</v>
          </cell>
        </row>
        <row r="27">
          <cell r="C27">
            <v>0</v>
          </cell>
          <cell r="H27">
            <v>0</v>
          </cell>
        </row>
        <row r="28">
          <cell r="C28">
            <v>0</v>
          </cell>
          <cell r="H28">
            <v>0</v>
          </cell>
        </row>
        <row r="29">
          <cell r="C29">
            <v>-2758.9448518506833</v>
          </cell>
          <cell r="H29">
            <v>0</v>
          </cell>
        </row>
        <row r="30">
          <cell r="C30">
            <v>0</v>
          </cell>
          <cell r="H30">
            <v>0</v>
          </cell>
        </row>
        <row r="31">
          <cell r="C31">
            <v>0</v>
          </cell>
          <cell r="H31">
            <v>0</v>
          </cell>
        </row>
        <row r="32">
          <cell r="C32">
            <v>-11961.53370293905</v>
          </cell>
          <cell r="H32">
            <v>-582559.70179683762</v>
          </cell>
        </row>
        <row r="33">
          <cell r="C33">
            <v>0</v>
          </cell>
          <cell r="H33">
            <v>0</v>
          </cell>
        </row>
        <row r="34">
          <cell r="C34">
            <v>83265.783342431183</v>
          </cell>
          <cell r="H34">
            <v>-102074.93510796013</v>
          </cell>
        </row>
        <row r="35">
          <cell r="C35">
            <v>0</v>
          </cell>
          <cell r="H35">
            <v>0</v>
          </cell>
        </row>
        <row r="36">
          <cell r="C36">
            <v>0</v>
          </cell>
          <cell r="H36">
            <v>0</v>
          </cell>
        </row>
        <row r="37">
          <cell r="C37">
            <v>2426.8569762554553</v>
          </cell>
          <cell r="H37">
            <v>-5004.9553776953999</v>
          </cell>
        </row>
        <row r="38">
          <cell r="C38">
            <v>0</v>
          </cell>
          <cell r="H38">
            <v>0</v>
          </cell>
        </row>
        <row r="39">
          <cell r="C39">
            <v>-22324.016662026203</v>
          </cell>
          <cell r="H39">
            <v>-32256.428826750838</v>
          </cell>
        </row>
        <row r="40">
          <cell r="C40">
            <v>-3204.4489837342553</v>
          </cell>
          <cell r="H40">
            <v>1192.1480811789743</v>
          </cell>
        </row>
        <row r="41">
          <cell r="C41">
            <v>-2751.2730480111859</v>
          </cell>
          <cell r="H41">
            <v>1366.9480546969935</v>
          </cell>
        </row>
        <row r="42">
          <cell r="C42">
            <v>1989.6294367055889</v>
          </cell>
          <cell r="H42">
            <v>-6370.9919334905071</v>
          </cell>
        </row>
        <row r="43">
          <cell r="C43">
            <v>6125.6994180640613</v>
          </cell>
          <cell r="H43">
            <v>-121891.45617824208</v>
          </cell>
        </row>
        <row r="44">
          <cell r="C44">
            <v>4839.7174128218885</v>
          </cell>
          <cell r="H44">
            <v>-54131.246476337459</v>
          </cell>
        </row>
        <row r="45">
          <cell r="C45">
            <v>0</v>
          </cell>
          <cell r="H45">
            <v>0</v>
          </cell>
        </row>
        <row r="46">
          <cell r="C46">
            <v>-49491.345815212408</v>
          </cell>
          <cell r="H46">
            <v>-84696.403939664335</v>
          </cell>
        </row>
        <row r="47">
          <cell r="C47">
            <v>0</v>
          </cell>
          <cell r="H47">
            <v>0</v>
          </cell>
        </row>
        <row r="48">
          <cell r="C48">
            <v>-6035.3656550306769</v>
          </cell>
          <cell r="H48">
            <v>-14321.847018228429</v>
          </cell>
        </row>
        <row r="49">
          <cell r="C49">
            <v>0</v>
          </cell>
          <cell r="H49">
            <v>0</v>
          </cell>
        </row>
        <row r="50">
          <cell r="C50">
            <v>0</v>
          </cell>
          <cell r="H50">
            <v>-4776.3387591922656</v>
          </cell>
        </row>
        <row r="51">
          <cell r="C51">
            <v>0</v>
          </cell>
          <cell r="H51">
            <v>0</v>
          </cell>
        </row>
        <row r="52">
          <cell r="C52">
            <v>-6530.1710099800548</v>
          </cell>
          <cell r="H52">
            <v>-74580.787947261226</v>
          </cell>
        </row>
        <row r="53">
          <cell r="C53">
            <v>0</v>
          </cell>
          <cell r="H53">
            <v>-1073.8229989883496</v>
          </cell>
        </row>
        <row r="54">
          <cell r="C54">
            <v>0</v>
          </cell>
          <cell r="H54">
            <v>-8503.3238461671681</v>
          </cell>
        </row>
        <row r="55">
          <cell r="C55">
            <v>-2722.1213310343373</v>
          </cell>
          <cell r="H55">
            <v>83457.511298642872</v>
          </cell>
        </row>
        <row r="56">
          <cell r="C56">
            <v>8551.242432594765</v>
          </cell>
          <cell r="H56">
            <v>3990.0443080793157</v>
          </cell>
        </row>
        <row r="57">
          <cell r="C57">
            <v>-23603.564440792776</v>
          </cell>
          <cell r="H57">
            <v>2669.0196868293133</v>
          </cell>
        </row>
        <row r="58">
          <cell r="C58">
            <v>-33867.362356248894</v>
          </cell>
          <cell r="H58">
            <v>-149182.40479401342</v>
          </cell>
        </row>
        <row r="59">
          <cell r="C59">
            <v>2717.5270563218037</v>
          </cell>
          <cell r="H59">
            <v>535.55789488016489</v>
          </cell>
        </row>
        <row r="60">
          <cell r="C60">
            <v>0</v>
          </cell>
          <cell r="H60">
            <v>0</v>
          </cell>
        </row>
        <row r="61">
          <cell r="C61">
            <v>0</v>
          </cell>
          <cell r="H61">
            <v>-23845.064156321067</v>
          </cell>
        </row>
        <row r="62">
          <cell r="C62">
            <v>0</v>
          </cell>
          <cell r="H62">
            <v>0</v>
          </cell>
        </row>
        <row r="63">
          <cell r="C63">
            <v>0</v>
          </cell>
          <cell r="H63">
            <v>0</v>
          </cell>
        </row>
        <row r="64">
          <cell r="C64">
            <v>0</v>
          </cell>
          <cell r="H64">
            <v>-8203.3462903040272</v>
          </cell>
        </row>
        <row r="65">
          <cell r="C65">
            <v>0</v>
          </cell>
          <cell r="H65">
            <v>0</v>
          </cell>
        </row>
        <row r="66">
          <cell r="C66">
            <v>-2753.9485829962941</v>
          </cell>
          <cell r="H66">
            <v>-4532.3080144258711</v>
          </cell>
        </row>
        <row r="67">
          <cell r="C67">
            <v>0</v>
          </cell>
          <cell r="H67">
            <v>0</v>
          </cell>
        </row>
        <row r="68">
          <cell r="C68">
            <v>0</v>
          </cell>
          <cell r="H68">
            <v>0</v>
          </cell>
        </row>
        <row r="69">
          <cell r="C69">
            <v>0</v>
          </cell>
          <cell r="H69">
            <v>0</v>
          </cell>
        </row>
        <row r="70">
          <cell r="C70">
            <v>-3224.822370386988</v>
          </cell>
          <cell r="H70">
            <v>-3570.7732490166673</v>
          </cell>
        </row>
        <row r="71">
          <cell r="C71">
            <v>10676.329014573741</v>
          </cell>
          <cell r="H71">
            <v>0</v>
          </cell>
        </row>
        <row r="72">
          <cell r="C72">
            <v>0</v>
          </cell>
          <cell r="H72">
            <v>-5182.6916341071428</v>
          </cell>
        </row>
        <row r="73">
          <cell r="C73">
            <v>0</v>
          </cell>
          <cell r="H73">
            <v>0</v>
          </cell>
        </row>
        <row r="74">
          <cell r="C74">
            <v>-3327.7966920532344</v>
          </cell>
          <cell r="H74">
            <v>45704.321909162391</v>
          </cell>
        </row>
        <row r="75">
          <cell r="C75">
            <v>0</v>
          </cell>
          <cell r="H75">
            <v>353</v>
          </cell>
        </row>
        <row r="79">
          <cell r="C79">
            <v>2515.1664215795245</v>
          </cell>
          <cell r="H79">
            <v>0</v>
          </cell>
        </row>
        <row r="92">
          <cell r="C92">
            <v>-4508.0545995861094</v>
          </cell>
          <cell r="H92">
            <v>75402.944060060618</v>
          </cell>
          <cell r="P92">
            <v>-24631</v>
          </cell>
        </row>
        <row r="126">
          <cell r="C126">
            <v>3987.1779009796828</v>
          </cell>
          <cell r="H126">
            <v>0</v>
          </cell>
          <cell r="K126">
            <v>4648</v>
          </cell>
          <cell r="P126">
            <v>0</v>
          </cell>
        </row>
        <row r="146">
          <cell r="C146">
            <v>34417.176097096817</v>
          </cell>
          <cell r="H146">
            <v>-362671.05638271902</v>
          </cell>
          <cell r="K146">
            <v>35725.5</v>
          </cell>
          <cell r="P146">
            <v>-102154</v>
          </cell>
        </row>
        <row r="147">
          <cell r="C147">
            <v>6530.1710099800548</v>
          </cell>
          <cell r="H147">
            <v>-32206.860619089741</v>
          </cell>
          <cell r="K147">
            <v>969</v>
          </cell>
          <cell r="P147">
            <v>-2196</v>
          </cell>
        </row>
        <row r="148">
          <cell r="C148">
            <v>-2564.8356412766152</v>
          </cell>
          <cell r="H148">
            <v>-18937.155707775168</v>
          </cell>
          <cell r="K148">
            <v>-1953.5</v>
          </cell>
          <cell r="P148">
            <v>-11799</v>
          </cell>
        </row>
        <row r="149">
          <cell r="C149">
            <v>-8066.8572188286907</v>
          </cell>
          <cell r="H149">
            <v>-55917.202129358666</v>
          </cell>
          <cell r="K149">
            <v>-10900</v>
          </cell>
          <cell r="P149">
            <v>-56880</v>
          </cell>
        </row>
        <row r="150">
          <cell r="H150">
            <v>-33504.39456500113</v>
          </cell>
          <cell r="P150">
            <v>-45504</v>
          </cell>
        </row>
        <row r="151">
          <cell r="C151">
            <v>0</v>
          </cell>
          <cell r="H151">
            <v>0</v>
          </cell>
          <cell r="K151">
            <v>0</v>
          </cell>
          <cell r="P151">
            <v>0</v>
          </cell>
        </row>
        <row r="152">
          <cell r="C152">
            <v>0</v>
          </cell>
          <cell r="H152">
            <v>-4188.0493206251376</v>
          </cell>
          <cell r="K152">
            <v>0</v>
          </cell>
          <cell r="P152">
            <v>-5688</v>
          </cell>
        </row>
        <row r="153">
          <cell r="C153">
            <v>0</v>
          </cell>
          <cell r="H153">
            <v>-8931.6888602392864</v>
          </cell>
          <cell r="K153">
            <v>0</v>
          </cell>
          <cell r="P153">
            <v>-8290</v>
          </cell>
        </row>
        <row r="154">
          <cell r="C154">
            <v>0</v>
          </cell>
          <cell r="H154">
            <v>-4188.0493206251413</v>
          </cell>
          <cell r="K154">
            <v>0</v>
          </cell>
          <cell r="P154">
            <v>-5688</v>
          </cell>
        </row>
        <row r="155">
          <cell r="C155">
            <v>0</v>
          </cell>
          <cell r="H155">
            <v>-4188.0493206251413</v>
          </cell>
          <cell r="K155">
            <v>0</v>
          </cell>
          <cell r="P155">
            <v>-5688</v>
          </cell>
        </row>
        <row r="156">
          <cell r="C156">
            <v>0</v>
          </cell>
          <cell r="H156">
            <v>-8376.0986412502825</v>
          </cell>
          <cell r="K156">
            <v>0</v>
          </cell>
          <cell r="P156">
            <v>-11376</v>
          </cell>
        </row>
        <row r="159">
          <cell r="C159">
            <v>0</v>
          </cell>
          <cell r="H159">
            <v>0</v>
          </cell>
          <cell r="K159">
            <v>0</v>
          </cell>
          <cell r="P159">
            <v>0</v>
          </cell>
        </row>
        <row r="160">
          <cell r="C160">
            <v>0</v>
          </cell>
          <cell r="H160">
            <v>-14334.174920697558</v>
          </cell>
          <cell r="K160">
            <v>0</v>
          </cell>
          <cell r="P160">
            <v>0</v>
          </cell>
        </row>
        <row r="161">
          <cell r="C161">
            <v>-8039.4978862835214</v>
          </cell>
          <cell r="H161">
            <v>-7028.6275981233412</v>
          </cell>
          <cell r="K161">
            <v>-8406</v>
          </cell>
          <cell r="P161">
            <v>-3929</v>
          </cell>
        </row>
        <row r="162">
          <cell r="C162">
            <v>-1999.0303288077284</v>
          </cell>
          <cell r="H162">
            <v>-7522.4834787919654</v>
          </cell>
          <cell r="K162">
            <v>-2101.5</v>
          </cell>
          <cell r="P162">
            <v>-7858</v>
          </cell>
        </row>
        <row r="163">
          <cell r="C163">
            <v>0</v>
          </cell>
          <cell r="H163">
            <v>0</v>
          </cell>
          <cell r="P163">
            <v>0</v>
          </cell>
        </row>
        <row r="164">
          <cell r="C164">
            <v>0</v>
          </cell>
          <cell r="H164">
            <v>0</v>
          </cell>
          <cell r="P164">
            <v>0</v>
          </cell>
        </row>
        <row r="165">
          <cell r="C165">
            <v>0</v>
          </cell>
          <cell r="H165">
            <v>-114466.36799604597</v>
          </cell>
          <cell r="P165">
            <v>-106083</v>
          </cell>
        </row>
        <row r="166">
          <cell r="C166">
            <v>-13993.212301654101</v>
          </cell>
          <cell r="H166">
            <v>-17345.689386235856</v>
          </cell>
          <cell r="K166">
            <v>-14710.5</v>
          </cell>
          <cell r="P166">
            <v>-11787</v>
          </cell>
        </row>
        <row r="167">
          <cell r="C167">
            <v>0</v>
          </cell>
          <cell r="H167">
            <v>0</v>
          </cell>
          <cell r="K167">
            <v>0</v>
          </cell>
          <cell r="P167">
            <v>0</v>
          </cell>
        </row>
        <row r="168">
          <cell r="C168">
            <v>-1999.0303288077266</v>
          </cell>
          <cell r="H168">
            <v>956.50674313736363</v>
          </cell>
          <cell r="K168">
            <v>-2101.5</v>
          </cell>
          <cell r="P168">
            <v>0</v>
          </cell>
        </row>
        <row r="169">
          <cell r="C169">
            <v>0</v>
          </cell>
          <cell r="H169">
            <v>0</v>
          </cell>
          <cell r="K169">
            <v>0</v>
          </cell>
          <cell r="P169">
            <v>0</v>
          </cell>
        </row>
        <row r="170">
          <cell r="C170">
            <v>-5997.0909864231862</v>
          </cell>
          <cell r="H170">
            <v>430.94596961621482</v>
          </cell>
          <cell r="K170">
            <v>-6304.5</v>
          </cell>
          <cell r="P170">
            <v>0</v>
          </cell>
        </row>
        <row r="171">
          <cell r="C171">
            <v>5997.0909864231871</v>
          </cell>
          <cell r="H171">
            <v>-3152.5977605581747</v>
          </cell>
          <cell r="K171">
            <v>6304.5</v>
          </cell>
          <cell r="P171">
            <v>0</v>
          </cell>
        </row>
        <row r="172">
          <cell r="C172">
            <v>1999.0303288077266</v>
          </cell>
          <cell r="H172">
            <v>-3583.5437301743896</v>
          </cell>
          <cell r="K172">
            <v>2101.5</v>
          </cell>
          <cell r="P172">
            <v>0</v>
          </cell>
        </row>
        <row r="173">
          <cell r="C173">
            <v>0</v>
          </cell>
          <cell r="H173">
            <v>0</v>
          </cell>
          <cell r="K173">
            <v>0</v>
          </cell>
          <cell r="P173">
            <v>0</v>
          </cell>
        </row>
        <row r="174">
          <cell r="C174">
            <v>9995.151644038644</v>
          </cell>
          <cell r="H174">
            <v>-9912.235345373294</v>
          </cell>
          <cell r="K174">
            <v>10507.5</v>
          </cell>
          <cell r="P174">
            <v>-7858</v>
          </cell>
        </row>
        <row r="175">
          <cell r="C175">
            <v>-5997.0909864231862</v>
          </cell>
          <cell r="H175">
            <v>1818.3986823697924</v>
          </cell>
          <cell r="K175">
            <v>-6304.5</v>
          </cell>
          <cell r="P175">
            <v>0</v>
          </cell>
        </row>
        <row r="176">
          <cell r="C176">
            <v>0</v>
          </cell>
          <cell r="H176">
            <v>0</v>
          </cell>
          <cell r="K176">
            <v>0</v>
          </cell>
          <cell r="P176">
            <v>0</v>
          </cell>
        </row>
        <row r="177">
          <cell r="C177">
            <v>0</v>
          </cell>
          <cell r="H177">
            <v>0</v>
          </cell>
          <cell r="K177">
            <v>0</v>
          </cell>
          <cell r="P177">
            <v>0</v>
          </cell>
        </row>
        <row r="182">
          <cell r="C182">
            <v>0</v>
          </cell>
          <cell r="H182">
            <v>0</v>
          </cell>
          <cell r="K182">
            <v>0</v>
          </cell>
          <cell r="P182">
            <v>0</v>
          </cell>
        </row>
        <row r="183">
          <cell r="C183">
            <v>-4035.5764935619832</v>
          </cell>
          <cell r="H183">
            <v>-20472.54393488905</v>
          </cell>
          <cell r="K183">
            <v>-4203</v>
          </cell>
          <cell r="P183">
            <v>-3929</v>
          </cell>
        </row>
        <row r="184">
          <cell r="P184">
            <v>0</v>
          </cell>
        </row>
        <row r="185">
          <cell r="P185">
            <v>0</v>
          </cell>
        </row>
        <row r="187">
          <cell r="C187">
            <v>-1993.9247724756133</v>
          </cell>
          <cell r="H187">
            <v>-11988.858092210081</v>
          </cell>
          <cell r="K187">
            <v>-2101.5</v>
          </cell>
          <cell r="P187">
            <v>-7858</v>
          </cell>
        </row>
        <row r="188">
          <cell r="C188">
            <v>0</v>
          </cell>
          <cell r="H188">
            <v>-3583.5437301743896</v>
          </cell>
          <cell r="K188">
            <v>0</v>
          </cell>
          <cell r="P188">
            <v>0</v>
          </cell>
        </row>
        <row r="189">
          <cell r="C189">
            <v>0</v>
          </cell>
        </row>
        <row r="190">
          <cell r="C190">
            <v>3960.2403711526622</v>
          </cell>
          <cell r="H190">
            <v>0</v>
          </cell>
          <cell r="K190">
            <v>4203</v>
          </cell>
          <cell r="P190">
            <v>0</v>
          </cell>
        </row>
        <row r="191">
          <cell r="C191">
            <v>0</v>
          </cell>
          <cell r="H191">
            <v>0</v>
          </cell>
          <cell r="K191">
            <v>0</v>
          </cell>
          <cell r="P191">
            <v>0</v>
          </cell>
        </row>
        <row r="192">
          <cell r="C192">
            <v>0</v>
          </cell>
          <cell r="H192">
            <v>0</v>
          </cell>
          <cell r="K192">
            <v>0</v>
          </cell>
          <cell r="P192">
            <v>0</v>
          </cell>
        </row>
        <row r="193">
          <cell r="C193">
            <v>0</v>
          </cell>
        </row>
        <row r="194">
          <cell r="C194">
            <v>3852.2436558006816</v>
          </cell>
          <cell r="H194">
            <v>-17200.665167585488</v>
          </cell>
          <cell r="K194">
            <v>4203</v>
          </cell>
          <cell r="P194">
            <v>0</v>
          </cell>
        </row>
        <row r="195">
          <cell r="C195">
            <v>2014.4652695225413</v>
          </cell>
          <cell r="H195">
            <v>0</v>
          </cell>
          <cell r="K195">
            <v>2101.5</v>
          </cell>
          <cell r="P195">
            <v>0</v>
          </cell>
        </row>
        <row r="196">
          <cell r="C196">
            <v>1947.4588755535794</v>
          </cell>
          <cell r="H196">
            <v>0</v>
          </cell>
          <cell r="K196">
            <v>2101.5</v>
          </cell>
          <cell r="P196">
            <v>0</v>
          </cell>
        </row>
        <row r="197">
          <cell r="C197">
            <v>0</v>
          </cell>
          <cell r="H197">
            <v>0</v>
          </cell>
          <cell r="K197">
            <v>0</v>
          </cell>
          <cell r="P197">
            <v>0</v>
          </cell>
        </row>
        <row r="198">
          <cell r="C198">
            <v>-1965.2045184233687</v>
          </cell>
          <cell r="H198">
            <v>-17549.511667756138</v>
          </cell>
          <cell r="K198">
            <v>-2101.5</v>
          </cell>
          <cell r="P198">
            <v>-3929</v>
          </cell>
        </row>
        <row r="199">
          <cell r="C199">
            <v>3938.9495061829803</v>
          </cell>
          <cell r="H199">
            <v>-7929.8219494481609</v>
          </cell>
          <cell r="K199">
            <v>4203</v>
          </cell>
          <cell r="P199">
            <v>-7858</v>
          </cell>
        </row>
        <row r="200">
          <cell r="C200">
            <v>12040.157558975563</v>
          </cell>
          <cell r="H200">
            <v>-51057.843676092743</v>
          </cell>
          <cell r="K200">
            <v>12609</v>
          </cell>
          <cell r="P200">
            <v>-47148</v>
          </cell>
        </row>
        <row r="201">
          <cell r="C201">
            <v>8510.9938705499444</v>
          </cell>
          <cell r="H201">
            <v>-32912.245123443965</v>
          </cell>
        </row>
        <row r="202">
          <cell r="C202">
            <v>-9610.2059651994277</v>
          </cell>
          <cell r="H202">
            <v>-95413.681862516096</v>
          </cell>
          <cell r="K202">
            <v>-10507.5</v>
          </cell>
          <cell r="P202">
            <v>-78580</v>
          </cell>
        </row>
        <row r="203">
          <cell r="C203">
            <v>12479.171269766044</v>
          </cell>
          <cell r="H203">
            <v>-30921.402434185409</v>
          </cell>
        </row>
        <row r="204">
          <cell r="C204">
            <v>0</v>
          </cell>
          <cell r="H204">
            <v>0</v>
          </cell>
          <cell r="K204">
            <v>0</v>
          </cell>
          <cell r="P204">
            <v>0</v>
          </cell>
        </row>
        <row r="205">
          <cell r="C205">
            <v>0</v>
          </cell>
          <cell r="H205">
            <v>-8600.3325837927441</v>
          </cell>
          <cell r="K205">
            <v>0</v>
          </cell>
          <cell r="P205">
            <v>0</v>
          </cell>
        </row>
        <row r="206">
          <cell r="C206">
            <v>5965.2293969065395</v>
          </cell>
          <cell r="H206">
            <v>0</v>
          </cell>
          <cell r="K206">
            <v>6304.5</v>
          </cell>
          <cell r="P206">
            <v>0</v>
          </cell>
        </row>
        <row r="207">
          <cell r="C207">
            <v>5766.8372074370563</v>
          </cell>
          <cell r="H207">
            <v>-7167.0874603487791</v>
          </cell>
          <cell r="K207">
            <v>6304.5</v>
          </cell>
          <cell r="P207">
            <v>0</v>
          </cell>
        </row>
        <row r="208">
          <cell r="C208">
            <v>0</v>
          </cell>
          <cell r="H208">
            <v>0</v>
          </cell>
          <cell r="K208">
            <v>0</v>
          </cell>
          <cell r="P208">
            <v>67200</v>
          </cell>
        </row>
        <row r="209">
          <cell r="C209">
            <v>9995.1516440386404</v>
          </cell>
          <cell r="H209">
            <v>-9746.254506794452</v>
          </cell>
          <cell r="K209">
            <v>10507.5</v>
          </cell>
          <cell r="P209">
            <v>0</v>
          </cell>
        </row>
        <row r="210">
          <cell r="C210">
            <v>3998.0606576154573</v>
          </cell>
          <cell r="H210">
            <v>0</v>
          </cell>
          <cell r="K210">
            <v>4203</v>
          </cell>
          <cell r="P210">
            <v>0</v>
          </cell>
        </row>
        <row r="211">
          <cell r="C211">
            <v>0</v>
          </cell>
          <cell r="H211">
            <v>-3583.5437301743896</v>
          </cell>
          <cell r="K211">
            <v>0</v>
          </cell>
          <cell r="P211">
            <v>0</v>
          </cell>
        </row>
        <row r="212">
          <cell r="C212">
            <v>-2027.9993125854489</v>
          </cell>
          <cell r="H212">
            <v>-13903.228951081335</v>
          </cell>
          <cell r="K212">
            <v>-2101.5</v>
          </cell>
          <cell r="P212">
            <v>0</v>
          </cell>
        </row>
        <row r="213">
          <cell r="C213">
            <v>7996.1213152309065</v>
          </cell>
          <cell r="H213">
            <v>-9481.2893757570801</v>
          </cell>
          <cell r="K213">
            <v>8406</v>
          </cell>
          <cell r="P213">
            <v>-7858</v>
          </cell>
        </row>
        <row r="214">
          <cell r="C214">
            <v>0</v>
          </cell>
          <cell r="H214">
            <v>-3583.5437301743896</v>
          </cell>
          <cell r="K214">
            <v>0</v>
          </cell>
          <cell r="P214">
            <v>0</v>
          </cell>
        </row>
        <row r="215">
          <cell r="C215">
            <v>0</v>
          </cell>
          <cell r="H215">
            <v>0</v>
          </cell>
          <cell r="K215">
            <v>0</v>
          </cell>
          <cell r="P215">
            <v>0</v>
          </cell>
        </row>
        <row r="218">
          <cell r="C218">
            <v>0</v>
          </cell>
          <cell r="H218">
            <v>-33967.000072005445</v>
          </cell>
          <cell r="P218">
            <v>0</v>
          </cell>
        </row>
        <row r="221">
          <cell r="C221">
            <v>7694.5069238298493</v>
          </cell>
          <cell r="H221">
            <v>0</v>
          </cell>
          <cell r="K221">
            <v>5860.5</v>
          </cell>
          <cell r="P221">
            <v>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BeginSchYr2011_Details"/>
      <sheetName val="BeginSchYr2011_ByExcept"/>
      <sheetName val="BeginSchYr2011_ByGrade"/>
    </sheetNames>
    <sheetDataSet>
      <sheetData sheetId="0"/>
      <sheetData sheetId="1"/>
      <sheetData sheetId="2">
        <row r="2">
          <cell r="P2">
            <v>17</v>
          </cell>
        </row>
        <row r="3">
          <cell r="P3">
            <v>1</v>
          </cell>
        </row>
        <row r="4">
          <cell r="P4">
            <v>27</v>
          </cell>
        </row>
        <row r="5">
          <cell r="P5">
            <v>2</v>
          </cell>
        </row>
        <row r="6">
          <cell r="P6">
            <v>8</v>
          </cell>
        </row>
        <row r="7">
          <cell r="P7">
            <v>4</v>
          </cell>
        </row>
        <row r="8">
          <cell r="P8">
            <v>2</v>
          </cell>
        </row>
        <row r="9">
          <cell r="P9">
            <v>12</v>
          </cell>
        </row>
        <row r="10">
          <cell r="P10">
            <v>16</v>
          </cell>
        </row>
        <row r="11">
          <cell r="P11">
            <v>28</v>
          </cell>
        </row>
        <row r="12">
          <cell r="P12">
            <v>1</v>
          </cell>
        </row>
        <row r="13">
          <cell r="P13">
            <v>6</v>
          </cell>
        </row>
        <row r="14">
          <cell r="P14">
            <v>1</v>
          </cell>
        </row>
        <row r="15">
          <cell r="P15">
            <v>7</v>
          </cell>
        </row>
        <row r="16">
          <cell r="P16">
            <v>2</v>
          </cell>
        </row>
        <row r="17">
          <cell r="P17">
            <v>2</v>
          </cell>
        </row>
        <row r="18">
          <cell r="P18">
            <v>1</v>
          </cell>
        </row>
        <row r="19">
          <cell r="P19">
            <v>38</v>
          </cell>
        </row>
        <row r="20">
          <cell r="P20">
            <v>1</v>
          </cell>
        </row>
        <row r="21">
          <cell r="P21">
            <v>3</v>
          </cell>
        </row>
        <row r="22">
          <cell r="P22">
            <v>6</v>
          </cell>
        </row>
        <row r="23">
          <cell r="P23">
            <v>1</v>
          </cell>
        </row>
        <row r="24">
          <cell r="P24">
            <v>20</v>
          </cell>
        </row>
        <row r="25">
          <cell r="P25">
            <v>3</v>
          </cell>
        </row>
        <row r="26">
          <cell r="P26">
            <v>1</v>
          </cell>
        </row>
        <row r="27">
          <cell r="P27">
            <v>2</v>
          </cell>
        </row>
        <row r="28">
          <cell r="P28">
            <v>57</v>
          </cell>
        </row>
        <row r="29">
          <cell r="P29">
            <v>73</v>
          </cell>
        </row>
        <row r="30">
          <cell r="P30">
            <v>25</v>
          </cell>
        </row>
        <row r="31">
          <cell r="P31">
            <v>3</v>
          </cell>
        </row>
        <row r="32">
          <cell r="P32">
            <v>6</v>
          </cell>
        </row>
        <row r="33">
          <cell r="P33">
            <v>24</v>
          </cell>
        </row>
        <row r="34">
          <cell r="P34">
            <v>6</v>
          </cell>
        </row>
        <row r="35">
          <cell r="P35">
            <v>5</v>
          </cell>
        </row>
        <row r="36">
          <cell r="P36">
            <v>15</v>
          </cell>
        </row>
        <row r="37">
          <cell r="P37">
            <v>5</v>
          </cell>
        </row>
        <row r="38">
          <cell r="P38">
            <v>5</v>
          </cell>
        </row>
        <row r="39">
          <cell r="P39">
            <v>9</v>
          </cell>
        </row>
        <row r="40">
          <cell r="P40">
            <v>16</v>
          </cell>
        </row>
        <row r="41">
          <cell r="P41">
            <v>1</v>
          </cell>
        </row>
        <row r="42">
          <cell r="P42">
            <v>1</v>
          </cell>
        </row>
        <row r="43">
          <cell r="P43">
            <v>8</v>
          </cell>
        </row>
        <row r="44">
          <cell r="P44">
            <v>4</v>
          </cell>
        </row>
        <row r="45">
          <cell r="P45">
            <v>1</v>
          </cell>
        </row>
        <row r="46">
          <cell r="P46">
            <v>4</v>
          </cell>
        </row>
        <row r="47">
          <cell r="P47">
            <v>4</v>
          </cell>
        </row>
        <row r="48">
          <cell r="P48">
            <v>13</v>
          </cell>
        </row>
        <row r="49">
          <cell r="P49">
            <v>7</v>
          </cell>
        </row>
        <row r="50">
          <cell r="P50">
            <v>19</v>
          </cell>
        </row>
        <row r="51">
          <cell r="P51">
            <v>49</v>
          </cell>
        </row>
        <row r="52">
          <cell r="P52">
            <v>48</v>
          </cell>
        </row>
        <row r="53">
          <cell r="P53">
            <v>1</v>
          </cell>
        </row>
        <row r="54">
          <cell r="P54">
            <v>20</v>
          </cell>
        </row>
        <row r="55">
          <cell r="P55">
            <v>1</v>
          </cell>
        </row>
        <row r="56">
          <cell r="P56">
            <v>4</v>
          </cell>
        </row>
        <row r="57">
          <cell r="P57">
            <v>8</v>
          </cell>
        </row>
        <row r="58">
          <cell r="P58">
            <v>9</v>
          </cell>
        </row>
        <row r="59">
          <cell r="P59">
            <v>2</v>
          </cell>
        </row>
        <row r="60">
          <cell r="P60">
            <v>7</v>
          </cell>
        </row>
        <row r="61">
          <cell r="P61">
            <v>4</v>
          </cell>
        </row>
      </sheetData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up_PS-8th"/>
      <sheetName val="Rollup_9th-12th"/>
      <sheetName val="Rollup_PS-12th"/>
      <sheetName val="Student Level_PS-Grade08_GT"/>
      <sheetName val="Student Level_Grade09thru12_GT"/>
      <sheetName val="Student Level File_Total"/>
    </sheetNames>
    <sheetDataSet>
      <sheetData sheetId="0">
        <row r="5">
          <cell r="R5">
            <v>57</v>
          </cell>
        </row>
        <row r="6">
          <cell r="R6">
            <v>48</v>
          </cell>
        </row>
        <row r="7">
          <cell r="R7">
            <v>312</v>
          </cell>
        </row>
        <row r="8">
          <cell r="R8">
            <v>42</v>
          </cell>
        </row>
        <row r="9">
          <cell r="R9">
            <v>1</v>
          </cell>
        </row>
        <row r="10">
          <cell r="R10">
            <v>67</v>
          </cell>
        </row>
        <row r="11">
          <cell r="R11">
            <v>13</v>
          </cell>
        </row>
        <row r="12">
          <cell r="R12">
            <v>630</v>
          </cell>
        </row>
        <row r="13">
          <cell r="R13">
            <v>961</v>
          </cell>
        </row>
        <row r="14">
          <cell r="R14">
            <v>1025</v>
          </cell>
        </row>
        <row r="15">
          <cell r="R15">
            <v>14</v>
          </cell>
        </row>
        <row r="16">
          <cell r="R16">
            <v>63</v>
          </cell>
        </row>
        <row r="17">
          <cell r="R17">
            <v>17</v>
          </cell>
        </row>
        <row r="18">
          <cell r="R18">
            <v>74</v>
          </cell>
        </row>
        <row r="19">
          <cell r="R19">
            <v>35</v>
          </cell>
        </row>
        <row r="20">
          <cell r="R20">
            <v>170</v>
          </cell>
        </row>
        <row r="21">
          <cell r="R21">
            <v>1399</v>
          </cell>
        </row>
        <row r="22">
          <cell r="R22">
            <v>1</v>
          </cell>
        </row>
        <row r="23">
          <cell r="R23">
            <v>12</v>
          </cell>
        </row>
        <row r="24">
          <cell r="R24">
            <v>42</v>
          </cell>
        </row>
        <row r="25">
          <cell r="R25">
            <v>27</v>
          </cell>
        </row>
        <row r="26">
          <cell r="R26">
            <v>18</v>
          </cell>
        </row>
        <row r="27">
          <cell r="R27">
            <v>216</v>
          </cell>
        </row>
        <row r="28">
          <cell r="R28">
            <v>69</v>
          </cell>
        </row>
        <row r="29">
          <cell r="R29">
            <v>47</v>
          </cell>
        </row>
        <row r="30">
          <cell r="R30">
            <v>2224</v>
          </cell>
        </row>
        <row r="31">
          <cell r="R31">
            <v>143</v>
          </cell>
        </row>
        <row r="32">
          <cell r="R32">
            <v>844</v>
          </cell>
        </row>
        <row r="33">
          <cell r="R33">
            <v>122</v>
          </cell>
        </row>
        <row r="34">
          <cell r="R34">
            <v>27</v>
          </cell>
        </row>
        <row r="35">
          <cell r="R35">
            <v>252</v>
          </cell>
        </row>
        <row r="36">
          <cell r="R36">
            <v>785</v>
          </cell>
        </row>
        <row r="37">
          <cell r="R37">
            <v>9</v>
          </cell>
        </row>
        <row r="38">
          <cell r="R38">
            <v>44</v>
          </cell>
        </row>
        <row r="39">
          <cell r="R39">
            <v>110</v>
          </cell>
        </row>
        <row r="40">
          <cell r="R40">
            <v>1668</v>
          </cell>
        </row>
        <row r="41">
          <cell r="R41">
            <v>588</v>
          </cell>
        </row>
        <row r="42">
          <cell r="R42">
            <v>161</v>
          </cell>
        </row>
        <row r="43">
          <cell r="R43">
            <v>20</v>
          </cell>
        </row>
        <row r="44">
          <cell r="R44">
            <v>343</v>
          </cell>
        </row>
        <row r="45">
          <cell r="R45">
            <v>1</v>
          </cell>
        </row>
        <row r="46">
          <cell r="R46">
            <v>41</v>
          </cell>
        </row>
        <row r="47">
          <cell r="R47">
            <v>67</v>
          </cell>
        </row>
        <row r="48">
          <cell r="R48">
            <v>100</v>
          </cell>
        </row>
        <row r="49">
          <cell r="R49">
            <v>281</v>
          </cell>
        </row>
        <row r="50">
          <cell r="R50">
            <v>3</v>
          </cell>
        </row>
        <row r="51">
          <cell r="R51">
            <v>35</v>
          </cell>
        </row>
        <row r="52">
          <cell r="R52">
            <v>76</v>
          </cell>
        </row>
        <row r="53">
          <cell r="R53">
            <v>208</v>
          </cell>
        </row>
        <row r="54">
          <cell r="R54">
            <v>92</v>
          </cell>
        </row>
        <row r="55">
          <cell r="R55">
            <v>332</v>
          </cell>
        </row>
        <row r="56">
          <cell r="R56">
            <v>2224</v>
          </cell>
        </row>
        <row r="57">
          <cell r="R57">
            <v>278</v>
          </cell>
        </row>
        <row r="58">
          <cell r="R58">
            <v>12</v>
          </cell>
        </row>
        <row r="59">
          <cell r="R59">
            <v>380</v>
          </cell>
        </row>
        <row r="60">
          <cell r="R60">
            <v>8</v>
          </cell>
        </row>
        <row r="61">
          <cell r="R61">
            <v>133</v>
          </cell>
        </row>
        <row r="62">
          <cell r="R62">
            <v>142</v>
          </cell>
        </row>
        <row r="63">
          <cell r="R63">
            <v>235</v>
          </cell>
        </row>
        <row r="64">
          <cell r="R64">
            <v>185</v>
          </cell>
        </row>
        <row r="65">
          <cell r="R65">
            <v>81</v>
          </cell>
        </row>
        <row r="66">
          <cell r="R66">
            <v>10</v>
          </cell>
        </row>
        <row r="67">
          <cell r="R67">
            <v>93</v>
          </cell>
        </row>
        <row r="68">
          <cell r="R68">
            <v>48</v>
          </cell>
        </row>
        <row r="69">
          <cell r="R69">
            <v>335</v>
          </cell>
        </row>
        <row r="70">
          <cell r="R70">
            <v>82</v>
          </cell>
        </row>
        <row r="71">
          <cell r="R71">
            <v>313</v>
          </cell>
        </row>
        <row r="72">
          <cell r="R72">
            <v>2</v>
          </cell>
        </row>
        <row r="73">
          <cell r="R73">
            <v>200</v>
          </cell>
        </row>
      </sheetData>
      <sheetData sheetId="1">
        <row r="5">
          <cell r="M5">
            <v>27</v>
          </cell>
        </row>
        <row r="6">
          <cell r="M6">
            <v>6</v>
          </cell>
        </row>
        <row r="7">
          <cell r="M7">
            <v>234</v>
          </cell>
        </row>
        <row r="8">
          <cell r="M8">
            <v>48</v>
          </cell>
        </row>
        <row r="9">
          <cell r="M9">
            <v>4</v>
          </cell>
        </row>
        <row r="10">
          <cell r="M10">
            <v>9</v>
          </cell>
        </row>
        <row r="11">
          <cell r="M11">
            <v>18</v>
          </cell>
        </row>
        <row r="12">
          <cell r="M12">
            <v>333</v>
          </cell>
        </row>
        <row r="13">
          <cell r="M13">
            <v>767</v>
          </cell>
        </row>
        <row r="14">
          <cell r="M14">
            <v>260</v>
          </cell>
        </row>
        <row r="15">
          <cell r="M15">
            <v>13</v>
          </cell>
        </row>
        <row r="16">
          <cell r="M16">
            <v>28</v>
          </cell>
        </row>
        <row r="17">
          <cell r="M17">
            <v>13</v>
          </cell>
        </row>
        <row r="18">
          <cell r="M18">
            <v>30</v>
          </cell>
        </row>
        <row r="19">
          <cell r="M19">
            <v>48</v>
          </cell>
        </row>
        <row r="20">
          <cell r="M20">
            <v>40</v>
          </cell>
        </row>
        <row r="21">
          <cell r="M21">
            <v>574</v>
          </cell>
        </row>
        <row r="22">
          <cell r="M22">
            <v>0</v>
          </cell>
        </row>
        <row r="23">
          <cell r="M23">
            <v>7</v>
          </cell>
        </row>
        <row r="24">
          <cell r="M24">
            <v>29</v>
          </cell>
        </row>
        <row r="25">
          <cell r="M25">
            <v>0</v>
          </cell>
        </row>
        <row r="26">
          <cell r="M26">
            <v>10</v>
          </cell>
        </row>
        <row r="27">
          <cell r="M27">
            <v>191</v>
          </cell>
        </row>
        <row r="28">
          <cell r="M28">
            <v>47</v>
          </cell>
        </row>
        <row r="29">
          <cell r="M29">
            <v>39</v>
          </cell>
        </row>
        <row r="30">
          <cell r="M30">
            <v>1243</v>
          </cell>
        </row>
        <row r="31">
          <cell r="M31">
            <v>0</v>
          </cell>
        </row>
        <row r="32">
          <cell r="M32">
            <v>492</v>
          </cell>
        </row>
        <row r="33">
          <cell r="M33">
            <v>95</v>
          </cell>
        </row>
        <row r="34">
          <cell r="M34">
            <v>10</v>
          </cell>
        </row>
        <row r="35">
          <cell r="M35">
            <v>95</v>
          </cell>
        </row>
        <row r="36">
          <cell r="M36">
            <v>373</v>
          </cell>
        </row>
        <row r="37">
          <cell r="M37">
            <v>3</v>
          </cell>
        </row>
        <row r="38">
          <cell r="M38">
            <v>5</v>
          </cell>
        </row>
        <row r="39">
          <cell r="M39">
            <v>114</v>
          </cell>
        </row>
        <row r="40">
          <cell r="M40">
            <v>1095</v>
          </cell>
        </row>
        <row r="41">
          <cell r="M41">
            <v>379</v>
          </cell>
        </row>
        <row r="42">
          <cell r="M42">
            <v>72</v>
          </cell>
        </row>
        <row r="43">
          <cell r="M43">
            <v>13</v>
          </cell>
        </row>
        <row r="44">
          <cell r="M44">
            <v>227</v>
          </cell>
        </row>
        <row r="45">
          <cell r="M45">
            <v>2</v>
          </cell>
        </row>
        <row r="46">
          <cell r="M46">
            <v>18</v>
          </cell>
        </row>
        <row r="47">
          <cell r="M47">
            <v>41</v>
          </cell>
        </row>
        <row r="48">
          <cell r="M48">
            <v>38</v>
          </cell>
        </row>
        <row r="49">
          <cell r="M49">
            <v>211</v>
          </cell>
        </row>
        <row r="50">
          <cell r="M50">
            <v>11</v>
          </cell>
        </row>
        <row r="51">
          <cell r="M51">
            <v>39</v>
          </cell>
        </row>
        <row r="52">
          <cell r="M52">
            <v>48</v>
          </cell>
        </row>
        <row r="53">
          <cell r="M53">
            <v>126</v>
          </cell>
        </row>
        <row r="54">
          <cell r="M54">
            <v>65</v>
          </cell>
        </row>
        <row r="55">
          <cell r="M55">
            <v>247</v>
          </cell>
        </row>
        <row r="56">
          <cell r="M56">
            <v>1172</v>
          </cell>
        </row>
        <row r="57">
          <cell r="M57">
            <v>136</v>
          </cell>
        </row>
        <row r="58">
          <cell r="M58">
            <v>18</v>
          </cell>
        </row>
        <row r="59">
          <cell r="M59">
            <v>310</v>
          </cell>
        </row>
        <row r="60">
          <cell r="M60">
            <v>14</v>
          </cell>
        </row>
        <row r="61">
          <cell r="M61">
            <v>54</v>
          </cell>
        </row>
        <row r="62">
          <cell r="M62">
            <v>91</v>
          </cell>
        </row>
        <row r="63">
          <cell r="M63">
            <v>92</v>
          </cell>
        </row>
        <row r="64">
          <cell r="M64">
            <v>117</v>
          </cell>
        </row>
        <row r="65">
          <cell r="M65">
            <v>58</v>
          </cell>
        </row>
        <row r="66">
          <cell r="M66">
            <v>9</v>
          </cell>
        </row>
        <row r="67">
          <cell r="M67">
            <v>46</v>
          </cell>
        </row>
        <row r="68">
          <cell r="M68">
            <v>34</v>
          </cell>
        </row>
        <row r="69">
          <cell r="M69">
            <v>257</v>
          </cell>
        </row>
        <row r="70">
          <cell r="M70">
            <v>26</v>
          </cell>
        </row>
        <row r="71">
          <cell r="M71">
            <v>114</v>
          </cell>
        </row>
        <row r="72">
          <cell r="M72">
            <v>2</v>
          </cell>
        </row>
        <row r="73">
          <cell r="M73">
            <v>72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ormatted"/>
      <sheetName val="Rollup"/>
      <sheetName val="Student Level Files"/>
    </sheetNames>
    <sheetDataSet>
      <sheetData sheetId="0">
        <row r="6">
          <cell r="Y6">
            <v>3</v>
          </cell>
        </row>
        <row r="7">
          <cell r="Y7">
            <v>19</v>
          </cell>
        </row>
        <row r="8">
          <cell r="Y8">
            <v>648</v>
          </cell>
        </row>
        <row r="9">
          <cell r="Y9">
            <v>23</v>
          </cell>
        </row>
        <row r="10">
          <cell r="Y10">
            <v>68</v>
          </cell>
        </row>
        <row r="11">
          <cell r="Y11">
            <v>120</v>
          </cell>
        </row>
        <row r="12">
          <cell r="Y12">
            <v>10</v>
          </cell>
        </row>
        <row r="13">
          <cell r="Y13">
            <v>264</v>
          </cell>
        </row>
        <row r="14">
          <cell r="Y14">
            <v>309</v>
          </cell>
        </row>
        <row r="15">
          <cell r="Y15">
            <v>503</v>
          </cell>
        </row>
        <row r="16">
          <cell r="Y16">
            <v>12</v>
          </cell>
        </row>
        <row r="17">
          <cell r="Y17">
            <v>7</v>
          </cell>
        </row>
        <row r="18">
          <cell r="Y18">
            <v>0</v>
          </cell>
        </row>
        <row r="19">
          <cell r="Y19">
            <v>0</v>
          </cell>
        </row>
        <row r="20">
          <cell r="Y20">
            <v>29</v>
          </cell>
        </row>
        <row r="21">
          <cell r="Y21">
            <v>73</v>
          </cell>
        </row>
        <row r="22">
          <cell r="Y22">
            <v>621</v>
          </cell>
        </row>
        <row r="23">
          <cell r="Y23">
            <v>0</v>
          </cell>
        </row>
        <row r="24">
          <cell r="Y24">
            <v>1</v>
          </cell>
        </row>
        <row r="25">
          <cell r="Y25">
            <v>11</v>
          </cell>
        </row>
        <row r="26">
          <cell r="Y26">
            <v>0</v>
          </cell>
        </row>
        <row r="27">
          <cell r="Y27">
            <v>14</v>
          </cell>
        </row>
        <row r="28">
          <cell r="Y28">
            <v>32</v>
          </cell>
        </row>
        <row r="29">
          <cell r="Y29">
            <v>9</v>
          </cell>
        </row>
        <row r="30">
          <cell r="Y30">
            <v>10</v>
          </cell>
        </row>
        <row r="31">
          <cell r="Y31">
            <v>899</v>
          </cell>
        </row>
        <row r="32">
          <cell r="Y32">
            <v>2</v>
          </cell>
        </row>
        <row r="33">
          <cell r="Y33">
            <v>477</v>
          </cell>
        </row>
        <row r="34">
          <cell r="Y34">
            <v>99</v>
          </cell>
        </row>
        <row r="35">
          <cell r="Y35">
            <v>9</v>
          </cell>
        </row>
        <row r="36">
          <cell r="Y36">
            <v>90</v>
          </cell>
        </row>
        <row r="37">
          <cell r="Y37">
            <v>219</v>
          </cell>
        </row>
        <row r="38">
          <cell r="Y38">
            <v>1</v>
          </cell>
        </row>
        <row r="39">
          <cell r="Y39">
            <v>16</v>
          </cell>
        </row>
        <row r="40">
          <cell r="Y40">
            <v>24</v>
          </cell>
        </row>
        <row r="41">
          <cell r="Y41">
            <v>702</v>
          </cell>
        </row>
        <row r="42">
          <cell r="Y42">
            <v>239</v>
          </cell>
        </row>
        <row r="43">
          <cell r="Y43">
            <v>6</v>
          </cell>
        </row>
        <row r="44">
          <cell r="Y44">
            <v>0</v>
          </cell>
        </row>
        <row r="45">
          <cell r="Y45">
            <v>234</v>
          </cell>
        </row>
        <row r="46">
          <cell r="Y46">
            <v>10</v>
          </cell>
        </row>
        <row r="47">
          <cell r="Y47">
            <v>7</v>
          </cell>
        </row>
        <row r="48">
          <cell r="Y48">
            <v>21</v>
          </cell>
        </row>
        <row r="49">
          <cell r="Y49">
            <v>61</v>
          </cell>
        </row>
        <row r="50">
          <cell r="Y50">
            <v>255</v>
          </cell>
        </row>
        <row r="51">
          <cell r="Y51">
            <v>0</v>
          </cell>
        </row>
        <row r="52">
          <cell r="Y52">
            <v>36</v>
          </cell>
        </row>
        <row r="53">
          <cell r="Y53">
            <v>48</v>
          </cell>
        </row>
        <row r="54">
          <cell r="Y54">
            <v>7</v>
          </cell>
        </row>
        <row r="55">
          <cell r="Y55">
            <v>18</v>
          </cell>
        </row>
        <row r="56">
          <cell r="Y56">
            <v>109</v>
          </cell>
        </row>
        <row r="57">
          <cell r="Y57">
            <v>811</v>
          </cell>
        </row>
        <row r="58">
          <cell r="Y58">
            <v>65</v>
          </cell>
        </row>
        <row r="59">
          <cell r="Y59">
            <v>0</v>
          </cell>
        </row>
        <row r="60">
          <cell r="Y60">
            <v>89</v>
          </cell>
        </row>
        <row r="61">
          <cell r="Y61">
            <v>13</v>
          </cell>
        </row>
        <row r="62">
          <cell r="Y62">
            <v>14</v>
          </cell>
        </row>
        <row r="63">
          <cell r="Y63">
            <v>64</v>
          </cell>
        </row>
        <row r="64">
          <cell r="Y64">
            <v>3</v>
          </cell>
        </row>
        <row r="65">
          <cell r="Y65">
            <v>26</v>
          </cell>
        </row>
        <row r="66">
          <cell r="Y66">
            <v>25</v>
          </cell>
        </row>
        <row r="67">
          <cell r="Y67">
            <v>0</v>
          </cell>
        </row>
        <row r="68">
          <cell r="Y68">
            <v>54</v>
          </cell>
        </row>
        <row r="69">
          <cell r="Y69">
            <v>0</v>
          </cell>
        </row>
        <row r="70">
          <cell r="Y70">
            <v>84</v>
          </cell>
        </row>
        <row r="71">
          <cell r="Y71">
            <v>0</v>
          </cell>
        </row>
        <row r="72">
          <cell r="Y72">
            <v>257</v>
          </cell>
        </row>
        <row r="73">
          <cell r="Y73">
            <v>1</v>
          </cell>
        </row>
        <row r="74">
          <cell r="Y74">
            <v>123</v>
          </cell>
        </row>
      </sheetData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al Ed Comparison"/>
      <sheetName val="WEighted pp"/>
      <sheetName val="Factors"/>
      <sheetName val="Definitions for SpecED"/>
      <sheetName val="Summary of Simulation "/>
      <sheetName val="Table 1 State Summary "/>
      <sheetName val="Table 2_State Distrib and Adjs"/>
      <sheetName val="Table 2A-1_EFT (Annual)"/>
      <sheetName val="Table 2A-2 EFT (Monthly)"/>
      <sheetName val="Table 3 Levels 1&amp;2"/>
      <sheetName val="Table 3A-CityParish LEA "/>
      <sheetName val="Table 4 Level 3"/>
      <sheetName val="Table 4A Stipends"/>
      <sheetName val="Table 4B Rewards"/>
      <sheetName val="Table 5A1 Labs "/>
      <sheetName val="Table 5A2 LSMSA"/>
      <sheetName val="Table 5A3 NOCCA"/>
      <sheetName val="Table 5A4_LSDVI"/>
      <sheetName val="Table 5A5_SSD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2 - LA Virtual Admy"/>
      <sheetName val="Table 5C3 - LA Connections EBR"/>
      <sheetName val="Table 5D1 - New Vision"/>
      <sheetName val="Table 5D2 - Glencoe"/>
      <sheetName val="Table 5D3 - International"/>
      <sheetName val="Table 5D4 - Avoyelles"/>
      <sheetName val="Table 5D5 - Delhi"/>
      <sheetName val="Table 5D6 - Milestone"/>
      <sheetName val="Table 5D7 - Max"/>
      <sheetName val="Table 5D8 - Belle Chasse"/>
      <sheetName val="Table 5E_OJJ"/>
      <sheetName val="Table 5F Scholarships"/>
      <sheetName val="Table 6 (Local Deduct Calc.)"/>
      <sheetName val="Table 7 Local Revenue"/>
      <sheetName val="Table 8 2.1.12 MFP Funded"/>
      <sheetName val="2-1-12 MFP Funded by si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9">
          <cell r="CE9">
            <v>-860096.75515198708</v>
          </cell>
        </row>
        <row r="10">
          <cell r="CE10">
            <v>-306576.3458160013</v>
          </cell>
        </row>
        <row r="11">
          <cell r="CE11">
            <v>607871.27363967896</v>
          </cell>
        </row>
        <row r="12">
          <cell r="CE12">
            <v>-397002.9782659933</v>
          </cell>
        </row>
        <row r="13">
          <cell r="CE13">
            <v>-497585.83264400065</v>
          </cell>
        </row>
        <row r="14">
          <cell r="CE14">
            <v>149752.85429783911</v>
          </cell>
        </row>
        <row r="15">
          <cell r="CE15">
            <v>-963.75</v>
          </cell>
        </row>
        <row r="16">
          <cell r="CE16">
            <v>1464390.8483781815</v>
          </cell>
        </row>
        <row r="17">
          <cell r="CE17">
            <v>-330041.02444249392</v>
          </cell>
        </row>
        <row r="18">
          <cell r="CE18">
            <v>-608162.28582280874</v>
          </cell>
        </row>
        <row r="19">
          <cell r="CE19">
            <v>268903.14417944103</v>
          </cell>
        </row>
        <row r="20">
          <cell r="CE20">
            <v>252503</v>
          </cell>
        </row>
        <row r="21">
          <cell r="CE21">
            <v>-74810.809635998681</v>
          </cell>
        </row>
        <row r="22">
          <cell r="CE22">
            <v>21832.423631999642</v>
          </cell>
        </row>
        <row r="23">
          <cell r="CE23">
            <v>-32715.262656003237</v>
          </cell>
        </row>
        <row r="24">
          <cell r="CE24">
            <v>674.75</v>
          </cell>
        </row>
        <row r="25">
          <cell r="CE25">
            <v>-3209682.8509128094</v>
          </cell>
        </row>
        <row r="26">
          <cell r="CE26">
            <v>51993.952080000192</v>
          </cell>
        </row>
        <row r="27">
          <cell r="CE27">
            <v>-425200.81556800008</v>
          </cell>
        </row>
        <row r="28">
          <cell r="CE28">
            <v>-119544.29074399918</v>
          </cell>
        </row>
        <row r="29">
          <cell r="CE29">
            <v>-73098.714911997318</v>
          </cell>
        </row>
        <row r="30">
          <cell r="CE30">
            <v>115891.8583920002</v>
          </cell>
        </row>
        <row r="31">
          <cell r="CE31">
            <v>-887520.16747198999</v>
          </cell>
        </row>
        <row r="32">
          <cell r="CE32">
            <v>-126058</v>
          </cell>
        </row>
        <row r="33">
          <cell r="CE33">
            <v>134256.79958879948</v>
          </cell>
        </row>
        <row r="34">
          <cell r="CE34">
            <v>3402771.8608464003</v>
          </cell>
        </row>
        <row r="35">
          <cell r="CE35">
            <v>-338698.95011200011</v>
          </cell>
        </row>
        <row r="36">
          <cell r="CE36">
            <v>-946841.26425559819</v>
          </cell>
        </row>
        <row r="37">
          <cell r="CE37">
            <v>-126783.34920239449</v>
          </cell>
        </row>
        <row r="38">
          <cell r="CE38">
            <v>75927.200510721654</v>
          </cell>
        </row>
        <row r="39">
          <cell r="CE39">
            <v>904386.38469000161</v>
          </cell>
        </row>
        <row r="40">
          <cell r="CE40">
            <v>1044622.9627559781</v>
          </cell>
        </row>
        <row r="41">
          <cell r="CE41">
            <v>-203298.82823199965</v>
          </cell>
        </row>
        <row r="42">
          <cell r="CE42">
            <v>-273397.72794000059</v>
          </cell>
        </row>
        <row r="43">
          <cell r="CE43">
            <v>-141173.15108000487</v>
          </cell>
        </row>
        <row r="44">
          <cell r="CE44">
            <v>2404043.4063667953</v>
          </cell>
        </row>
        <row r="45">
          <cell r="CE45">
            <v>486173.74158674479</v>
          </cell>
        </row>
        <row r="46">
          <cell r="CE46">
            <v>-7131.75</v>
          </cell>
        </row>
        <row r="47">
          <cell r="CE47">
            <v>-564963.74532000162</v>
          </cell>
        </row>
        <row r="48">
          <cell r="CE48">
            <v>-434717.95929601789</v>
          </cell>
        </row>
        <row r="49">
          <cell r="CE49">
            <v>-18985.75</v>
          </cell>
        </row>
        <row r="50">
          <cell r="CE50">
            <v>1542</v>
          </cell>
        </row>
        <row r="51">
          <cell r="CE51">
            <v>51473.94239519909</v>
          </cell>
        </row>
        <row r="52">
          <cell r="CE52">
            <v>-289919.48755895346</v>
          </cell>
        </row>
        <row r="53">
          <cell r="CE53">
            <v>461058</v>
          </cell>
        </row>
        <row r="54">
          <cell r="CE54">
            <v>-31859.434368000366</v>
          </cell>
        </row>
        <row r="55">
          <cell r="CE55">
            <v>-586248.69499735907</v>
          </cell>
        </row>
        <row r="56">
          <cell r="CE56">
            <v>-217478.8146816045</v>
          </cell>
        </row>
        <row r="57">
          <cell r="CE57">
            <v>-44413.558028012514</v>
          </cell>
        </row>
        <row r="58">
          <cell r="CE58">
            <v>-807995.06659200042</v>
          </cell>
        </row>
        <row r="59">
          <cell r="CE59">
            <v>31304.611347436905</v>
          </cell>
        </row>
        <row r="60">
          <cell r="CE60">
            <v>2832379.7643052936</v>
          </cell>
        </row>
        <row r="61">
          <cell r="CE61">
            <v>-1155845.0640639961</v>
          </cell>
        </row>
        <row r="62">
          <cell r="CE62">
            <v>-66705.862335999496</v>
          </cell>
        </row>
        <row r="63">
          <cell r="CE63">
            <v>-1069379.3629000038</v>
          </cell>
        </row>
        <row r="64">
          <cell r="CE64">
            <v>-93712.031648002565</v>
          </cell>
        </row>
        <row r="65">
          <cell r="CE65">
            <v>-417042.22510000318</v>
          </cell>
        </row>
        <row r="66">
          <cell r="CE66">
            <v>19120.684115998447</v>
          </cell>
        </row>
        <row r="67">
          <cell r="CE67">
            <v>95735.607260003686</v>
          </cell>
        </row>
        <row r="68">
          <cell r="CE68">
            <v>442489.53682560474</v>
          </cell>
        </row>
        <row r="69">
          <cell r="CE69">
            <v>130469.49879775941</v>
          </cell>
        </row>
        <row r="70">
          <cell r="CE70">
            <v>-322610.23519999906</v>
          </cell>
        </row>
        <row r="71">
          <cell r="CE71">
            <v>329542.08221952058</v>
          </cell>
        </row>
        <row r="72">
          <cell r="CE72">
            <v>223847.67849599943</v>
          </cell>
        </row>
        <row r="73">
          <cell r="CE73">
            <v>-100303.96110479534</v>
          </cell>
        </row>
        <row r="74">
          <cell r="CE74">
            <v>-102177.34090000018</v>
          </cell>
        </row>
        <row r="75">
          <cell r="CE75">
            <v>1145827.7291807979</v>
          </cell>
        </row>
        <row r="76">
          <cell r="CE76">
            <v>-188612.8903800007</v>
          </cell>
        </row>
        <row r="77">
          <cell r="CE77">
            <v>709634.62973344326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 State Summary"/>
      <sheetName val="Table 2 Distributions &amp; Adjust"/>
      <sheetName val="Table 2A EFTs"/>
      <sheetName val="Table 3 Levels 1&amp;2"/>
      <sheetName val="Table 4 Level 3"/>
      <sheetName val="Table 4A Stipends"/>
      <sheetName val="Table 5A1 Labs NOCCA LSMSA"/>
      <sheetName val="Table 5B1_RSD_Orleans"/>
      <sheetName val="Table 5B2_RSD_LA"/>
      <sheetName val="Table 5C1 - Type 2s"/>
      <sheetName val="Table 5C2 - LA Virtual Admy"/>
      <sheetName val="Table 5C3 - LA Connections EBR"/>
      <sheetName val="Table 5D - Legacy Type 2"/>
      <sheetName val="Table 5E_OJJ"/>
      <sheetName val="Table 6 (Local Deduct Calc.)"/>
      <sheetName val="Table 7 Local Revenue"/>
      <sheetName val="Table 8   2-1-10 Membership"/>
    </sheetNames>
    <sheetDataSet>
      <sheetData sheetId="0"/>
      <sheetData sheetId="1"/>
      <sheetData sheetId="2"/>
      <sheetData sheetId="3"/>
      <sheetData sheetId="4">
        <row r="6">
          <cell r="F6">
            <v>0</v>
          </cell>
          <cell r="H6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Summary of Simulation "/>
      <sheetName val="Table 1 State Summary "/>
      <sheetName val="Table 2_State Distrib and Adjs"/>
      <sheetName val="Table 2A-1_EFT (Annual)"/>
      <sheetName val="Table 2A-2 EFT (Monthly)"/>
      <sheetName val="Table 3 Levels 1&amp;2"/>
      <sheetName val="Table 3A-CityParish LEA "/>
      <sheetName val="Table 4 Level 3"/>
      <sheetName val="Table 4A Stipends"/>
      <sheetName val="Table 4B Rewards"/>
      <sheetName val="Table 5A1 Labs "/>
      <sheetName val="Table 5A2 LSMSA"/>
      <sheetName val="Table 5A3 NOCCA"/>
      <sheetName val="Table 5A4_LSDVI"/>
      <sheetName val="Table 5A5_SSD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2 - LA Virtual Admy"/>
      <sheetName val="Table 5C3 - LA Connections EBR"/>
      <sheetName val="Table 5D1 - New Vision"/>
      <sheetName val="Table 5D2 - Glencoe"/>
      <sheetName val="Table 5D3 - International"/>
      <sheetName val="Table 5D4 - Avoyelles"/>
      <sheetName val="Table 5D5 - Delhi"/>
      <sheetName val="Table 5D6 - Milestone"/>
      <sheetName val="Table 5D7 - Max"/>
      <sheetName val="Table 5D8 - Belle Chasse"/>
      <sheetName val="Table 5E_OJJ"/>
      <sheetName val="Table 5F Scholarships"/>
      <sheetName val="Table 6 (Local Deduct Calc.)"/>
      <sheetName val="Table 7 Local Revenue"/>
      <sheetName val="Table 8 2.1.12 MFP Funded"/>
      <sheetName val="2-1-12 MFP Funded by site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C8">
            <v>9351</v>
          </cell>
        </row>
      </sheetData>
      <sheetData sheetId="7"/>
      <sheetData sheetId="8">
        <row r="7">
          <cell r="F7">
            <v>0</v>
          </cell>
          <cell r="H7">
            <v>0</v>
          </cell>
        </row>
        <row r="8">
          <cell r="F8">
            <v>0</v>
          </cell>
          <cell r="H8">
            <v>0</v>
          </cell>
        </row>
        <row r="9">
          <cell r="F9">
            <v>0</v>
          </cell>
          <cell r="H9">
            <v>0</v>
          </cell>
        </row>
        <row r="10">
          <cell r="F10">
            <v>0</v>
          </cell>
          <cell r="H10">
            <v>0</v>
          </cell>
        </row>
        <row r="11">
          <cell r="F11">
            <v>0</v>
          </cell>
          <cell r="H11">
            <v>0</v>
          </cell>
        </row>
        <row r="12">
          <cell r="F12">
            <v>0</v>
          </cell>
          <cell r="H12">
            <v>0</v>
          </cell>
        </row>
        <row r="13">
          <cell r="F13">
            <v>0</v>
          </cell>
          <cell r="H13">
            <v>0</v>
          </cell>
        </row>
        <row r="14">
          <cell r="F14">
            <v>0</v>
          </cell>
          <cell r="H14">
            <v>0</v>
          </cell>
        </row>
        <row r="15">
          <cell r="F15">
            <v>0</v>
          </cell>
          <cell r="H15">
            <v>0</v>
          </cell>
        </row>
        <row r="16">
          <cell r="F16">
            <v>0</v>
          </cell>
          <cell r="H16">
            <v>0</v>
          </cell>
        </row>
        <row r="17">
          <cell r="F17">
            <v>0</v>
          </cell>
          <cell r="H17">
            <v>0</v>
          </cell>
        </row>
        <row r="18">
          <cell r="F18">
            <v>0</v>
          </cell>
          <cell r="H18">
            <v>0</v>
          </cell>
        </row>
        <row r="19">
          <cell r="F19">
            <v>0</v>
          </cell>
          <cell r="H19">
            <v>0</v>
          </cell>
        </row>
        <row r="20">
          <cell r="F20">
            <v>-112210</v>
          </cell>
          <cell r="H20">
            <v>-22442</v>
          </cell>
        </row>
        <row r="21">
          <cell r="F21">
            <v>0</v>
          </cell>
          <cell r="H21">
            <v>0</v>
          </cell>
        </row>
        <row r="22">
          <cell r="F22">
            <v>-6007410</v>
          </cell>
          <cell r="H22">
            <v>-1201482</v>
          </cell>
        </row>
        <row r="23">
          <cell r="F23">
            <v>0</v>
          </cell>
          <cell r="H23">
            <v>0</v>
          </cell>
        </row>
        <row r="24">
          <cell r="F24">
            <v>0</v>
          </cell>
          <cell r="H24">
            <v>0</v>
          </cell>
        </row>
        <row r="25">
          <cell r="F25">
            <v>-87810</v>
          </cell>
          <cell r="H25">
            <v>-17562</v>
          </cell>
        </row>
        <row r="26">
          <cell r="F26">
            <v>0</v>
          </cell>
          <cell r="H26">
            <v>0</v>
          </cell>
        </row>
        <row r="27">
          <cell r="F27">
            <v>0</v>
          </cell>
          <cell r="H27">
            <v>0</v>
          </cell>
        </row>
        <row r="28">
          <cell r="F28">
            <v>0</v>
          </cell>
          <cell r="H28">
            <v>0</v>
          </cell>
        </row>
        <row r="29">
          <cell r="F29">
            <v>-383602</v>
          </cell>
          <cell r="H29">
            <v>-76720</v>
          </cell>
        </row>
        <row r="30">
          <cell r="F30">
            <v>0</v>
          </cell>
          <cell r="H30">
            <v>0</v>
          </cell>
        </row>
        <row r="31">
          <cell r="F31">
            <v>-4244622</v>
          </cell>
          <cell r="H31">
            <v>-848924</v>
          </cell>
        </row>
        <row r="32">
          <cell r="F32">
            <v>0</v>
          </cell>
          <cell r="H32">
            <v>0</v>
          </cell>
        </row>
        <row r="33">
          <cell r="F33">
            <v>0</v>
          </cell>
          <cell r="H33">
            <v>0</v>
          </cell>
        </row>
        <row r="34">
          <cell r="F34">
            <v>0</v>
          </cell>
          <cell r="H34">
            <v>0</v>
          </cell>
        </row>
        <row r="35">
          <cell r="F35">
            <v>0</v>
          </cell>
          <cell r="H35">
            <v>0</v>
          </cell>
        </row>
        <row r="36">
          <cell r="F36">
            <v>0</v>
          </cell>
          <cell r="H36">
            <v>0</v>
          </cell>
        </row>
        <row r="37">
          <cell r="F37">
            <v>0</v>
          </cell>
          <cell r="H37">
            <v>0</v>
          </cell>
        </row>
        <row r="38">
          <cell r="F38">
            <v>0</v>
          </cell>
          <cell r="H38">
            <v>0</v>
          </cell>
        </row>
        <row r="39">
          <cell r="F39">
            <v>0</v>
          </cell>
          <cell r="H39">
            <v>0</v>
          </cell>
        </row>
        <row r="40">
          <cell r="F40">
            <v>0</v>
          </cell>
          <cell r="H40">
            <v>0</v>
          </cell>
        </row>
        <row r="41">
          <cell r="F41">
            <v>0</v>
          </cell>
          <cell r="H41">
            <v>0</v>
          </cell>
        </row>
        <row r="42">
          <cell r="F42">
            <v>0</v>
          </cell>
          <cell r="H42">
            <v>0</v>
          </cell>
        </row>
        <row r="43">
          <cell r="F43">
            <v>-2064840</v>
          </cell>
          <cell r="H43">
            <v>-412968</v>
          </cell>
        </row>
        <row r="44">
          <cell r="F44">
            <v>0</v>
          </cell>
          <cell r="H44">
            <v>0</v>
          </cell>
        </row>
        <row r="45">
          <cell r="F45">
            <v>0</v>
          </cell>
          <cell r="H45">
            <v>0</v>
          </cell>
        </row>
        <row r="46">
          <cell r="F46">
            <v>0</v>
          </cell>
          <cell r="H46">
            <v>0</v>
          </cell>
        </row>
        <row r="47">
          <cell r="F47">
            <v>0</v>
          </cell>
          <cell r="H47">
            <v>0</v>
          </cell>
        </row>
        <row r="48">
          <cell r="F48">
            <v>0</v>
          </cell>
          <cell r="H48">
            <v>0</v>
          </cell>
        </row>
        <row r="49">
          <cell r="F49">
            <v>0</v>
          </cell>
          <cell r="H49">
            <v>0</v>
          </cell>
        </row>
        <row r="50">
          <cell r="F50">
            <v>-3947911</v>
          </cell>
          <cell r="H50">
            <v>-537733</v>
          </cell>
        </row>
        <row r="51">
          <cell r="F51">
            <v>0</v>
          </cell>
          <cell r="H51">
            <v>0</v>
          </cell>
        </row>
        <row r="52">
          <cell r="F52">
            <v>-395225</v>
          </cell>
          <cell r="H52">
            <v>-79045</v>
          </cell>
        </row>
        <row r="53">
          <cell r="F53">
            <v>0</v>
          </cell>
          <cell r="H53">
            <v>0</v>
          </cell>
        </row>
        <row r="54">
          <cell r="F54">
            <v>0</v>
          </cell>
          <cell r="H54">
            <v>0</v>
          </cell>
        </row>
        <row r="55">
          <cell r="F55">
            <v>0</v>
          </cell>
          <cell r="H55">
            <v>0</v>
          </cell>
        </row>
        <row r="56">
          <cell r="F56">
            <v>0</v>
          </cell>
          <cell r="H56">
            <v>0</v>
          </cell>
        </row>
        <row r="57">
          <cell r="F57">
            <v>0</v>
          </cell>
          <cell r="H57">
            <v>0</v>
          </cell>
        </row>
        <row r="58">
          <cell r="F58">
            <v>0</v>
          </cell>
          <cell r="H58">
            <v>0</v>
          </cell>
        </row>
        <row r="59">
          <cell r="F59">
            <v>0</v>
          </cell>
          <cell r="H59">
            <v>0</v>
          </cell>
        </row>
        <row r="60">
          <cell r="F60">
            <v>0</v>
          </cell>
          <cell r="H60">
            <v>0</v>
          </cell>
        </row>
        <row r="61">
          <cell r="F61">
            <v>0</v>
          </cell>
          <cell r="H61">
            <v>0</v>
          </cell>
        </row>
        <row r="62">
          <cell r="F62">
            <v>0</v>
          </cell>
          <cell r="H62">
            <v>0</v>
          </cell>
        </row>
        <row r="63">
          <cell r="F63">
            <v>0</v>
          </cell>
          <cell r="H63">
            <v>0</v>
          </cell>
        </row>
        <row r="64">
          <cell r="F64">
            <v>0</v>
          </cell>
          <cell r="H64">
            <v>0</v>
          </cell>
        </row>
        <row r="65">
          <cell r="F65">
            <v>0</v>
          </cell>
          <cell r="H65">
            <v>0</v>
          </cell>
        </row>
        <row r="66">
          <cell r="F66">
            <v>0</v>
          </cell>
          <cell r="H66">
            <v>0</v>
          </cell>
        </row>
        <row r="67">
          <cell r="F67">
            <v>0</v>
          </cell>
          <cell r="H67">
            <v>0</v>
          </cell>
        </row>
        <row r="68">
          <cell r="F68">
            <v>-2614100</v>
          </cell>
          <cell r="H68">
            <v>-522820</v>
          </cell>
        </row>
        <row r="69">
          <cell r="F69">
            <v>0</v>
          </cell>
          <cell r="H69">
            <v>0</v>
          </cell>
        </row>
        <row r="70">
          <cell r="F70">
            <v>0</v>
          </cell>
          <cell r="H70">
            <v>0</v>
          </cell>
        </row>
        <row r="71">
          <cell r="F71">
            <v>0</v>
          </cell>
          <cell r="H71">
            <v>0</v>
          </cell>
        </row>
        <row r="72">
          <cell r="F72">
            <v>0</v>
          </cell>
          <cell r="H72">
            <v>0</v>
          </cell>
        </row>
        <row r="73">
          <cell r="F73">
            <v>0</v>
          </cell>
          <cell r="H73">
            <v>0</v>
          </cell>
        </row>
        <row r="74">
          <cell r="F74">
            <v>0</v>
          </cell>
          <cell r="H74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4A Stipends"/>
    </sheetNames>
    <sheetDataSet>
      <sheetData sheetId="0">
        <row r="4">
          <cell r="C4">
            <v>0</v>
          </cell>
          <cell r="E4">
            <v>0</v>
          </cell>
        </row>
        <row r="5">
          <cell r="C5">
            <v>0</v>
          </cell>
          <cell r="E5">
            <v>0</v>
          </cell>
        </row>
        <row r="6">
          <cell r="C6">
            <v>0</v>
          </cell>
          <cell r="E6">
            <v>0</v>
          </cell>
        </row>
        <row r="7">
          <cell r="C7">
            <v>3</v>
          </cell>
          <cell r="E7">
            <v>0</v>
          </cell>
        </row>
        <row r="8">
          <cell r="C8">
            <v>0</v>
          </cell>
          <cell r="E8">
            <v>0</v>
          </cell>
        </row>
        <row r="9">
          <cell r="C9">
            <v>0</v>
          </cell>
          <cell r="E9">
            <v>0</v>
          </cell>
        </row>
        <row r="10">
          <cell r="C10">
            <v>0</v>
          </cell>
          <cell r="E10">
            <v>0</v>
          </cell>
        </row>
        <row r="11">
          <cell r="C11">
            <v>2</v>
          </cell>
          <cell r="E11">
            <v>0</v>
          </cell>
        </row>
        <row r="12">
          <cell r="C12">
            <v>2</v>
          </cell>
          <cell r="E12">
            <v>2</v>
          </cell>
        </row>
        <row r="13">
          <cell r="C13">
            <v>11</v>
          </cell>
          <cell r="E13">
            <v>8</v>
          </cell>
        </row>
        <row r="14">
          <cell r="C14">
            <v>0</v>
          </cell>
          <cell r="E14">
            <v>0</v>
          </cell>
        </row>
        <row r="15">
          <cell r="C15">
            <v>0</v>
          </cell>
          <cell r="E15">
            <v>0</v>
          </cell>
        </row>
        <row r="16">
          <cell r="C16">
            <v>0</v>
          </cell>
          <cell r="E16">
            <v>0</v>
          </cell>
        </row>
        <row r="17">
          <cell r="C17">
            <v>0</v>
          </cell>
          <cell r="E17">
            <v>0</v>
          </cell>
        </row>
        <row r="18">
          <cell r="C18">
            <v>1</v>
          </cell>
          <cell r="E18">
            <v>0</v>
          </cell>
        </row>
        <row r="19">
          <cell r="C19">
            <v>0</v>
          </cell>
          <cell r="E19">
            <v>0</v>
          </cell>
        </row>
        <row r="20">
          <cell r="C20">
            <v>2</v>
          </cell>
          <cell r="E20">
            <v>8</v>
          </cell>
        </row>
        <row r="21">
          <cell r="C21">
            <v>0</v>
          </cell>
          <cell r="E21">
            <v>0</v>
          </cell>
        </row>
        <row r="22">
          <cell r="C22">
            <v>0</v>
          </cell>
          <cell r="E22">
            <v>0</v>
          </cell>
        </row>
        <row r="23">
          <cell r="C23">
            <v>0</v>
          </cell>
          <cell r="E23">
            <v>0</v>
          </cell>
        </row>
        <row r="24">
          <cell r="C24">
            <v>0</v>
          </cell>
          <cell r="E24">
            <v>0</v>
          </cell>
        </row>
        <row r="25">
          <cell r="C25">
            <v>0</v>
          </cell>
          <cell r="E25">
            <v>0</v>
          </cell>
        </row>
        <row r="26">
          <cell r="C26">
            <v>3</v>
          </cell>
          <cell r="E26">
            <v>4</v>
          </cell>
        </row>
        <row r="27">
          <cell r="C27">
            <v>0</v>
          </cell>
          <cell r="E27">
            <v>0</v>
          </cell>
        </row>
        <row r="28">
          <cell r="C28">
            <v>0</v>
          </cell>
          <cell r="E28">
            <v>0</v>
          </cell>
        </row>
        <row r="29">
          <cell r="C29">
            <v>0</v>
          </cell>
          <cell r="E29">
            <v>0</v>
          </cell>
        </row>
        <row r="30">
          <cell r="C30">
            <v>0</v>
          </cell>
          <cell r="E30">
            <v>0</v>
          </cell>
        </row>
        <row r="31">
          <cell r="C31">
            <v>11</v>
          </cell>
          <cell r="E31">
            <v>8</v>
          </cell>
        </row>
        <row r="32">
          <cell r="C32">
            <v>2</v>
          </cell>
          <cell r="E32">
            <v>3</v>
          </cell>
        </row>
        <row r="33">
          <cell r="C33">
            <v>0</v>
          </cell>
          <cell r="E33">
            <v>0</v>
          </cell>
        </row>
        <row r="34">
          <cell r="C34">
            <v>0</v>
          </cell>
          <cell r="E34">
            <v>0</v>
          </cell>
        </row>
        <row r="35">
          <cell r="C35">
            <v>0</v>
          </cell>
          <cell r="E35">
            <v>0</v>
          </cell>
        </row>
        <row r="36">
          <cell r="C36">
            <v>0</v>
          </cell>
          <cell r="E36">
            <v>1</v>
          </cell>
        </row>
        <row r="37">
          <cell r="C37">
            <v>0</v>
          </cell>
          <cell r="E37">
            <v>0</v>
          </cell>
        </row>
        <row r="38">
          <cell r="C38">
            <v>0</v>
          </cell>
          <cell r="E38">
            <v>0</v>
          </cell>
        </row>
        <row r="39">
          <cell r="C39">
            <v>1</v>
          </cell>
          <cell r="E39">
            <v>14</v>
          </cell>
        </row>
        <row r="40">
          <cell r="C40">
            <v>0</v>
          </cell>
          <cell r="E40">
            <v>0</v>
          </cell>
        </row>
        <row r="41">
          <cell r="C41">
            <v>0</v>
          </cell>
          <cell r="E41">
            <v>2</v>
          </cell>
        </row>
        <row r="42">
          <cell r="C42">
            <v>0</v>
          </cell>
          <cell r="E42">
            <v>0</v>
          </cell>
        </row>
        <row r="43">
          <cell r="C43">
            <v>0</v>
          </cell>
          <cell r="E43">
            <v>0</v>
          </cell>
        </row>
        <row r="44">
          <cell r="C44">
            <v>0</v>
          </cell>
          <cell r="E44">
            <v>0</v>
          </cell>
        </row>
        <row r="45">
          <cell r="C45">
            <v>0</v>
          </cell>
          <cell r="E45">
            <v>0</v>
          </cell>
        </row>
        <row r="46">
          <cell r="C46">
            <v>0</v>
          </cell>
          <cell r="E46">
            <v>0</v>
          </cell>
        </row>
        <row r="47">
          <cell r="C47">
            <v>0</v>
          </cell>
          <cell r="E47">
            <v>0</v>
          </cell>
        </row>
        <row r="48">
          <cell r="C48">
            <v>0</v>
          </cell>
          <cell r="E48">
            <v>0</v>
          </cell>
        </row>
        <row r="49">
          <cell r="C49">
            <v>0</v>
          </cell>
          <cell r="E49">
            <v>0</v>
          </cell>
        </row>
        <row r="50">
          <cell r="C50">
            <v>0</v>
          </cell>
          <cell r="E50">
            <v>0</v>
          </cell>
        </row>
        <row r="51">
          <cell r="C51">
            <v>0</v>
          </cell>
          <cell r="E51">
            <v>0</v>
          </cell>
        </row>
        <row r="52">
          <cell r="C52">
            <v>0</v>
          </cell>
          <cell r="E52">
            <v>0</v>
          </cell>
        </row>
        <row r="53">
          <cell r="C53">
            <v>2</v>
          </cell>
          <cell r="E53">
            <v>4</v>
          </cell>
        </row>
        <row r="54">
          <cell r="C54">
            <v>0</v>
          </cell>
          <cell r="E54">
            <v>0</v>
          </cell>
        </row>
        <row r="55">
          <cell r="C55">
            <v>0</v>
          </cell>
          <cell r="E55">
            <v>0</v>
          </cell>
        </row>
        <row r="56">
          <cell r="C56">
            <v>0</v>
          </cell>
          <cell r="E56">
            <v>2</v>
          </cell>
        </row>
        <row r="57">
          <cell r="C57">
            <v>0</v>
          </cell>
          <cell r="E57">
            <v>0</v>
          </cell>
        </row>
        <row r="58">
          <cell r="C58">
            <v>0</v>
          </cell>
          <cell r="E58">
            <v>0</v>
          </cell>
        </row>
        <row r="59">
          <cell r="C59">
            <v>0</v>
          </cell>
          <cell r="E59">
            <v>0</v>
          </cell>
        </row>
        <row r="60">
          <cell r="C60">
            <v>0</v>
          </cell>
          <cell r="E60">
            <v>0</v>
          </cell>
        </row>
        <row r="61">
          <cell r="C61">
            <v>0</v>
          </cell>
          <cell r="E61">
            <v>0</v>
          </cell>
        </row>
        <row r="62">
          <cell r="C62">
            <v>0</v>
          </cell>
          <cell r="E62">
            <v>0</v>
          </cell>
        </row>
        <row r="63">
          <cell r="C63">
            <v>0</v>
          </cell>
          <cell r="E63">
            <v>0</v>
          </cell>
        </row>
        <row r="64">
          <cell r="C64">
            <v>0</v>
          </cell>
          <cell r="E64">
            <v>0</v>
          </cell>
        </row>
        <row r="65">
          <cell r="C65">
            <v>0</v>
          </cell>
          <cell r="E65">
            <v>0</v>
          </cell>
        </row>
        <row r="66">
          <cell r="C66">
            <v>0</v>
          </cell>
          <cell r="E66">
            <v>0</v>
          </cell>
        </row>
        <row r="67">
          <cell r="C67">
            <v>0</v>
          </cell>
          <cell r="E67">
            <v>0</v>
          </cell>
        </row>
        <row r="68">
          <cell r="C68">
            <v>0</v>
          </cell>
          <cell r="E68">
            <v>0</v>
          </cell>
        </row>
        <row r="69">
          <cell r="C69">
            <v>0</v>
          </cell>
          <cell r="E69">
            <v>0</v>
          </cell>
        </row>
        <row r="70">
          <cell r="C70">
            <v>0</v>
          </cell>
          <cell r="E70">
            <v>0</v>
          </cell>
        </row>
        <row r="71">
          <cell r="C71">
            <v>0</v>
          </cell>
          <cell r="E71">
            <v>0</v>
          </cell>
        </row>
        <row r="72">
          <cell r="C72">
            <v>0</v>
          </cell>
          <cell r="E72">
            <v>0</v>
          </cell>
        </row>
        <row r="74">
          <cell r="C74">
            <v>6</v>
          </cell>
          <cell r="E74">
            <v>15</v>
          </cell>
        </row>
        <row r="75">
          <cell r="C75">
            <v>12</v>
          </cell>
          <cell r="E75">
            <v>6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Summary of Simulation 1"/>
      <sheetName val="Table 1 State Summary"/>
      <sheetName val="Table 2 Distributions &amp; Adjust"/>
      <sheetName val="Table 3 Levels 1&amp;2"/>
      <sheetName val="Table 4 Level 3"/>
      <sheetName val="Table 4A Stipends"/>
      <sheetName val="Table 5A Lab Schools"/>
      <sheetName val="Table 5B1_RSD_Orleans"/>
      <sheetName val="Table 5B2_RSD_LA"/>
      <sheetName val="Table 5C_Type 2"/>
      <sheetName val="Table 6 (Local Deduct Calc.)"/>
      <sheetName val="Table 7 Local Revenue"/>
      <sheetName val="Table 8 Membership, 2.1.09"/>
      <sheetName val="Table 3A Cert Pay Req"/>
    </sheetNames>
    <sheetDataSet>
      <sheetData sheetId="0"/>
      <sheetData sheetId="1"/>
      <sheetData sheetId="2"/>
      <sheetData sheetId="3"/>
      <sheetData sheetId="4" refreshError="1"/>
      <sheetData sheetId="5" refreshError="1">
        <row r="6">
          <cell r="C6">
            <v>364.58000000000004</v>
          </cell>
        </row>
        <row r="75">
          <cell r="C75">
            <v>303.87</v>
          </cell>
        </row>
      </sheetData>
      <sheetData sheetId="6"/>
      <sheetData sheetId="7" refreshError="1">
        <row r="8">
          <cell r="B8">
            <v>1344</v>
          </cell>
          <cell r="G8">
            <v>196</v>
          </cell>
          <cell r="K8">
            <v>23</v>
          </cell>
        </row>
        <row r="9">
          <cell r="G9">
            <v>217</v>
          </cell>
          <cell r="K9">
            <v>59</v>
          </cell>
        </row>
        <row r="17">
          <cell r="D17">
            <v>83.101858736059484</v>
          </cell>
        </row>
        <row r="18">
          <cell r="D18">
            <v>120.02832861189802</v>
          </cell>
        </row>
      </sheetData>
      <sheetData sheetId="8">
        <row r="6">
          <cell r="C6">
            <v>9827</v>
          </cell>
        </row>
      </sheetData>
      <sheetData sheetId="9" refreshError="1"/>
      <sheetData sheetId="10" refreshError="1"/>
      <sheetData sheetId="11"/>
      <sheetData sheetId="12" refreshError="1"/>
      <sheetData sheetId="13"/>
      <sheetData sheetId="1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FY2012-13 Final"/>
      <sheetName val="Detail Calculation exclude debt"/>
      <sheetName val="Detail Calculation for debt"/>
      <sheetName val="Detail"/>
      <sheetName val="10-1-12"/>
      <sheetName val="2.1.12 SIS"/>
      <sheetName val="AFR Revenues"/>
      <sheetName val="AFR Expenditures"/>
    </sheetNames>
    <sheetDataSet>
      <sheetData sheetId="0"/>
      <sheetData sheetId="1">
        <row r="8">
          <cell r="D8">
            <v>2039</v>
          </cell>
          <cell r="K8">
            <v>2112</v>
          </cell>
        </row>
        <row r="9">
          <cell r="D9">
            <v>2280</v>
          </cell>
          <cell r="K9">
            <v>2584</v>
          </cell>
        </row>
        <row r="10">
          <cell r="D10">
            <v>4274</v>
          </cell>
          <cell r="K10">
            <v>4966</v>
          </cell>
        </row>
        <row r="11">
          <cell r="D11">
            <v>3445</v>
          </cell>
          <cell r="K11">
            <v>3445</v>
          </cell>
        </row>
        <row r="12">
          <cell r="D12">
            <v>1353</v>
          </cell>
          <cell r="K12">
            <v>1353</v>
          </cell>
        </row>
        <row r="13">
          <cell r="D13">
            <v>2970</v>
          </cell>
          <cell r="K13">
            <v>3576</v>
          </cell>
        </row>
        <row r="14">
          <cell r="D14">
            <v>11770</v>
          </cell>
          <cell r="K14">
            <v>12465</v>
          </cell>
        </row>
        <row r="15">
          <cell r="D15">
            <v>3646</v>
          </cell>
          <cell r="K15">
            <v>4184</v>
          </cell>
        </row>
        <row r="16">
          <cell r="D16">
            <v>3933</v>
          </cell>
          <cell r="K16">
            <v>4640</v>
          </cell>
        </row>
        <row r="17">
          <cell r="D17">
            <v>3670</v>
          </cell>
          <cell r="K17">
            <v>4391</v>
          </cell>
        </row>
        <row r="18">
          <cell r="D18">
            <v>2476</v>
          </cell>
          <cell r="K18">
            <v>3430</v>
          </cell>
        </row>
        <row r="19">
          <cell r="D19">
            <v>11921</v>
          </cell>
          <cell r="K19">
            <v>12558</v>
          </cell>
        </row>
        <row r="20">
          <cell r="D20">
            <v>2408</v>
          </cell>
          <cell r="K20">
            <v>2536</v>
          </cell>
        </row>
        <row r="21">
          <cell r="D21">
            <v>3329</v>
          </cell>
          <cell r="K21">
            <v>3888</v>
          </cell>
        </row>
        <row r="22">
          <cell r="D22">
            <v>2752</v>
          </cell>
          <cell r="K22">
            <v>2752</v>
          </cell>
        </row>
        <row r="23">
          <cell r="D23">
            <v>13791</v>
          </cell>
          <cell r="K23">
            <v>15092</v>
          </cell>
        </row>
        <row r="24">
          <cell r="D24">
            <v>5688</v>
          </cell>
          <cell r="K24">
            <v>6551</v>
          </cell>
        </row>
        <row r="25">
          <cell r="D25">
            <v>2165</v>
          </cell>
          <cell r="K25">
            <v>2165</v>
          </cell>
        </row>
        <row r="26">
          <cell r="D26">
            <v>2729</v>
          </cell>
          <cell r="K26">
            <v>2729</v>
          </cell>
        </row>
        <row r="27">
          <cell r="D27">
            <v>2263</v>
          </cell>
          <cell r="K27">
            <v>2334</v>
          </cell>
        </row>
        <row r="28">
          <cell r="D28">
            <v>1517</v>
          </cell>
          <cell r="K28">
            <v>2233</v>
          </cell>
        </row>
        <row r="29">
          <cell r="D29">
            <v>769</v>
          </cell>
          <cell r="K29">
            <v>1410</v>
          </cell>
        </row>
        <row r="30">
          <cell r="D30">
            <v>2496</v>
          </cell>
          <cell r="K30">
            <v>3258</v>
          </cell>
        </row>
        <row r="31">
          <cell r="D31">
            <v>8616</v>
          </cell>
          <cell r="K31">
            <v>9280</v>
          </cell>
        </row>
        <row r="32">
          <cell r="D32">
            <v>5191</v>
          </cell>
          <cell r="K32">
            <v>5351</v>
          </cell>
        </row>
        <row r="33">
          <cell r="D33">
            <v>4507</v>
          </cell>
          <cell r="K33">
            <v>5100</v>
          </cell>
        </row>
        <row r="34">
          <cell r="D34">
            <v>2508</v>
          </cell>
          <cell r="K34">
            <v>3091</v>
          </cell>
        </row>
        <row r="35">
          <cell r="D35">
            <v>4718</v>
          </cell>
          <cell r="K35">
            <v>5323</v>
          </cell>
        </row>
        <row r="36">
          <cell r="D36">
            <v>3510</v>
          </cell>
          <cell r="K36">
            <v>4388</v>
          </cell>
        </row>
        <row r="37">
          <cell r="D37">
            <v>2748</v>
          </cell>
          <cell r="K37">
            <v>3702</v>
          </cell>
        </row>
        <row r="38">
          <cell r="D38">
            <v>4123</v>
          </cell>
          <cell r="K38">
            <v>4669</v>
          </cell>
        </row>
        <row r="39">
          <cell r="D39">
            <v>1628</v>
          </cell>
          <cell r="K39">
            <v>1965</v>
          </cell>
        </row>
        <row r="40">
          <cell r="D40">
            <v>1465</v>
          </cell>
          <cell r="K40">
            <v>2771</v>
          </cell>
        </row>
        <row r="41">
          <cell r="D41">
            <v>2315</v>
          </cell>
          <cell r="K41">
            <v>2758</v>
          </cell>
        </row>
        <row r="42">
          <cell r="D42">
            <v>3206</v>
          </cell>
          <cell r="K42">
            <v>3603</v>
          </cell>
        </row>
        <row r="43">
          <cell r="D43">
            <v>3929</v>
          </cell>
          <cell r="K43">
            <v>4601</v>
          </cell>
        </row>
        <row r="44">
          <cell r="D44">
            <v>2795</v>
          </cell>
          <cell r="K44">
            <v>3099</v>
          </cell>
        </row>
        <row r="45">
          <cell r="D45">
            <v>9674</v>
          </cell>
          <cell r="K45">
            <v>9674</v>
          </cell>
        </row>
        <row r="46">
          <cell r="D46">
            <v>4145</v>
          </cell>
          <cell r="K46">
            <v>4277</v>
          </cell>
        </row>
        <row r="47">
          <cell r="D47">
            <v>2558</v>
          </cell>
          <cell r="K47">
            <v>2921</v>
          </cell>
        </row>
        <row r="48">
          <cell r="D48">
            <v>11442</v>
          </cell>
          <cell r="K48">
            <v>12026</v>
          </cell>
        </row>
        <row r="49">
          <cell r="D49">
            <v>2229</v>
          </cell>
          <cell r="K49">
            <v>2554</v>
          </cell>
        </row>
        <row r="50">
          <cell r="D50">
            <v>4649</v>
          </cell>
          <cell r="K50">
            <v>5265</v>
          </cell>
        </row>
        <row r="51">
          <cell r="D51">
            <v>3660</v>
          </cell>
          <cell r="K51">
            <v>4109</v>
          </cell>
        </row>
        <row r="52">
          <cell r="D52">
            <v>11141</v>
          </cell>
          <cell r="K52">
            <v>12427</v>
          </cell>
        </row>
        <row r="53">
          <cell r="D53">
            <v>1098</v>
          </cell>
          <cell r="K53">
            <v>1968</v>
          </cell>
        </row>
        <row r="54">
          <cell r="D54">
            <v>8954</v>
          </cell>
          <cell r="K54">
            <v>10049</v>
          </cell>
        </row>
        <row r="55">
          <cell r="D55">
            <v>4645</v>
          </cell>
          <cell r="K55">
            <v>5755</v>
          </cell>
        </row>
        <row r="56">
          <cell r="D56">
            <v>2335</v>
          </cell>
          <cell r="K56">
            <v>2335</v>
          </cell>
        </row>
        <row r="57">
          <cell r="D57">
            <v>2131</v>
          </cell>
          <cell r="K57">
            <v>2801</v>
          </cell>
        </row>
        <row r="58">
          <cell r="D58">
            <v>3850</v>
          </cell>
          <cell r="K58">
            <v>4053</v>
          </cell>
        </row>
        <row r="59">
          <cell r="D59">
            <v>4041</v>
          </cell>
          <cell r="K59">
            <v>4886</v>
          </cell>
        </row>
        <row r="60">
          <cell r="D60">
            <v>1422</v>
          </cell>
          <cell r="K60">
            <v>1929</v>
          </cell>
        </row>
        <row r="61">
          <cell r="D61">
            <v>3382</v>
          </cell>
          <cell r="K61">
            <v>3382</v>
          </cell>
        </row>
        <row r="62">
          <cell r="D62">
            <v>3127</v>
          </cell>
          <cell r="K62">
            <v>3127</v>
          </cell>
        </row>
        <row r="63">
          <cell r="D63">
            <v>2768</v>
          </cell>
          <cell r="K63">
            <v>2768</v>
          </cell>
        </row>
        <row r="64">
          <cell r="D64">
            <v>2987</v>
          </cell>
          <cell r="K64">
            <v>2987</v>
          </cell>
        </row>
        <row r="65">
          <cell r="D65">
            <v>1657</v>
          </cell>
          <cell r="K65">
            <v>2055</v>
          </cell>
        </row>
        <row r="66">
          <cell r="D66">
            <v>1105</v>
          </cell>
          <cell r="K66">
            <v>1528</v>
          </cell>
        </row>
        <row r="67">
          <cell r="D67">
            <v>2808</v>
          </cell>
          <cell r="K67">
            <v>3918</v>
          </cell>
        </row>
        <row r="68">
          <cell r="D68">
            <v>6300</v>
          </cell>
          <cell r="K68">
            <v>6680</v>
          </cell>
        </row>
        <row r="69">
          <cell r="D69">
            <v>1754</v>
          </cell>
          <cell r="K69">
            <v>1754</v>
          </cell>
        </row>
        <row r="70">
          <cell r="D70">
            <v>6670</v>
          </cell>
          <cell r="K70">
            <v>7182</v>
          </cell>
        </row>
        <row r="71">
          <cell r="D71">
            <v>2130</v>
          </cell>
          <cell r="K71">
            <v>2701</v>
          </cell>
        </row>
        <row r="72">
          <cell r="D72">
            <v>4144</v>
          </cell>
          <cell r="K72">
            <v>4813</v>
          </cell>
        </row>
        <row r="73">
          <cell r="D73">
            <v>3516</v>
          </cell>
          <cell r="K73">
            <v>3516</v>
          </cell>
        </row>
        <row r="74">
          <cell r="D74">
            <v>3737</v>
          </cell>
          <cell r="K74">
            <v>5052</v>
          </cell>
        </row>
        <row r="75">
          <cell r="D75">
            <v>2763</v>
          </cell>
          <cell r="K75">
            <v>2763</v>
          </cell>
        </row>
        <row r="76">
          <cell r="D76">
            <v>2397</v>
          </cell>
          <cell r="K76">
            <v>3327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D-NO by Site"/>
    </sheetNames>
    <sheetDataSet>
      <sheetData sheetId="0">
        <row r="5">
          <cell r="D5">
            <v>398</v>
          </cell>
        </row>
        <row r="6">
          <cell r="D6">
            <v>456</v>
          </cell>
        </row>
        <row r="7">
          <cell r="D7">
            <v>658</v>
          </cell>
        </row>
        <row r="8">
          <cell r="D8">
            <v>412</v>
          </cell>
        </row>
        <row r="9">
          <cell r="D9">
            <v>156</v>
          </cell>
        </row>
        <row r="10">
          <cell r="D10">
            <v>163</v>
          </cell>
        </row>
        <row r="11">
          <cell r="D11">
            <v>377</v>
          </cell>
        </row>
        <row r="12">
          <cell r="D12">
            <v>530</v>
          </cell>
        </row>
        <row r="13">
          <cell r="D13">
            <v>523</v>
          </cell>
        </row>
        <row r="14">
          <cell r="D14">
            <v>121</v>
          </cell>
        </row>
        <row r="15">
          <cell r="D15">
            <v>393</v>
          </cell>
        </row>
        <row r="16">
          <cell r="D16">
            <v>262</v>
          </cell>
        </row>
        <row r="17">
          <cell r="D17">
            <v>636</v>
          </cell>
        </row>
        <row r="18">
          <cell r="D18">
            <v>655</v>
          </cell>
        </row>
        <row r="19">
          <cell r="D19">
            <v>639</v>
          </cell>
        </row>
        <row r="20">
          <cell r="D20">
            <v>188</v>
          </cell>
        </row>
        <row r="21">
          <cell r="D21">
            <v>180</v>
          </cell>
        </row>
        <row r="23">
          <cell r="D23">
            <v>399</v>
          </cell>
        </row>
        <row r="24">
          <cell r="D24">
            <v>402</v>
          </cell>
        </row>
        <row r="29">
          <cell r="D29">
            <v>381</v>
          </cell>
        </row>
        <row r="30">
          <cell r="D30">
            <v>401</v>
          </cell>
        </row>
        <row r="31">
          <cell r="D31">
            <v>105</v>
          </cell>
        </row>
        <row r="32">
          <cell r="D32">
            <v>100</v>
          </cell>
        </row>
        <row r="33">
          <cell r="D33">
            <v>400</v>
          </cell>
        </row>
        <row r="34">
          <cell r="D34">
            <v>352</v>
          </cell>
        </row>
        <row r="35">
          <cell r="D35">
            <v>493</v>
          </cell>
        </row>
        <row r="36">
          <cell r="D36">
            <v>608</v>
          </cell>
        </row>
        <row r="37">
          <cell r="D37">
            <v>596</v>
          </cell>
        </row>
        <row r="38">
          <cell r="D38">
            <v>694</v>
          </cell>
        </row>
        <row r="39">
          <cell r="D39">
            <v>347</v>
          </cell>
        </row>
        <row r="40">
          <cell r="D40">
            <v>425</v>
          </cell>
        </row>
        <row r="41">
          <cell r="D41">
            <v>886</v>
          </cell>
        </row>
        <row r="42">
          <cell r="D42">
            <v>466</v>
          </cell>
        </row>
        <row r="43">
          <cell r="D43">
            <v>444</v>
          </cell>
        </row>
        <row r="44">
          <cell r="D44">
            <v>673</v>
          </cell>
        </row>
        <row r="45">
          <cell r="D45">
            <v>606</v>
          </cell>
        </row>
        <row r="46">
          <cell r="D46">
            <v>634</v>
          </cell>
        </row>
        <row r="47">
          <cell r="D47">
            <v>475</v>
          </cell>
        </row>
        <row r="48">
          <cell r="D48">
            <v>879</v>
          </cell>
        </row>
        <row r="49">
          <cell r="D49">
            <v>261</v>
          </cell>
        </row>
        <row r="50">
          <cell r="D50">
            <v>483</v>
          </cell>
        </row>
        <row r="51">
          <cell r="D51">
            <v>603</v>
          </cell>
        </row>
        <row r="52">
          <cell r="D52">
            <v>763</v>
          </cell>
        </row>
        <row r="53">
          <cell r="D53">
            <v>405</v>
          </cell>
        </row>
        <row r="55">
          <cell r="D55">
            <v>343</v>
          </cell>
        </row>
        <row r="56">
          <cell r="D56">
            <v>514</v>
          </cell>
        </row>
        <row r="57">
          <cell r="D57">
            <v>508</v>
          </cell>
        </row>
        <row r="58">
          <cell r="D58">
            <v>485</v>
          </cell>
        </row>
        <row r="59">
          <cell r="D59">
            <v>394</v>
          </cell>
        </row>
        <row r="60">
          <cell r="D60">
            <v>472</v>
          </cell>
        </row>
        <row r="61">
          <cell r="D61">
            <v>645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-Reformatted"/>
      <sheetName val="ALL"/>
      <sheetName val="SSD"/>
      <sheetName val="LSDVI"/>
      <sheetName val="OJJ"/>
      <sheetName val="Raw Data"/>
    </sheetNames>
    <sheetDataSet>
      <sheetData sheetId="0">
        <row r="6">
          <cell r="C6">
            <v>9557</v>
          </cell>
          <cell r="R6">
            <v>14</v>
          </cell>
          <cell r="T6">
            <v>18</v>
          </cell>
          <cell r="Y6">
            <v>5</v>
          </cell>
          <cell r="AA6">
            <v>2</v>
          </cell>
          <cell r="AB6">
            <v>5</v>
          </cell>
          <cell r="AC6">
            <v>9601</v>
          </cell>
        </row>
        <row r="7">
          <cell r="C7">
            <v>4077</v>
          </cell>
          <cell r="R7">
            <v>4</v>
          </cell>
          <cell r="T7">
            <v>2</v>
          </cell>
          <cell r="AA7">
            <v>0</v>
          </cell>
          <cell r="AB7">
            <v>0</v>
          </cell>
          <cell r="AC7">
            <v>4083</v>
          </cell>
        </row>
        <row r="8">
          <cell r="C8">
            <v>20588</v>
          </cell>
          <cell r="N8">
            <v>1</v>
          </cell>
          <cell r="R8">
            <v>40</v>
          </cell>
          <cell r="T8">
            <v>27</v>
          </cell>
          <cell r="Y8">
            <v>18</v>
          </cell>
          <cell r="Z8">
            <v>1</v>
          </cell>
          <cell r="AA8">
            <v>7</v>
          </cell>
          <cell r="AB8">
            <v>8</v>
          </cell>
          <cell r="AC8">
            <v>20690</v>
          </cell>
        </row>
        <row r="9">
          <cell r="C9">
            <v>3555</v>
          </cell>
          <cell r="N9">
            <v>2</v>
          </cell>
          <cell r="R9">
            <v>3</v>
          </cell>
          <cell r="T9">
            <v>3</v>
          </cell>
          <cell r="AA9">
            <v>1</v>
          </cell>
          <cell r="AB9">
            <v>0</v>
          </cell>
          <cell r="AC9">
            <v>3564</v>
          </cell>
        </row>
        <row r="10">
          <cell r="C10">
            <v>5723</v>
          </cell>
          <cell r="J10">
            <v>687</v>
          </cell>
          <cell r="R10">
            <v>20</v>
          </cell>
          <cell r="T10">
            <v>14</v>
          </cell>
          <cell r="Y10">
            <v>1</v>
          </cell>
          <cell r="AA10">
            <v>3</v>
          </cell>
          <cell r="AB10">
            <v>3</v>
          </cell>
          <cell r="AC10">
            <v>6451</v>
          </cell>
        </row>
        <row r="11">
          <cell r="C11">
            <v>6018</v>
          </cell>
          <cell r="R11">
            <v>17</v>
          </cell>
          <cell r="T11">
            <v>22</v>
          </cell>
          <cell r="Y11">
            <v>6</v>
          </cell>
          <cell r="AA11">
            <v>0</v>
          </cell>
          <cell r="AB11">
            <v>1</v>
          </cell>
          <cell r="AC11">
            <v>6064</v>
          </cell>
        </row>
        <row r="12">
          <cell r="C12">
            <v>2198</v>
          </cell>
          <cell r="R12">
            <v>4</v>
          </cell>
          <cell r="T12">
            <v>8</v>
          </cell>
          <cell r="AA12">
            <v>0</v>
          </cell>
          <cell r="AB12">
            <v>1</v>
          </cell>
          <cell r="AC12">
            <v>2211</v>
          </cell>
        </row>
        <row r="13">
          <cell r="C13">
            <v>21112</v>
          </cell>
          <cell r="R13">
            <v>35</v>
          </cell>
          <cell r="T13">
            <v>45</v>
          </cell>
          <cell r="Y13">
            <v>12</v>
          </cell>
          <cell r="AA13">
            <v>1</v>
          </cell>
          <cell r="AB13">
            <v>8</v>
          </cell>
          <cell r="AC13">
            <v>21213</v>
          </cell>
        </row>
        <row r="14">
          <cell r="C14">
            <v>40150</v>
          </cell>
          <cell r="D14">
            <v>508</v>
          </cell>
          <cell r="F14">
            <v>147</v>
          </cell>
          <cell r="R14">
            <v>87</v>
          </cell>
          <cell r="T14">
            <v>65</v>
          </cell>
          <cell r="Y14">
            <v>4</v>
          </cell>
          <cell r="AA14">
            <v>7</v>
          </cell>
          <cell r="AB14">
            <v>31</v>
          </cell>
          <cell r="AC14">
            <v>40999</v>
          </cell>
        </row>
        <row r="15">
          <cell r="C15">
            <v>30680</v>
          </cell>
          <cell r="O15">
            <v>523</v>
          </cell>
          <cell r="R15">
            <v>57</v>
          </cell>
          <cell r="T15">
            <v>53</v>
          </cell>
          <cell r="U15">
            <v>755</v>
          </cell>
          <cell r="Y15">
            <v>12</v>
          </cell>
          <cell r="AA15">
            <v>11</v>
          </cell>
          <cell r="AB15">
            <v>3</v>
          </cell>
          <cell r="AC15">
            <v>32094</v>
          </cell>
        </row>
        <row r="16">
          <cell r="C16">
            <v>1555</v>
          </cell>
          <cell r="R16">
            <v>7</v>
          </cell>
          <cell r="T16">
            <v>2</v>
          </cell>
          <cell r="Y16">
            <v>2</v>
          </cell>
          <cell r="AA16">
            <v>0</v>
          </cell>
          <cell r="AB16">
            <v>1</v>
          </cell>
          <cell r="AC16">
            <v>1567</v>
          </cell>
        </row>
        <row r="17">
          <cell r="C17">
            <v>1212</v>
          </cell>
          <cell r="T17">
            <v>1</v>
          </cell>
          <cell r="AA17">
            <v>1</v>
          </cell>
          <cell r="AB17">
            <v>0</v>
          </cell>
          <cell r="AC17">
            <v>1214</v>
          </cell>
        </row>
        <row r="18">
          <cell r="C18">
            <v>1503</v>
          </cell>
          <cell r="R18">
            <v>10</v>
          </cell>
          <cell r="T18">
            <v>3</v>
          </cell>
          <cell r="AA18">
            <v>0</v>
          </cell>
          <cell r="AB18">
            <v>2</v>
          </cell>
          <cell r="AC18">
            <v>1518</v>
          </cell>
        </row>
        <row r="19">
          <cell r="C19">
            <v>1856</v>
          </cell>
          <cell r="P19">
            <v>2</v>
          </cell>
          <cell r="R19">
            <v>1</v>
          </cell>
          <cell r="T19">
            <v>11</v>
          </cell>
          <cell r="Y19">
            <v>1</v>
          </cell>
          <cell r="AA19">
            <v>0</v>
          </cell>
          <cell r="AB19">
            <v>0</v>
          </cell>
          <cell r="AC19">
            <v>1871</v>
          </cell>
        </row>
        <row r="20">
          <cell r="C20">
            <v>3620</v>
          </cell>
          <cell r="R20">
            <v>4</v>
          </cell>
          <cell r="T20">
            <v>3</v>
          </cell>
          <cell r="Y20">
            <v>1</v>
          </cell>
          <cell r="AA20">
            <v>0</v>
          </cell>
          <cell r="AB20">
            <v>0</v>
          </cell>
          <cell r="AC20">
            <v>3628</v>
          </cell>
        </row>
        <row r="21">
          <cell r="C21">
            <v>4937</v>
          </cell>
          <cell r="R21">
            <v>11</v>
          </cell>
          <cell r="T21">
            <v>6</v>
          </cell>
          <cell r="AA21">
            <v>0</v>
          </cell>
          <cell r="AB21">
            <v>5</v>
          </cell>
          <cell r="AC21">
            <v>4959</v>
          </cell>
        </row>
        <row r="22">
          <cell r="C22">
            <v>41055</v>
          </cell>
          <cell r="D22">
            <v>497</v>
          </cell>
          <cell r="F22">
            <v>1751</v>
          </cell>
          <cell r="Q22">
            <v>206</v>
          </cell>
          <cell r="R22">
            <v>69</v>
          </cell>
          <cell r="T22">
            <v>76</v>
          </cell>
          <cell r="Y22">
            <v>27</v>
          </cell>
          <cell r="AA22">
            <v>53</v>
          </cell>
          <cell r="AB22">
            <v>17</v>
          </cell>
          <cell r="AC22">
            <v>43751</v>
          </cell>
        </row>
        <row r="23">
          <cell r="C23">
            <v>1113</v>
          </cell>
          <cell r="K23">
            <v>7</v>
          </cell>
          <cell r="R23">
            <v>1</v>
          </cell>
          <cell r="AA23">
            <v>0</v>
          </cell>
          <cell r="AB23">
            <v>1</v>
          </cell>
          <cell r="AC23">
            <v>1122</v>
          </cell>
        </row>
        <row r="24">
          <cell r="C24">
            <v>1907</v>
          </cell>
          <cell r="R24">
            <v>5</v>
          </cell>
          <cell r="T24">
            <v>6</v>
          </cell>
          <cell r="AA24">
            <v>4</v>
          </cell>
          <cell r="AB24">
            <v>0</v>
          </cell>
          <cell r="AC24">
            <v>1922</v>
          </cell>
        </row>
        <row r="25">
          <cell r="C25">
            <v>5883</v>
          </cell>
          <cell r="R25">
            <v>6</v>
          </cell>
          <cell r="T25">
            <v>4</v>
          </cell>
          <cell r="Y25">
            <v>2</v>
          </cell>
          <cell r="AA25">
            <v>4</v>
          </cell>
          <cell r="AB25">
            <v>3</v>
          </cell>
          <cell r="AC25">
            <v>5902</v>
          </cell>
        </row>
        <row r="26">
          <cell r="C26">
            <v>2993</v>
          </cell>
          <cell r="K26">
            <v>69</v>
          </cell>
          <cell r="R26">
            <v>3</v>
          </cell>
          <cell r="T26">
            <v>10</v>
          </cell>
          <cell r="AA26">
            <v>0</v>
          </cell>
          <cell r="AB26">
            <v>1</v>
          </cell>
          <cell r="AC26">
            <v>3076</v>
          </cell>
        </row>
        <row r="27">
          <cell r="C27">
            <v>3204</v>
          </cell>
          <cell r="R27">
            <v>2</v>
          </cell>
          <cell r="T27">
            <v>5</v>
          </cell>
          <cell r="AA27">
            <v>1</v>
          </cell>
          <cell r="AB27">
            <v>2</v>
          </cell>
          <cell r="AC27">
            <v>3214</v>
          </cell>
        </row>
        <row r="28">
          <cell r="C28">
            <v>13399</v>
          </cell>
          <cell r="H28">
            <v>74</v>
          </cell>
          <cell r="R28">
            <v>12</v>
          </cell>
          <cell r="T28">
            <v>18</v>
          </cell>
          <cell r="Y28">
            <v>3</v>
          </cell>
          <cell r="AA28">
            <v>2</v>
          </cell>
          <cell r="AB28">
            <v>8</v>
          </cell>
          <cell r="AC28">
            <v>13516</v>
          </cell>
        </row>
        <row r="29">
          <cell r="C29">
            <v>4529</v>
          </cell>
          <cell r="R29">
            <v>10</v>
          </cell>
          <cell r="T29">
            <v>1</v>
          </cell>
          <cell r="Y29">
            <v>4</v>
          </cell>
          <cell r="AA29">
            <v>4</v>
          </cell>
          <cell r="AB29">
            <v>2</v>
          </cell>
          <cell r="AC29">
            <v>4550</v>
          </cell>
        </row>
        <row r="30">
          <cell r="C30">
            <v>2225</v>
          </cell>
          <cell r="R30">
            <v>4</v>
          </cell>
          <cell r="T30">
            <v>1</v>
          </cell>
          <cell r="AA30">
            <v>0</v>
          </cell>
          <cell r="AB30">
            <v>0</v>
          </cell>
          <cell r="AC30">
            <v>2230</v>
          </cell>
        </row>
        <row r="31">
          <cell r="C31">
            <v>44001</v>
          </cell>
          <cell r="I31">
            <v>229</v>
          </cell>
          <cell r="M31">
            <v>117</v>
          </cell>
          <cell r="R31">
            <v>96</v>
          </cell>
          <cell r="S31">
            <v>46</v>
          </cell>
          <cell r="T31">
            <v>98</v>
          </cell>
          <cell r="V31">
            <v>49</v>
          </cell>
          <cell r="W31">
            <v>110</v>
          </cell>
          <cell r="Y31">
            <v>10</v>
          </cell>
          <cell r="Z31">
            <v>32</v>
          </cell>
          <cell r="AA31">
            <v>6</v>
          </cell>
          <cell r="AB31">
            <v>28</v>
          </cell>
          <cell r="AC31">
            <v>45091</v>
          </cell>
        </row>
        <row r="32">
          <cell r="C32">
            <v>5596</v>
          </cell>
          <cell r="O32">
            <v>8</v>
          </cell>
          <cell r="R32">
            <v>3</v>
          </cell>
          <cell r="T32">
            <v>7</v>
          </cell>
          <cell r="AA32">
            <v>2</v>
          </cell>
          <cell r="AB32">
            <v>2</v>
          </cell>
          <cell r="AC32">
            <v>5618</v>
          </cell>
        </row>
        <row r="33">
          <cell r="C33">
            <v>30061</v>
          </cell>
          <cell r="R33">
            <v>39</v>
          </cell>
          <cell r="T33">
            <v>46</v>
          </cell>
          <cell r="X33">
            <v>1</v>
          </cell>
          <cell r="Y33">
            <v>12</v>
          </cell>
          <cell r="AA33">
            <v>1</v>
          </cell>
          <cell r="AB33">
            <v>10</v>
          </cell>
          <cell r="AC33">
            <v>30170</v>
          </cell>
        </row>
        <row r="34">
          <cell r="C34">
            <v>13699</v>
          </cell>
          <cell r="N34">
            <v>59</v>
          </cell>
          <cell r="R34">
            <v>12</v>
          </cell>
          <cell r="T34">
            <v>8</v>
          </cell>
          <cell r="Y34">
            <v>3</v>
          </cell>
          <cell r="Z34">
            <v>1</v>
          </cell>
          <cell r="AA34">
            <v>1</v>
          </cell>
          <cell r="AB34">
            <v>4</v>
          </cell>
          <cell r="AC34">
            <v>13787</v>
          </cell>
        </row>
        <row r="35">
          <cell r="C35">
            <v>2470</v>
          </cell>
          <cell r="R35">
            <v>4</v>
          </cell>
          <cell r="T35">
            <v>2</v>
          </cell>
          <cell r="Y35">
            <v>1</v>
          </cell>
          <cell r="AA35">
            <v>0</v>
          </cell>
          <cell r="AB35">
            <v>0</v>
          </cell>
          <cell r="AC35">
            <v>2477</v>
          </cell>
        </row>
        <row r="36">
          <cell r="C36">
            <v>6466</v>
          </cell>
          <cell r="P36">
            <v>8</v>
          </cell>
          <cell r="R36">
            <v>2</v>
          </cell>
          <cell r="T36">
            <v>4</v>
          </cell>
          <cell r="Y36">
            <v>1</v>
          </cell>
          <cell r="AA36">
            <v>3</v>
          </cell>
          <cell r="AB36">
            <v>4</v>
          </cell>
          <cell r="AC36">
            <v>6488</v>
          </cell>
        </row>
        <row r="37">
          <cell r="C37">
            <v>24708</v>
          </cell>
          <cell r="N37">
            <v>1</v>
          </cell>
          <cell r="R37">
            <v>32</v>
          </cell>
          <cell r="T37">
            <v>76</v>
          </cell>
          <cell r="Y37">
            <v>13</v>
          </cell>
          <cell r="Z37">
            <v>1</v>
          </cell>
          <cell r="AA37">
            <v>15</v>
          </cell>
          <cell r="AB37">
            <v>8</v>
          </cell>
          <cell r="AC37">
            <v>24854</v>
          </cell>
        </row>
        <row r="38">
          <cell r="C38">
            <v>1786</v>
          </cell>
          <cell r="K38">
            <v>140</v>
          </cell>
          <cell r="R38">
            <v>2</v>
          </cell>
          <cell r="T38">
            <v>4</v>
          </cell>
          <cell r="AA38">
            <v>3</v>
          </cell>
          <cell r="AB38">
            <v>0</v>
          </cell>
          <cell r="AC38">
            <v>1935</v>
          </cell>
        </row>
        <row r="39">
          <cell r="C39">
            <v>4254</v>
          </cell>
          <cell r="G39">
            <v>8</v>
          </cell>
          <cell r="K39">
            <v>2</v>
          </cell>
          <cell r="R39">
            <v>15</v>
          </cell>
          <cell r="T39">
            <v>7</v>
          </cell>
          <cell r="Y39">
            <v>2</v>
          </cell>
          <cell r="AA39">
            <v>0</v>
          </cell>
          <cell r="AB39">
            <v>1</v>
          </cell>
          <cell r="AC39">
            <v>4289</v>
          </cell>
        </row>
        <row r="40">
          <cell r="C40">
            <v>6459</v>
          </cell>
          <cell r="R40">
            <v>17</v>
          </cell>
          <cell r="T40">
            <v>16</v>
          </cell>
          <cell r="Y40">
            <v>13</v>
          </cell>
          <cell r="AA40">
            <v>3</v>
          </cell>
          <cell r="AB40">
            <v>6</v>
          </cell>
          <cell r="AC40">
            <v>6514</v>
          </cell>
        </row>
        <row r="41">
          <cell r="C41">
            <v>13385</v>
          </cell>
          <cell r="F41">
            <v>3759</v>
          </cell>
          <cell r="I41">
            <v>467</v>
          </cell>
          <cell r="M41">
            <v>340</v>
          </cell>
          <cell r="R41">
            <v>52</v>
          </cell>
          <cell r="S41">
            <v>386</v>
          </cell>
          <cell r="T41">
            <v>43</v>
          </cell>
          <cell r="V41">
            <v>146</v>
          </cell>
          <cell r="W41">
            <v>104</v>
          </cell>
          <cell r="Y41">
            <v>6</v>
          </cell>
          <cell r="Z41">
            <v>52</v>
          </cell>
          <cell r="AA41">
            <v>11</v>
          </cell>
          <cell r="AB41">
            <v>28</v>
          </cell>
          <cell r="AC41">
            <v>44187</v>
          </cell>
        </row>
        <row r="42">
          <cell r="C42">
            <v>19609</v>
          </cell>
          <cell r="G42">
            <v>122</v>
          </cell>
          <cell r="K42">
            <v>3</v>
          </cell>
          <cell r="P42">
            <v>3</v>
          </cell>
          <cell r="R42">
            <v>37</v>
          </cell>
          <cell r="T42">
            <v>17</v>
          </cell>
          <cell r="Y42">
            <v>6</v>
          </cell>
          <cell r="AA42">
            <v>4</v>
          </cell>
          <cell r="AB42">
            <v>10</v>
          </cell>
          <cell r="AC42">
            <v>19811</v>
          </cell>
        </row>
        <row r="43">
          <cell r="C43">
            <v>3792</v>
          </cell>
          <cell r="I43">
            <v>1</v>
          </cell>
          <cell r="R43">
            <v>2</v>
          </cell>
          <cell r="T43">
            <v>6</v>
          </cell>
          <cell r="V43">
            <v>3</v>
          </cell>
          <cell r="W43">
            <v>8</v>
          </cell>
          <cell r="Y43">
            <v>2</v>
          </cell>
          <cell r="Z43">
            <v>1</v>
          </cell>
          <cell r="AA43">
            <v>0</v>
          </cell>
          <cell r="AB43">
            <v>0</v>
          </cell>
          <cell r="AC43">
            <v>4299</v>
          </cell>
        </row>
        <row r="44">
          <cell r="C44">
            <v>2629</v>
          </cell>
          <cell r="F44">
            <v>231</v>
          </cell>
          <cell r="J44">
            <v>1</v>
          </cell>
          <cell r="R44">
            <v>3</v>
          </cell>
          <cell r="T44">
            <v>5</v>
          </cell>
          <cell r="Y44">
            <v>6</v>
          </cell>
          <cell r="AA44">
            <v>6</v>
          </cell>
          <cell r="AB44">
            <v>1</v>
          </cell>
          <cell r="AC44">
            <v>2882</v>
          </cell>
        </row>
        <row r="45">
          <cell r="C45">
            <v>22990</v>
          </cell>
          <cell r="J45">
            <v>4</v>
          </cell>
          <cell r="R45">
            <v>32</v>
          </cell>
          <cell r="T45">
            <v>27</v>
          </cell>
          <cell r="Y45">
            <v>8</v>
          </cell>
          <cell r="AA45">
            <v>3</v>
          </cell>
          <cell r="AB45">
            <v>31</v>
          </cell>
          <cell r="AC45">
            <v>23095</v>
          </cell>
        </row>
        <row r="46">
          <cell r="C46">
            <v>1409</v>
          </cell>
          <cell r="R46">
            <v>1</v>
          </cell>
          <cell r="T46">
            <v>1</v>
          </cell>
          <cell r="AA46">
            <v>0</v>
          </cell>
          <cell r="AB46">
            <v>0</v>
          </cell>
          <cell r="AC46">
            <v>1411</v>
          </cell>
        </row>
        <row r="47">
          <cell r="C47">
            <v>3436</v>
          </cell>
          <cell r="G47">
            <v>5</v>
          </cell>
          <cell r="K47">
            <v>415</v>
          </cell>
          <cell r="R47">
            <v>7</v>
          </cell>
          <cell r="T47">
            <v>5</v>
          </cell>
          <cell r="AA47">
            <v>0</v>
          </cell>
          <cell r="AB47">
            <v>1</v>
          </cell>
          <cell r="AC47">
            <v>3869</v>
          </cell>
        </row>
        <row r="48">
          <cell r="C48">
            <v>4011</v>
          </cell>
          <cell r="R48">
            <v>6</v>
          </cell>
          <cell r="T48">
            <v>6</v>
          </cell>
          <cell r="Y48">
            <v>5</v>
          </cell>
          <cell r="AA48">
            <v>0</v>
          </cell>
          <cell r="AB48">
            <v>2</v>
          </cell>
          <cell r="AC48">
            <v>4030</v>
          </cell>
        </row>
        <row r="49">
          <cell r="C49">
            <v>6379</v>
          </cell>
          <cell r="I49">
            <v>14</v>
          </cell>
          <cell r="M49">
            <v>1</v>
          </cell>
          <cell r="R49">
            <v>3</v>
          </cell>
          <cell r="S49">
            <v>4</v>
          </cell>
          <cell r="T49">
            <v>9</v>
          </cell>
          <cell r="V49">
            <v>2</v>
          </cell>
          <cell r="W49">
            <v>2</v>
          </cell>
          <cell r="Y49">
            <v>2</v>
          </cell>
          <cell r="Z49">
            <v>3</v>
          </cell>
          <cell r="AA49">
            <v>7</v>
          </cell>
          <cell r="AB49">
            <v>2</v>
          </cell>
          <cell r="AC49">
            <v>6431</v>
          </cell>
        </row>
        <row r="50">
          <cell r="C50">
            <v>9474</v>
          </cell>
          <cell r="I50">
            <v>5</v>
          </cell>
          <cell r="N50">
            <v>2</v>
          </cell>
          <cell r="R50">
            <v>2</v>
          </cell>
          <cell r="S50">
            <v>2</v>
          </cell>
          <cell r="T50">
            <v>19</v>
          </cell>
          <cell r="V50">
            <v>1</v>
          </cell>
          <cell r="Y50">
            <v>5</v>
          </cell>
          <cell r="Z50">
            <v>5</v>
          </cell>
          <cell r="AA50">
            <v>1</v>
          </cell>
          <cell r="AB50">
            <v>2</v>
          </cell>
          <cell r="AC50">
            <v>9519</v>
          </cell>
        </row>
        <row r="51">
          <cell r="C51">
            <v>746</v>
          </cell>
          <cell r="F51">
            <v>316</v>
          </cell>
          <cell r="R51">
            <v>9</v>
          </cell>
          <cell r="T51">
            <v>5</v>
          </cell>
          <cell r="AA51">
            <v>0</v>
          </cell>
          <cell r="AB51">
            <v>1</v>
          </cell>
          <cell r="AC51">
            <v>1077</v>
          </cell>
        </row>
        <row r="52">
          <cell r="C52">
            <v>3624</v>
          </cell>
          <cell r="N52">
            <v>3</v>
          </cell>
          <cell r="R52">
            <v>2</v>
          </cell>
          <cell r="T52">
            <v>1</v>
          </cell>
          <cell r="Y52">
            <v>3</v>
          </cell>
          <cell r="AA52">
            <v>1</v>
          </cell>
          <cell r="AB52">
            <v>0</v>
          </cell>
          <cell r="AC52">
            <v>3634</v>
          </cell>
        </row>
        <row r="53">
          <cell r="C53">
            <v>5961</v>
          </cell>
          <cell r="I53">
            <v>7</v>
          </cell>
          <cell r="R53">
            <v>29</v>
          </cell>
          <cell r="S53">
            <v>2</v>
          </cell>
          <cell r="T53">
            <v>18</v>
          </cell>
          <cell r="Y53">
            <v>2</v>
          </cell>
          <cell r="Z53">
            <v>1</v>
          </cell>
          <cell r="AA53">
            <v>2</v>
          </cell>
          <cell r="AB53">
            <v>0</v>
          </cell>
          <cell r="AC53">
            <v>6022</v>
          </cell>
        </row>
        <row r="54">
          <cell r="C54">
            <v>14311</v>
          </cell>
          <cell r="J54">
            <v>2</v>
          </cell>
          <cell r="R54">
            <v>47</v>
          </cell>
          <cell r="T54">
            <v>32</v>
          </cell>
          <cell r="X54">
            <v>167</v>
          </cell>
          <cell r="Y54">
            <v>5</v>
          </cell>
          <cell r="AA54">
            <v>4</v>
          </cell>
          <cell r="AB54">
            <v>3</v>
          </cell>
          <cell r="AC54">
            <v>14571</v>
          </cell>
        </row>
        <row r="55">
          <cell r="C55">
            <v>7891</v>
          </cell>
          <cell r="R55">
            <v>10</v>
          </cell>
          <cell r="T55">
            <v>11</v>
          </cell>
          <cell r="Y55">
            <v>4</v>
          </cell>
          <cell r="AA55">
            <v>2</v>
          </cell>
          <cell r="AB55">
            <v>1</v>
          </cell>
          <cell r="AC55">
            <v>7919</v>
          </cell>
        </row>
        <row r="56">
          <cell r="C56">
            <v>8999</v>
          </cell>
          <cell r="H56">
            <v>287</v>
          </cell>
          <cell r="N56">
            <v>2</v>
          </cell>
          <cell r="R56">
            <v>1</v>
          </cell>
          <cell r="T56">
            <v>1</v>
          </cell>
          <cell r="Y56">
            <v>3</v>
          </cell>
          <cell r="AA56">
            <v>3</v>
          </cell>
          <cell r="AB56">
            <v>2</v>
          </cell>
          <cell r="AC56">
            <v>9298</v>
          </cell>
        </row>
        <row r="57">
          <cell r="C57">
            <v>36940</v>
          </cell>
          <cell r="I57">
            <v>12</v>
          </cell>
          <cell r="R57">
            <v>68</v>
          </cell>
          <cell r="S57">
            <v>3</v>
          </cell>
          <cell r="T57">
            <v>107</v>
          </cell>
          <cell r="V57">
            <v>1</v>
          </cell>
          <cell r="Y57">
            <v>18</v>
          </cell>
          <cell r="Z57">
            <v>14</v>
          </cell>
          <cell r="AA57">
            <v>7</v>
          </cell>
          <cell r="AB57">
            <v>10</v>
          </cell>
          <cell r="AC57">
            <v>37183</v>
          </cell>
        </row>
        <row r="58">
          <cell r="C58">
            <v>19088</v>
          </cell>
          <cell r="R58">
            <v>51</v>
          </cell>
          <cell r="T58">
            <v>55</v>
          </cell>
          <cell r="Y58">
            <v>7</v>
          </cell>
          <cell r="Z58">
            <v>1</v>
          </cell>
          <cell r="AA58">
            <v>8</v>
          </cell>
          <cell r="AB58">
            <v>5</v>
          </cell>
          <cell r="AC58">
            <v>19215</v>
          </cell>
        </row>
        <row r="59">
          <cell r="C59">
            <v>677</v>
          </cell>
          <cell r="K59">
            <v>3</v>
          </cell>
          <cell r="T59">
            <v>5</v>
          </cell>
          <cell r="AA59">
            <v>0</v>
          </cell>
          <cell r="AB59">
            <v>0</v>
          </cell>
          <cell r="AC59">
            <v>685</v>
          </cell>
        </row>
        <row r="60">
          <cell r="C60">
            <v>17716</v>
          </cell>
          <cell r="N60">
            <v>43</v>
          </cell>
          <cell r="R60">
            <v>21</v>
          </cell>
          <cell r="T60">
            <v>39</v>
          </cell>
          <cell r="Y60">
            <v>11</v>
          </cell>
          <cell r="Z60">
            <v>1</v>
          </cell>
          <cell r="AA60">
            <v>6</v>
          </cell>
          <cell r="AB60">
            <v>7</v>
          </cell>
          <cell r="AC60">
            <v>17844</v>
          </cell>
        </row>
        <row r="61">
          <cell r="C61">
            <v>2329</v>
          </cell>
          <cell r="P61">
            <v>531</v>
          </cell>
          <cell r="R61">
            <v>7</v>
          </cell>
          <cell r="T61">
            <v>5</v>
          </cell>
          <cell r="Y61">
            <v>4</v>
          </cell>
          <cell r="AA61">
            <v>0</v>
          </cell>
          <cell r="AB61">
            <v>1</v>
          </cell>
          <cell r="AC61">
            <v>2877</v>
          </cell>
        </row>
        <row r="62">
          <cell r="C62">
            <v>9039</v>
          </cell>
          <cell r="R62">
            <v>10</v>
          </cell>
          <cell r="T62">
            <v>6</v>
          </cell>
          <cell r="Y62">
            <v>4</v>
          </cell>
          <cell r="AA62">
            <v>0</v>
          </cell>
          <cell r="AB62">
            <v>3</v>
          </cell>
          <cell r="AC62">
            <v>9062</v>
          </cell>
        </row>
        <row r="63">
          <cell r="C63">
            <v>9032</v>
          </cell>
          <cell r="R63">
            <v>30</v>
          </cell>
          <cell r="T63">
            <v>28</v>
          </cell>
          <cell r="Y63">
            <v>13</v>
          </cell>
          <cell r="AA63">
            <v>1</v>
          </cell>
          <cell r="AB63">
            <v>1</v>
          </cell>
          <cell r="AC63">
            <v>9105</v>
          </cell>
        </row>
        <row r="64">
          <cell r="C64">
            <v>5222</v>
          </cell>
          <cell r="R64">
            <v>13</v>
          </cell>
          <cell r="T64">
            <v>14</v>
          </cell>
          <cell r="Z64">
            <v>1</v>
          </cell>
          <cell r="AA64">
            <v>1</v>
          </cell>
          <cell r="AB64">
            <v>2</v>
          </cell>
          <cell r="AC64">
            <v>5253</v>
          </cell>
        </row>
        <row r="65">
          <cell r="C65">
            <v>6450</v>
          </cell>
          <cell r="R65">
            <v>17</v>
          </cell>
          <cell r="T65">
            <v>26</v>
          </cell>
          <cell r="Y65">
            <v>4</v>
          </cell>
          <cell r="AA65">
            <v>3</v>
          </cell>
          <cell r="AB65">
            <v>11</v>
          </cell>
          <cell r="AC65">
            <v>6511</v>
          </cell>
        </row>
        <row r="66">
          <cell r="C66">
            <v>3616</v>
          </cell>
          <cell r="Q66">
            <v>1</v>
          </cell>
          <cell r="R66">
            <v>6</v>
          </cell>
          <cell r="T66">
            <v>9</v>
          </cell>
          <cell r="AA66">
            <v>6</v>
          </cell>
          <cell r="AB66">
            <v>0</v>
          </cell>
          <cell r="AC66">
            <v>3638</v>
          </cell>
        </row>
        <row r="67">
          <cell r="C67">
            <v>2103</v>
          </cell>
          <cell r="K67">
            <v>36</v>
          </cell>
          <cell r="R67">
            <v>1</v>
          </cell>
          <cell r="T67">
            <v>1</v>
          </cell>
          <cell r="AA67">
            <v>1</v>
          </cell>
          <cell r="AB67">
            <v>1</v>
          </cell>
          <cell r="AC67">
            <v>2143</v>
          </cell>
        </row>
        <row r="68">
          <cell r="C68">
            <v>2037</v>
          </cell>
          <cell r="T68">
            <v>1</v>
          </cell>
          <cell r="Y68">
            <v>3</v>
          </cell>
          <cell r="AA68">
            <v>1</v>
          </cell>
          <cell r="AB68">
            <v>1</v>
          </cell>
          <cell r="AC68">
            <v>2043</v>
          </cell>
        </row>
        <row r="69">
          <cell r="C69">
            <v>2391</v>
          </cell>
          <cell r="R69">
            <v>1</v>
          </cell>
          <cell r="T69">
            <v>4</v>
          </cell>
          <cell r="Y69">
            <v>1</v>
          </cell>
          <cell r="AA69">
            <v>1</v>
          </cell>
          <cell r="AB69">
            <v>0</v>
          </cell>
          <cell r="AC69">
            <v>2398</v>
          </cell>
        </row>
        <row r="70">
          <cell r="C70">
            <v>8276</v>
          </cell>
          <cell r="G70">
            <v>184</v>
          </cell>
          <cell r="P70">
            <v>3</v>
          </cell>
          <cell r="T70">
            <v>4</v>
          </cell>
          <cell r="AA70">
            <v>2</v>
          </cell>
          <cell r="AB70">
            <v>5</v>
          </cell>
          <cell r="AC70">
            <v>8474</v>
          </cell>
        </row>
        <row r="71">
          <cell r="C71">
            <v>2029</v>
          </cell>
          <cell r="R71">
            <v>3</v>
          </cell>
          <cell r="T71">
            <v>2</v>
          </cell>
          <cell r="AA71">
            <v>1</v>
          </cell>
          <cell r="AB71">
            <v>1</v>
          </cell>
          <cell r="AC71">
            <v>2036</v>
          </cell>
        </row>
        <row r="72">
          <cell r="C72">
            <v>5092</v>
          </cell>
          <cell r="Q72">
            <v>2</v>
          </cell>
          <cell r="R72">
            <v>1</v>
          </cell>
          <cell r="T72">
            <v>3</v>
          </cell>
          <cell r="AA72">
            <v>3</v>
          </cell>
          <cell r="AB72">
            <v>3</v>
          </cell>
          <cell r="AC72">
            <v>5104</v>
          </cell>
        </row>
        <row r="73">
          <cell r="C73">
            <v>1731</v>
          </cell>
          <cell r="Q73">
            <v>4</v>
          </cell>
          <cell r="R73">
            <v>3</v>
          </cell>
          <cell r="T73">
            <v>11</v>
          </cell>
          <cell r="AA73">
            <v>3</v>
          </cell>
          <cell r="AB73">
            <v>0</v>
          </cell>
          <cell r="AC73">
            <v>1752</v>
          </cell>
        </row>
        <row r="74">
          <cell r="C74">
            <v>4184</v>
          </cell>
          <cell r="R74">
            <v>7</v>
          </cell>
          <cell r="T74">
            <v>2</v>
          </cell>
          <cell r="AA74">
            <v>2</v>
          </cell>
          <cell r="AB74">
            <v>0</v>
          </cell>
          <cell r="AC74">
            <v>4195</v>
          </cell>
        </row>
        <row r="75">
          <cell r="P75">
            <v>1</v>
          </cell>
          <cell r="AB75">
            <v>0</v>
          </cell>
        </row>
        <row r="77">
          <cell r="AD77">
            <v>1376</v>
          </cell>
          <cell r="AE77">
            <v>391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ed Amounts"/>
    </sheetNames>
    <sheetDataSet>
      <sheetData sheetId="0">
        <row r="201">
          <cell r="Q201">
            <v>-19097</v>
          </cell>
        </row>
        <row r="203">
          <cell r="Q203">
            <v>822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IPP by Site &amp; Grade"/>
    </sheetNames>
    <sheetDataSet>
      <sheetData sheetId="0">
        <row r="7">
          <cell r="R7">
            <v>513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D by Site"/>
    </sheetNames>
    <sheetDataSet>
      <sheetData sheetId="0">
        <row r="19">
          <cell r="C19">
            <v>239</v>
          </cell>
        </row>
        <row r="21">
          <cell r="C21">
            <v>332</v>
          </cell>
        </row>
        <row r="22">
          <cell r="C22">
            <v>202</v>
          </cell>
        </row>
        <row r="23">
          <cell r="C23">
            <v>209</v>
          </cell>
        </row>
        <row r="25">
          <cell r="C25">
            <v>266</v>
          </cell>
        </row>
        <row r="26">
          <cell r="C26">
            <v>338</v>
          </cell>
        </row>
        <row r="27">
          <cell r="C27">
            <v>165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Summary of Simulation "/>
      <sheetName val="Table 1 State Summary "/>
      <sheetName val="Table 2_State Distrib and Adjs"/>
      <sheetName val="Table 2A-1_EFT (Annual)"/>
      <sheetName val="Table 2A-2 EFT (Monthly)"/>
      <sheetName val="Table 3 Levels 1&amp;2"/>
      <sheetName val="Table 3A-CityParish LEA "/>
      <sheetName val="Table 4 Level 3"/>
      <sheetName val="Table 4A Stipends"/>
      <sheetName val="Table 4B Rewards"/>
      <sheetName val="Table 5A1 Labs "/>
      <sheetName val="Table 5A2 LSMSA"/>
      <sheetName val="Table 5A3 NOCCA"/>
      <sheetName val="Table 5A4_LSDVI"/>
      <sheetName val="Table 5A5_SSD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1J-LA Key Academy"/>
      <sheetName val="Table 5C1K-Jefferson Chamber"/>
      <sheetName val="Table 5C1L-Tallulah Charter"/>
      <sheetName val="Table 5C1M-Northshore Charter"/>
      <sheetName val="Table 5C1N-EBR Charter"/>
      <sheetName val="Table 5C1O-Lake Charles HS"/>
      <sheetName val="Table 5C1P-Delta Charter"/>
      <sheetName val="Table 5C2 - LA Virtual Admy"/>
      <sheetName val="Table 5C3 - LA Connections EBR"/>
      <sheetName val="Table 5D1 - New Vision"/>
      <sheetName val="Table 5D2 - Glencoe"/>
      <sheetName val="Table 5D3 - International"/>
      <sheetName val="Table 5D4 - Avoyelles"/>
      <sheetName val="Table 5D5 - Delhi"/>
      <sheetName val="Table 5D6 - Milestone"/>
      <sheetName val="Table 5D7 - Max"/>
      <sheetName val="Table 5D8 - Belle Chasse"/>
      <sheetName val="Table 5E_OJJ"/>
      <sheetName val="Table 5F Scholarships"/>
      <sheetName val="Table 6 (Local Deduct Calc.)"/>
      <sheetName val="Table 7 Local Revenue"/>
      <sheetName val="Table 8 2.1.12 MFP Funded"/>
      <sheetName val="2-1-12 MFP Funded by si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5">
          <cell r="P75">
            <v>703.90028204588873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ober midyear adj"/>
      <sheetName val="Oct midyear Madison Prep"/>
      <sheetName val="Oct midyear DArbonne"/>
      <sheetName val="Oct midyear Intl_VIBE "/>
      <sheetName val="Oct midyear NOMMA"/>
      <sheetName val="Oct midyear LFNO"/>
      <sheetName val="Oct midyear Lake Charles Chtr"/>
      <sheetName val="Oct midyear JS Clark Academy"/>
      <sheetName val="Oct midyear Southwest LA Chtr"/>
      <sheetName val="Oct midyear LA Virtual Admy"/>
      <sheetName val="Oct midyear LA Connections"/>
      <sheetName val="Oct midyear New Vision"/>
      <sheetName val="Oct midyear Glencoe"/>
      <sheetName val="Oct midyear International"/>
      <sheetName val="Oct midyear Avoyelles"/>
      <sheetName val="Oct midyear Delhi"/>
      <sheetName val="Oct midyear Milestone"/>
      <sheetName val="Oct midyear Max"/>
      <sheetName val="Oct midyear Belle Chasse"/>
      <sheetName val="Oct midyear OJJ"/>
      <sheetName val="Oct midyear SSD"/>
      <sheetName val="Oct midyear LSDVI"/>
      <sheetName val="Oct midyear LSMSA "/>
      <sheetName val="Oct midyear NOCCA "/>
      <sheetName val="10.1.12 MFP Funded"/>
      <sheetName val="10.1.12 RSD-NO by Site"/>
      <sheetName val="10.1.12 RSD operated by Site"/>
      <sheetName val="OJJ"/>
    </sheetNames>
    <sheetDataSet>
      <sheetData sheetId="0">
        <row r="6">
          <cell r="M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M4">
            <v>24296.839118475458</v>
          </cell>
          <cell r="R4">
            <v>10560</v>
          </cell>
        </row>
        <row r="5">
          <cell r="M5">
            <v>0</v>
          </cell>
          <cell r="R5">
            <v>0</v>
          </cell>
        </row>
        <row r="6">
          <cell r="M6">
            <v>0</v>
          </cell>
          <cell r="R6">
            <v>0</v>
          </cell>
        </row>
        <row r="7">
          <cell r="M7">
            <v>0</v>
          </cell>
          <cell r="R7">
            <v>0</v>
          </cell>
        </row>
        <row r="8">
          <cell r="M8">
            <v>0</v>
          </cell>
          <cell r="R8">
            <v>0</v>
          </cell>
        </row>
        <row r="9">
          <cell r="M9">
            <v>0</v>
          </cell>
          <cell r="R9">
            <v>0</v>
          </cell>
        </row>
        <row r="10">
          <cell r="M10">
            <v>2070.4421118124437</v>
          </cell>
          <cell r="R10">
            <v>12465</v>
          </cell>
        </row>
        <row r="11">
          <cell r="M11">
            <v>0</v>
          </cell>
          <cell r="R11">
            <v>0</v>
          </cell>
        </row>
        <row r="12">
          <cell r="M12">
            <v>4511.7735544712632</v>
          </cell>
          <cell r="R12">
            <v>4640</v>
          </cell>
        </row>
        <row r="13">
          <cell r="M13">
            <v>8834.594647333839</v>
          </cell>
          <cell r="R13">
            <v>8782</v>
          </cell>
        </row>
        <row r="14">
          <cell r="M14">
            <v>0</v>
          </cell>
          <cell r="R14">
            <v>0</v>
          </cell>
        </row>
        <row r="15">
          <cell r="M15">
            <v>0</v>
          </cell>
          <cell r="R15">
            <v>0</v>
          </cell>
        </row>
        <row r="16">
          <cell r="M16">
            <v>6187.4668713329811</v>
          </cell>
          <cell r="R16">
            <v>2536</v>
          </cell>
        </row>
        <row r="17">
          <cell r="M17">
            <v>0</v>
          </cell>
          <cell r="R17">
            <v>0</v>
          </cell>
        </row>
        <row r="18">
          <cell r="M18">
            <v>0</v>
          </cell>
          <cell r="R18">
            <v>0</v>
          </cell>
        </row>
        <row r="19">
          <cell r="M19">
            <v>0</v>
          </cell>
          <cell r="R19">
            <v>0</v>
          </cell>
        </row>
        <row r="20">
          <cell r="M20">
            <v>7538.4887771252506</v>
          </cell>
          <cell r="R20">
            <v>13102</v>
          </cell>
        </row>
        <row r="21">
          <cell r="M21">
            <v>0</v>
          </cell>
          <cell r="R21">
            <v>0</v>
          </cell>
        </row>
        <row r="22">
          <cell r="M22">
            <v>0</v>
          </cell>
          <cell r="R22">
            <v>0</v>
          </cell>
        </row>
        <row r="23">
          <cell r="M23">
            <v>0</v>
          </cell>
          <cell r="R23">
            <v>0</v>
          </cell>
        </row>
        <row r="24">
          <cell r="M24">
            <v>0</v>
          </cell>
          <cell r="R24">
            <v>0</v>
          </cell>
        </row>
        <row r="25">
          <cell r="M25">
            <v>0</v>
          </cell>
          <cell r="R25">
            <v>0</v>
          </cell>
        </row>
        <row r="26">
          <cell r="M26">
            <v>0</v>
          </cell>
          <cell r="R26">
            <v>0</v>
          </cell>
        </row>
        <row r="27">
          <cell r="M27">
            <v>3153.625870730074</v>
          </cell>
          <cell r="R27">
            <v>9280</v>
          </cell>
        </row>
        <row r="28">
          <cell r="M28">
            <v>0</v>
          </cell>
          <cell r="R28">
            <v>0</v>
          </cell>
        </row>
        <row r="29">
          <cell r="M29">
            <v>3584.4742874551594</v>
          </cell>
          <cell r="R29">
            <v>5100</v>
          </cell>
        </row>
        <row r="30">
          <cell r="M30">
            <v>0</v>
          </cell>
          <cell r="R30">
            <v>0</v>
          </cell>
        </row>
        <row r="31">
          <cell r="M31">
            <v>3505.4420854652126</v>
          </cell>
          <cell r="R31">
            <v>5323</v>
          </cell>
        </row>
        <row r="32">
          <cell r="M32">
            <v>4229.9909590838506</v>
          </cell>
          <cell r="R32">
            <v>4388</v>
          </cell>
        </row>
        <row r="33">
          <cell r="M33">
            <v>0</v>
          </cell>
          <cell r="R33">
            <v>0</v>
          </cell>
        </row>
        <row r="34">
          <cell r="M34">
            <v>0</v>
          </cell>
          <cell r="R34">
            <v>0</v>
          </cell>
        </row>
        <row r="35">
          <cell r="M35">
            <v>0</v>
          </cell>
          <cell r="R35">
            <v>0</v>
          </cell>
        </row>
        <row r="36">
          <cell r="M36">
            <v>5447.5900580602311</v>
          </cell>
          <cell r="R36">
            <v>2771</v>
          </cell>
        </row>
        <row r="37">
          <cell r="M37">
            <v>0</v>
          </cell>
          <cell r="R37">
            <v>0</v>
          </cell>
        </row>
        <row r="38">
          <cell r="M38">
            <v>0</v>
          </cell>
          <cell r="R38">
            <v>0</v>
          </cell>
        </row>
        <row r="39">
          <cell r="M39">
            <v>3815.5455998681937</v>
          </cell>
          <cell r="R39">
            <v>4601</v>
          </cell>
        </row>
        <row r="40">
          <cell r="M40">
            <v>0</v>
          </cell>
          <cell r="R40">
            <v>0</v>
          </cell>
        </row>
        <row r="41">
          <cell r="M41">
            <v>2719.4953828125008</v>
          </cell>
          <cell r="R41">
            <v>9674</v>
          </cell>
        </row>
        <row r="42">
          <cell r="M42">
            <v>4019.25998710768</v>
          </cell>
          <cell r="R42">
            <v>4277</v>
          </cell>
        </row>
        <row r="43">
          <cell r="M43">
            <v>5021.3596793568686</v>
          </cell>
          <cell r="R43">
            <v>2921</v>
          </cell>
        </row>
        <row r="44">
          <cell r="M44">
            <v>0</v>
          </cell>
          <cell r="R44">
            <v>0</v>
          </cell>
        </row>
        <row r="45">
          <cell r="M45">
            <v>0</v>
          </cell>
          <cell r="R45">
            <v>0</v>
          </cell>
        </row>
        <row r="46">
          <cell r="M46">
            <v>0</v>
          </cell>
          <cell r="R46">
            <v>0</v>
          </cell>
        </row>
        <row r="47">
          <cell r="M47">
            <v>0</v>
          </cell>
          <cell r="R47">
            <v>0</v>
          </cell>
        </row>
        <row r="48">
          <cell r="M48">
            <v>0</v>
          </cell>
          <cell r="R48">
            <v>0</v>
          </cell>
        </row>
        <row r="49">
          <cell r="M49">
            <v>0</v>
          </cell>
          <cell r="R49">
            <v>0</v>
          </cell>
        </row>
        <row r="50">
          <cell r="M50">
            <v>0</v>
          </cell>
          <cell r="R50">
            <v>0</v>
          </cell>
        </row>
        <row r="51">
          <cell r="M51">
            <v>0</v>
          </cell>
          <cell r="R51">
            <v>0</v>
          </cell>
        </row>
        <row r="52">
          <cell r="M52">
            <v>0</v>
          </cell>
          <cell r="R52">
            <v>0</v>
          </cell>
        </row>
        <row r="53">
          <cell r="M53">
            <v>0</v>
          </cell>
          <cell r="R53">
            <v>0</v>
          </cell>
        </row>
        <row r="54">
          <cell r="M54">
            <v>0</v>
          </cell>
          <cell r="R54">
            <v>0</v>
          </cell>
        </row>
        <row r="55">
          <cell r="M55">
            <v>10041.191629737979</v>
          </cell>
          <cell r="R55">
            <v>9772</v>
          </cell>
        </row>
        <row r="56">
          <cell r="M56">
            <v>9853.2215767381713</v>
          </cell>
          <cell r="R56">
            <v>3858</v>
          </cell>
        </row>
        <row r="57">
          <cell r="M57">
            <v>0</v>
          </cell>
          <cell r="R57">
            <v>0</v>
          </cell>
        </row>
        <row r="58">
          <cell r="M58">
            <v>8788.5751407873704</v>
          </cell>
          <cell r="R58">
            <v>6254</v>
          </cell>
        </row>
        <row r="59">
          <cell r="M59">
            <v>0</v>
          </cell>
          <cell r="R59">
            <v>0</v>
          </cell>
        </row>
        <row r="60">
          <cell r="M60">
            <v>0</v>
          </cell>
          <cell r="R60">
            <v>0</v>
          </cell>
        </row>
        <row r="61">
          <cell r="M61">
            <v>0</v>
          </cell>
          <cell r="R61">
            <v>0</v>
          </cell>
        </row>
        <row r="62">
          <cell r="M62">
            <v>0</v>
          </cell>
          <cell r="R62">
            <v>0</v>
          </cell>
        </row>
        <row r="63">
          <cell r="M63">
            <v>4877.2910907564365</v>
          </cell>
          <cell r="R63">
            <v>3918</v>
          </cell>
        </row>
        <row r="64">
          <cell r="M64">
            <v>0</v>
          </cell>
          <cell r="R64">
            <v>0</v>
          </cell>
        </row>
        <row r="65">
          <cell r="M65">
            <v>0</v>
          </cell>
          <cell r="R65">
            <v>0</v>
          </cell>
        </row>
        <row r="66">
          <cell r="M66">
            <v>0</v>
          </cell>
          <cell r="R66">
            <v>0</v>
          </cell>
        </row>
        <row r="67">
          <cell r="M67">
            <v>0</v>
          </cell>
          <cell r="R67">
            <v>0</v>
          </cell>
        </row>
        <row r="68">
          <cell r="M68">
            <v>0</v>
          </cell>
          <cell r="R68">
            <v>0</v>
          </cell>
        </row>
        <row r="69">
          <cell r="M69">
            <v>0</v>
          </cell>
          <cell r="R69">
            <v>0</v>
          </cell>
        </row>
        <row r="70">
          <cell r="M70">
            <v>0</v>
          </cell>
          <cell r="R70">
            <v>0</v>
          </cell>
        </row>
        <row r="71">
          <cell r="M71">
            <v>0</v>
          </cell>
          <cell r="R71">
            <v>0</v>
          </cell>
        </row>
        <row r="72">
          <cell r="M72">
            <v>0</v>
          </cell>
          <cell r="R72">
            <v>0</v>
          </cell>
        </row>
      </sheetData>
      <sheetData sheetId="10" refreshError="1">
        <row r="4">
          <cell r="M4">
            <v>4859.36782369508</v>
          </cell>
          <cell r="R4">
            <v>2112</v>
          </cell>
        </row>
        <row r="5">
          <cell r="M5">
            <v>6276.7396499094393</v>
          </cell>
          <cell r="R5">
            <v>2584</v>
          </cell>
        </row>
        <row r="6">
          <cell r="M6">
            <v>0</v>
          </cell>
          <cell r="R6">
            <v>0</v>
          </cell>
        </row>
        <row r="7">
          <cell r="M7">
            <v>11973.646737419585</v>
          </cell>
          <cell r="R7">
            <v>6890</v>
          </cell>
        </row>
        <row r="8">
          <cell r="M8">
            <v>0</v>
          </cell>
          <cell r="R8">
            <v>0</v>
          </cell>
        </row>
        <row r="9">
          <cell r="M9">
            <v>-5475.2111890695742</v>
          </cell>
          <cell r="R9">
            <v>-3576</v>
          </cell>
        </row>
        <row r="10">
          <cell r="M10">
            <v>0</v>
          </cell>
          <cell r="R10">
            <v>0</v>
          </cell>
        </row>
        <row r="11">
          <cell r="M11">
            <v>0</v>
          </cell>
          <cell r="R11">
            <v>0</v>
          </cell>
        </row>
        <row r="12">
          <cell r="M12">
            <v>4511.7735544712632</v>
          </cell>
          <cell r="R12">
            <v>4640</v>
          </cell>
        </row>
        <row r="13">
          <cell r="M13">
            <v>-8834.5946473338408</v>
          </cell>
          <cell r="R13">
            <v>-8782</v>
          </cell>
        </row>
        <row r="14">
          <cell r="M14">
            <v>0</v>
          </cell>
          <cell r="R14">
            <v>0</v>
          </cell>
        </row>
        <row r="15">
          <cell r="M15">
            <v>5120.275959183673</v>
          </cell>
          <cell r="R15">
            <v>25116</v>
          </cell>
        </row>
        <row r="16">
          <cell r="M16">
            <v>-6187.466871332982</v>
          </cell>
          <cell r="R16">
            <v>-2536</v>
          </cell>
        </row>
        <row r="17">
          <cell r="M17">
            <v>0</v>
          </cell>
          <cell r="R17">
            <v>0</v>
          </cell>
        </row>
        <row r="18">
          <cell r="M18">
            <v>5384.5058422961702</v>
          </cell>
          <cell r="R18">
            <v>2752</v>
          </cell>
        </row>
        <row r="19">
          <cell r="M19">
            <v>-1969.1793678713175</v>
          </cell>
          <cell r="R19">
            <v>-15092</v>
          </cell>
        </row>
        <row r="20">
          <cell r="M20">
            <v>-18846.221942813136</v>
          </cell>
          <cell r="R20">
            <v>-32755</v>
          </cell>
        </row>
        <row r="21">
          <cell r="M21">
            <v>0</v>
          </cell>
          <cell r="R21">
            <v>0</v>
          </cell>
        </row>
        <row r="22">
          <cell r="M22">
            <v>0</v>
          </cell>
          <cell r="R22">
            <v>0</v>
          </cell>
        </row>
        <row r="23">
          <cell r="M23">
            <v>0</v>
          </cell>
          <cell r="R23">
            <v>0</v>
          </cell>
        </row>
        <row r="24">
          <cell r="M24">
            <v>0</v>
          </cell>
          <cell r="R24">
            <v>0</v>
          </cell>
        </row>
        <row r="25">
          <cell r="M25">
            <v>0</v>
          </cell>
          <cell r="R25">
            <v>0</v>
          </cell>
        </row>
        <row r="26">
          <cell r="M26">
            <v>4947.8489368326118</v>
          </cell>
          <cell r="R26">
            <v>3258</v>
          </cell>
        </row>
        <row r="27">
          <cell r="M27">
            <v>-3153.625870730074</v>
          </cell>
          <cell r="R27">
            <v>-9280</v>
          </cell>
        </row>
        <row r="28">
          <cell r="M28">
            <v>0</v>
          </cell>
          <cell r="R28">
            <v>0</v>
          </cell>
        </row>
        <row r="29">
          <cell r="M29">
            <v>0</v>
          </cell>
          <cell r="R29">
            <v>0</v>
          </cell>
        </row>
        <row r="30">
          <cell r="M30">
            <v>0</v>
          </cell>
          <cell r="R30">
            <v>0</v>
          </cell>
        </row>
        <row r="31">
          <cell r="M31">
            <v>-3505.4420854652053</v>
          </cell>
          <cell r="R31">
            <v>-5323</v>
          </cell>
        </row>
        <row r="32">
          <cell r="M32">
            <v>0</v>
          </cell>
          <cell r="R32">
            <v>0</v>
          </cell>
        </row>
        <row r="33">
          <cell r="M33">
            <v>0</v>
          </cell>
          <cell r="R33">
            <v>0</v>
          </cell>
        </row>
        <row r="34">
          <cell r="M34">
            <v>0</v>
          </cell>
          <cell r="R34">
            <v>0</v>
          </cell>
        </row>
        <row r="35">
          <cell r="M35">
            <v>21725.689189409488</v>
          </cell>
          <cell r="R35">
            <v>7860</v>
          </cell>
        </row>
        <row r="36">
          <cell r="M36">
            <v>0</v>
          </cell>
          <cell r="R36">
            <v>0</v>
          </cell>
        </row>
        <row r="37">
          <cell r="M37">
            <v>0</v>
          </cell>
          <cell r="R37">
            <v>0</v>
          </cell>
        </row>
        <row r="38">
          <cell r="M38">
            <v>0</v>
          </cell>
          <cell r="R38">
            <v>0</v>
          </cell>
        </row>
        <row r="39">
          <cell r="M39">
            <v>0</v>
          </cell>
          <cell r="R39">
            <v>0</v>
          </cell>
        </row>
        <row r="40">
          <cell r="M40">
            <v>-11048.242696934016</v>
          </cell>
          <cell r="R40">
            <v>-6198</v>
          </cell>
        </row>
        <row r="41">
          <cell r="M41">
            <v>0</v>
          </cell>
          <cell r="R41">
            <v>0</v>
          </cell>
        </row>
        <row r="42">
          <cell r="M42">
            <v>4019.2599871076809</v>
          </cell>
          <cell r="R42">
            <v>4277</v>
          </cell>
        </row>
        <row r="43">
          <cell r="M43">
            <v>0</v>
          </cell>
          <cell r="R43">
            <v>0</v>
          </cell>
        </row>
        <row r="44">
          <cell r="M44">
            <v>0</v>
          </cell>
          <cell r="R44">
            <v>0</v>
          </cell>
        </row>
        <row r="45">
          <cell r="M45">
            <v>0</v>
          </cell>
          <cell r="R45">
            <v>0</v>
          </cell>
        </row>
        <row r="46">
          <cell r="M46">
            <v>0</v>
          </cell>
          <cell r="R46">
            <v>0</v>
          </cell>
        </row>
        <row r="47">
          <cell r="M47">
            <v>0</v>
          </cell>
          <cell r="R47">
            <v>0</v>
          </cell>
        </row>
        <row r="48">
          <cell r="M48">
            <v>0</v>
          </cell>
          <cell r="R48">
            <v>0</v>
          </cell>
        </row>
        <row r="49">
          <cell r="M49">
            <v>0</v>
          </cell>
          <cell r="R49">
            <v>0</v>
          </cell>
        </row>
        <row r="50">
          <cell r="M50">
            <v>0</v>
          </cell>
          <cell r="R50">
            <v>0</v>
          </cell>
        </row>
        <row r="51">
          <cell r="M51">
            <v>0</v>
          </cell>
          <cell r="R51">
            <v>0</v>
          </cell>
        </row>
        <row r="52">
          <cell r="M52">
            <v>-4837.1914930569401</v>
          </cell>
          <cell r="R52">
            <v>-2335</v>
          </cell>
        </row>
        <row r="53">
          <cell r="M53">
            <v>0</v>
          </cell>
          <cell r="R53">
            <v>0</v>
          </cell>
        </row>
        <row r="54">
          <cell r="M54">
            <v>-4581.6369404417728</v>
          </cell>
          <cell r="R54">
            <v>-4053</v>
          </cell>
        </row>
        <row r="55">
          <cell r="M55">
            <v>0</v>
          </cell>
          <cell r="R55">
            <v>0</v>
          </cell>
        </row>
        <row r="56">
          <cell r="M56">
            <v>-19706.443153476343</v>
          </cell>
          <cell r="R56">
            <v>-7716</v>
          </cell>
        </row>
        <row r="57">
          <cell r="M57">
            <v>0</v>
          </cell>
          <cell r="R57">
            <v>0</v>
          </cell>
        </row>
        <row r="58">
          <cell r="M58">
            <v>0</v>
          </cell>
          <cell r="R58">
            <v>0</v>
          </cell>
        </row>
        <row r="59">
          <cell r="M59">
            <v>0</v>
          </cell>
          <cell r="R59">
            <v>0</v>
          </cell>
        </row>
        <row r="60">
          <cell r="M60">
            <v>0</v>
          </cell>
          <cell r="R60">
            <v>0</v>
          </cell>
        </row>
        <row r="61">
          <cell r="M61">
            <v>0</v>
          </cell>
          <cell r="R61">
            <v>0</v>
          </cell>
        </row>
        <row r="62">
          <cell r="M62">
            <v>-6316.2147258433943</v>
          </cell>
          <cell r="R62">
            <v>-1528</v>
          </cell>
        </row>
        <row r="63">
          <cell r="M63">
            <v>0</v>
          </cell>
          <cell r="R63">
            <v>0</v>
          </cell>
        </row>
        <row r="64">
          <cell r="M64">
            <v>0</v>
          </cell>
          <cell r="R64">
            <v>0</v>
          </cell>
        </row>
        <row r="65">
          <cell r="M65">
            <v>0</v>
          </cell>
          <cell r="R65">
            <v>0</v>
          </cell>
        </row>
        <row r="66">
          <cell r="M66">
            <v>0</v>
          </cell>
          <cell r="R66">
            <v>0</v>
          </cell>
        </row>
        <row r="67">
          <cell r="M67">
            <v>0</v>
          </cell>
          <cell r="R67">
            <v>0</v>
          </cell>
        </row>
        <row r="68">
          <cell r="M68">
            <v>9776.3844512375817</v>
          </cell>
          <cell r="R68">
            <v>9626</v>
          </cell>
        </row>
        <row r="69">
          <cell r="M69">
            <v>6276.5561024235067</v>
          </cell>
          <cell r="R69">
            <v>3516</v>
          </cell>
        </row>
        <row r="70">
          <cell r="M70">
            <v>5188.7330908962813</v>
          </cell>
          <cell r="R70">
            <v>5052</v>
          </cell>
        </row>
        <row r="71">
          <cell r="M71">
            <v>5994.405072501806</v>
          </cell>
          <cell r="R71">
            <v>2763</v>
          </cell>
        </row>
        <row r="72">
          <cell r="M72">
            <v>5592.6087556670964</v>
          </cell>
          <cell r="R72">
            <v>3327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Summary of Simulation "/>
      <sheetName val="Table 1 State Summary "/>
      <sheetName val="Table 2_State Distrib and Adjs"/>
      <sheetName val="Table 2A-1_EFT (Annual)"/>
      <sheetName val="Table 2A-2 EFT (Monthly)"/>
      <sheetName val="Adjusted Amounts"/>
      <sheetName val="Delhi Adjusted amounts"/>
      <sheetName val="LAVCA Adjusted amounts "/>
      <sheetName val="Table 3 per pupil amounts"/>
      <sheetName val="Table 3A-CityParish LEA "/>
      <sheetName val="Table 4 Level 3"/>
      <sheetName val="Table 4A Stipends"/>
      <sheetName val="Table 4B Rewards"/>
      <sheetName val="Table 5A1 Labs "/>
      <sheetName val="Table 5A2 LSMSA"/>
      <sheetName val="Table 5A3 NOCCA"/>
      <sheetName val="Table 5A4_LSDVI"/>
      <sheetName val="Table 5A5_SSD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2 - LA Virtual Admy"/>
      <sheetName val="Table 5C3 - LA Connections EBR"/>
      <sheetName val="Table 5D1 - New Vision"/>
      <sheetName val="Table 5D2 - Glencoe"/>
      <sheetName val="Table 5D3 - International"/>
      <sheetName val="Table 5D4 - Avoyelles"/>
      <sheetName val="Table 5D5 - Delhi"/>
      <sheetName val="Table 5D6 - Milestone"/>
      <sheetName val="Table 5D7 - Max"/>
      <sheetName val="Table 5D8 - Belle Chasse"/>
      <sheetName val="Table 5E_OJJ"/>
      <sheetName val="Table 5F Scholarships"/>
      <sheetName val="Table 6 (Local Deduct Calc.)"/>
      <sheetName val="Table 7 Local Revenue"/>
      <sheetName val="Table 8 2.1.12 MFP Funded"/>
      <sheetName val="2-1-12 MFP Funded by si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5">
          <cell r="W5">
            <v>0</v>
          </cell>
        </row>
      </sheetData>
      <sheetData sheetId="7" refreshError="1"/>
      <sheetData sheetId="8" refreshError="1">
        <row r="4">
          <cell r="X4">
            <v>-22060.503017263531</v>
          </cell>
        </row>
        <row r="5">
          <cell r="X5">
            <v>0</v>
          </cell>
        </row>
        <row r="6">
          <cell r="X6">
            <v>0</v>
          </cell>
        </row>
        <row r="7">
          <cell r="X7">
            <v>0</v>
          </cell>
        </row>
        <row r="8">
          <cell r="X8">
            <v>0</v>
          </cell>
        </row>
        <row r="9">
          <cell r="X9">
            <v>0</v>
          </cell>
        </row>
        <row r="10">
          <cell r="X10">
            <v>-2068.5419644614844</v>
          </cell>
        </row>
        <row r="11">
          <cell r="X11">
            <v>0</v>
          </cell>
        </row>
        <row r="12">
          <cell r="X12">
            <v>-6498.7110428648102</v>
          </cell>
        </row>
        <row r="13">
          <cell r="X13">
            <v>-8728.8363269777947</v>
          </cell>
        </row>
        <row r="14">
          <cell r="X14">
            <v>0</v>
          </cell>
        </row>
        <row r="15">
          <cell r="X15">
            <v>0</v>
          </cell>
        </row>
        <row r="16">
          <cell r="X16">
            <v>-5660.530991127378</v>
          </cell>
        </row>
        <row r="17">
          <cell r="X17">
            <v>0</v>
          </cell>
        </row>
        <row r="18">
          <cell r="X18">
            <v>0</v>
          </cell>
        </row>
        <row r="19">
          <cell r="X19">
            <v>0</v>
          </cell>
        </row>
        <row r="20">
          <cell r="X20">
            <v>-7674.680359166322</v>
          </cell>
        </row>
        <row r="21">
          <cell r="X21">
            <v>0</v>
          </cell>
        </row>
        <row r="22">
          <cell r="X22">
            <v>0</v>
          </cell>
        </row>
        <row r="23">
          <cell r="X23">
            <v>0</v>
          </cell>
        </row>
        <row r="24">
          <cell r="X24">
            <v>0</v>
          </cell>
        </row>
        <row r="25">
          <cell r="X25">
            <v>0</v>
          </cell>
        </row>
        <row r="26">
          <cell r="X26">
            <v>0</v>
          </cell>
        </row>
        <row r="27">
          <cell r="X27">
            <v>-3175.1571726594775</v>
          </cell>
        </row>
        <row r="28">
          <cell r="X28">
            <v>0</v>
          </cell>
        </row>
        <row r="29">
          <cell r="X29">
            <v>-6376.536563093101</v>
          </cell>
        </row>
        <row r="30">
          <cell r="X30">
            <v>0</v>
          </cell>
        </row>
        <row r="31">
          <cell r="X31">
            <v>-3665.9424298782678</v>
          </cell>
        </row>
        <row r="32">
          <cell r="X32">
            <v>-3814.386965076144</v>
          </cell>
        </row>
        <row r="33">
          <cell r="X33">
            <v>0</v>
          </cell>
        </row>
        <row r="34">
          <cell r="X34">
            <v>0</v>
          </cell>
        </row>
        <row r="35">
          <cell r="X35">
            <v>0</v>
          </cell>
        </row>
        <row r="36">
          <cell r="X36">
            <v>-4979.2559438333783</v>
          </cell>
        </row>
        <row r="37">
          <cell r="X37">
            <v>0</v>
          </cell>
        </row>
        <row r="38">
          <cell r="X38">
            <v>0</v>
          </cell>
        </row>
        <row r="39">
          <cell r="X39">
            <v>-7373.2910873185647</v>
          </cell>
        </row>
        <row r="40">
          <cell r="X40">
            <v>0</v>
          </cell>
        </row>
        <row r="41">
          <cell r="X41">
            <v>-2592.0352935606061</v>
          </cell>
        </row>
        <row r="42">
          <cell r="X42">
            <v>-3176.5860009694075</v>
          </cell>
        </row>
        <row r="43">
          <cell r="X43">
            <v>-5065.4240513223185</v>
          </cell>
        </row>
        <row r="44">
          <cell r="X44">
            <v>0</v>
          </cell>
        </row>
        <row r="45">
          <cell r="X45">
            <v>0</v>
          </cell>
        </row>
        <row r="46">
          <cell r="X46">
            <v>0</v>
          </cell>
        </row>
        <row r="47">
          <cell r="X47">
            <v>0</v>
          </cell>
        </row>
        <row r="48">
          <cell r="X48">
            <v>0</v>
          </cell>
        </row>
        <row r="49">
          <cell r="X49">
            <v>0</v>
          </cell>
        </row>
        <row r="50">
          <cell r="X50">
            <v>0</v>
          </cell>
        </row>
        <row r="51">
          <cell r="X51">
            <v>0</v>
          </cell>
        </row>
        <row r="52">
          <cell r="X52">
            <v>-2010.3888057315423</v>
          </cell>
        </row>
        <row r="53">
          <cell r="X53">
            <v>0</v>
          </cell>
        </row>
        <row r="54">
          <cell r="X54">
            <v>0</v>
          </cell>
        </row>
        <row r="55">
          <cell r="X55">
            <v>-8961.552062998835</v>
          </cell>
        </row>
        <row r="56">
          <cell r="X56">
            <v>-9876.9081843933491</v>
          </cell>
        </row>
        <row r="57">
          <cell r="X57">
            <v>0</v>
          </cell>
        </row>
        <row r="58">
          <cell r="X58">
            <v>-13195.448340026836</v>
          </cell>
        </row>
        <row r="59">
          <cell r="X59">
            <v>0</v>
          </cell>
        </row>
        <row r="60">
          <cell r="X60">
            <v>0</v>
          </cell>
        </row>
        <row r="61">
          <cell r="X61">
            <v>0</v>
          </cell>
        </row>
        <row r="62">
          <cell r="X62">
            <v>0</v>
          </cell>
        </row>
        <row r="63">
          <cell r="X63">
            <v>-4866.2061633666317</v>
          </cell>
        </row>
        <row r="64">
          <cell r="X64">
            <v>-3020.9645790297905</v>
          </cell>
        </row>
        <row r="65">
          <cell r="X65">
            <v>0</v>
          </cell>
        </row>
        <row r="66">
          <cell r="X66">
            <v>0</v>
          </cell>
        </row>
        <row r="67">
          <cell r="X67">
            <v>0</v>
          </cell>
        </row>
        <row r="68">
          <cell r="X68">
            <v>0</v>
          </cell>
        </row>
        <row r="69">
          <cell r="X69">
            <v>0</v>
          </cell>
        </row>
        <row r="70">
          <cell r="X70">
            <v>0</v>
          </cell>
        </row>
        <row r="71">
          <cell r="X71">
            <v>0</v>
          </cell>
        </row>
        <row r="72">
          <cell r="X72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uary midyear adj "/>
      <sheetName val="Feb midyear adj_Delhi"/>
      <sheetName val="Feb midyear adj_LA virtual "/>
      <sheetName val="Feb midyear adj_Connections"/>
      <sheetName val="Feb midyear adj_OJJ"/>
    </sheetNames>
    <sheetDataSet>
      <sheetData sheetId="0">
        <row r="6">
          <cell r="M6">
            <v>0</v>
          </cell>
        </row>
      </sheetData>
      <sheetData sheetId="1"/>
      <sheetData sheetId="2">
        <row r="6">
          <cell r="M6">
            <v>-4909.0319999999992</v>
          </cell>
          <cell r="S6">
            <v>-1824.3</v>
          </cell>
        </row>
        <row r="7">
          <cell r="M7">
            <v>3101.4270449050746</v>
          </cell>
          <cell r="S7">
            <v>1154.25</v>
          </cell>
        </row>
        <row r="8">
          <cell r="M8">
            <v>6373.8695586895901</v>
          </cell>
          <cell r="S8">
            <v>6211.35</v>
          </cell>
        </row>
        <row r="9">
          <cell r="M9">
            <v>-23859.7613176333</v>
          </cell>
          <cell r="S9">
            <v>-11502</v>
          </cell>
        </row>
        <row r="10">
          <cell r="M10">
            <v>12232.446880240954</v>
          </cell>
          <cell r="S10">
            <v>2900.2500000000005</v>
          </cell>
        </row>
        <row r="11">
          <cell r="M11">
            <v>0</v>
          </cell>
          <cell r="S11">
            <v>0</v>
          </cell>
        </row>
        <row r="12">
          <cell r="M12">
            <v>-5168.0043196274419</v>
          </cell>
          <cell r="S12">
            <v>-28370.25</v>
          </cell>
        </row>
        <row r="13">
          <cell r="M13">
            <v>0</v>
          </cell>
          <cell r="S13">
            <v>0</v>
          </cell>
        </row>
        <row r="14">
          <cell r="M14">
            <v>4616.7041542979096</v>
          </cell>
          <cell r="S14">
            <v>4122</v>
          </cell>
        </row>
        <row r="15">
          <cell r="M15">
            <v>-13284.497624253625</v>
          </cell>
          <cell r="S15">
            <v>-11240.1</v>
          </cell>
        </row>
        <row r="16">
          <cell r="M16">
            <v>3318.2613741818695</v>
          </cell>
          <cell r="S16">
            <v>1484.1000000000001</v>
          </cell>
        </row>
        <row r="17">
          <cell r="M17">
            <v>0</v>
          </cell>
          <cell r="S17">
            <v>0</v>
          </cell>
        </row>
        <row r="18">
          <cell r="M18">
            <v>-42370.490888264554</v>
          </cell>
          <cell r="S18">
            <v>-15164.100000000002</v>
          </cell>
        </row>
        <row r="19">
          <cell r="M19">
            <v>-2951.5311575333399</v>
          </cell>
          <cell r="S19">
            <v>-1508.4</v>
          </cell>
        </row>
        <row r="20">
          <cell r="M20">
            <v>-5357.1392769100767</v>
          </cell>
          <cell r="S20">
            <v>-2295</v>
          </cell>
        </row>
        <row r="21">
          <cell r="M21">
            <v>0</v>
          </cell>
          <cell r="S21">
            <v>0</v>
          </cell>
        </row>
        <row r="22">
          <cell r="M22">
            <v>12815.081790784605</v>
          </cell>
          <cell r="S22">
            <v>19674.900000000001</v>
          </cell>
        </row>
        <row r="23">
          <cell r="M23">
            <v>0</v>
          </cell>
          <cell r="S23">
            <v>0</v>
          </cell>
        </row>
        <row r="24">
          <cell r="M24">
            <v>2749.3168264032684</v>
          </cell>
          <cell r="S24">
            <v>1011.15</v>
          </cell>
        </row>
        <row r="25">
          <cell r="M25">
            <v>2710.9645208720476</v>
          </cell>
          <cell r="S25">
            <v>971.1</v>
          </cell>
        </row>
        <row r="26">
          <cell r="M26">
            <v>8409.7656201337013</v>
          </cell>
          <cell r="S26">
            <v>2789.1000000000004</v>
          </cell>
        </row>
        <row r="27">
          <cell r="M27">
            <v>0</v>
          </cell>
          <cell r="S27">
            <v>0</v>
          </cell>
        </row>
        <row r="28">
          <cell r="M28">
            <v>4966.1007333311845</v>
          </cell>
          <cell r="S28">
            <v>2762.1</v>
          </cell>
        </row>
        <row r="29">
          <cell r="M29">
            <v>-4520.8911392767222</v>
          </cell>
          <cell r="S29">
            <v>-12590.099999999999</v>
          </cell>
        </row>
        <row r="30">
          <cell r="M30">
            <v>-1944.4689813277946</v>
          </cell>
          <cell r="S30">
            <v>-2265.75</v>
          </cell>
        </row>
        <row r="31">
          <cell r="M31">
            <v>21530.76066529029</v>
          </cell>
          <cell r="S31">
            <v>28393.199999999997</v>
          </cell>
        </row>
        <row r="32">
          <cell r="M32">
            <v>14418.13922577246</v>
          </cell>
          <cell r="S32">
            <v>6644.2500000000009</v>
          </cell>
        </row>
        <row r="33">
          <cell r="M33">
            <v>1827.7854880045861</v>
          </cell>
          <cell r="S33">
            <v>2265.3000000000002</v>
          </cell>
        </row>
        <row r="34">
          <cell r="M34">
            <v>0</v>
          </cell>
          <cell r="S34">
            <v>0</v>
          </cell>
        </row>
        <row r="35">
          <cell r="M35">
            <v>0</v>
          </cell>
          <cell r="S35">
            <v>0</v>
          </cell>
        </row>
        <row r="36">
          <cell r="M36">
            <v>-6552.5138358897311</v>
          </cell>
          <cell r="S36">
            <v>-6313.9500000000007</v>
          </cell>
        </row>
        <row r="37">
          <cell r="M37">
            <v>8072.8479056944361</v>
          </cell>
          <cell r="S37">
            <v>2531.25</v>
          </cell>
        </row>
        <row r="38">
          <cell r="M38">
            <v>-17221.384282134502</v>
          </cell>
          <cell r="S38">
            <v>-8221.5</v>
          </cell>
        </row>
        <row r="39">
          <cell r="M39">
            <v>2884.0040853608243</v>
          </cell>
          <cell r="S39">
            <v>1216.3500000000001</v>
          </cell>
        </row>
        <row r="40">
          <cell r="M40">
            <v>7428.4372296301954</v>
          </cell>
          <cell r="S40">
            <v>4249.8</v>
          </cell>
        </row>
        <row r="41">
          <cell r="M41">
            <v>-7196.5091837078235</v>
          </cell>
          <cell r="S41">
            <v>-8731.8000000000011</v>
          </cell>
        </row>
        <row r="42">
          <cell r="M42">
            <v>16539.388428773</v>
          </cell>
          <cell r="S42">
            <v>8181</v>
          </cell>
        </row>
        <row r="43">
          <cell r="M43">
            <v>-1451.9152238465667</v>
          </cell>
          <cell r="S43">
            <v>-5140.8</v>
          </cell>
        </row>
        <row r="44">
          <cell r="M44">
            <v>-3973.463996311506</v>
          </cell>
          <cell r="S44">
            <v>-3580.2000000000003</v>
          </cell>
        </row>
        <row r="45">
          <cell r="M45">
            <v>-24745.672907606189</v>
          </cell>
          <cell r="S45">
            <v>-12726.000000000002</v>
          </cell>
        </row>
        <row r="46">
          <cell r="M46">
            <v>0</v>
          </cell>
          <cell r="S46">
            <v>0</v>
          </cell>
        </row>
        <row r="47">
          <cell r="M47">
            <v>0</v>
          </cell>
          <cell r="S47">
            <v>0</v>
          </cell>
        </row>
        <row r="48">
          <cell r="M48">
            <v>8825.2094983678362</v>
          </cell>
          <cell r="S48">
            <v>7187.4000000000005</v>
          </cell>
        </row>
        <row r="49">
          <cell r="M49">
            <v>2259.1815591036734</v>
          </cell>
          <cell r="S49">
            <v>2327.85</v>
          </cell>
        </row>
        <row r="50">
          <cell r="M50">
            <v>0</v>
          </cell>
          <cell r="S50">
            <v>0</v>
          </cell>
        </row>
        <row r="51">
          <cell r="M51">
            <v>-2938.5769544910254</v>
          </cell>
          <cell r="S51">
            <v>-794.7</v>
          </cell>
        </row>
        <row r="52">
          <cell r="M52">
            <v>-3917.8147624872336</v>
          </cell>
          <cell r="S52">
            <v>-8779.5</v>
          </cell>
        </row>
        <row r="53">
          <cell r="M53">
            <v>5850.9505496013035</v>
          </cell>
          <cell r="S53">
            <v>6933.6</v>
          </cell>
        </row>
        <row r="54">
          <cell r="M54">
            <v>2449.9091979309014</v>
          </cell>
          <cell r="S54">
            <v>1005.75</v>
          </cell>
        </row>
        <row r="55">
          <cell r="M55">
            <v>-7696.1181893352732</v>
          </cell>
          <cell r="S55">
            <v>-3420.8999999999996</v>
          </cell>
        </row>
        <row r="56">
          <cell r="M56">
            <v>-11801.782220396395</v>
          </cell>
          <cell r="S56">
            <v>-9094.5</v>
          </cell>
        </row>
        <row r="57">
          <cell r="M57">
            <v>10160.208706874659</v>
          </cell>
          <cell r="S57">
            <v>8679.6</v>
          </cell>
        </row>
        <row r="58">
          <cell r="M58">
            <v>7337.3230520688667</v>
          </cell>
          <cell r="S58">
            <v>2589.3000000000002</v>
          </cell>
        </row>
        <row r="59">
          <cell r="M59">
            <v>0</v>
          </cell>
          <cell r="S59">
            <v>0</v>
          </cell>
        </row>
        <row r="60">
          <cell r="M60">
            <v>-6566.0611580023033</v>
          </cell>
          <cell r="S60">
            <v>-4079.7000000000003</v>
          </cell>
        </row>
        <row r="61">
          <cell r="M61">
            <v>-5142.8882743758959</v>
          </cell>
          <cell r="S61">
            <v>-2614.5</v>
          </cell>
        </row>
        <row r="62">
          <cell r="M62">
            <v>-2379.4184350963656</v>
          </cell>
          <cell r="S62">
            <v>-1365.75</v>
          </cell>
        </row>
        <row r="63">
          <cell r="M63">
            <v>21535.218121475329</v>
          </cell>
          <cell r="S63">
            <v>6296.4000000000005</v>
          </cell>
        </row>
        <row r="64">
          <cell r="M64">
            <v>3105.1726114170128</v>
          </cell>
          <cell r="S64">
            <v>739.80000000000007</v>
          </cell>
        </row>
        <row r="65">
          <cell r="M65">
            <v>-9914.2148987866185</v>
          </cell>
          <cell r="S65">
            <v>-6944.4000000000005</v>
          </cell>
        </row>
        <row r="66">
          <cell r="M66">
            <v>3381.8045293498094</v>
          </cell>
          <cell r="S66">
            <v>5440.5</v>
          </cell>
        </row>
        <row r="67">
          <cell r="M67">
            <v>-2708.4619629907634</v>
          </cell>
          <cell r="S67">
            <v>-756.45</v>
          </cell>
        </row>
        <row r="68">
          <cell r="M68">
            <v>-13509.784000925216</v>
          </cell>
          <cell r="S68">
            <v>-18848.7</v>
          </cell>
        </row>
        <row r="69">
          <cell r="M69">
            <v>0</v>
          </cell>
          <cell r="S69">
            <v>0</v>
          </cell>
        </row>
        <row r="70">
          <cell r="M70">
            <v>-9608.6961131163589</v>
          </cell>
          <cell r="S70">
            <v>-8415</v>
          </cell>
        </row>
        <row r="71">
          <cell r="M71">
            <v>-12410.974999368524</v>
          </cell>
          <cell r="S71">
            <v>-6170.4000000000005</v>
          </cell>
        </row>
        <row r="72">
          <cell r="M72">
            <v>-5142.0204675875975</v>
          </cell>
          <cell r="S72">
            <v>-3922.2000000000003</v>
          </cell>
        </row>
        <row r="73">
          <cell r="M73">
            <v>-2995.0170228479201</v>
          </cell>
          <cell r="S73">
            <v>-1305</v>
          </cell>
        </row>
        <row r="74">
          <cell r="M74">
            <v>13947.73694849098</v>
          </cell>
          <cell r="S74">
            <v>7452</v>
          </cell>
        </row>
      </sheetData>
      <sheetData sheetId="3"/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ed Amounts"/>
    </sheetNames>
    <sheetDataSet>
      <sheetData sheetId="0">
        <row r="7">
          <cell r="C7">
            <v>38965.359999999986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lle Chase Academy"/>
    </sheetNames>
    <sheetDataSet>
      <sheetData sheetId="0">
        <row r="5">
          <cell r="C5">
            <v>0</v>
          </cell>
          <cell r="D5">
            <v>0</v>
          </cell>
        </row>
        <row r="6">
          <cell r="C6">
            <v>0</v>
          </cell>
          <cell r="D6">
            <v>0</v>
          </cell>
        </row>
        <row r="7">
          <cell r="C7">
            <v>0</v>
          </cell>
          <cell r="D7">
            <v>0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</row>
        <row r="12">
          <cell r="C12">
            <v>0</v>
          </cell>
          <cell r="D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5">
          <cell r="C15">
            <v>0</v>
          </cell>
          <cell r="D15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0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8">
          <cell r="C28">
            <v>0</v>
          </cell>
          <cell r="D28">
            <v>0</v>
          </cell>
        </row>
        <row r="29">
          <cell r="C29">
            <v>0</v>
          </cell>
          <cell r="D29">
            <v>0</v>
          </cell>
        </row>
        <row r="30">
          <cell r="C30">
            <v>262</v>
          </cell>
          <cell r="D30">
            <v>7</v>
          </cell>
        </row>
        <row r="31">
          <cell r="C31">
            <v>0</v>
          </cell>
          <cell r="D31">
            <v>0</v>
          </cell>
        </row>
        <row r="32">
          <cell r="C32">
            <v>0</v>
          </cell>
          <cell r="D32">
            <v>0</v>
          </cell>
        </row>
        <row r="33">
          <cell r="C33">
            <v>0</v>
          </cell>
          <cell r="D33">
            <v>0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7"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0</v>
          </cell>
        </row>
        <row r="40">
          <cell r="C40">
            <v>128</v>
          </cell>
          <cell r="D40">
            <v>63</v>
          </cell>
        </row>
        <row r="41">
          <cell r="C41">
            <v>0</v>
          </cell>
          <cell r="D41">
            <v>0</v>
          </cell>
        </row>
        <row r="42">
          <cell r="C42">
            <v>70</v>
          </cell>
          <cell r="D42">
            <v>414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0</v>
          </cell>
          <cell r="D45">
            <v>0</v>
          </cell>
        </row>
        <row r="46">
          <cell r="C46">
            <v>0</v>
          </cell>
          <cell r="D46">
            <v>0</v>
          </cell>
        </row>
        <row r="47">
          <cell r="C47">
            <v>0</v>
          </cell>
          <cell r="D47">
            <v>0</v>
          </cell>
        </row>
        <row r="48">
          <cell r="C48">
            <v>3</v>
          </cell>
          <cell r="D48">
            <v>0</v>
          </cell>
        </row>
        <row r="49">
          <cell r="C49">
            <v>1</v>
          </cell>
          <cell r="D49">
            <v>0</v>
          </cell>
        </row>
        <row r="50">
          <cell r="C50">
            <v>0</v>
          </cell>
          <cell r="D50">
            <v>0</v>
          </cell>
        </row>
        <row r="51">
          <cell r="C51">
            <v>0</v>
          </cell>
          <cell r="D51">
            <v>0</v>
          </cell>
        </row>
        <row r="52">
          <cell r="C52">
            <v>0</v>
          </cell>
          <cell r="D52">
            <v>0</v>
          </cell>
        </row>
        <row r="53">
          <cell r="C53">
            <v>0</v>
          </cell>
          <cell r="D53">
            <v>0</v>
          </cell>
        </row>
        <row r="54">
          <cell r="C54">
            <v>0</v>
          </cell>
          <cell r="D54">
            <v>0</v>
          </cell>
        </row>
        <row r="55">
          <cell r="C55">
            <v>0</v>
          </cell>
          <cell r="D55">
            <v>0</v>
          </cell>
        </row>
        <row r="56">
          <cell r="C56">
            <v>3</v>
          </cell>
          <cell r="D56">
            <v>0</v>
          </cell>
        </row>
        <row r="57">
          <cell r="C57">
            <v>0</v>
          </cell>
          <cell r="D57">
            <v>0</v>
          </cell>
        </row>
        <row r="58">
          <cell r="C58">
            <v>0</v>
          </cell>
          <cell r="D58">
            <v>0</v>
          </cell>
        </row>
        <row r="59">
          <cell r="C59">
            <v>0</v>
          </cell>
          <cell r="D59">
            <v>0</v>
          </cell>
        </row>
        <row r="60">
          <cell r="C60">
            <v>0</v>
          </cell>
          <cell r="D60">
            <v>0</v>
          </cell>
        </row>
        <row r="61">
          <cell r="C61">
            <v>0</v>
          </cell>
          <cell r="D61">
            <v>0</v>
          </cell>
        </row>
        <row r="62">
          <cell r="C62">
            <v>0</v>
          </cell>
          <cell r="D62">
            <v>0</v>
          </cell>
        </row>
        <row r="63">
          <cell r="C63">
            <v>0</v>
          </cell>
          <cell r="D63">
            <v>0</v>
          </cell>
        </row>
        <row r="64">
          <cell r="C64">
            <v>0</v>
          </cell>
          <cell r="D64">
            <v>0</v>
          </cell>
        </row>
        <row r="65">
          <cell r="C65">
            <v>0</v>
          </cell>
          <cell r="D65">
            <v>0</v>
          </cell>
        </row>
        <row r="66">
          <cell r="C66">
            <v>0</v>
          </cell>
          <cell r="D66">
            <v>0</v>
          </cell>
        </row>
        <row r="67">
          <cell r="C67">
            <v>0</v>
          </cell>
          <cell r="D67">
            <v>0</v>
          </cell>
        </row>
        <row r="68">
          <cell r="C68">
            <v>0</v>
          </cell>
          <cell r="D68">
            <v>0</v>
          </cell>
        </row>
        <row r="69">
          <cell r="C69">
            <v>0</v>
          </cell>
          <cell r="D69">
            <v>0</v>
          </cell>
        </row>
        <row r="70">
          <cell r="C70">
            <v>0</v>
          </cell>
          <cell r="D70">
            <v>0</v>
          </cell>
        </row>
        <row r="71">
          <cell r="C71">
            <v>0</v>
          </cell>
          <cell r="D71">
            <v>0</v>
          </cell>
        </row>
        <row r="72">
          <cell r="C72">
            <v>0</v>
          </cell>
          <cell r="D72">
            <v>0</v>
          </cell>
        </row>
        <row r="73">
          <cell r="C73">
            <v>0</v>
          </cell>
          <cell r="D73">
            <v>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"/>
      <sheetName val="Summary"/>
      <sheetName val="Summary for MFP"/>
    </sheetNames>
    <sheetDataSet>
      <sheetData sheetId="0"/>
      <sheetData sheetId="1"/>
      <sheetData sheetId="2">
        <row r="7">
          <cell r="E7">
            <v>2.2890630000000001</v>
          </cell>
        </row>
        <row r="9">
          <cell r="E9">
            <v>2</v>
          </cell>
        </row>
        <row r="10">
          <cell r="E10">
            <v>0.86</v>
          </cell>
        </row>
        <row r="11">
          <cell r="E11">
            <v>4.1400430000000004</v>
          </cell>
        </row>
        <row r="12">
          <cell r="E12">
            <v>1.6027</v>
          </cell>
        </row>
        <row r="14">
          <cell r="E14">
            <v>5.3072299999999997</v>
          </cell>
        </row>
        <row r="15">
          <cell r="E15">
            <v>32.452984000000001</v>
          </cell>
        </row>
        <row r="16">
          <cell r="E16">
            <v>7.8530309999999997</v>
          </cell>
        </row>
        <row r="21">
          <cell r="E21">
            <v>2.3279999999999998</v>
          </cell>
        </row>
        <row r="22">
          <cell r="E22">
            <v>2.242569</v>
          </cell>
        </row>
        <row r="23">
          <cell r="E23">
            <v>39.355055</v>
          </cell>
        </row>
        <row r="24">
          <cell r="E24">
            <v>1.629084</v>
          </cell>
        </row>
        <row r="25">
          <cell r="E25">
            <v>0.31707299999999999</v>
          </cell>
        </row>
        <row r="26">
          <cell r="E26">
            <v>4.6866770000000004</v>
          </cell>
        </row>
        <row r="27">
          <cell r="E27">
            <v>4.0270669999999997</v>
          </cell>
        </row>
        <row r="28">
          <cell r="E28">
            <v>0.22764200000000001</v>
          </cell>
        </row>
        <row r="29">
          <cell r="E29">
            <v>6.0642379999999996</v>
          </cell>
        </row>
        <row r="30">
          <cell r="E30">
            <v>1.872987</v>
          </cell>
        </row>
        <row r="31">
          <cell r="E31">
            <v>0.39566400000000002</v>
          </cell>
        </row>
        <row r="32">
          <cell r="E32">
            <v>34.762673999999997</v>
          </cell>
        </row>
        <row r="33">
          <cell r="E33">
            <v>2.64</v>
          </cell>
        </row>
        <row r="34">
          <cell r="E34">
            <v>7.5385470000000003</v>
          </cell>
        </row>
        <row r="35">
          <cell r="E35">
            <v>18.863023999999999</v>
          </cell>
        </row>
        <row r="37">
          <cell r="E37">
            <v>1.496</v>
          </cell>
        </row>
        <row r="38">
          <cell r="E38">
            <v>3.2524009999999999</v>
          </cell>
        </row>
        <row r="39">
          <cell r="E39">
            <v>5.1424180000000002</v>
          </cell>
        </row>
        <row r="40">
          <cell r="E40">
            <v>2.077636</v>
          </cell>
        </row>
        <row r="41">
          <cell r="E41">
            <v>1.296</v>
          </cell>
        </row>
        <row r="42">
          <cell r="E42">
            <v>33.180213000000002</v>
          </cell>
        </row>
        <row r="43">
          <cell r="E43">
            <v>2.6449859999999998</v>
          </cell>
        </row>
        <row r="44">
          <cell r="E44">
            <v>0.49322500000000002</v>
          </cell>
        </row>
        <row r="45">
          <cell r="E45">
            <v>1.88697</v>
          </cell>
        </row>
        <row r="46">
          <cell r="E46">
            <v>3.7218420000000001</v>
          </cell>
        </row>
        <row r="47">
          <cell r="E47">
            <v>0.752</v>
          </cell>
        </row>
        <row r="48">
          <cell r="E48">
            <v>2.6233050000000002</v>
          </cell>
        </row>
        <row r="49">
          <cell r="E49">
            <v>0.22026000000000001</v>
          </cell>
        </row>
        <row r="50">
          <cell r="E50">
            <v>0.79735500000000004</v>
          </cell>
        </row>
        <row r="51">
          <cell r="E51">
            <v>2.4873289999999999</v>
          </cell>
        </row>
        <row r="54">
          <cell r="E54">
            <v>0</v>
          </cell>
        </row>
        <row r="55">
          <cell r="E55">
            <v>5.3381990000000004</v>
          </cell>
        </row>
        <row r="56">
          <cell r="E56">
            <v>4.3232080000000002</v>
          </cell>
        </row>
        <row r="57">
          <cell r="E57">
            <v>1.831979</v>
          </cell>
        </row>
        <row r="58">
          <cell r="E58">
            <v>13.215285</v>
          </cell>
        </row>
        <row r="59">
          <cell r="E59">
            <v>8.5482180000000003</v>
          </cell>
        </row>
        <row r="60">
          <cell r="E60">
            <v>2.1395119999999999</v>
          </cell>
        </row>
        <row r="61">
          <cell r="E61">
            <v>13.236518</v>
          </cell>
        </row>
        <row r="63">
          <cell r="E63">
            <v>2.748532</v>
          </cell>
        </row>
        <row r="64">
          <cell r="E64">
            <v>0.54800000000000004</v>
          </cell>
        </row>
        <row r="65">
          <cell r="E65">
            <v>3.8155779999999999</v>
          </cell>
        </row>
        <row r="66">
          <cell r="E66">
            <v>3.513636</v>
          </cell>
        </row>
        <row r="67">
          <cell r="E67">
            <v>2.7744490000000002</v>
          </cell>
        </row>
        <row r="68">
          <cell r="E68">
            <v>0.346883</v>
          </cell>
        </row>
        <row r="69">
          <cell r="E69">
            <v>1.487805</v>
          </cell>
        </row>
        <row r="71">
          <cell r="E71">
            <v>1.232</v>
          </cell>
        </row>
        <row r="73">
          <cell r="E73">
            <v>7.1999999999999995E-2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-Reformatted"/>
      <sheetName val="ALL"/>
      <sheetName val="SSD"/>
      <sheetName val="LSDVI"/>
      <sheetName val="OJJ"/>
      <sheetName val="Raw Data"/>
    </sheetNames>
    <sheetDataSet>
      <sheetData sheetId="0">
        <row r="6">
          <cell r="AC6">
            <v>6662</v>
          </cell>
        </row>
        <row r="7">
          <cell r="AC7">
            <v>2659</v>
          </cell>
        </row>
        <row r="8">
          <cell r="AC8">
            <v>10034</v>
          </cell>
        </row>
        <row r="9">
          <cell r="AC9">
            <v>2390</v>
          </cell>
        </row>
        <row r="10">
          <cell r="AC10">
            <v>5219</v>
          </cell>
        </row>
        <row r="11">
          <cell r="AC11">
            <v>3286</v>
          </cell>
        </row>
        <row r="12">
          <cell r="AC12">
            <v>1559</v>
          </cell>
        </row>
        <row r="13">
          <cell r="AC13">
            <v>9905</v>
          </cell>
        </row>
        <row r="14">
          <cell r="AC14">
            <v>27302</v>
          </cell>
        </row>
        <row r="15">
          <cell r="AC15">
            <v>18996</v>
          </cell>
        </row>
        <row r="16">
          <cell r="AC16">
            <v>1045</v>
          </cell>
        </row>
        <row r="17">
          <cell r="AC17">
            <v>560</v>
          </cell>
        </row>
        <row r="18">
          <cell r="AC18">
            <v>1162</v>
          </cell>
        </row>
        <row r="19">
          <cell r="AC19">
            <v>1492</v>
          </cell>
        </row>
        <row r="20">
          <cell r="AC20">
            <v>2783</v>
          </cell>
        </row>
        <row r="21">
          <cell r="AC21">
            <v>3188</v>
          </cell>
        </row>
        <row r="22">
          <cell r="AC22">
            <v>36857</v>
          </cell>
        </row>
        <row r="23">
          <cell r="AC23">
            <v>1046</v>
          </cell>
        </row>
        <row r="24">
          <cell r="AC24">
            <v>1598</v>
          </cell>
        </row>
        <row r="25">
          <cell r="AC25">
            <v>4519</v>
          </cell>
        </row>
        <row r="26">
          <cell r="AC26">
            <v>2516</v>
          </cell>
        </row>
        <row r="27">
          <cell r="AC27">
            <v>2123</v>
          </cell>
        </row>
        <row r="28">
          <cell r="AC28">
            <v>9593</v>
          </cell>
        </row>
        <row r="29">
          <cell r="AC29">
            <v>3763</v>
          </cell>
        </row>
        <row r="30">
          <cell r="AC30">
            <v>1408</v>
          </cell>
        </row>
        <row r="31">
          <cell r="AC31">
            <v>35250</v>
          </cell>
        </row>
        <row r="32">
          <cell r="AC32">
            <v>3358</v>
          </cell>
        </row>
        <row r="33">
          <cell r="AC33">
            <v>18491</v>
          </cell>
        </row>
        <row r="34">
          <cell r="AC34">
            <v>8335</v>
          </cell>
        </row>
        <row r="35">
          <cell r="AC35">
            <v>1351</v>
          </cell>
        </row>
        <row r="36">
          <cell r="AC36">
            <v>3957</v>
          </cell>
        </row>
        <row r="37">
          <cell r="AC37">
            <v>12786</v>
          </cell>
        </row>
        <row r="38">
          <cell r="AC38">
            <v>1743</v>
          </cell>
        </row>
        <row r="39">
          <cell r="AC39">
            <v>3652</v>
          </cell>
        </row>
        <row r="40">
          <cell r="AC40">
            <v>4868</v>
          </cell>
        </row>
        <row r="41">
          <cell r="AC41">
            <v>37185</v>
          </cell>
        </row>
        <row r="42">
          <cell r="AC42">
            <v>11745</v>
          </cell>
        </row>
        <row r="43">
          <cell r="AC43">
            <v>2621</v>
          </cell>
        </row>
        <row r="44">
          <cell r="AC44">
            <v>2439</v>
          </cell>
        </row>
        <row r="45">
          <cell r="AC45">
            <v>16007</v>
          </cell>
        </row>
        <row r="46">
          <cell r="AC46">
            <v>1224</v>
          </cell>
        </row>
        <row r="47">
          <cell r="AC47">
            <v>3119</v>
          </cell>
        </row>
        <row r="48">
          <cell r="AC48">
            <v>2752</v>
          </cell>
        </row>
        <row r="49">
          <cell r="AC49">
            <v>4921</v>
          </cell>
        </row>
        <row r="50">
          <cell r="AC50">
            <v>5032</v>
          </cell>
        </row>
        <row r="51">
          <cell r="AC51">
            <v>993</v>
          </cell>
        </row>
        <row r="52">
          <cell r="AC52">
            <v>2582</v>
          </cell>
        </row>
        <row r="53">
          <cell r="AC53">
            <v>5936</v>
          </cell>
        </row>
        <row r="54">
          <cell r="AC54">
            <v>11636</v>
          </cell>
        </row>
        <row r="55">
          <cell r="AC55">
            <v>6011</v>
          </cell>
        </row>
        <row r="56">
          <cell r="AC56">
            <v>6783</v>
          </cell>
        </row>
        <row r="57">
          <cell r="AC57">
            <v>17449</v>
          </cell>
        </row>
        <row r="58">
          <cell r="AC58">
            <v>14599</v>
          </cell>
        </row>
        <row r="59">
          <cell r="AC59">
            <v>648</v>
          </cell>
        </row>
        <row r="60">
          <cell r="AC60">
            <v>11873</v>
          </cell>
        </row>
        <row r="61">
          <cell r="AC61">
            <v>2103</v>
          </cell>
        </row>
        <row r="62">
          <cell r="AC62">
            <v>5264</v>
          </cell>
        </row>
        <row r="63">
          <cell r="AC63">
            <v>5334</v>
          </cell>
        </row>
        <row r="64">
          <cell r="AC64">
            <v>4444</v>
          </cell>
        </row>
        <row r="65">
          <cell r="AC65">
            <v>4390</v>
          </cell>
        </row>
        <row r="66">
          <cell r="AC66">
            <v>2534</v>
          </cell>
        </row>
        <row r="67">
          <cell r="AC67">
            <v>1620</v>
          </cell>
        </row>
        <row r="68">
          <cell r="AC68">
            <v>1072</v>
          </cell>
        </row>
        <row r="69">
          <cell r="AC69">
            <v>1728</v>
          </cell>
        </row>
        <row r="70">
          <cell r="AC70">
            <v>6857</v>
          </cell>
        </row>
        <row r="71">
          <cell r="AC71">
            <v>1901</v>
          </cell>
        </row>
        <row r="72">
          <cell r="AC72">
            <v>2268</v>
          </cell>
        </row>
        <row r="73">
          <cell r="AC73">
            <v>1443</v>
          </cell>
        </row>
        <row r="74">
          <cell r="AC74">
            <v>2185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ober midyear adj"/>
      <sheetName val="Oct midyear adj_LA virtual"/>
      <sheetName val="Oct midyear adj_Connections"/>
      <sheetName val="Oct midyear adj_OJJ"/>
    </sheetNames>
    <sheetDataSet>
      <sheetData sheetId="0" refreshError="1"/>
      <sheetData sheetId="1">
        <row r="6">
          <cell r="M6">
            <v>-4909.0320000000065</v>
          </cell>
        </row>
      </sheetData>
      <sheetData sheetId="2" refreshError="1"/>
      <sheetData sheetId="3">
        <row r="6">
          <cell r="I6">
            <v>0</v>
          </cell>
          <cell r="K6">
            <v>0</v>
          </cell>
        </row>
        <row r="7">
          <cell r="I7">
            <v>0</v>
          </cell>
          <cell r="K7">
            <v>0</v>
          </cell>
        </row>
        <row r="8">
          <cell r="I8">
            <v>0</v>
          </cell>
          <cell r="K8">
            <v>0</v>
          </cell>
        </row>
        <row r="9">
          <cell r="I9">
            <v>0</v>
          </cell>
          <cell r="K9">
            <v>0</v>
          </cell>
        </row>
        <row r="10">
          <cell r="I10">
            <v>0</v>
          </cell>
          <cell r="K10">
            <v>0</v>
          </cell>
        </row>
        <row r="11">
          <cell r="I11">
            <v>0</v>
          </cell>
          <cell r="K11">
            <v>0</v>
          </cell>
        </row>
        <row r="12">
          <cell r="I12">
            <v>0</v>
          </cell>
          <cell r="K12">
            <v>0</v>
          </cell>
        </row>
        <row r="13">
          <cell r="I13">
            <v>0</v>
          </cell>
          <cell r="K13">
            <v>0</v>
          </cell>
        </row>
        <row r="16">
          <cell r="I16">
            <v>0</v>
          </cell>
          <cell r="K16">
            <v>0</v>
          </cell>
        </row>
        <row r="17">
          <cell r="I17">
            <v>0</v>
          </cell>
          <cell r="K17">
            <v>0</v>
          </cell>
        </row>
        <row r="18">
          <cell r="I18">
            <v>0</v>
          </cell>
          <cell r="K18">
            <v>0</v>
          </cell>
        </row>
        <row r="19">
          <cell r="I19">
            <v>0</v>
          </cell>
          <cell r="K19">
            <v>0</v>
          </cell>
        </row>
        <row r="20">
          <cell r="I20">
            <v>0</v>
          </cell>
          <cell r="K20">
            <v>0</v>
          </cell>
        </row>
        <row r="21">
          <cell r="I21">
            <v>0</v>
          </cell>
          <cell r="K21">
            <v>0</v>
          </cell>
        </row>
        <row r="23">
          <cell r="I23">
            <v>0</v>
          </cell>
          <cell r="K23">
            <v>0</v>
          </cell>
        </row>
        <row r="24">
          <cell r="I24">
            <v>0</v>
          </cell>
          <cell r="K24">
            <v>0</v>
          </cell>
        </row>
        <row r="26">
          <cell r="I26">
            <v>0</v>
          </cell>
          <cell r="K26">
            <v>0</v>
          </cell>
        </row>
        <row r="27">
          <cell r="I27">
            <v>0</v>
          </cell>
          <cell r="K27">
            <v>0</v>
          </cell>
        </row>
        <row r="29">
          <cell r="I29">
            <v>0</v>
          </cell>
          <cell r="K29">
            <v>0</v>
          </cell>
        </row>
        <row r="30">
          <cell r="I30">
            <v>0</v>
          </cell>
          <cell r="K30">
            <v>0</v>
          </cell>
        </row>
        <row r="32">
          <cell r="I32">
            <v>0</v>
          </cell>
          <cell r="K32">
            <v>0</v>
          </cell>
        </row>
        <row r="33">
          <cell r="I33">
            <v>0</v>
          </cell>
          <cell r="K33">
            <v>0</v>
          </cell>
        </row>
        <row r="35">
          <cell r="I35">
            <v>0</v>
          </cell>
          <cell r="K35">
            <v>0</v>
          </cell>
        </row>
        <row r="37">
          <cell r="I37">
            <v>0</v>
          </cell>
          <cell r="K37">
            <v>0</v>
          </cell>
        </row>
        <row r="38">
          <cell r="I38">
            <v>0</v>
          </cell>
          <cell r="K38">
            <v>0</v>
          </cell>
        </row>
        <row r="39">
          <cell r="I39">
            <v>0</v>
          </cell>
          <cell r="K39">
            <v>0</v>
          </cell>
        </row>
        <row r="40">
          <cell r="I40">
            <v>0</v>
          </cell>
          <cell r="K40">
            <v>0</v>
          </cell>
        </row>
        <row r="43">
          <cell r="I43">
            <v>0</v>
          </cell>
          <cell r="K43">
            <v>0</v>
          </cell>
        </row>
        <row r="44">
          <cell r="I44">
            <v>0</v>
          </cell>
          <cell r="K44">
            <v>0</v>
          </cell>
        </row>
        <row r="46">
          <cell r="I46">
            <v>0</v>
          </cell>
          <cell r="K46">
            <v>0</v>
          </cell>
        </row>
        <row r="47">
          <cell r="I47">
            <v>0</v>
          </cell>
          <cell r="K47">
            <v>0</v>
          </cell>
        </row>
        <row r="48">
          <cell r="I48">
            <v>0</v>
          </cell>
          <cell r="K48">
            <v>0</v>
          </cell>
        </row>
        <row r="49">
          <cell r="I49">
            <v>0</v>
          </cell>
          <cell r="K49">
            <v>0</v>
          </cell>
        </row>
        <row r="50">
          <cell r="I50">
            <v>0</v>
          </cell>
          <cell r="K50">
            <v>0</v>
          </cell>
        </row>
        <row r="51">
          <cell r="I51">
            <v>0</v>
          </cell>
          <cell r="K51">
            <v>0</v>
          </cell>
        </row>
        <row r="52">
          <cell r="I52">
            <v>0</v>
          </cell>
          <cell r="K52">
            <v>0</v>
          </cell>
        </row>
        <row r="53">
          <cell r="I53">
            <v>0</v>
          </cell>
          <cell r="K53">
            <v>0</v>
          </cell>
        </row>
        <row r="55">
          <cell r="I55">
            <v>0</v>
          </cell>
          <cell r="K55">
            <v>0</v>
          </cell>
        </row>
        <row r="56">
          <cell r="I56">
            <v>0</v>
          </cell>
          <cell r="K56">
            <v>0</v>
          </cell>
        </row>
        <row r="57">
          <cell r="I57">
            <v>0</v>
          </cell>
          <cell r="K57">
            <v>0</v>
          </cell>
        </row>
        <row r="58">
          <cell r="I58">
            <v>0</v>
          </cell>
          <cell r="K58">
            <v>0</v>
          </cell>
        </row>
        <row r="59">
          <cell r="I59">
            <v>0</v>
          </cell>
          <cell r="K59">
            <v>0</v>
          </cell>
        </row>
        <row r="61">
          <cell r="I61">
            <v>0</v>
          </cell>
          <cell r="K61">
            <v>0</v>
          </cell>
        </row>
        <row r="62">
          <cell r="I62">
            <v>0</v>
          </cell>
          <cell r="K62">
            <v>0</v>
          </cell>
        </row>
        <row r="63">
          <cell r="I63">
            <v>0</v>
          </cell>
          <cell r="K63">
            <v>0</v>
          </cell>
        </row>
        <row r="64">
          <cell r="I64">
            <v>0</v>
          </cell>
          <cell r="K64">
            <v>0</v>
          </cell>
        </row>
        <row r="65">
          <cell r="I65">
            <v>0</v>
          </cell>
          <cell r="K65">
            <v>0</v>
          </cell>
        </row>
        <row r="66">
          <cell r="I66">
            <v>0</v>
          </cell>
          <cell r="K66">
            <v>0</v>
          </cell>
        </row>
        <row r="67">
          <cell r="I67">
            <v>0</v>
          </cell>
          <cell r="K67">
            <v>0</v>
          </cell>
        </row>
        <row r="68">
          <cell r="I68">
            <v>0</v>
          </cell>
          <cell r="K68">
            <v>0</v>
          </cell>
        </row>
        <row r="69">
          <cell r="I69">
            <v>0</v>
          </cell>
          <cell r="K69">
            <v>0</v>
          </cell>
        </row>
        <row r="70">
          <cell r="I70">
            <v>0</v>
          </cell>
          <cell r="K70">
            <v>0</v>
          </cell>
        </row>
        <row r="72">
          <cell r="I72">
            <v>0</v>
          </cell>
          <cell r="K72">
            <v>0</v>
          </cell>
        </row>
        <row r="73">
          <cell r="I73">
            <v>0</v>
          </cell>
          <cell r="K73">
            <v>0</v>
          </cell>
        </row>
        <row r="74">
          <cell r="I74">
            <v>0</v>
          </cell>
          <cell r="K74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5627_CTE -Reformatted"/>
      <sheetName val="MS5627_CTE rollout"/>
    </sheetNames>
    <sheetDataSet>
      <sheetData sheetId="0">
        <row r="7">
          <cell r="AC7">
            <v>2987</v>
          </cell>
        </row>
        <row r="8">
          <cell r="AC8">
            <v>1498</v>
          </cell>
        </row>
        <row r="9">
          <cell r="AC9">
            <v>7753.5</v>
          </cell>
        </row>
        <row r="10">
          <cell r="AC10">
            <v>1686.5</v>
          </cell>
        </row>
        <row r="11">
          <cell r="AC11">
            <v>2293</v>
          </cell>
        </row>
        <row r="12">
          <cell r="AC12">
            <v>1850.5</v>
          </cell>
        </row>
        <row r="13">
          <cell r="AC13">
            <v>751.5</v>
          </cell>
        </row>
        <row r="14">
          <cell r="AC14">
            <v>6695</v>
          </cell>
        </row>
        <row r="15">
          <cell r="AC15">
            <v>11437.5</v>
          </cell>
        </row>
        <row r="16">
          <cell r="AC16">
            <v>8028</v>
          </cell>
        </row>
        <row r="17">
          <cell r="AC17">
            <v>623.5</v>
          </cell>
        </row>
        <row r="18">
          <cell r="AC18">
            <v>513</v>
          </cell>
        </row>
        <row r="19">
          <cell r="AC19">
            <v>729</v>
          </cell>
        </row>
        <row r="20">
          <cell r="AC20">
            <v>518</v>
          </cell>
        </row>
        <row r="21">
          <cell r="AC21">
            <v>1246.5</v>
          </cell>
        </row>
        <row r="22">
          <cell r="AC22">
            <v>1918</v>
          </cell>
        </row>
        <row r="23">
          <cell r="AC23">
            <v>15616.5</v>
          </cell>
        </row>
        <row r="24">
          <cell r="AC24">
            <v>420.5</v>
          </cell>
        </row>
        <row r="25">
          <cell r="AC25">
            <v>683</v>
          </cell>
        </row>
        <row r="26">
          <cell r="AC26">
            <v>1815</v>
          </cell>
        </row>
        <row r="27">
          <cell r="AC27">
            <v>1198.5</v>
          </cell>
        </row>
        <row r="28">
          <cell r="AC28">
            <v>920</v>
          </cell>
        </row>
        <row r="29">
          <cell r="AC29">
            <v>5491</v>
          </cell>
        </row>
        <row r="30">
          <cell r="AC30">
            <v>1158</v>
          </cell>
        </row>
        <row r="31">
          <cell r="AC31">
            <v>1241.5</v>
          </cell>
        </row>
        <row r="32">
          <cell r="AC32">
            <v>12638</v>
          </cell>
        </row>
        <row r="33">
          <cell r="AC33">
            <v>2317.5</v>
          </cell>
        </row>
        <row r="34">
          <cell r="AC34">
            <v>6269</v>
          </cell>
        </row>
        <row r="35">
          <cell r="AC35">
            <v>5750.5</v>
          </cell>
        </row>
        <row r="36">
          <cell r="AC36">
            <v>906.5</v>
          </cell>
        </row>
        <row r="37">
          <cell r="AC37">
            <v>2323</v>
          </cell>
        </row>
        <row r="38">
          <cell r="AC38">
            <v>10601.5</v>
          </cell>
        </row>
        <row r="39">
          <cell r="AC39">
            <v>636.5</v>
          </cell>
        </row>
        <row r="40">
          <cell r="AC40">
            <v>1792</v>
          </cell>
        </row>
        <row r="41">
          <cell r="AC41">
            <v>1877</v>
          </cell>
        </row>
        <row r="42">
          <cell r="AC42">
            <v>4952.5</v>
          </cell>
        </row>
        <row r="43">
          <cell r="AC43">
            <v>3845</v>
          </cell>
        </row>
        <row r="44">
          <cell r="AC44">
            <v>1287.5</v>
          </cell>
        </row>
        <row r="45">
          <cell r="AC45">
            <v>891.5</v>
          </cell>
        </row>
        <row r="46">
          <cell r="AC46">
            <v>10142</v>
          </cell>
        </row>
        <row r="47">
          <cell r="AC47">
            <v>841.5</v>
          </cell>
        </row>
        <row r="48">
          <cell r="AC48">
            <v>955.5</v>
          </cell>
        </row>
        <row r="49">
          <cell r="AC49">
            <v>1513.5</v>
          </cell>
        </row>
        <row r="50">
          <cell r="AC50">
            <v>1801.5</v>
          </cell>
        </row>
        <row r="51">
          <cell r="AC51">
            <v>4040</v>
          </cell>
        </row>
        <row r="52">
          <cell r="AC52">
            <v>313.5</v>
          </cell>
        </row>
        <row r="53">
          <cell r="AC53">
            <v>1640.5</v>
          </cell>
        </row>
        <row r="54">
          <cell r="AC54">
            <v>2130.5</v>
          </cell>
        </row>
        <row r="55">
          <cell r="AC55">
            <v>4680</v>
          </cell>
        </row>
        <row r="56">
          <cell r="AC56">
            <v>3473.5</v>
          </cell>
        </row>
        <row r="57">
          <cell r="AC57">
            <v>3065</v>
          </cell>
        </row>
        <row r="58">
          <cell r="AC58">
            <v>18246</v>
          </cell>
        </row>
        <row r="59">
          <cell r="AC59">
            <v>6521</v>
          </cell>
        </row>
        <row r="60">
          <cell r="AC60">
            <v>235</v>
          </cell>
        </row>
        <row r="61">
          <cell r="AC61">
            <v>6237.5</v>
          </cell>
        </row>
        <row r="62">
          <cell r="AC62">
            <v>807</v>
          </cell>
        </row>
        <row r="63">
          <cell r="AC63">
            <v>3235.5</v>
          </cell>
        </row>
        <row r="64">
          <cell r="AC64">
            <v>3275</v>
          </cell>
        </row>
        <row r="65">
          <cell r="AC65">
            <v>2145.5</v>
          </cell>
        </row>
        <row r="66">
          <cell r="AC66">
            <v>2676</v>
          </cell>
        </row>
        <row r="67">
          <cell r="AC67">
            <v>1264</v>
          </cell>
        </row>
        <row r="68">
          <cell r="AC68">
            <v>665.5</v>
          </cell>
        </row>
        <row r="69">
          <cell r="AC69">
            <v>614</v>
          </cell>
        </row>
        <row r="70">
          <cell r="AC70">
            <v>1264</v>
          </cell>
        </row>
        <row r="71">
          <cell r="AC71">
            <v>2275.5</v>
          </cell>
        </row>
        <row r="72">
          <cell r="AC72">
            <v>417</v>
          </cell>
        </row>
        <row r="73">
          <cell r="AC73">
            <v>1467</v>
          </cell>
        </row>
        <row r="74">
          <cell r="AC74">
            <v>679</v>
          </cell>
        </row>
        <row r="75">
          <cell r="AC75">
            <v>1416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up_Level1 Formatted 2"/>
      <sheetName val="Rollup_Level1 Formatted"/>
      <sheetName val="Rollup_Level2 Formatted 2"/>
      <sheetName val="Rollup_Level2 Formatted"/>
      <sheetName val="Rollup_Level3 Formatted 2"/>
      <sheetName val="Rollup_Level3 Formatted"/>
      <sheetName val="Rollup_Level1"/>
      <sheetName val="Rollup_Level2"/>
      <sheetName val="Rollup_Level3"/>
      <sheetName val="Level 1"/>
      <sheetName val="Level 2"/>
      <sheetName val="Level 3"/>
      <sheetName val="Sheet1"/>
    </sheetNames>
    <sheetDataSet>
      <sheetData sheetId="0">
        <row r="6">
          <cell r="Y6">
            <v>151</v>
          </cell>
        </row>
        <row r="7">
          <cell r="Y7">
            <v>112</v>
          </cell>
        </row>
        <row r="8">
          <cell r="Y8">
            <v>483</v>
          </cell>
        </row>
        <row r="9">
          <cell r="Y9">
            <v>101</v>
          </cell>
        </row>
        <row r="10">
          <cell r="Y10">
            <v>103</v>
          </cell>
        </row>
        <row r="11">
          <cell r="Y11">
            <v>50</v>
          </cell>
        </row>
        <row r="12">
          <cell r="Y12">
            <v>44</v>
          </cell>
        </row>
        <row r="13">
          <cell r="Y13">
            <v>307</v>
          </cell>
        </row>
        <row r="14">
          <cell r="Y14">
            <v>332</v>
          </cell>
        </row>
        <row r="15">
          <cell r="Y15">
            <v>803</v>
          </cell>
        </row>
        <row r="16">
          <cell r="Y16">
            <v>25</v>
          </cell>
        </row>
        <row r="17">
          <cell r="Y17">
            <v>35</v>
          </cell>
        </row>
        <row r="18">
          <cell r="Y18">
            <v>33</v>
          </cell>
        </row>
        <row r="19">
          <cell r="Y19">
            <v>33</v>
          </cell>
        </row>
        <row r="20">
          <cell r="Y20">
            <v>54</v>
          </cell>
        </row>
        <row r="21">
          <cell r="Y21">
            <v>158</v>
          </cell>
        </row>
        <row r="22">
          <cell r="Y22">
            <v>704</v>
          </cell>
        </row>
        <row r="23">
          <cell r="Y23">
            <v>16</v>
          </cell>
        </row>
        <row r="24">
          <cell r="Y24">
            <v>54</v>
          </cell>
        </row>
        <row r="25">
          <cell r="Y25">
            <v>65</v>
          </cell>
        </row>
        <row r="26">
          <cell r="Y26">
            <v>30</v>
          </cell>
        </row>
        <row r="27">
          <cell r="Y27">
            <v>53</v>
          </cell>
        </row>
        <row r="28">
          <cell r="Y28">
            <v>307</v>
          </cell>
        </row>
        <row r="29">
          <cell r="Y29">
            <v>66</v>
          </cell>
        </row>
        <row r="30">
          <cell r="Y30">
            <v>25</v>
          </cell>
        </row>
        <row r="31">
          <cell r="Y31">
            <v>1145</v>
          </cell>
        </row>
        <row r="32">
          <cell r="Y32">
            <v>156</v>
          </cell>
        </row>
        <row r="33">
          <cell r="Y33">
            <v>423</v>
          </cell>
        </row>
        <row r="34">
          <cell r="Y34">
            <v>158</v>
          </cell>
        </row>
        <row r="35">
          <cell r="Y35">
            <v>38</v>
          </cell>
        </row>
        <row r="36">
          <cell r="Y36">
            <v>88</v>
          </cell>
        </row>
        <row r="37">
          <cell r="Y37">
            <v>570</v>
          </cell>
        </row>
        <row r="38">
          <cell r="Y38">
            <v>16</v>
          </cell>
        </row>
        <row r="39">
          <cell r="Y39">
            <v>61</v>
          </cell>
        </row>
        <row r="40">
          <cell r="Y40">
            <v>55</v>
          </cell>
        </row>
        <row r="41">
          <cell r="Y41">
            <v>764</v>
          </cell>
        </row>
        <row r="42">
          <cell r="Y42">
            <v>391</v>
          </cell>
        </row>
        <row r="43">
          <cell r="Y43">
            <v>67</v>
          </cell>
        </row>
        <row r="44">
          <cell r="Y44">
            <v>109</v>
          </cell>
        </row>
        <row r="45">
          <cell r="Y45">
            <v>323</v>
          </cell>
        </row>
        <row r="46">
          <cell r="Y46">
            <v>10</v>
          </cell>
        </row>
        <row r="47">
          <cell r="Y47">
            <v>35</v>
          </cell>
        </row>
        <row r="48">
          <cell r="Y48">
            <v>29</v>
          </cell>
        </row>
        <row r="49">
          <cell r="Y49">
            <v>117</v>
          </cell>
        </row>
        <row r="50">
          <cell r="Y50">
            <v>160</v>
          </cell>
        </row>
        <row r="51">
          <cell r="Y51">
            <v>19</v>
          </cell>
        </row>
        <row r="52">
          <cell r="Y52">
            <v>103</v>
          </cell>
        </row>
        <row r="53">
          <cell r="Y53">
            <v>159</v>
          </cell>
        </row>
        <row r="54">
          <cell r="Y54">
            <v>125</v>
          </cell>
        </row>
        <row r="55">
          <cell r="Y55">
            <v>237</v>
          </cell>
        </row>
        <row r="56">
          <cell r="Y56">
            <v>205</v>
          </cell>
        </row>
        <row r="57">
          <cell r="Y57">
            <v>1238</v>
          </cell>
        </row>
        <row r="58">
          <cell r="Y58">
            <v>280</v>
          </cell>
        </row>
        <row r="59">
          <cell r="Y59">
            <v>26</v>
          </cell>
        </row>
        <row r="60">
          <cell r="Y60">
            <v>544</v>
          </cell>
        </row>
        <row r="61">
          <cell r="Y61">
            <v>48</v>
          </cell>
        </row>
        <row r="62">
          <cell r="Y62">
            <v>201</v>
          </cell>
        </row>
        <row r="63">
          <cell r="Y63">
            <v>126</v>
          </cell>
        </row>
        <row r="64">
          <cell r="Y64">
            <v>125</v>
          </cell>
        </row>
        <row r="65">
          <cell r="Y65">
            <v>61</v>
          </cell>
        </row>
        <row r="66">
          <cell r="Y66">
            <v>42</v>
          </cell>
        </row>
        <row r="67">
          <cell r="Y67">
            <v>90</v>
          </cell>
        </row>
        <row r="68">
          <cell r="Y68">
            <v>48</v>
          </cell>
        </row>
        <row r="69">
          <cell r="Y69">
            <v>41</v>
          </cell>
        </row>
        <row r="70">
          <cell r="Y70">
            <v>122</v>
          </cell>
        </row>
        <row r="71">
          <cell r="Y71">
            <v>64</v>
          </cell>
        </row>
        <row r="72">
          <cell r="Y72">
            <v>56</v>
          </cell>
        </row>
        <row r="73">
          <cell r="Y73">
            <v>23</v>
          </cell>
        </row>
        <row r="74">
          <cell r="Y74">
            <v>24</v>
          </cell>
        </row>
      </sheetData>
      <sheetData sheetId="1"/>
      <sheetData sheetId="2">
        <row r="6">
          <cell r="AB6">
            <v>678</v>
          </cell>
        </row>
        <row r="7">
          <cell r="AB7">
            <v>292</v>
          </cell>
        </row>
        <row r="8">
          <cell r="AB8">
            <v>1494</v>
          </cell>
        </row>
        <row r="9">
          <cell r="AB9">
            <v>333</v>
          </cell>
        </row>
        <row r="10">
          <cell r="AB10">
            <v>386</v>
          </cell>
        </row>
        <row r="11">
          <cell r="AB11">
            <v>762</v>
          </cell>
        </row>
        <row r="12">
          <cell r="AB12">
            <v>144</v>
          </cell>
        </row>
        <row r="13">
          <cell r="AB13">
            <v>1830</v>
          </cell>
        </row>
        <row r="14">
          <cell r="AB14">
            <v>2931</v>
          </cell>
        </row>
        <row r="15">
          <cell r="AB15">
            <v>3657</v>
          </cell>
        </row>
        <row r="16">
          <cell r="AB16">
            <v>262</v>
          </cell>
        </row>
        <row r="17">
          <cell r="AB17">
            <v>101</v>
          </cell>
        </row>
        <row r="18">
          <cell r="AB18">
            <v>109</v>
          </cell>
        </row>
        <row r="19">
          <cell r="AB19">
            <v>277</v>
          </cell>
        </row>
        <row r="20">
          <cell r="AB20">
            <v>263</v>
          </cell>
        </row>
        <row r="21">
          <cell r="AB21">
            <v>347</v>
          </cell>
        </row>
        <row r="22">
          <cell r="AB22">
            <v>3335</v>
          </cell>
        </row>
        <row r="23">
          <cell r="AB23">
            <v>91</v>
          </cell>
        </row>
        <row r="24">
          <cell r="AB24">
            <v>201</v>
          </cell>
        </row>
        <row r="25">
          <cell r="AB25">
            <v>648</v>
          </cell>
        </row>
        <row r="26">
          <cell r="AB26">
            <v>342</v>
          </cell>
        </row>
        <row r="27">
          <cell r="AB27">
            <v>414</v>
          </cell>
        </row>
        <row r="28">
          <cell r="AB28">
            <v>983</v>
          </cell>
        </row>
        <row r="29">
          <cell r="AB29">
            <v>303</v>
          </cell>
        </row>
        <row r="30">
          <cell r="AB30">
            <v>168</v>
          </cell>
        </row>
        <row r="31">
          <cell r="AB31">
            <v>3220</v>
          </cell>
        </row>
        <row r="32">
          <cell r="AB32">
            <v>571</v>
          </cell>
        </row>
        <row r="33">
          <cell r="AB33">
            <v>1863</v>
          </cell>
        </row>
        <row r="34">
          <cell r="AB34">
            <v>701</v>
          </cell>
        </row>
        <row r="35">
          <cell r="AB35">
            <v>173</v>
          </cell>
        </row>
        <row r="36">
          <cell r="AB36">
            <v>568</v>
          </cell>
        </row>
        <row r="37">
          <cell r="AB37">
            <v>2277</v>
          </cell>
        </row>
        <row r="38">
          <cell r="AB38">
            <v>156</v>
          </cell>
        </row>
        <row r="39">
          <cell r="AB39">
            <v>582</v>
          </cell>
        </row>
        <row r="40">
          <cell r="AB40">
            <v>598</v>
          </cell>
        </row>
        <row r="41">
          <cell r="AB41">
            <v>3168</v>
          </cell>
        </row>
        <row r="42">
          <cell r="AB42">
            <v>1844</v>
          </cell>
        </row>
        <row r="43">
          <cell r="AB43">
            <v>365</v>
          </cell>
        </row>
        <row r="44">
          <cell r="AB44">
            <v>319</v>
          </cell>
        </row>
        <row r="45">
          <cell r="AB45">
            <v>1932</v>
          </cell>
        </row>
        <row r="46">
          <cell r="AB46">
            <v>86</v>
          </cell>
        </row>
        <row r="47">
          <cell r="AB47">
            <v>317</v>
          </cell>
        </row>
        <row r="48">
          <cell r="AB48">
            <v>468</v>
          </cell>
        </row>
        <row r="49">
          <cell r="AB49">
            <v>455</v>
          </cell>
        </row>
        <row r="50">
          <cell r="AB50">
            <v>572</v>
          </cell>
        </row>
        <row r="51">
          <cell r="AB51">
            <v>107</v>
          </cell>
        </row>
        <row r="52">
          <cell r="AB52">
            <v>367</v>
          </cell>
        </row>
        <row r="53">
          <cell r="AB53">
            <v>570</v>
          </cell>
        </row>
        <row r="54">
          <cell r="AB54">
            <v>1476</v>
          </cell>
        </row>
        <row r="55">
          <cell r="AB55">
            <v>539</v>
          </cell>
        </row>
        <row r="56">
          <cell r="AB56">
            <v>974</v>
          </cell>
        </row>
        <row r="57">
          <cell r="AB57">
            <v>4288</v>
          </cell>
        </row>
        <row r="58">
          <cell r="AB58">
            <v>1630</v>
          </cell>
        </row>
        <row r="59">
          <cell r="AB59">
            <v>83</v>
          </cell>
        </row>
        <row r="60">
          <cell r="AB60">
            <v>1376</v>
          </cell>
        </row>
        <row r="61">
          <cell r="AB61">
            <v>293</v>
          </cell>
        </row>
        <row r="62">
          <cell r="AB62">
            <v>794</v>
          </cell>
        </row>
        <row r="63">
          <cell r="AB63">
            <v>808</v>
          </cell>
        </row>
        <row r="64">
          <cell r="AB64">
            <v>636</v>
          </cell>
        </row>
        <row r="65">
          <cell r="AB65">
            <v>548</v>
          </cell>
        </row>
        <row r="66">
          <cell r="AB66">
            <v>278</v>
          </cell>
        </row>
        <row r="67">
          <cell r="AB67">
            <v>127</v>
          </cell>
        </row>
        <row r="68">
          <cell r="AB68">
            <v>184</v>
          </cell>
        </row>
        <row r="69">
          <cell r="AB69">
            <v>243</v>
          </cell>
        </row>
        <row r="70">
          <cell r="AB70">
            <v>1038</v>
          </cell>
        </row>
        <row r="71">
          <cell r="AB71">
            <v>398</v>
          </cell>
        </row>
        <row r="72">
          <cell r="AB72">
            <v>294</v>
          </cell>
        </row>
        <row r="73">
          <cell r="AB73">
            <v>159</v>
          </cell>
        </row>
        <row r="74">
          <cell r="AB74">
            <v>214</v>
          </cell>
        </row>
      </sheetData>
      <sheetData sheetId="3"/>
      <sheetData sheetId="4">
        <row r="6">
          <cell r="T6">
            <v>102</v>
          </cell>
        </row>
        <row r="7">
          <cell r="T7">
            <v>46</v>
          </cell>
        </row>
        <row r="8">
          <cell r="T8">
            <v>280</v>
          </cell>
        </row>
        <row r="9">
          <cell r="T9">
            <v>53</v>
          </cell>
        </row>
        <row r="10">
          <cell r="T10">
            <v>98</v>
          </cell>
        </row>
        <row r="11">
          <cell r="T11">
            <v>125</v>
          </cell>
        </row>
        <row r="12">
          <cell r="T12">
            <v>25</v>
          </cell>
        </row>
        <row r="13">
          <cell r="T13">
            <v>337</v>
          </cell>
        </row>
        <row r="14">
          <cell r="T14">
            <v>802</v>
          </cell>
        </row>
        <row r="15">
          <cell r="T15">
            <v>505</v>
          </cell>
        </row>
        <row r="16">
          <cell r="T16">
            <v>16</v>
          </cell>
        </row>
        <row r="17">
          <cell r="T17">
            <v>12</v>
          </cell>
        </row>
        <row r="18">
          <cell r="T18">
            <v>28</v>
          </cell>
        </row>
        <row r="19">
          <cell r="T19">
            <v>38</v>
          </cell>
        </row>
        <row r="20">
          <cell r="T20">
            <v>39</v>
          </cell>
        </row>
        <row r="21">
          <cell r="T21">
            <v>60</v>
          </cell>
        </row>
        <row r="22">
          <cell r="T22">
            <v>598</v>
          </cell>
        </row>
        <row r="23">
          <cell r="T23">
            <v>15</v>
          </cell>
        </row>
        <row r="24">
          <cell r="T24">
            <v>25</v>
          </cell>
        </row>
        <row r="25">
          <cell r="T25">
            <v>114</v>
          </cell>
        </row>
        <row r="26">
          <cell r="T26">
            <v>36</v>
          </cell>
        </row>
        <row r="27">
          <cell r="T27">
            <v>35</v>
          </cell>
        </row>
        <row r="28">
          <cell r="T28">
            <v>290</v>
          </cell>
        </row>
        <row r="29">
          <cell r="T29">
            <v>73</v>
          </cell>
        </row>
        <row r="30">
          <cell r="T30">
            <v>22</v>
          </cell>
        </row>
        <row r="31">
          <cell r="T31">
            <v>1045</v>
          </cell>
        </row>
        <row r="32">
          <cell r="T32">
            <v>79</v>
          </cell>
        </row>
        <row r="33">
          <cell r="T33">
            <v>467</v>
          </cell>
        </row>
        <row r="34">
          <cell r="T34">
            <v>272</v>
          </cell>
        </row>
        <row r="35">
          <cell r="T35">
            <v>20</v>
          </cell>
        </row>
        <row r="36">
          <cell r="T36">
            <v>93</v>
          </cell>
        </row>
        <row r="37">
          <cell r="T37">
            <v>376</v>
          </cell>
        </row>
        <row r="38">
          <cell r="T38">
            <v>35</v>
          </cell>
        </row>
        <row r="39">
          <cell r="T39">
            <v>63</v>
          </cell>
        </row>
        <row r="40">
          <cell r="T40">
            <v>89</v>
          </cell>
        </row>
        <row r="41">
          <cell r="T41">
            <v>861</v>
          </cell>
        </row>
        <row r="42">
          <cell r="T42">
            <v>283</v>
          </cell>
        </row>
        <row r="43">
          <cell r="T43">
            <v>79</v>
          </cell>
        </row>
        <row r="44">
          <cell r="T44">
            <v>44</v>
          </cell>
        </row>
        <row r="45">
          <cell r="T45">
            <v>312</v>
          </cell>
        </row>
        <row r="46">
          <cell r="T46">
            <v>28</v>
          </cell>
        </row>
        <row r="47">
          <cell r="T47">
            <v>51</v>
          </cell>
        </row>
        <row r="48">
          <cell r="T48">
            <v>40</v>
          </cell>
        </row>
        <row r="49">
          <cell r="T49">
            <v>132</v>
          </cell>
        </row>
        <row r="50">
          <cell r="T50">
            <v>197</v>
          </cell>
        </row>
        <row r="51">
          <cell r="T51">
            <v>9</v>
          </cell>
        </row>
        <row r="52">
          <cell r="T52">
            <v>35</v>
          </cell>
        </row>
        <row r="53">
          <cell r="T53">
            <v>121</v>
          </cell>
        </row>
        <row r="54">
          <cell r="T54">
            <v>204</v>
          </cell>
        </row>
        <row r="55">
          <cell r="T55">
            <v>90</v>
          </cell>
        </row>
        <row r="56">
          <cell r="T56">
            <v>153</v>
          </cell>
        </row>
        <row r="57">
          <cell r="T57">
            <v>684</v>
          </cell>
        </row>
        <row r="58">
          <cell r="T58">
            <v>280</v>
          </cell>
        </row>
        <row r="59">
          <cell r="T59">
            <v>7</v>
          </cell>
        </row>
        <row r="60">
          <cell r="T60">
            <v>253</v>
          </cell>
        </row>
        <row r="61">
          <cell r="T61">
            <v>32</v>
          </cell>
        </row>
        <row r="62">
          <cell r="T62">
            <v>98</v>
          </cell>
        </row>
        <row r="63">
          <cell r="T63">
            <v>86</v>
          </cell>
        </row>
        <row r="64">
          <cell r="T64">
            <v>69</v>
          </cell>
        </row>
        <row r="65">
          <cell r="T65">
            <v>104</v>
          </cell>
        </row>
        <row r="66">
          <cell r="T66">
            <v>49</v>
          </cell>
        </row>
        <row r="67">
          <cell r="T67">
            <v>17</v>
          </cell>
        </row>
        <row r="68">
          <cell r="T68">
            <v>28</v>
          </cell>
        </row>
        <row r="69">
          <cell r="T69">
            <v>37</v>
          </cell>
        </row>
        <row r="70">
          <cell r="T70">
            <v>139</v>
          </cell>
        </row>
        <row r="71">
          <cell r="T71">
            <v>38</v>
          </cell>
        </row>
        <row r="72">
          <cell r="T72">
            <v>72</v>
          </cell>
        </row>
        <row r="73">
          <cell r="T73">
            <v>32</v>
          </cell>
        </row>
        <row r="74">
          <cell r="T74">
            <v>41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up_Level1-REFORMATTED (2)"/>
      <sheetName val="Rollup_Level1-REFORMATTED"/>
      <sheetName val="Rollup_Level2_REFORMATTED (2)"/>
      <sheetName val="Rollup_Level2_REFORMATTED"/>
      <sheetName val="Rollup_Level3 FORMATTED (2)"/>
      <sheetName val="Rollup_Level3 FORMATTED"/>
      <sheetName val="Rollup_Level4"/>
      <sheetName val="Rollup_Level1"/>
      <sheetName val="Rollup_Level2"/>
      <sheetName val="Rollup_Level3"/>
      <sheetName val="Level1"/>
      <sheetName val="Level2"/>
      <sheetName val="Level3"/>
      <sheetName val="Level4"/>
    </sheetNames>
    <sheetDataSet>
      <sheetData sheetId="0">
        <row r="5">
          <cell r="P5">
            <v>140</v>
          </cell>
        </row>
        <row r="6">
          <cell r="P6">
            <v>37</v>
          </cell>
        </row>
        <row r="7">
          <cell r="P7">
            <v>140</v>
          </cell>
        </row>
        <row r="8">
          <cell r="P8">
            <v>26</v>
          </cell>
        </row>
        <row r="9">
          <cell r="P9">
            <v>81</v>
          </cell>
        </row>
        <row r="10">
          <cell r="P10">
            <v>72</v>
          </cell>
        </row>
        <row r="11">
          <cell r="P11">
            <v>23</v>
          </cell>
        </row>
        <row r="12">
          <cell r="P12">
            <v>245</v>
          </cell>
        </row>
        <row r="13">
          <cell r="P13">
            <v>1180</v>
          </cell>
        </row>
        <row r="14">
          <cell r="P14">
            <v>551</v>
          </cell>
        </row>
        <row r="15">
          <cell r="P15">
            <v>14</v>
          </cell>
        </row>
        <row r="16">
          <cell r="P16">
            <v>6</v>
          </cell>
        </row>
        <row r="17">
          <cell r="P17">
            <v>23</v>
          </cell>
        </row>
        <row r="18">
          <cell r="P18">
            <v>25</v>
          </cell>
        </row>
        <row r="19">
          <cell r="P19">
            <v>6</v>
          </cell>
        </row>
        <row r="20">
          <cell r="P20">
            <v>69</v>
          </cell>
        </row>
        <row r="21">
          <cell r="P21">
            <v>903</v>
          </cell>
        </row>
        <row r="22">
          <cell r="P22">
            <v>1</v>
          </cell>
        </row>
        <row r="23">
          <cell r="P23">
            <v>37</v>
          </cell>
        </row>
        <row r="24">
          <cell r="P24">
            <v>174</v>
          </cell>
        </row>
        <row r="25">
          <cell r="P25">
            <v>37</v>
          </cell>
        </row>
        <row r="26">
          <cell r="P26">
            <v>15</v>
          </cell>
        </row>
        <row r="27">
          <cell r="P27">
            <v>178</v>
          </cell>
        </row>
        <row r="28">
          <cell r="P28">
            <v>34</v>
          </cell>
        </row>
        <row r="29">
          <cell r="P29">
            <v>15</v>
          </cell>
        </row>
        <row r="30">
          <cell r="P30">
            <v>1078</v>
          </cell>
        </row>
        <row r="31">
          <cell r="P31">
            <v>38</v>
          </cell>
        </row>
        <row r="32">
          <cell r="P32">
            <v>469</v>
          </cell>
        </row>
        <row r="33">
          <cell r="P33">
            <v>123</v>
          </cell>
        </row>
        <row r="34">
          <cell r="P34">
            <v>13</v>
          </cell>
        </row>
        <row r="35">
          <cell r="P35">
            <v>102</v>
          </cell>
        </row>
        <row r="36">
          <cell r="P36">
            <v>281</v>
          </cell>
        </row>
        <row r="37">
          <cell r="P37">
            <v>38</v>
          </cell>
        </row>
        <row r="38">
          <cell r="P38">
            <v>61</v>
          </cell>
        </row>
        <row r="39">
          <cell r="P39">
            <v>97</v>
          </cell>
        </row>
        <row r="40">
          <cell r="P40">
            <v>359</v>
          </cell>
        </row>
        <row r="41">
          <cell r="P41">
            <v>162</v>
          </cell>
        </row>
        <row r="42">
          <cell r="P42">
            <v>59</v>
          </cell>
        </row>
        <row r="43">
          <cell r="P43">
            <v>39</v>
          </cell>
        </row>
        <row r="44">
          <cell r="P44">
            <v>379</v>
          </cell>
        </row>
        <row r="45">
          <cell r="P45">
            <v>10</v>
          </cell>
        </row>
        <row r="46">
          <cell r="P46">
            <v>25</v>
          </cell>
        </row>
        <row r="47">
          <cell r="P47">
            <v>68</v>
          </cell>
        </row>
        <row r="48">
          <cell r="P48">
            <v>73</v>
          </cell>
        </row>
        <row r="49">
          <cell r="P49">
            <v>156</v>
          </cell>
        </row>
        <row r="50">
          <cell r="P50">
            <v>11</v>
          </cell>
        </row>
        <row r="51">
          <cell r="P51">
            <v>26</v>
          </cell>
        </row>
        <row r="52">
          <cell r="P52">
            <v>83</v>
          </cell>
        </row>
        <row r="53">
          <cell r="P53">
            <v>149</v>
          </cell>
        </row>
        <row r="54">
          <cell r="P54">
            <v>102</v>
          </cell>
        </row>
        <row r="55">
          <cell r="P55">
            <v>147</v>
          </cell>
        </row>
        <row r="56">
          <cell r="P56">
            <v>1058</v>
          </cell>
        </row>
        <row r="57">
          <cell r="P57">
            <v>365</v>
          </cell>
        </row>
        <row r="58">
          <cell r="P58">
            <v>24</v>
          </cell>
        </row>
        <row r="59">
          <cell r="P59">
            <v>122</v>
          </cell>
        </row>
        <row r="60">
          <cell r="P60">
            <v>22</v>
          </cell>
        </row>
        <row r="61">
          <cell r="P61">
            <v>98</v>
          </cell>
        </row>
        <row r="62">
          <cell r="P62">
            <v>83</v>
          </cell>
        </row>
        <row r="63">
          <cell r="P63">
            <v>65</v>
          </cell>
        </row>
        <row r="64">
          <cell r="P64">
            <v>70</v>
          </cell>
        </row>
        <row r="65">
          <cell r="P65">
            <v>33</v>
          </cell>
        </row>
        <row r="66">
          <cell r="P66">
            <v>26</v>
          </cell>
        </row>
        <row r="67">
          <cell r="P67">
            <v>16</v>
          </cell>
        </row>
        <row r="68">
          <cell r="P68">
            <v>32</v>
          </cell>
        </row>
        <row r="69">
          <cell r="P69">
            <v>131</v>
          </cell>
        </row>
        <row r="70">
          <cell r="P70">
            <v>33</v>
          </cell>
        </row>
        <row r="71">
          <cell r="P71">
            <v>107</v>
          </cell>
        </row>
        <row r="72">
          <cell r="P72">
            <v>70</v>
          </cell>
        </row>
        <row r="73">
          <cell r="P73">
            <v>47</v>
          </cell>
        </row>
      </sheetData>
      <sheetData sheetId="1" refreshError="1"/>
      <sheetData sheetId="2">
        <row r="5">
          <cell r="V5">
            <v>140</v>
          </cell>
        </row>
        <row r="6">
          <cell r="V6">
            <v>115</v>
          </cell>
        </row>
        <row r="7">
          <cell r="V7">
            <v>337</v>
          </cell>
        </row>
        <row r="8">
          <cell r="V8">
            <v>71</v>
          </cell>
        </row>
        <row r="9">
          <cell r="V9">
            <v>100</v>
          </cell>
        </row>
        <row r="10">
          <cell r="V10">
            <v>193</v>
          </cell>
        </row>
        <row r="11">
          <cell r="V11">
            <v>32</v>
          </cell>
        </row>
        <row r="12">
          <cell r="V12">
            <v>758</v>
          </cell>
        </row>
        <row r="13">
          <cell r="V13">
            <v>789</v>
          </cell>
        </row>
        <row r="14">
          <cell r="V14">
            <v>838</v>
          </cell>
        </row>
        <row r="15">
          <cell r="V15">
            <v>52</v>
          </cell>
        </row>
        <row r="16">
          <cell r="V16">
            <v>24</v>
          </cell>
        </row>
        <row r="17">
          <cell r="V17">
            <v>35</v>
          </cell>
        </row>
        <row r="18">
          <cell r="V18">
            <v>123</v>
          </cell>
        </row>
        <row r="19">
          <cell r="V19">
            <v>150</v>
          </cell>
        </row>
        <row r="20">
          <cell r="V20">
            <v>105</v>
          </cell>
        </row>
        <row r="21">
          <cell r="V21">
            <v>692</v>
          </cell>
        </row>
        <row r="22">
          <cell r="V22">
            <v>22</v>
          </cell>
        </row>
        <row r="23">
          <cell r="V23">
            <v>71</v>
          </cell>
        </row>
        <row r="24">
          <cell r="V24">
            <v>249</v>
          </cell>
        </row>
        <row r="25">
          <cell r="V25">
            <v>53</v>
          </cell>
        </row>
        <row r="26">
          <cell r="V26">
            <v>95</v>
          </cell>
        </row>
        <row r="27">
          <cell r="V27">
            <v>201</v>
          </cell>
        </row>
        <row r="28">
          <cell r="V28">
            <v>94</v>
          </cell>
        </row>
        <row r="29">
          <cell r="V29">
            <v>39</v>
          </cell>
        </row>
        <row r="30">
          <cell r="V30">
            <v>1283</v>
          </cell>
        </row>
        <row r="31">
          <cell r="V31">
            <v>201</v>
          </cell>
        </row>
        <row r="32">
          <cell r="V32">
            <v>720</v>
          </cell>
        </row>
        <row r="33">
          <cell r="V33">
            <v>155</v>
          </cell>
        </row>
        <row r="34">
          <cell r="V34">
            <v>53</v>
          </cell>
        </row>
        <row r="35">
          <cell r="V35">
            <v>112</v>
          </cell>
        </row>
        <row r="36">
          <cell r="V36">
            <v>870</v>
          </cell>
        </row>
        <row r="37">
          <cell r="V37">
            <v>59</v>
          </cell>
        </row>
        <row r="38">
          <cell r="V38">
            <v>128</v>
          </cell>
        </row>
        <row r="39">
          <cell r="V39">
            <v>383</v>
          </cell>
        </row>
        <row r="40">
          <cell r="V40">
            <v>582</v>
          </cell>
        </row>
        <row r="41">
          <cell r="V41">
            <v>661</v>
          </cell>
        </row>
        <row r="42">
          <cell r="V42">
            <v>148</v>
          </cell>
        </row>
        <row r="43">
          <cell r="V43">
            <v>69</v>
          </cell>
        </row>
        <row r="44">
          <cell r="V44">
            <v>866</v>
          </cell>
        </row>
        <row r="45">
          <cell r="V45">
            <v>31</v>
          </cell>
        </row>
        <row r="46">
          <cell r="V46">
            <v>121</v>
          </cell>
        </row>
        <row r="47">
          <cell r="V47">
            <v>106</v>
          </cell>
        </row>
        <row r="48">
          <cell r="V48">
            <v>170</v>
          </cell>
        </row>
        <row r="49">
          <cell r="V49">
            <v>390</v>
          </cell>
        </row>
        <row r="50">
          <cell r="V50">
            <v>12</v>
          </cell>
        </row>
        <row r="51">
          <cell r="V51">
            <v>107</v>
          </cell>
        </row>
        <row r="52">
          <cell r="V52">
            <v>132</v>
          </cell>
        </row>
        <row r="53">
          <cell r="V53">
            <v>500</v>
          </cell>
        </row>
        <row r="54">
          <cell r="V54">
            <v>162</v>
          </cell>
        </row>
        <row r="55">
          <cell r="V55">
            <v>405</v>
          </cell>
        </row>
        <row r="56">
          <cell r="V56">
            <v>1466</v>
          </cell>
        </row>
        <row r="57">
          <cell r="V57">
            <v>467</v>
          </cell>
        </row>
        <row r="58">
          <cell r="V58">
            <v>3</v>
          </cell>
        </row>
        <row r="59">
          <cell r="V59">
            <v>430</v>
          </cell>
        </row>
        <row r="60">
          <cell r="V60">
            <v>108</v>
          </cell>
        </row>
        <row r="61">
          <cell r="V61">
            <v>126</v>
          </cell>
        </row>
        <row r="62">
          <cell r="V62">
            <v>262</v>
          </cell>
        </row>
        <row r="63">
          <cell r="V63">
            <v>140</v>
          </cell>
        </row>
        <row r="64">
          <cell r="V64">
            <v>171</v>
          </cell>
        </row>
        <row r="65">
          <cell r="V65">
            <v>74</v>
          </cell>
        </row>
        <row r="66">
          <cell r="V66">
            <v>75</v>
          </cell>
        </row>
        <row r="67">
          <cell r="V67">
            <v>22</v>
          </cell>
        </row>
        <row r="68">
          <cell r="V68">
            <v>81</v>
          </cell>
        </row>
        <row r="69">
          <cell r="V69">
            <v>170</v>
          </cell>
        </row>
        <row r="70">
          <cell r="V70">
            <v>63</v>
          </cell>
        </row>
        <row r="71">
          <cell r="V71">
            <v>80</v>
          </cell>
        </row>
        <row r="72">
          <cell r="V72">
            <v>50</v>
          </cell>
        </row>
        <row r="73">
          <cell r="V73">
            <v>76</v>
          </cell>
        </row>
      </sheetData>
      <sheetData sheetId="3" refreshError="1"/>
      <sheetData sheetId="4">
        <row r="5">
          <cell r="Y5">
            <v>382</v>
          </cell>
        </row>
        <row r="6">
          <cell r="Y6">
            <v>161</v>
          </cell>
        </row>
        <row r="7">
          <cell r="Y7">
            <v>924</v>
          </cell>
        </row>
        <row r="8">
          <cell r="Y8">
            <v>224</v>
          </cell>
        </row>
        <row r="9">
          <cell r="Y9">
            <v>263</v>
          </cell>
        </row>
        <row r="10">
          <cell r="Y10">
            <v>611</v>
          </cell>
        </row>
        <row r="11">
          <cell r="Y11">
            <v>88</v>
          </cell>
        </row>
        <row r="12">
          <cell r="Y12">
            <v>1002</v>
          </cell>
        </row>
        <row r="13">
          <cell r="Y13">
            <v>1697</v>
          </cell>
        </row>
        <row r="14">
          <cell r="Y14">
            <v>2555</v>
          </cell>
        </row>
        <row r="15">
          <cell r="Y15">
            <v>205</v>
          </cell>
        </row>
        <row r="16">
          <cell r="Y16">
            <v>78</v>
          </cell>
        </row>
        <row r="17">
          <cell r="Y17">
            <v>61</v>
          </cell>
        </row>
        <row r="18">
          <cell r="Y18">
            <v>159</v>
          </cell>
        </row>
        <row r="19">
          <cell r="Y19">
            <v>123</v>
          </cell>
        </row>
        <row r="20">
          <cell r="Y20">
            <v>213</v>
          </cell>
        </row>
        <row r="21">
          <cell r="Y21">
            <v>1547</v>
          </cell>
        </row>
        <row r="22">
          <cell r="Y22">
            <v>79</v>
          </cell>
        </row>
        <row r="23">
          <cell r="Y23">
            <v>72</v>
          </cell>
        </row>
        <row r="24">
          <cell r="Y24">
            <v>295</v>
          </cell>
        </row>
        <row r="25">
          <cell r="Y25">
            <v>249</v>
          </cell>
        </row>
        <row r="26">
          <cell r="Y26">
            <v>309</v>
          </cell>
        </row>
        <row r="27">
          <cell r="Y27">
            <v>671</v>
          </cell>
        </row>
        <row r="28">
          <cell r="Y28">
            <v>202</v>
          </cell>
        </row>
        <row r="29">
          <cell r="Y29">
            <v>123</v>
          </cell>
        </row>
        <row r="30">
          <cell r="Y30">
            <v>1298</v>
          </cell>
        </row>
        <row r="31">
          <cell r="Y31">
            <v>384</v>
          </cell>
        </row>
        <row r="32">
          <cell r="Y32">
            <v>633</v>
          </cell>
        </row>
        <row r="33">
          <cell r="Y33">
            <v>555</v>
          </cell>
        </row>
        <row r="34">
          <cell r="Y34">
            <v>119</v>
          </cell>
        </row>
        <row r="35">
          <cell r="Y35">
            <v>417</v>
          </cell>
        </row>
        <row r="36">
          <cell r="Y36">
            <v>1221</v>
          </cell>
        </row>
        <row r="37">
          <cell r="Y37">
            <v>90</v>
          </cell>
        </row>
        <row r="38">
          <cell r="Y38">
            <v>437</v>
          </cell>
        </row>
        <row r="39">
          <cell r="Y39">
            <v>155</v>
          </cell>
        </row>
        <row r="40">
          <cell r="Y40">
            <v>2391</v>
          </cell>
        </row>
        <row r="41">
          <cell r="Y41">
            <v>1116</v>
          </cell>
        </row>
        <row r="42">
          <cell r="Y42">
            <v>180</v>
          </cell>
        </row>
        <row r="43">
          <cell r="Y43">
            <v>173</v>
          </cell>
        </row>
        <row r="44">
          <cell r="Y44">
            <v>931</v>
          </cell>
        </row>
        <row r="45">
          <cell r="Y45">
            <v>61</v>
          </cell>
        </row>
        <row r="46">
          <cell r="Y46">
            <v>205</v>
          </cell>
        </row>
        <row r="47">
          <cell r="Y47">
            <v>330</v>
          </cell>
        </row>
        <row r="48">
          <cell r="Y48">
            <v>262</v>
          </cell>
        </row>
        <row r="49">
          <cell r="Y49">
            <v>160</v>
          </cell>
        </row>
        <row r="50">
          <cell r="Y50">
            <v>66</v>
          </cell>
        </row>
        <row r="51">
          <cell r="Y51">
            <v>187</v>
          </cell>
        </row>
        <row r="52">
          <cell r="Y52">
            <v>374</v>
          </cell>
        </row>
        <row r="53">
          <cell r="Y53">
            <v>880</v>
          </cell>
        </row>
        <row r="54">
          <cell r="Y54">
            <v>287</v>
          </cell>
        </row>
        <row r="55">
          <cell r="Y55">
            <v>441</v>
          </cell>
        </row>
        <row r="56">
          <cell r="Y56">
            <v>1959</v>
          </cell>
        </row>
        <row r="57">
          <cell r="Y57">
            <v>873</v>
          </cell>
        </row>
        <row r="58">
          <cell r="Y58">
            <v>57</v>
          </cell>
        </row>
        <row r="59">
          <cell r="Y59">
            <v>962</v>
          </cell>
        </row>
        <row r="60">
          <cell r="Y60">
            <v>159</v>
          </cell>
        </row>
        <row r="61">
          <cell r="Y61">
            <v>593</v>
          </cell>
        </row>
        <row r="62">
          <cell r="Y62">
            <v>459</v>
          </cell>
        </row>
        <row r="63">
          <cell r="Y63">
            <v>423</v>
          </cell>
        </row>
        <row r="64">
          <cell r="Y64">
            <v>392</v>
          </cell>
        </row>
        <row r="65">
          <cell r="Y65">
            <v>186</v>
          </cell>
        </row>
        <row r="66">
          <cell r="Y66">
            <v>33</v>
          </cell>
        </row>
        <row r="67">
          <cell r="Y67">
            <v>143</v>
          </cell>
        </row>
        <row r="68">
          <cell r="Y68">
            <v>159</v>
          </cell>
        </row>
        <row r="69">
          <cell r="Y69">
            <v>798</v>
          </cell>
        </row>
        <row r="70">
          <cell r="Y70">
            <v>306</v>
          </cell>
        </row>
        <row r="71">
          <cell r="Y71">
            <v>123</v>
          </cell>
        </row>
        <row r="72">
          <cell r="Y72">
            <v>45</v>
          </cell>
        </row>
        <row r="73">
          <cell r="Y73">
            <v>121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gnificantly Exceeds"/>
      <sheetName val="Exceeds"/>
      <sheetName val="Raw Data - Sig. Exceeds"/>
      <sheetName val="Raw Data - Exceeds"/>
    </sheetNames>
    <sheetDataSet>
      <sheetData sheetId="0">
        <row r="4">
          <cell r="AI4">
            <v>100</v>
          </cell>
        </row>
      </sheetData>
      <sheetData sheetId="1">
        <row r="6">
          <cell r="AJ6">
            <v>47</v>
          </cell>
        </row>
        <row r="7">
          <cell r="AJ7">
            <v>21</v>
          </cell>
        </row>
        <row r="8">
          <cell r="AJ8">
            <v>150</v>
          </cell>
        </row>
        <row r="9">
          <cell r="AJ9">
            <v>30</v>
          </cell>
        </row>
        <row r="10">
          <cell r="AJ10">
            <v>17</v>
          </cell>
        </row>
        <row r="11">
          <cell r="AJ11">
            <v>60</v>
          </cell>
        </row>
        <row r="12">
          <cell r="AJ12">
            <v>10</v>
          </cell>
        </row>
        <row r="13">
          <cell r="AJ13">
            <v>180</v>
          </cell>
        </row>
        <row r="14">
          <cell r="AJ14">
            <v>220</v>
          </cell>
        </row>
        <row r="15">
          <cell r="AJ15">
            <v>359</v>
          </cell>
        </row>
        <row r="16">
          <cell r="AJ16">
            <v>23</v>
          </cell>
        </row>
        <row r="17">
          <cell r="AJ17">
            <v>13</v>
          </cell>
        </row>
        <row r="18">
          <cell r="AJ18">
            <v>7</v>
          </cell>
        </row>
        <row r="19">
          <cell r="AJ19">
            <v>23</v>
          </cell>
        </row>
        <row r="20">
          <cell r="AJ20">
            <v>28</v>
          </cell>
        </row>
        <row r="21">
          <cell r="AJ21">
            <v>33</v>
          </cell>
        </row>
        <row r="22">
          <cell r="AJ22">
            <v>330</v>
          </cell>
        </row>
        <row r="23">
          <cell r="AJ23">
            <v>14</v>
          </cell>
        </row>
        <row r="24">
          <cell r="AJ24">
            <v>16</v>
          </cell>
        </row>
        <row r="25">
          <cell r="AJ25">
            <v>51</v>
          </cell>
        </row>
        <row r="26">
          <cell r="AJ26">
            <v>30</v>
          </cell>
        </row>
        <row r="27">
          <cell r="AJ27">
            <v>30</v>
          </cell>
        </row>
        <row r="28">
          <cell r="AJ28">
            <v>131</v>
          </cell>
        </row>
        <row r="29">
          <cell r="AJ29">
            <v>26</v>
          </cell>
        </row>
        <row r="30">
          <cell r="AJ30">
            <v>14</v>
          </cell>
        </row>
        <row r="31">
          <cell r="AJ31">
            <v>452</v>
          </cell>
        </row>
        <row r="32">
          <cell r="AJ32">
            <v>55</v>
          </cell>
        </row>
        <row r="33">
          <cell r="AJ33">
            <v>172</v>
          </cell>
        </row>
        <row r="34">
          <cell r="AJ34">
            <v>56</v>
          </cell>
        </row>
        <row r="35">
          <cell r="AJ35">
            <v>16</v>
          </cell>
        </row>
        <row r="36">
          <cell r="AJ36">
            <v>50</v>
          </cell>
        </row>
        <row r="37">
          <cell r="AJ37">
            <v>211</v>
          </cell>
        </row>
        <row r="38">
          <cell r="AJ38">
            <v>6</v>
          </cell>
        </row>
        <row r="39">
          <cell r="AJ39">
            <v>48</v>
          </cell>
        </row>
        <row r="40">
          <cell r="AJ40">
            <v>49</v>
          </cell>
        </row>
        <row r="41">
          <cell r="AJ41">
            <v>364</v>
          </cell>
        </row>
        <row r="42">
          <cell r="AJ42">
            <v>179</v>
          </cell>
        </row>
        <row r="43">
          <cell r="AJ43">
            <v>43</v>
          </cell>
        </row>
        <row r="44">
          <cell r="AJ44">
            <v>29</v>
          </cell>
        </row>
        <row r="45">
          <cell r="AJ45">
            <v>151</v>
          </cell>
        </row>
        <row r="46">
          <cell r="AJ46">
            <v>6</v>
          </cell>
        </row>
        <row r="47">
          <cell r="AJ47">
            <v>21</v>
          </cell>
        </row>
        <row r="48">
          <cell r="AJ48">
            <v>40</v>
          </cell>
        </row>
        <row r="49">
          <cell r="AJ49">
            <v>35</v>
          </cell>
        </row>
        <row r="50">
          <cell r="AJ50">
            <v>93</v>
          </cell>
        </row>
        <row r="51">
          <cell r="AJ51">
            <v>12</v>
          </cell>
        </row>
        <row r="52">
          <cell r="AJ52">
            <v>17</v>
          </cell>
        </row>
        <row r="53">
          <cell r="AJ53">
            <v>36</v>
          </cell>
        </row>
        <row r="54">
          <cell r="AJ54">
            <v>109</v>
          </cell>
        </row>
        <row r="55">
          <cell r="AJ55">
            <v>43</v>
          </cell>
        </row>
        <row r="56">
          <cell r="AJ56">
            <v>99</v>
          </cell>
        </row>
        <row r="57">
          <cell r="AJ57">
            <v>468</v>
          </cell>
        </row>
        <row r="58">
          <cell r="AJ58">
            <v>138</v>
          </cell>
        </row>
        <row r="59">
          <cell r="AJ59">
            <v>12</v>
          </cell>
        </row>
        <row r="60">
          <cell r="AJ60">
            <v>129</v>
          </cell>
        </row>
        <row r="61">
          <cell r="AJ61">
            <v>29</v>
          </cell>
        </row>
        <row r="62">
          <cell r="AJ62">
            <v>74</v>
          </cell>
        </row>
        <row r="63">
          <cell r="AJ63">
            <v>70</v>
          </cell>
        </row>
        <row r="64">
          <cell r="AJ64">
            <v>58</v>
          </cell>
        </row>
        <row r="65">
          <cell r="AJ65">
            <v>69</v>
          </cell>
        </row>
        <row r="66">
          <cell r="AJ66">
            <v>26</v>
          </cell>
        </row>
        <row r="67">
          <cell r="AJ67">
            <v>18</v>
          </cell>
        </row>
        <row r="68">
          <cell r="AJ68">
            <v>12</v>
          </cell>
        </row>
        <row r="69">
          <cell r="AJ69">
            <v>37</v>
          </cell>
        </row>
        <row r="70">
          <cell r="AJ70">
            <v>96</v>
          </cell>
        </row>
        <row r="71">
          <cell r="AJ71">
            <v>35</v>
          </cell>
        </row>
        <row r="72">
          <cell r="AJ72">
            <v>53</v>
          </cell>
        </row>
        <row r="73">
          <cell r="AJ73">
            <v>18</v>
          </cell>
        </row>
        <row r="74">
          <cell r="AJ74">
            <v>36</v>
          </cell>
        </row>
      </sheetData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gnificantly Exceeds"/>
      <sheetName val="Exceeds"/>
      <sheetName val="Raw Data - Sig. Exceeds"/>
      <sheetName val="Raw Data - Exceeds"/>
    </sheetNames>
    <sheetDataSet>
      <sheetData sheetId="0">
        <row r="6">
          <cell r="V6">
            <v>100</v>
          </cell>
        </row>
        <row r="7">
          <cell r="V7">
            <v>66</v>
          </cell>
        </row>
        <row r="8">
          <cell r="V8">
            <v>482</v>
          </cell>
        </row>
        <row r="9">
          <cell r="V9">
            <v>78</v>
          </cell>
        </row>
        <row r="10">
          <cell r="V10">
            <v>30</v>
          </cell>
        </row>
        <row r="11">
          <cell r="V11">
            <v>103</v>
          </cell>
        </row>
        <row r="12">
          <cell r="V12">
            <v>28</v>
          </cell>
        </row>
        <row r="13">
          <cell r="V13">
            <v>539</v>
          </cell>
        </row>
        <row r="14">
          <cell r="V14">
            <v>717</v>
          </cell>
        </row>
        <row r="15">
          <cell r="V15">
            <v>775</v>
          </cell>
        </row>
        <row r="16">
          <cell r="V16">
            <v>47</v>
          </cell>
        </row>
        <row r="17">
          <cell r="V17">
            <v>60</v>
          </cell>
        </row>
        <row r="18">
          <cell r="V18">
            <v>26</v>
          </cell>
        </row>
        <row r="19">
          <cell r="V19">
            <v>54</v>
          </cell>
        </row>
        <row r="20">
          <cell r="V20">
            <v>42</v>
          </cell>
        </row>
        <row r="21">
          <cell r="V21">
            <v>100</v>
          </cell>
        </row>
        <row r="22">
          <cell r="V22">
            <v>840</v>
          </cell>
        </row>
        <row r="23">
          <cell r="V23">
            <v>16</v>
          </cell>
        </row>
        <row r="24">
          <cell r="V24">
            <v>23</v>
          </cell>
        </row>
        <row r="25">
          <cell r="V25">
            <v>105</v>
          </cell>
        </row>
        <row r="26">
          <cell r="V26">
            <v>43</v>
          </cell>
        </row>
        <row r="27">
          <cell r="V27">
            <v>81</v>
          </cell>
        </row>
        <row r="28">
          <cell r="V28">
            <v>260</v>
          </cell>
        </row>
        <row r="29">
          <cell r="V29">
            <v>71</v>
          </cell>
        </row>
        <row r="30">
          <cell r="V30">
            <v>45</v>
          </cell>
        </row>
        <row r="31">
          <cell r="V31">
            <v>1529</v>
          </cell>
        </row>
        <row r="32">
          <cell r="V32">
            <v>97</v>
          </cell>
        </row>
        <row r="33">
          <cell r="V33">
            <v>637</v>
          </cell>
        </row>
        <row r="34">
          <cell r="V34">
            <v>189</v>
          </cell>
        </row>
        <row r="35">
          <cell r="V35">
            <v>41</v>
          </cell>
        </row>
        <row r="36">
          <cell r="V36">
            <v>216</v>
          </cell>
        </row>
        <row r="37">
          <cell r="V37">
            <v>756</v>
          </cell>
        </row>
        <row r="38">
          <cell r="V38">
            <v>12</v>
          </cell>
        </row>
        <row r="39">
          <cell r="V39">
            <v>68</v>
          </cell>
        </row>
        <row r="40">
          <cell r="V40">
            <v>149</v>
          </cell>
        </row>
        <row r="41">
          <cell r="V41">
            <v>1127</v>
          </cell>
        </row>
        <row r="42">
          <cell r="V42">
            <v>513</v>
          </cell>
        </row>
        <row r="43">
          <cell r="V43">
            <v>103</v>
          </cell>
        </row>
        <row r="44">
          <cell r="V44">
            <v>40</v>
          </cell>
        </row>
        <row r="45">
          <cell r="V45">
            <v>440</v>
          </cell>
        </row>
        <row r="46">
          <cell r="V46">
            <v>7</v>
          </cell>
        </row>
        <row r="47">
          <cell r="V47">
            <v>55</v>
          </cell>
        </row>
        <row r="48">
          <cell r="V48">
            <v>65</v>
          </cell>
        </row>
        <row r="49">
          <cell r="V49">
            <v>98</v>
          </cell>
        </row>
        <row r="50">
          <cell r="V50">
            <v>233</v>
          </cell>
        </row>
        <row r="51">
          <cell r="V51">
            <v>18</v>
          </cell>
        </row>
        <row r="52">
          <cell r="V52">
            <v>75</v>
          </cell>
        </row>
        <row r="53">
          <cell r="V53">
            <v>130</v>
          </cell>
        </row>
        <row r="54">
          <cell r="V54">
            <v>275</v>
          </cell>
        </row>
        <row r="55">
          <cell r="V55">
            <v>124</v>
          </cell>
        </row>
        <row r="56">
          <cell r="V56">
            <v>315</v>
          </cell>
        </row>
        <row r="57">
          <cell r="V57">
            <v>1792</v>
          </cell>
        </row>
        <row r="58">
          <cell r="V58">
            <v>243</v>
          </cell>
        </row>
        <row r="59">
          <cell r="V59">
            <v>19</v>
          </cell>
        </row>
        <row r="60">
          <cell r="V60">
            <v>361</v>
          </cell>
        </row>
        <row r="61">
          <cell r="V61">
            <v>29</v>
          </cell>
        </row>
        <row r="62">
          <cell r="V62">
            <v>180</v>
          </cell>
        </row>
        <row r="63">
          <cell r="V63">
            <v>192</v>
          </cell>
        </row>
        <row r="64">
          <cell r="V64">
            <v>189</v>
          </cell>
        </row>
        <row r="65">
          <cell r="V65">
            <v>130</v>
          </cell>
        </row>
        <row r="66">
          <cell r="V66">
            <v>74</v>
          </cell>
        </row>
        <row r="67">
          <cell r="V67">
            <v>31</v>
          </cell>
        </row>
        <row r="68">
          <cell r="V68">
            <v>76</v>
          </cell>
        </row>
        <row r="69">
          <cell r="V69">
            <v>54</v>
          </cell>
        </row>
        <row r="70">
          <cell r="V70">
            <v>189</v>
          </cell>
        </row>
        <row r="71">
          <cell r="V71">
            <v>88</v>
          </cell>
        </row>
        <row r="72">
          <cell r="V72">
            <v>189</v>
          </cell>
        </row>
        <row r="73">
          <cell r="V73">
            <v>9</v>
          </cell>
        </row>
        <row r="74">
          <cell r="V74">
            <v>84</v>
          </cell>
        </row>
      </sheetData>
      <sheetData sheetId="1"/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 up"/>
      <sheetName val="student level"/>
    </sheetNames>
    <sheetDataSet>
      <sheetData sheetId="0">
        <row r="6">
          <cell r="J6">
            <v>25</v>
          </cell>
        </row>
        <row r="7">
          <cell r="J7">
            <v>5</v>
          </cell>
        </row>
        <row r="8">
          <cell r="J8">
            <v>65</v>
          </cell>
        </row>
        <row r="9">
          <cell r="J9">
            <v>4</v>
          </cell>
        </row>
        <row r="10">
          <cell r="J10">
            <v>8</v>
          </cell>
        </row>
        <row r="11">
          <cell r="J11">
            <v>28</v>
          </cell>
        </row>
        <row r="12">
          <cell r="J12">
            <v>8</v>
          </cell>
        </row>
        <row r="13">
          <cell r="J13">
            <v>24</v>
          </cell>
        </row>
        <row r="14">
          <cell r="J14">
            <v>99</v>
          </cell>
        </row>
        <row r="15">
          <cell r="J15">
            <v>105</v>
          </cell>
        </row>
        <row r="16">
          <cell r="J16">
            <v>6</v>
          </cell>
        </row>
        <row r="17">
          <cell r="J17">
            <v>7</v>
          </cell>
        </row>
        <row r="18">
          <cell r="J18">
            <v>2</v>
          </cell>
        </row>
        <row r="19">
          <cell r="J19">
            <v>16</v>
          </cell>
        </row>
        <row r="20">
          <cell r="J20">
            <v>9</v>
          </cell>
        </row>
        <row r="21">
          <cell r="J21">
            <v>12</v>
          </cell>
        </row>
        <row r="22">
          <cell r="J22">
            <v>57</v>
          </cell>
        </row>
        <row r="23">
          <cell r="J23">
            <v>9</v>
          </cell>
        </row>
        <row r="24">
          <cell r="J24">
            <v>3</v>
          </cell>
        </row>
        <row r="25">
          <cell r="J25">
            <v>20</v>
          </cell>
        </row>
        <row r="26">
          <cell r="J26">
            <v>6</v>
          </cell>
        </row>
        <row r="27">
          <cell r="J27">
            <v>15</v>
          </cell>
        </row>
        <row r="28">
          <cell r="J28">
            <v>22</v>
          </cell>
        </row>
        <row r="29">
          <cell r="J29">
            <v>12</v>
          </cell>
        </row>
        <row r="30">
          <cell r="J30">
            <v>4</v>
          </cell>
        </row>
        <row r="31">
          <cell r="J31">
            <v>110</v>
          </cell>
        </row>
        <row r="32">
          <cell r="J32">
            <v>8</v>
          </cell>
        </row>
        <row r="33">
          <cell r="J33">
            <v>43</v>
          </cell>
        </row>
        <row r="34">
          <cell r="J34">
            <v>32</v>
          </cell>
        </row>
        <row r="35">
          <cell r="J35">
            <v>6</v>
          </cell>
        </row>
        <row r="36">
          <cell r="J36">
            <v>14</v>
          </cell>
        </row>
        <row r="37">
          <cell r="J37">
            <v>62</v>
          </cell>
        </row>
        <row r="38">
          <cell r="J38">
            <v>5</v>
          </cell>
        </row>
        <row r="39">
          <cell r="J39">
            <v>13</v>
          </cell>
        </row>
        <row r="40">
          <cell r="J40">
            <v>10</v>
          </cell>
        </row>
        <row r="41">
          <cell r="J41">
            <v>86</v>
          </cell>
        </row>
        <row r="42">
          <cell r="J42">
            <v>60</v>
          </cell>
        </row>
        <row r="43">
          <cell r="J43">
            <v>5</v>
          </cell>
        </row>
        <row r="44">
          <cell r="J44">
            <v>5</v>
          </cell>
        </row>
        <row r="45">
          <cell r="J45">
            <v>48</v>
          </cell>
        </row>
        <row r="46">
          <cell r="J46">
            <v>6</v>
          </cell>
        </row>
        <row r="47">
          <cell r="J47">
            <v>6</v>
          </cell>
        </row>
        <row r="48">
          <cell r="J48">
            <v>20</v>
          </cell>
        </row>
        <row r="49">
          <cell r="J49">
            <v>15</v>
          </cell>
        </row>
        <row r="50">
          <cell r="J50">
            <v>26</v>
          </cell>
        </row>
        <row r="51">
          <cell r="J51">
            <v>7</v>
          </cell>
        </row>
        <row r="52">
          <cell r="J52">
            <v>6</v>
          </cell>
        </row>
        <row r="53">
          <cell r="J53">
            <v>22</v>
          </cell>
        </row>
        <row r="54">
          <cell r="J54">
            <v>52</v>
          </cell>
        </row>
        <row r="55">
          <cell r="J55">
            <v>23</v>
          </cell>
        </row>
        <row r="56">
          <cell r="J56">
            <v>22</v>
          </cell>
        </row>
        <row r="57">
          <cell r="J57">
            <v>173</v>
          </cell>
        </row>
        <row r="58">
          <cell r="J58">
            <v>76</v>
          </cell>
        </row>
        <row r="59">
          <cell r="J59">
            <v>3</v>
          </cell>
        </row>
        <row r="60">
          <cell r="J60">
            <v>32</v>
          </cell>
        </row>
        <row r="61">
          <cell r="J61">
            <v>16</v>
          </cell>
        </row>
        <row r="62">
          <cell r="J62">
            <v>13</v>
          </cell>
        </row>
        <row r="63">
          <cell r="J63">
            <v>31</v>
          </cell>
        </row>
        <row r="64">
          <cell r="J64">
            <v>20</v>
          </cell>
        </row>
        <row r="65">
          <cell r="J65">
            <v>25</v>
          </cell>
        </row>
        <row r="66">
          <cell r="J66">
            <v>11</v>
          </cell>
        </row>
        <row r="67">
          <cell r="J67">
            <v>1</v>
          </cell>
        </row>
        <row r="68">
          <cell r="J68">
            <v>6</v>
          </cell>
        </row>
        <row r="69">
          <cell r="J69">
            <v>7</v>
          </cell>
        </row>
        <row r="70">
          <cell r="J70">
            <v>26</v>
          </cell>
        </row>
        <row r="71">
          <cell r="J71">
            <v>9</v>
          </cell>
        </row>
        <row r="72">
          <cell r="J72">
            <v>10</v>
          </cell>
        </row>
        <row r="73">
          <cell r="J73">
            <v>9</v>
          </cell>
        </row>
        <row r="74">
          <cell r="J74">
            <v>4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0"/>
  <sheetViews>
    <sheetView showGridLines="0" tabSelected="1" view="pageBreakPreview" zoomScale="80" zoomScaleNormal="80" zoomScaleSheetLayoutView="80" workbookViewId="0">
      <pane xSplit="3" ySplit="9" topLeftCell="D10" activePane="bottomRight" state="frozen"/>
      <selection activeCell="B3" sqref="B3:B5"/>
      <selection pane="topRight" activeCell="B3" sqref="B3:B5"/>
      <selection pane="bottomLeft" activeCell="B3" sqref="B3:B5"/>
      <selection pane="bottomRight" activeCell="E11" sqref="E11"/>
    </sheetView>
  </sheetViews>
  <sheetFormatPr defaultRowHeight="12.75"/>
  <cols>
    <col min="1" max="1" width="4.28515625" customWidth="1"/>
    <col min="2" max="2" width="6.42578125" customWidth="1"/>
    <col min="3" max="3" width="63.7109375" customWidth="1"/>
    <col min="4" max="4" width="20" bestFit="1" customWidth="1"/>
    <col min="5" max="5" width="16.5703125" bestFit="1" customWidth="1"/>
    <col min="6" max="6" width="1.7109375" customWidth="1"/>
    <col min="7" max="7" width="17" bestFit="1" customWidth="1"/>
    <col min="8" max="8" width="12.85546875" customWidth="1"/>
    <col min="9" max="9" width="3" customWidth="1"/>
    <col min="10" max="10" width="11.7109375" bestFit="1" customWidth="1"/>
    <col min="11" max="11" width="9.85546875" bestFit="1" customWidth="1"/>
  </cols>
  <sheetData>
    <row r="1" spans="1:10" ht="7.5" customHeight="1"/>
    <row r="2" spans="1:10" ht="24" customHeight="1">
      <c r="A2" s="1809" t="s">
        <v>1212</v>
      </c>
      <c r="B2" s="1810"/>
      <c r="C2" s="1810"/>
      <c r="D2" s="1810"/>
      <c r="E2" s="1810"/>
      <c r="F2" s="1810"/>
      <c r="G2" s="1810"/>
      <c r="H2" s="1810"/>
    </row>
    <row r="3" spans="1:10" ht="29.25" customHeight="1">
      <c r="A3" s="1811" t="s">
        <v>207</v>
      </c>
      <c r="B3" s="1811"/>
      <c r="C3" s="1811"/>
      <c r="D3" s="1811"/>
      <c r="E3" s="1811"/>
      <c r="F3" s="1811"/>
      <c r="G3" s="1811"/>
      <c r="H3" s="1811"/>
    </row>
    <row r="4" spans="1:10" ht="6.75" customHeight="1" thickBot="1">
      <c r="A4" s="1812"/>
      <c r="B4" s="1813"/>
      <c r="C4" s="1813"/>
      <c r="D4" s="1813"/>
      <c r="E4" s="1813"/>
      <c r="F4" s="1813"/>
      <c r="G4" s="1813"/>
      <c r="H4" s="1813"/>
      <c r="J4" s="814"/>
    </row>
    <row r="5" spans="1:10" s="35" customFormat="1" ht="12" customHeight="1" thickTop="1">
      <c r="A5" s="24"/>
      <c r="B5" s="25"/>
      <c r="C5" s="41"/>
      <c r="D5" s="1814" t="s">
        <v>691</v>
      </c>
      <c r="E5" s="1823" t="s">
        <v>1143</v>
      </c>
      <c r="F5" s="1824"/>
      <c r="G5" s="1817" t="s">
        <v>1129</v>
      </c>
      <c r="H5" s="1820" t="s">
        <v>20</v>
      </c>
    </row>
    <row r="6" spans="1:10" ht="24" customHeight="1">
      <c r="A6" s="181"/>
      <c r="B6" s="175"/>
      <c r="C6" s="176"/>
      <c r="D6" s="1815"/>
      <c r="E6" s="1825"/>
      <c r="F6" s="1826"/>
      <c r="G6" s="1818"/>
      <c r="H6" s="1821"/>
    </row>
    <row r="7" spans="1:10" s="35" customFormat="1" ht="20.100000000000001" customHeight="1">
      <c r="A7" s="181"/>
      <c r="B7" s="175"/>
      <c r="C7" s="42"/>
      <c r="D7" s="1815"/>
      <c r="E7" s="1825"/>
      <c r="F7" s="1826"/>
      <c r="G7" s="1818"/>
      <c r="H7" s="1821"/>
    </row>
    <row r="8" spans="1:10" s="35" customFormat="1" ht="27.75" customHeight="1" thickBot="1">
      <c r="A8" s="182"/>
      <c r="B8" s="26"/>
      <c r="C8" s="111" t="s">
        <v>181</v>
      </c>
      <c r="D8" s="1816"/>
      <c r="E8" s="1827"/>
      <c r="F8" s="1828"/>
      <c r="G8" s="1819"/>
      <c r="H8" s="1822"/>
    </row>
    <row r="9" spans="1:10" s="35" customFormat="1" ht="18.75" customHeight="1" thickTop="1" thickBot="1">
      <c r="A9" s="183" t="s">
        <v>170</v>
      </c>
      <c r="B9" s="50" t="s">
        <v>161</v>
      </c>
      <c r="C9" s="51"/>
      <c r="D9" s="882">
        <v>3855</v>
      </c>
      <c r="E9" s="882">
        <f>'Table 3 Levels 1&amp;2'!AS78</f>
        <v>3855</v>
      </c>
      <c r="F9" s="883"/>
      <c r="G9" s="219">
        <f>E9-D9</f>
        <v>0</v>
      </c>
      <c r="H9" s="522">
        <f t="shared" ref="H9:H24" si="0">ROUND((E9/D9)-1,4)</f>
        <v>0</v>
      </c>
    </row>
    <row r="10" spans="1:10" s="35" customFormat="1" ht="48" customHeight="1">
      <c r="A10" s="802" t="s">
        <v>171</v>
      </c>
      <c r="B10" s="1830" t="s">
        <v>1059</v>
      </c>
      <c r="C10" s="1831"/>
      <c r="D10" s="1187">
        <v>944883</v>
      </c>
      <c r="E10" s="1187">
        <f>E12+E19+E20+E21+E22+E24+E23</f>
        <v>953802.89999999991</v>
      </c>
      <c r="F10" s="1188"/>
      <c r="G10" s="1189">
        <f>E10-D10</f>
        <v>8919.8999999999069</v>
      </c>
      <c r="H10" s="523">
        <f t="shared" si="0"/>
        <v>9.4000000000000004E-3</v>
      </c>
    </row>
    <row r="11" spans="1:10" s="35" customFormat="1" ht="21.75" customHeight="1">
      <c r="A11" s="184"/>
      <c r="B11" s="30" t="s">
        <v>162</v>
      </c>
      <c r="C11" s="29" t="s">
        <v>1207</v>
      </c>
      <c r="D11" s="884"/>
      <c r="E11" s="884"/>
      <c r="F11" s="885"/>
      <c r="G11" s="139"/>
      <c r="H11" s="524"/>
    </row>
    <row r="12" spans="1:10" s="35" customFormat="1" ht="52.5" customHeight="1">
      <c r="A12" s="184"/>
      <c r="B12" s="1190" t="s">
        <v>620</v>
      </c>
      <c r="C12" s="1191" t="s">
        <v>1060</v>
      </c>
      <c r="D12" s="1185">
        <v>676830</v>
      </c>
      <c r="E12" s="1185">
        <f>'Table 3 Levels 1&amp;2'!C78</f>
        <v>684048</v>
      </c>
      <c r="F12" s="1186"/>
      <c r="G12" s="207">
        <f t="shared" ref="G12:G24" si="1">E12-D12</f>
        <v>7218</v>
      </c>
      <c r="H12" s="524">
        <f t="shared" si="0"/>
        <v>1.0699999999999999E-2</v>
      </c>
    </row>
    <row r="13" spans="1:10" s="35" customFormat="1" ht="21.75" customHeight="1">
      <c r="A13" s="184"/>
      <c r="B13" s="1184" t="s">
        <v>614</v>
      </c>
      <c r="C13" s="29" t="s">
        <v>407</v>
      </c>
      <c r="D13" s="884">
        <v>1625</v>
      </c>
      <c r="E13" s="884">
        <f>'Table 5A1 Labs '!B10</f>
        <v>1767</v>
      </c>
      <c r="F13" s="885"/>
      <c r="G13" s="139">
        <f t="shared" si="1"/>
        <v>142</v>
      </c>
      <c r="H13" s="524">
        <f t="shared" si="0"/>
        <v>8.7400000000000005E-2</v>
      </c>
    </row>
    <row r="14" spans="1:10" s="35" customFormat="1" ht="18" customHeight="1">
      <c r="A14" s="184"/>
      <c r="B14" s="1184" t="s">
        <v>615</v>
      </c>
      <c r="C14" s="29" t="s">
        <v>408</v>
      </c>
      <c r="D14" s="884">
        <v>310.69909400000006</v>
      </c>
      <c r="E14" s="884">
        <f>'Table 5E_OJJ'!C76</f>
        <v>310.69909400000006</v>
      </c>
      <c r="F14" s="885"/>
      <c r="G14" s="139">
        <f t="shared" si="1"/>
        <v>0</v>
      </c>
      <c r="H14" s="524">
        <f t="shared" si="0"/>
        <v>0</v>
      </c>
    </row>
    <row r="15" spans="1:10" s="35" customFormat="1" ht="18" customHeight="1">
      <c r="A15" s="184"/>
      <c r="B15" s="1184" t="s">
        <v>616</v>
      </c>
      <c r="C15" s="29" t="s">
        <v>1049</v>
      </c>
      <c r="D15" s="884">
        <v>630</v>
      </c>
      <c r="E15" s="884">
        <f>'Table 5C1J-LA Key Academy'!C76+'Table 5C1K-Jefferson Chamber'!C76+'Table 5C1L-Tallulah Charter'!C76+'Table 5C1M-Northshore Charter'!C76+'Table 5C1N-EBR Charter'!C76+'Table 5C1O-Lake Charles HS'!C76+'Table 5C1P-Delta Charter'!C76</f>
        <v>2107</v>
      </c>
      <c r="F15" s="885"/>
      <c r="G15" s="139">
        <f t="shared" si="1"/>
        <v>1477</v>
      </c>
      <c r="H15" s="524">
        <f t="shared" si="0"/>
        <v>2.3443999999999998</v>
      </c>
    </row>
    <row r="16" spans="1:10" s="35" customFormat="1" ht="18" customHeight="1">
      <c r="A16" s="184"/>
      <c r="B16" s="1184" t="s">
        <v>617</v>
      </c>
      <c r="C16" s="29" t="s">
        <v>429</v>
      </c>
      <c r="D16" s="884">
        <v>294.99442900000003</v>
      </c>
      <c r="E16" s="884">
        <v>0</v>
      </c>
      <c r="F16" s="885"/>
      <c r="G16" s="139">
        <f t="shared" si="1"/>
        <v>-294.99442900000003</v>
      </c>
      <c r="H16" s="524">
        <f t="shared" si="0"/>
        <v>-1</v>
      </c>
    </row>
    <row r="17" spans="1:8" s="35" customFormat="1" ht="18" customHeight="1">
      <c r="A17" s="184"/>
      <c r="B17" s="1184" t="s">
        <v>618</v>
      </c>
      <c r="C17" s="29" t="s">
        <v>430</v>
      </c>
      <c r="D17" s="884">
        <v>112</v>
      </c>
      <c r="E17" s="884">
        <v>0</v>
      </c>
      <c r="F17" s="885"/>
      <c r="G17" s="139">
        <f t="shared" si="1"/>
        <v>-112</v>
      </c>
      <c r="H17" s="524">
        <f t="shared" si="0"/>
        <v>-1</v>
      </c>
    </row>
    <row r="18" spans="1:8" s="35" customFormat="1" ht="18" customHeight="1">
      <c r="A18" s="184"/>
      <c r="B18" s="1184" t="s">
        <v>619</v>
      </c>
      <c r="C18" s="29" t="s">
        <v>406</v>
      </c>
      <c r="D18" s="1185">
        <v>679802.69352299999</v>
      </c>
      <c r="E18" s="1185">
        <f>SUM(E12:E17)</f>
        <v>688232.69909400004</v>
      </c>
      <c r="F18" s="1186"/>
      <c r="G18" s="207">
        <f t="shared" si="1"/>
        <v>8430.0055710000452</v>
      </c>
      <c r="H18" s="524">
        <f t="shared" si="0"/>
        <v>1.24E-2</v>
      </c>
    </row>
    <row r="19" spans="1:8" s="35" customFormat="1" ht="18.75" customHeight="1">
      <c r="A19" s="184"/>
      <c r="B19" s="210" t="s">
        <v>163</v>
      </c>
      <c r="C19" s="29" t="s">
        <v>1144</v>
      </c>
      <c r="D19" s="884">
        <v>101295</v>
      </c>
      <c r="E19" s="884">
        <f>'Table 3 Levels 1&amp;2'!E78</f>
        <v>102114</v>
      </c>
      <c r="F19" s="885"/>
      <c r="G19" s="139">
        <f t="shared" si="1"/>
        <v>819</v>
      </c>
      <c r="H19" s="525">
        <f t="shared" si="0"/>
        <v>8.0999999999999996E-3</v>
      </c>
    </row>
    <row r="20" spans="1:8" s="35" customFormat="1" ht="18.75" customHeight="1">
      <c r="A20" s="184"/>
      <c r="B20" s="30" t="s">
        <v>164</v>
      </c>
      <c r="C20" s="29" t="s">
        <v>1138</v>
      </c>
      <c r="D20" s="884">
        <v>12888</v>
      </c>
      <c r="E20" s="884">
        <f>'Table 3 Levels 1&amp;2'!G78</f>
        <v>13390</v>
      </c>
      <c r="F20" s="885"/>
      <c r="G20" s="139">
        <f t="shared" si="1"/>
        <v>502</v>
      </c>
      <c r="H20" s="524">
        <f t="shared" si="0"/>
        <v>3.9E-2</v>
      </c>
    </row>
    <row r="21" spans="1:8" s="35" customFormat="1" ht="18.75" customHeight="1">
      <c r="A21" s="184"/>
      <c r="B21" s="30" t="s">
        <v>165</v>
      </c>
      <c r="C21" s="29" t="s">
        <v>1208</v>
      </c>
      <c r="D21" s="884">
        <v>123582</v>
      </c>
      <c r="E21" s="884">
        <f>'Table 3 Levels 1&amp;2'!AG78</f>
        <v>124415</v>
      </c>
      <c r="F21" s="885"/>
      <c r="G21" s="139">
        <f t="shared" si="1"/>
        <v>833</v>
      </c>
      <c r="H21" s="524">
        <f t="shared" si="0"/>
        <v>6.7000000000000002E-3</v>
      </c>
    </row>
    <row r="22" spans="1:8" s="35" customFormat="1" ht="18.75" customHeight="1">
      <c r="A22" s="184"/>
      <c r="B22" s="30" t="s">
        <v>166</v>
      </c>
      <c r="C22" s="29" t="s">
        <v>1139</v>
      </c>
      <c r="D22" s="884">
        <v>17047</v>
      </c>
      <c r="E22" s="884">
        <f>'Table 3 Levels 1&amp;2'!AI78+'Table 3 Levels 1&amp;2'!AK78</f>
        <v>14355.7</v>
      </c>
      <c r="F22" s="885"/>
      <c r="G22" s="139">
        <f t="shared" si="1"/>
        <v>-2691.2999999999993</v>
      </c>
      <c r="H22" s="524">
        <f t="shared" si="0"/>
        <v>-0.15790000000000001</v>
      </c>
    </row>
    <row r="23" spans="1:8" s="35" customFormat="1" ht="18.75" customHeight="1">
      <c r="A23" s="184"/>
      <c r="B23" s="1698" t="s">
        <v>167</v>
      </c>
      <c r="C23" s="1694" t="s">
        <v>1140</v>
      </c>
      <c r="D23" s="1695">
        <v>0</v>
      </c>
      <c r="E23" s="1695">
        <f>'Table 3 Levels 1&amp;2'!AM78</f>
        <v>2401.1999999999994</v>
      </c>
      <c r="F23" s="1696"/>
      <c r="G23" s="139">
        <f t="shared" si="1"/>
        <v>2401.1999999999994</v>
      </c>
      <c r="H23" s="1697">
        <v>0</v>
      </c>
    </row>
    <row r="24" spans="1:8" s="35" customFormat="1" ht="16.5" thickBot="1">
      <c r="A24" s="185"/>
      <c r="B24" s="1699" t="s">
        <v>188</v>
      </c>
      <c r="C24" s="886" t="s">
        <v>182</v>
      </c>
      <c r="D24" s="887">
        <v>13241</v>
      </c>
      <c r="E24" s="887">
        <f>'Table 3 Levels 1&amp;2'!AP78</f>
        <v>13079</v>
      </c>
      <c r="F24" s="888"/>
      <c r="G24" s="889">
        <f t="shared" si="1"/>
        <v>-162</v>
      </c>
      <c r="H24" s="528">
        <f t="shared" si="0"/>
        <v>-1.2200000000000001E-2</v>
      </c>
    </row>
    <row r="25" spans="1:8" s="35" customFormat="1" ht="15.75">
      <c r="A25" s="184" t="s">
        <v>172</v>
      </c>
      <c r="B25" s="27" t="s">
        <v>168</v>
      </c>
      <c r="C25" s="32"/>
      <c r="D25" s="909">
        <v>3642523965</v>
      </c>
      <c r="E25" s="909">
        <f>'Table 3 Levels 1&amp;2'!AT78</f>
        <v>3676910199</v>
      </c>
      <c r="F25" s="910"/>
      <c r="G25" s="28">
        <f t="shared" ref="G25:G37" si="2">E25-D25</f>
        <v>34386234</v>
      </c>
      <c r="H25" s="524">
        <f t="shared" ref="H25:H37" si="3">ROUND((E25/D25)-1,4)</f>
        <v>9.4000000000000004E-3</v>
      </c>
    </row>
    <row r="26" spans="1:8" s="35" customFormat="1" ht="21.75" customHeight="1">
      <c r="A26" s="184"/>
      <c r="B26" s="83" t="s">
        <v>162</v>
      </c>
      <c r="C26" s="84" t="s">
        <v>1209</v>
      </c>
      <c r="D26" s="911">
        <v>2367547410</v>
      </c>
      <c r="E26" s="911">
        <f>'Table 3 Levels 1&amp;2'!AW78</f>
        <v>2389983148.75</v>
      </c>
      <c r="F26" s="912"/>
      <c r="G26" s="85">
        <f t="shared" si="2"/>
        <v>22435738.75</v>
      </c>
      <c r="H26" s="527">
        <f t="shared" si="3"/>
        <v>9.4999999999999998E-3</v>
      </c>
    </row>
    <row r="27" spans="1:8" s="35" customFormat="1" ht="18.75" customHeight="1" thickBot="1">
      <c r="A27" s="185"/>
      <c r="B27" s="52" t="s">
        <v>163</v>
      </c>
      <c r="C27" s="53" t="s">
        <v>1211</v>
      </c>
      <c r="D27" s="913">
        <v>1274976555</v>
      </c>
      <c r="E27" s="913">
        <f>'Table 3 Levels 1&amp;2'!AV78</f>
        <v>1286927050.25</v>
      </c>
      <c r="F27" s="914"/>
      <c r="G27" s="54">
        <f t="shared" si="2"/>
        <v>11950495.25</v>
      </c>
      <c r="H27" s="526">
        <f t="shared" si="3"/>
        <v>9.4000000000000004E-3</v>
      </c>
    </row>
    <row r="28" spans="1:8" s="35" customFormat="1" ht="18.75" customHeight="1">
      <c r="A28" s="186" t="s">
        <v>173</v>
      </c>
      <c r="B28" s="27" t="s">
        <v>183</v>
      </c>
      <c r="C28" s="72"/>
      <c r="D28" s="909">
        <v>2990718502.5</v>
      </c>
      <c r="E28" s="909">
        <f>'Table 7 Local Revenue'!AQ77</f>
        <v>3078646125.5</v>
      </c>
      <c r="F28" s="910"/>
      <c r="G28" s="28">
        <f t="shared" si="2"/>
        <v>87927623</v>
      </c>
      <c r="H28" s="524">
        <f t="shared" si="3"/>
        <v>2.9399999999999999E-2</v>
      </c>
    </row>
    <row r="29" spans="1:8" s="35" customFormat="1" ht="19.5" customHeight="1">
      <c r="A29" s="184"/>
      <c r="B29" s="33" t="s">
        <v>162</v>
      </c>
      <c r="C29" s="27" t="s">
        <v>231</v>
      </c>
      <c r="D29" s="915">
        <v>32368249012.300007</v>
      </c>
      <c r="E29" s="915">
        <f>'Table 7 Local Revenue'!H77</f>
        <v>33628503076.299995</v>
      </c>
      <c r="F29" s="916"/>
      <c r="G29" s="28">
        <f t="shared" si="2"/>
        <v>1260254063.9999886</v>
      </c>
      <c r="H29" s="524">
        <f t="shared" si="3"/>
        <v>3.8899999999999997E-2</v>
      </c>
    </row>
    <row r="30" spans="1:8" s="35" customFormat="1" ht="18.75" customHeight="1">
      <c r="A30" s="184"/>
      <c r="B30" s="33" t="s">
        <v>163</v>
      </c>
      <c r="C30" s="27" t="s">
        <v>232</v>
      </c>
      <c r="D30" s="915">
        <v>81720840432.400009</v>
      </c>
      <c r="E30" s="915">
        <f>'Table 7 Local Revenue'!AM77</f>
        <v>83696655339.525009</v>
      </c>
      <c r="F30" s="916"/>
      <c r="G30" s="28">
        <f t="shared" si="2"/>
        <v>1975814907.125</v>
      </c>
      <c r="H30" s="524">
        <f t="shared" si="3"/>
        <v>2.4199999999999999E-2</v>
      </c>
    </row>
    <row r="31" spans="1:8" s="35" customFormat="1" ht="18.75" customHeight="1">
      <c r="A31" s="184"/>
      <c r="B31" s="33" t="s">
        <v>164</v>
      </c>
      <c r="C31" s="27" t="s">
        <v>184</v>
      </c>
      <c r="D31" s="890" t="s">
        <v>723</v>
      </c>
      <c r="E31" s="890" t="s">
        <v>1202</v>
      </c>
      <c r="F31" s="917"/>
      <c r="G31" s="137"/>
      <c r="H31" s="524"/>
    </row>
    <row r="32" spans="1:8" s="35" customFormat="1" ht="15.75">
      <c r="A32" s="184"/>
      <c r="B32" s="33" t="s">
        <v>165</v>
      </c>
      <c r="C32" s="27" t="s">
        <v>185</v>
      </c>
      <c r="D32" s="891" t="s">
        <v>724</v>
      </c>
      <c r="E32" s="891" t="s">
        <v>1051</v>
      </c>
      <c r="F32" s="918"/>
      <c r="G32" s="136"/>
      <c r="H32" s="524"/>
    </row>
    <row r="33" spans="1:11" s="35" customFormat="1" ht="15.75">
      <c r="A33" s="184"/>
      <c r="B33" s="33" t="s">
        <v>166</v>
      </c>
      <c r="C33" s="27" t="s">
        <v>186</v>
      </c>
      <c r="D33" s="915">
        <v>1308298117</v>
      </c>
      <c r="E33" s="915">
        <f>'Table 7 Local Revenue'!AE77</f>
        <v>1371935890</v>
      </c>
      <c r="F33" s="916"/>
      <c r="G33" s="28">
        <f t="shared" si="2"/>
        <v>63637773</v>
      </c>
      <c r="H33" s="524">
        <f t="shared" si="3"/>
        <v>4.8599999999999997E-2</v>
      </c>
    </row>
    <row r="34" spans="1:11" s="35" customFormat="1" ht="18.75" customHeight="1">
      <c r="A34" s="184"/>
      <c r="B34" s="33" t="s">
        <v>167</v>
      </c>
      <c r="C34" s="27" t="s">
        <v>187</v>
      </c>
      <c r="D34" s="915">
        <v>1644278388</v>
      </c>
      <c r="E34" s="915">
        <f>'Table 7 Local Revenue'!AI77</f>
        <v>1669272600</v>
      </c>
      <c r="F34" s="916"/>
      <c r="G34" s="28">
        <f t="shared" si="2"/>
        <v>24994212</v>
      </c>
      <c r="H34" s="524">
        <f t="shared" si="3"/>
        <v>1.52E-2</v>
      </c>
    </row>
    <row r="35" spans="1:11" s="35" customFormat="1" ht="18.75" customHeight="1" thickBot="1">
      <c r="A35" s="185"/>
      <c r="B35" s="55" t="s">
        <v>188</v>
      </c>
      <c r="C35" s="56" t="s">
        <v>189</v>
      </c>
      <c r="D35" s="913">
        <v>38141997.5</v>
      </c>
      <c r="E35" s="913">
        <f>'Table 7 Local Revenue'!AP77</f>
        <v>37437635.5</v>
      </c>
      <c r="F35" s="914"/>
      <c r="G35" s="57">
        <f t="shared" si="2"/>
        <v>-704362</v>
      </c>
      <c r="H35" s="528">
        <f t="shared" si="3"/>
        <v>-1.8499999999999999E-2</v>
      </c>
    </row>
    <row r="36" spans="1:11" s="35" customFormat="1" ht="18.75" customHeight="1">
      <c r="A36" s="184" t="s">
        <v>174</v>
      </c>
      <c r="B36" s="31" t="s">
        <v>169</v>
      </c>
      <c r="C36" s="27"/>
      <c r="D36" s="909">
        <v>1098298863.3000002</v>
      </c>
      <c r="E36" s="909">
        <f>'Table 3 Levels 1&amp;2'!BE78</f>
        <v>1132056973.9999998</v>
      </c>
      <c r="F36" s="910"/>
      <c r="G36" s="28">
        <f t="shared" si="2"/>
        <v>33758110.699999571</v>
      </c>
      <c r="H36" s="524">
        <f t="shared" si="3"/>
        <v>3.0700000000000002E-2</v>
      </c>
    </row>
    <row r="37" spans="1:11" s="35" customFormat="1" ht="23.25" customHeight="1" thickBot="1">
      <c r="A37" s="187"/>
      <c r="B37" s="83" t="s">
        <v>162</v>
      </c>
      <c r="C37" s="86" t="s">
        <v>233</v>
      </c>
      <c r="D37" s="919">
        <v>415212961.69691807</v>
      </c>
      <c r="E37" s="919">
        <f>'Table 3 Levels 1&amp;2'!BG78</f>
        <v>435105595.45850873</v>
      </c>
      <c r="F37" s="920"/>
      <c r="G37" s="85">
        <f t="shared" si="2"/>
        <v>19892633.76159066</v>
      </c>
      <c r="H37" s="527">
        <f t="shared" si="3"/>
        <v>4.7899999999999998E-2</v>
      </c>
    </row>
    <row r="38" spans="1:11" s="35" customFormat="1" ht="18.75" customHeight="1" thickBot="1">
      <c r="A38" s="188" t="s">
        <v>204</v>
      </c>
      <c r="B38" s="87" t="s">
        <v>1443</v>
      </c>
      <c r="C38" s="88"/>
      <c r="D38" s="921">
        <v>2782760371.696918</v>
      </c>
      <c r="E38" s="921">
        <f>E26+E37</f>
        <v>2825088744.2085085</v>
      </c>
      <c r="F38" s="922"/>
      <c r="G38" s="89">
        <f>E38-D38</f>
        <v>42328372.511590481</v>
      </c>
      <c r="H38" s="529">
        <f>ROUND((E38/D38)-1,4)</f>
        <v>1.52E-2</v>
      </c>
    </row>
    <row r="39" spans="1:11" s="35" customFormat="1" ht="27.75" customHeight="1">
      <c r="A39" s="189" t="s">
        <v>175</v>
      </c>
      <c r="B39" s="1832" t="s">
        <v>1141</v>
      </c>
      <c r="C39" s="1833"/>
      <c r="D39" s="923">
        <v>622165098.84266078</v>
      </c>
      <c r="E39" s="923">
        <f>E40+E41+E42</f>
        <v>619547330.13600159</v>
      </c>
      <c r="F39" s="924"/>
      <c r="G39" s="471">
        <f>E39-D39</f>
        <v>-2617768.7066591978</v>
      </c>
      <c r="H39" s="530">
        <f>ROUND((E39/D39)-1,4)</f>
        <v>-4.1999999999999997E-3</v>
      </c>
    </row>
    <row r="40" spans="1:11" s="35" customFormat="1" ht="27" customHeight="1">
      <c r="A40" s="190"/>
      <c r="B40" s="286" t="s">
        <v>162</v>
      </c>
      <c r="C40" s="166" t="s">
        <v>395</v>
      </c>
      <c r="D40" s="925">
        <v>477048859.84266078</v>
      </c>
      <c r="E40" s="925">
        <f>+'Table 4 Level 3'!O75</f>
        <v>481788998.13600159</v>
      </c>
      <c r="F40" s="926"/>
      <c r="G40" s="79">
        <f>E40-D40</f>
        <v>4740138.2933408022</v>
      </c>
      <c r="H40" s="531">
        <f>ROUND((E40/D40)-1,4)</f>
        <v>9.9000000000000008E-3</v>
      </c>
    </row>
    <row r="41" spans="1:11" s="35" customFormat="1" ht="18" customHeight="1">
      <c r="A41" s="190"/>
      <c r="B41" s="286" t="s">
        <v>163</v>
      </c>
      <c r="C41" s="204" t="s">
        <v>199</v>
      </c>
      <c r="D41" s="927">
        <v>67683000</v>
      </c>
      <c r="E41" s="927">
        <f>'Table 4 Level 3'!L75</f>
        <v>68404800</v>
      </c>
      <c r="F41" s="928"/>
      <c r="G41" s="206">
        <f t="shared" ref="G41:G47" si="4">E41-D41</f>
        <v>721800</v>
      </c>
      <c r="H41" s="531">
        <f t="shared" ref="H41:H94" si="5">ROUND((E41/D41)-1,4)</f>
        <v>1.0699999999999999E-2</v>
      </c>
    </row>
    <row r="42" spans="1:11" s="35" customFormat="1" ht="18" customHeight="1">
      <c r="A42" s="190"/>
      <c r="B42" s="286" t="s">
        <v>164</v>
      </c>
      <c r="C42" s="204" t="s">
        <v>224</v>
      </c>
      <c r="D42" s="929">
        <v>73073239</v>
      </c>
      <c r="E42" s="929">
        <f>SUM(E43:E46)</f>
        <v>69353532</v>
      </c>
      <c r="F42" s="930"/>
      <c r="G42" s="206">
        <f t="shared" si="4"/>
        <v>-3719707</v>
      </c>
      <c r="H42" s="531">
        <f t="shared" si="5"/>
        <v>-5.0900000000000001E-2</v>
      </c>
    </row>
    <row r="43" spans="1:11" s="35" customFormat="1" ht="18" customHeight="1">
      <c r="A43" s="190"/>
      <c r="B43" s="468"/>
      <c r="C43" s="541" t="s">
        <v>287</v>
      </c>
      <c r="D43" s="931">
        <v>38336714</v>
      </c>
      <c r="E43" s="931">
        <f>'Table 4 Level 3'!D75</f>
        <v>38336714</v>
      </c>
      <c r="F43" s="932"/>
      <c r="G43" s="542">
        <f t="shared" si="4"/>
        <v>0</v>
      </c>
      <c r="H43" s="543">
        <f t="shared" si="5"/>
        <v>0</v>
      </c>
    </row>
    <row r="44" spans="1:11" s="35" customFormat="1" ht="18" customHeight="1">
      <c r="A44" s="190"/>
      <c r="B44" s="468"/>
      <c r="C44" s="541" t="s">
        <v>288</v>
      </c>
      <c r="D44" s="933">
        <v>38456219</v>
      </c>
      <c r="E44" s="933">
        <f>'Table 4 Level 3'!E75</f>
        <v>38456219</v>
      </c>
      <c r="F44" s="934"/>
      <c r="G44" s="542">
        <f t="shared" si="4"/>
        <v>0</v>
      </c>
      <c r="H44" s="543">
        <f t="shared" si="5"/>
        <v>0</v>
      </c>
      <c r="K44" s="721"/>
    </row>
    <row r="45" spans="1:11" s="35" customFormat="1" ht="26.25" customHeight="1">
      <c r="A45" s="190"/>
      <c r="B45" s="468"/>
      <c r="C45" s="546" t="s">
        <v>459</v>
      </c>
      <c r="D45" s="933">
        <v>-23577426</v>
      </c>
      <c r="E45" s="933">
        <f>'Table 4 Level 3'!F75+'Table 4 Level 3'!H75</f>
        <v>-27297127</v>
      </c>
      <c r="F45" s="934"/>
      <c r="G45" s="547">
        <f t="shared" si="4"/>
        <v>-3719701</v>
      </c>
      <c r="H45" s="548">
        <f t="shared" si="5"/>
        <v>0.1578</v>
      </c>
      <c r="K45" s="721"/>
    </row>
    <row r="46" spans="1:11" s="35" customFormat="1" ht="18" customHeight="1">
      <c r="A46" s="190"/>
      <c r="B46" s="467"/>
      <c r="C46" s="204" t="s">
        <v>289</v>
      </c>
      <c r="D46" s="1703">
        <v>19857732</v>
      </c>
      <c r="E46" s="1703">
        <f>'Table 4 Level 3'!J75</f>
        <v>19857726</v>
      </c>
      <c r="F46" s="1704"/>
      <c r="G46" s="205">
        <f t="shared" si="4"/>
        <v>-6</v>
      </c>
      <c r="H46" s="531">
        <f t="shared" si="5"/>
        <v>0</v>
      </c>
    </row>
    <row r="47" spans="1:11" s="35" customFormat="1" ht="18" customHeight="1" thickBot="1">
      <c r="A47" s="190" t="s">
        <v>176</v>
      </c>
      <c r="B47" s="1839" t="s">
        <v>1210</v>
      </c>
      <c r="C47" s="1840"/>
      <c r="D47" s="1700">
        <v>0</v>
      </c>
      <c r="E47" s="1700">
        <f>'Table 3 Levels 1&amp;2'!BU78</f>
        <v>-1224959.2526527275</v>
      </c>
      <c r="F47" s="1701"/>
      <c r="G47" s="1702">
        <f t="shared" si="4"/>
        <v>-1224959.2526527275</v>
      </c>
      <c r="H47" s="1398">
        <v>0</v>
      </c>
    </row>
    <row r="48" spans="1:11" s="35" customFormat="1" ht="17.25" customHeight="1">
      <c r="A48" s="741" t="s">
        <v>177</v>
      </c>
      <c r="B48" s="351" t="s">
        <v>1444</v>
      </c>
      <c r="C48" s="352"/>
      <c r="D48" s="935">
        <v>3404925470.5395789</v>
      </c>
      <c r="E48" s="935">
        <f>E38+E39+E47</f>
        <v>3443411115.0918574</v>
      </c>
      <c r="F48" s="936"/>
      <c r="G48" s="739">
        <f t="shared" ref="G48:G53" si="6">E48-D48</f>
        <v>38485644.552278519</v>
      </c>
      <c r="H48" s="740">
        <f t="shared" si="5"/>
        <v>1.1299999999999999E-2</v>
      </c>
    </row>
    <row r="49" spans="1:10" s="35" customFormat="1" ht="16.5" thickBot="1">
      <c r="A49" s="191"/>
      <c r="B49" s="90"/>
      <c r="C49" s="91" t="s">
        <v>229</v>
      </c>
      <c r="D49" s="896">
        <v>5030.6952566221626</v>
      </c>
      <c r="E49" s="896">
        <f>'Table 3 Levels 1&amp;2'!BX78</f>
        <v>5033.873522167828</v>
      </c>
      <c r="F49" s="897"/>
      <c r="G49" s="338">
        <f t="shared" si="6"/>
        <v>3.1782655456654538</v>
      </c>
      <c r="H49" s="532">
        <f t="shared" si="5"/>
        <v>5.9999999999999995E-4</v>
      </c>
    </row>
    <row r="50" spans="1:10" s="35" customFormat="1" ht="15.75">
      <c r="A50" s="470" t="s">
        <v>178</v>
      </c>
      <c r="B50" s="1832" t="s">
        <v>1037</v>
      </c>
      <c r="C50" s="1833"/>
      <c r="D50" s="923">
        <f>D51+D52+D53</f>
        <v>8735696</v>
      </c>
      <c r="E50" s="923">
        <f>E51+E52+E53</f>
        <v>12915394</v>
      </c>
      <c r="G50" s="471">
        <f t="shared" si="6"/>
        <v>4179698</v>
      </c>
      <c r="H50" s="530">
        <f>ROUND((E50/D50)-1,4)</f>
        <v>0.47849999999999998</v>
      </c>
      <c r="J50" s="721"/>
    </row>
    <row r="51" spans="1:10" s="35" customFormat="1" ht="15.75">
      <c r="A51" s="470"/>
      <c r="B51" s="286" t="s">
        <v>162</v>
      </c>
      <c r="C51" s="167" t="s">
        <v>31</v>
      </c>
      <c r="D51" s="925">
        <v>4360000</v>
      </c>
      <c r="E51" s="925">
        <f>'Table 4A Level 4'!I208</f>
        <v>4820000</v>
      </c>
      <c r="F51" s="926"/>
      <c r="G51" s="79">
        <f t="shared" si="6"/>
        <v>460000</v>
      </c>
      <c r="H51" s="531">
        <f>ROUND((E51/D51)-1,4)</f>
        <v>0.1055</v>
      </c>
    </row>
    <row r="52" spans="1:10" s="35" customFormat="1" ht="15.75">
      <c r="A52" s="470"/>
      <c r="B52" s="286" t="s">
        <v>1033</v>
      </c>
      <c r="C52" s="174" t="s">
        <v>64</v>
      </c>
      <c r="D52" s="925">
        <v>656000</v>
      </c>
      <c r="E52" s="925">
        <f>'Table 4A Level 4'!G208</f>
        <v>656000</v>
      </c>
      <c r="F52" s="926"/>
      <c r="G52" s="926">
        <f t="shared" si="6"/>
        <v>0</v>
      </c>
      <c r="H52" s="79">
        <f>ROUND((E52/D52)-1,4)</f>
        <v>0</v>
      </c>
    </row>
    <row r="53" spans="1:10" s="35" customFormat="1" ht="16.5" thickBot="1">
      <c r="A53" s="470"/>
      <c r="B53" s="286" t="s">
        <v>164</v>
      </c>
      <c r="C53" s="1160" t="s">
        <v>1142</v>
      </c>
      <c r="D53" s="925">
        <v>3719696</v>
      </c>
      <c r="E53" s="925">
        <f>'Table 4A Level 4'!J208</f>
        <v>7439394</v>
      </c>
      <c r="F53" s="1521"/>
      <c r="G53" s="926">
        <f t="shared" si="6"/>
        <v>3719698</v>
      </c>
      <c r="H53" s="79">
        <f>ROUND((E53/D53)-1,4)</f>
        <v>1</v>
      </c>
    </row>
    <row r="54" spans="1:10" s="35" customFormat="1" ht="16.5" thickBot="1">
      <c r="A54" s="1561" t="s">
        <v>63</v>
      </c>
      <c r="B54" s="1562" t="s">
        <v>1445</v>
      </c>
      <c r="C54" s="1563"/>
      <c r="D54" s="1564"/>
      <c r="E54" s="1564">
        <f>E48+E50</f>
        <v>3456326509.0918574</v>
      </c>
      <c r="F54" s="1565"/>
      <c r="G54" s="1566"/>
      <c r="H54" s="1567"/>
    </row>
    <row r="55" spans="1:10" s="35" customFormat="1" ht="15.75">
      <c r="A55" s="195" t="s">
        <v>358</v>
      </c>
      <c r="B55" s="1834" t="s">
        <v>421</v>
      </c>
      <c r="C55" s="1834"/>
      <c r="D55" s="1558"/>
      <c r="E55" s="1559"/>
      <c r="F55" s="1560"/>
      <c r="G55" s="173"/>
      <c r="H55" s="533"/>
    </row>
    <row r="56" spans="1:10" s="35" customFormat="1" ht="17.25" customHeight="1">
      <c r="A56" s="192"/>
      <c r="B56" s="172" t="s">
        <v>206</v>
      </c>
      <c r="C56" s="84"/>
      <c r="D56" s="85">
        <v>8039438.7114330698</v>
      </c>
      <c r="E56" s="894">
        <f>E58+E57</f>
        <v>8758587.524108069</v>
      </c>
      <c r="F56" s="895"/>
      <c r="G56" s="85">
        <f t="shared" ref="G56:G80" si="7">E56-D56</f>
        <v>719148.81267499924</v>
      </c>
      <c r="H56" s="527">
        <f t="shared" si="5"/>
        <v>8.9499999999999996E-2</v>
      </c>
    </row>
    <row r="57" spans="1:10" s="35" customFormat="1" ht="19.5" customHeight="1">
      <c r="A57" s="193"/>
      <c r="B57" s="451" t="s">
        <v>162</v>
      </c>
      <c r="C57" s="452" t="s">
        <v>418</v>
      </c>
      <c r="D57" s="453">
        <v>6702549.7560223052</v>
      </c>
      <c r="E57" s="898">
        <f>'Table 5A1 Labs '!G8</f>
        <v>6791897.2776208175</v>
      </c>
      <c r="F57" s="899"/>
      <c r="G57" s="453">
        <f t="shared" si="7"/>
        <v>89347.521598512307</v>
      </c>
      <c r="H57" s="534">
        <f t="shared" si="5"/>
        <v>1.3299999999999999E-2</v>
      </c>
    </row>
    <row r="58" spans="1:10" s="35" customFormat="1" ht="15.75">
      <c r="A58" s="193"/>
      <c r="B58" s="178" t="s">
        <v>163</v>
      </c>
      <c r="C58" s="171" t="s">
        <v>419</v>
      </c>
      <c r="D58" s="454">
        <v>1336888.9554107648</v>
      </c>
      <c r="E58" s="937">
        <f>'Table 5A1 Labs '!G9</f>
        <v>1966690.2464872522</v>
      </c>
      <c r="F58" s="949"/>
      <c r="G58" s="900">
        <f t="shared" si="7"/>
        <v>629801.2910764874</v>
      </c>
      <c r="H58" s="535">
        <f t="shared" si="5"/>
        <v>0.47110000000000002</v>
      </c>
    </row>
    <row r="59" spans="1:10" s="35" customFormat="1" ht="15.75">
      <c r="A59" s="195" t="s">
        <v>179</v>
      </c>
      <c r="B59" s="179" t="s">
        <v>79</v>
      </c>
      <c r="C59" s="174"/>
      <c r="D59" s="85">
        <v>139518605.8923862</v>
      </c>
      <c r="E59" s="938">
        <f>SUM(E60:E64)</f>
        <v>143215353.45973492</v>
      </c>
      <c r="F59" s="950"/>
      <c r="G59" s="901">
        <f t="shared" si="7"/>
        <v>3696747.5673487186</v>
      </c>
      <c r="H59" s="527">
        <f t="shared" si="5"/>
        <v>2.6499999999999999E-2</v>
      </c>
    </row>
    <row r="60" spans="1:10" s="35" customFormat="1" ht="15.75">
      <c r="A60" s="193"/>
      <c r="B60" s="451" t="s">
        <v>162</v>
      </c>
      <c r="C60" s="452" t="s">
        <v>130</v>
      </c>
      <c r="D60" s="453">
        <v>120265434.00631183</v>
      </c>
      <c r="E60" s="892">
        <f>'Table 5B1_RSD_Orleans'!H70</f>
        <v>127614838.52687627</v>
      </c>
      <c r="F60" s="951"/>
      <c r="G60" s="893">
        <f t="shared" si="7"/>
        <v>7349404.5205644369</v>
      </c>
      <c r="H60" s="534">
        <f t="shared" si="5"/>
        <v>6.1100000000000002E-2</v>
      </c>
    </row>
    <row r="61" spans="1:10" s="35" customFormat="1" ht="15.75">
      <c r="A61" s="193"/>
      <c r="B61" s="455" t="s">
        <v>163</v>
      </c>
      <c r="C61" s="456" t="s">
        <v>111</v>
      </c>
      <c r="D61" s="457">
        <v>12606029.648745883</v>
      </c>
      <c r="E61" s="939">
        <f>'Table 5B2_RSD_LA'!H18</f>
        <v>9246222.699129818</v>
      </c>
      <c r="F61" s="952"/>
      <c r="G61" s="902">
        <f t="shared" si="7"/>
        <v>-3359806.9496160652</v>
      </c>
      <c r="H61" s="536">
        <f t="shared" si="5"/>
        <v>-0.26650000000000001</v>
      </c>
    </row>
    <row r="62" spans="1:10" s="35" customFormat="1" ht="15.75">
      <c r="A62" s="193"/>
      <c r="B62" s="455" t="s">
        <v>164</v>
      </c>
      <c r="C62" s="456" t="s">
        <v>133</v>
      </c>
      <c r="D62" s="457">
        <v>1237038.6373284906</v>
      </c>
      <c r="E62" s="939">
        <f>'Table 5B2_RSD_LA'!H23</f>
        <v>1016895.4737288136</v>
      </c>
      <c r="F62" s="952"/>
      <c r="G62" s="902">
        <f t="shared" si="7"/>
        <v>-220143.16359967703</v>
      </c>
      <c r="H62" s="536">
        <f t="shared" si="5"/>
        <v>-0.17799999999999999</v>
      </c>
    </row>
    <row r="63" spans="1:10" s="35" customFormat="1" ht="15.75">
      <c r="A63" s="193"/>
      <c r="B63" s="455" t="s">
        <v>165</v>
      </c>
      <c r="C63" s="456" t="s">
        <v>103</v>
      </c>
      <c r="D63" s="457">
        <v>3228424.44</v>
      </c>
      <c r="E63" s="939">
        <f>'Table 5B2_RSD_LA'!H30</f>
        <v>3344452.8</v>
      </c>
      <c r="F63" s="952"/>
      <c r="G63" s="902">
        <f t="shared" si="7"/>
        <v>116028.35999999987</v>
      </c>
      <c r="H63" s="536">
        <f t="shared" si="5"/>
        <v>3.5900000000000001E-2</v>
      </c>
    </row>
    <row r="64" spans="1:10" s="35" customFormat="1" ht="15.75">
      <c r="A64" s="193"/>
      <c r="B64" s="178" t="s">
        <v>166</v>
      </c>
      <c r="C64" s="171" t="s">
        <v>140</v>
      </c>
      <c r="D64" s="737">
        <v>2181679.16</v>
      </c>
      <c r="E64" s="940">
        <f>'Table 5B2_RSD_LA'!H35</f>
        <v>1992943.96</v>
      </c>
      <c r="F64" s="949"/>
      <c r="G64" s="903">
        <f t="shared" si="7"/>
        <v>-188735.20000000019</v>
      </c>
      <c r="H64" s="738">
        <f t="shared" si="5"/>
        <v>-8.6499999999999994E-2</v>
      </c>
    </row>
    <row r="65" spans="1:8" s="35" customFormat="1" ht="15.75">
      <c r="A65" s="195" t="s">
        <v>684</v>
      </c>
      <c r="B65" s="179" t="s">
        <v>457</v>
      </c>
      <c r="C65" s="174"/>
      <c r="D65" s="85">
        <v>16420619.42228598</v>
      </c>
      <c r="E65" s="941">
        <f>'Table 5C1A-Madison Prep'!H76+'Table 5C1B-DArbonne'!H77+'Table 5C1C-Intl_VIBE'!H76+'Table 5C1D-NOMMA'!H76+'Table 5C1E-LFNO'!H76+'Table 5C1F-Lake Charles Charter'!H76+'Table 5C2 - LA Virtual Admy'!H73+'Table 5C3 - LA Connections EBR'!H73+'Table 5C1G-JS Clark Academy'!H76+'Table 5C1H-Southwest LA Charter'!H76</f>
        <v>25499683.288727514</v>
      </c>
      <c r="F65" s="958"/>
      <c r="G65" s="901">
        <f t="shared" si="7"/>
        <v>9079063.8664415348</v>
      </c>
      <c r="H65" s="527">
        <f t="shared" si="5"/>
        <v>0.55289999999999995</v>
      </c>
    </row>
    <row r="66" spans="1:8" s="35" customFormat="1" ht="15.75">
      <c r="A66" s="195" t="s">
        <v>85</v>
      </c>
      <c r="B66" s="179" t="s">
        <v>455</v>
      </c>
      <c r="C66" s="174"/>
      <c r="D66" s="85">
        <v>3176086.9604448481</v>
      </c>
      <c r="E66" s="941">
        <f>'Table 5C1J-LA Key Academy'!H76+'Table 5C1K-Jefferson Chamber'!H76+'Table 5C1L-Tallulah Charter'!H76+'Table 5C1M-Northshore Charter'!H76+'Table 5C1N-EBR Charter'!H76+'Table 5C1O-Lake Charles HS'!H76+'Table 5C1P-Delta Charter'!H76</f>
        <v>11301366.142799966</v>
      </c>
      <c r="F66" s="958"/>
      <c r="G66" s="901">
        <f t="shared" si="7"/>
        <v>8125279.182355118</v>
      </c>
      <c r="H66" s="527">
        <f t="shared" si="5"/>
        <v>2.5583</v>
      </c>
    </row>
    <row r="67" spans="1:8" s="35" customFormat="1" ht="15.75">
      <c r="A67" s="195" t="s">
        <v>87</v>
      </c>
      <c r="B67" s="179" t="s">
        <v>359</v>
      </c>
      <c r="C67" s="174"/>
      <c r="D67" s="85">
        <v>2434331.2008444211</v>
      </c>
      <c r="E67" s="942">
        <f>'Table 5E_OJJ'!G76</f>
        <v>2445354.4442602289</v>
      </c>
      <c r="F67" s="958"/>
      <c r="G67" s="901">
        <f t="shared" si="7"/>
        <v>11023.243415807839</v>
      </c>
      <c r="H67" s="527">
        <f t="shared" si="5"/>
        <v>4.4999999999999997E-3</v>
      </c>
    </row>
    <row r="68" spans="1:8" s="801" customFormat="1" ht="15.75">
      <c r="A68" s="1152" t="s">
        <v>290</v>
      </c>
      <c r="B68" s="1153" t="s">
        <v>460</v>
      </c>
      <c r="C68" s="1154"/>
      <c r="D68" s="1155">
        <v>23256254.492751442</v>
      </c>
      <c r="E68" s="1156">
        <f>'Table 5D1 - New Vision'!G76+'Table 5D2 - Glencoe'!G76+'Table 5D3 - International'!G76+'Table 5D4 - Avoyelles'!G76+'Table 5D5 - Delhi'!G76+'Table 5D8 - Belle Chasse'!I78+'Table 5D6 - Milestone'!G76+'Table 5D7 - Max'!G76</f>
        <v>24634213.742457844</v>
      </c>
      <c r="F68" s="1157"/>
      <c r="G68" s="1158">
        <f t="shared" si="7"/>
        <v>1377959.2497064024</v>
      </c>
      <c r="H68" s="1159">
        <f t="shared" si="5"/>
        <v>5.9299999999999999E-2</v>
      </c>
    </row>
    <row r="69" spans="1:8" s="801" customFormat="1" ht="15.75">
      <c r="A69" s="1152" t="s">
        <v>295</v>
      </c>
      <c r="B69" s="1153" t="s">
        <v>428</v>
      </c>
      <c r="C69" s="1154"/>
      <c r="D69" s="1155">
        <v>992132.68253089651</v>
      </c>
      <c r="E69" s="1156">
        <f>'Table 5A2 LSMSA'!H77</f>
        <v>1380310.2625173437</v>
      </c>
      <c r="F69" s="1157"/>
      <c r="G69" s="1158">
        <f t="shared" si="7"/>
        <v>388177.57998644724</v>
      </c>
      <c r="H69" s="1159">
        <f t="shared" si="5"/>
        <v>0.39129999999999998</v>
      </c>
    </row>
    <row r="70" spans="1:8" s="801" customFormat="1" ht="15.75">
      <c r="A70" s="1152" t="s">
        <v>432</v>
      </c>
      <c r="B70" s="1153" t="s">
        <v>431</v>
      </c>
      <c r="C70" s="1154"/>
      <c r="D70" s="1155">
        <v>291081.05824341497</v>
      </c>
      <c r="E70" s="1156">
        <f>'Table 5A3 NOCCA'!H76</f>
        <v>511911.20639433758</v>
      </c>
      <c r="F70" s="1157"/>
      <c r="G70" s="1158">
        <f t="shared" si="7"/>
        <v>220830.14815092261</v>
      </c>
      <c r="H70" s="1159">
        <f t="shared" si="5"/>
        <v>0.75870000000000004</v>
      </c>
    </row>
    <row r="71" spans="1:8" s="801" customFormat="1" ht="15.75">
      <c r="A71" s="1152" t="s">
        <v>433</v>
      </c>
      <c r="B71" s="1153" t="s">
        <v>509</v>
      </c>
      <c r="C71" s="1154"/>
      <c r="D71" s="1155">
        <v>1099327.8311734488</v>
      </c>
      <c r="E71" s="1156">
        <f>'Table 5A4_LSDVI'!H76</f>
        <v>1114662.1752867466</v>
      </c>
      <c r="F71" s="1157"/>
      <c r="G71" s="1158">
        <f t="shared" si="7"/>
        <v>15334.34411329776</v>
      </c>
      <c r="H71" s="1159">
        <f t="shared" si="5"/>
        <v>1.3899999999999999E-2</v>
      </c>
    </row>
    <row r="72" spans="1:8" s="801" customFormat="1" ht="15.75">
      <c r="A72" s="1152" t="s">
        <v>518</v>
      </c>
      <c r="B72" s="1153" t="s">
        <v>517</v>
      </c>
      <c r="C72" s="1154"/>
      <c r="D72" s="1155">
        <v>1453552.0165221815</v>
      </c>
      <c r="E72" s="1156">
        <f>'Table 5A5_SSD'!H77</f>
        <v>1506143.985159491</v>
      </c>
      <c r="F72" s="1157"/>
      <c r="G72" s="1158">
        <f t="shared" si="7"/>
        <v>52591.968637309503</v>
      </c>
      <c r="H72" s="1159">
        <f t="shared" si="5"/>
        <v>3.6200000000000003E-2</v>
      </c>
    </row>
    <row r="73" spans="1:8" s="801" customFormat="1" ht="16.5" thickBot="1">
      <c r="A73" s="1152" t="s">
        <v>454</v>
      </c>
      <c r="B73" s="1153" t="s">
        <v>1034</v>
      </c>
      <c r="C73" s="1154"/>
      <c r="D73" s="1155">
        <v>9523451.3774517681</v>
      </c>
      <c r="E73" s="1156">
        <f>'Table 5F Scholarships '!Q975+'Table 5F Scholarships '!S975</f>
        <v>21721939.127669465</v>
      </c>
      <c r="F73" s="1157"/>
      <c r="G73" s="1158">
        <f t="shared" si="7"/>
        <v>12198487.750217697</v>
      </c>
      <c r="H73" s="1159">
        <f t="shared" si="5"/>
        <v>1.2808999999999999</v>
      </c>
    </row>
    <row r="74" spans="1:8" s="35" customFormat="1" ht="16.5" thickBot="1">
      <c r="A74" s="194" t="s">
        <v>507</v>
      </c>
      <c r="B74" s="98" t="s">
        <v>1131</v>
      </c>
      <c r="C74" s="93"/>
      <c r="D74" s="92">
        <v>3615506048.185647</v>
      </c>
      <c r="E74" s="943">
        <f>E48+E51+E52+E53+E56+E59+E65+E66+E67+E68+E69+E70+E71+E72+E73</f>
        <v>3698416034.4509726</v>
      </c>
      <c r="F74" s="953"/>
      <c r="G74" s="904">
        <f t="shared" si="7"/>
        <v>82909986.265325546</v>
      </c>
      <c r="H74" s="537">
        <f t="shared" si="5"/>
        <v>2.29E-2</v>
      </c>
    </row>
    <row r="75" spans="1:8" s="35" customFormat="1" ht="23.25" customHeight="1">
      <c r="A75" s="195" t="s">
        <v>508</v>
      </c>
      <c r="B75" s="84" t="s">
        <v>86</v>
      </c>
      <c r="C75" s="84"/>
      <c r="D75" s="1167">
        <v>-195692933.62501273</v>
      </c>
      <c r="E75" s="938">
        <f>SUM(E76:F93)</f>
        <v>-239616958.826224</v>
      </c>
      <c r="F75" s="950"/>
      <c r="G75" s="901">
        <f t="shared" si="7"/>
        <v>-43924025.201211274</v>
      </c>
      <c r="H75" s="538">
        <f t="shared" si="5"/>
        <v>0.22450000000000001</v>
      </c>
    </row>
    <row r="76" spans="1:8" s="35" customFormat="1" ht="20.25" customHeight="1">
      <c r="A76" s="184"/>
      <c r="B76" s="33" t="s">
        <v>162</v>
      </c>
      <c r="C76" s="27" t="s">
        <v>409</v>
      </c>
      <c r="D76" s="1168">
        <v>-2944326.8587162076</v>
      </c>
      <c r="E76" s="944">
        <f>'Table 2_State Distrib and Adjs'!F76</f>
        <v>-2396704.8235699073</v>
      </c>
      <c r="F76" s="954"/>
      <c r="G76" s="905">
        <f t="shared" si="7"/>
        <v>547622.03514630022</v>
      </c>
      <c r="H76" s="524">
        <f t="shared" si="5"/>
        <v>-0.186</v>
      </c>
    </row>
    <row r="77" spans="1:8" s="35" customFormat="1" ht="20.25" customHeight="1">
      <c r="A77" s="184"/>
      <c r="B77" s="200" t="s">
        <v>163</v>
      </c>
      <c r="C77" s="364" t="s">
        <v>264</v>
      </c>
      <c r="D77" s="1169">
        <v>-2510.7525593164992</v>
      </c>
      <c r="E77" s="944">
        <f>'Table 5A1 Labs '!H10</f>
        <v>2515.1664215795245</v>
      </c>
      <c r="F77" s="1244"/>
      <c r="G77" s="905">
        <f t="shared" si="7"/>
        <v>5025.9189808960236</v>
      </c>
      <c r="H77" s="524">
        <f t="shared" si="5"/>
        <v>-2.0017999999999998</v>
      </c>
    </row>
    <row r="78" spans="1:8" s="35" customFormat="1" ht="20.25" customHeight="1">
      <c r="A78" s="184"/>
      <c r="B78" s="200" t="s">
        <v>164</v>
      </c>
      <c r="C78" s="1165" t="s">
        <v>293</v>
      </c>
      <c r="D78" s="1170">
        <v>-988730.66145798902</v>
      </c>
      <c r="E78" s="944">
        <f>'Table 5B1_RSD_Orleans'!I70+'Table 5B2_RSD_LA'!M38</f>
        <v>-1005502.2208884576</v>
      </c>
      <c r="F78" s="1244"/>
      <c r="G78" s="905">
        <f t="shared" si="7"/>
        <v>-16771.559430468595</v>
      </c>
      <c r="H78" s="524">
        <f t="shared" si="5"/>
        <v>1.7000000000000001E-2</v>
      </c>
    </row>
    <row r="79" spans="1:8" s="35" customFormat="1" ht="20.25" customHeight="1">
      <c r="A79" s="184"/>
      <c r="B79" s="200" t="s">
        <v>165</v>
      </c>
      <c r="C79" s="1165" t="s">
        <v>461</v>
      </c>
      <c r="D79" s="1170">
        <v>-52028.625194067157</v>
      </c>
      <c r="E79" s="944">
        <f>'Table 5C1A-Madison Prep'!K76+'Table 5C1B-DArbonne'!K77+'Table 5C1C-Intl_VIBE'!K76+'Table 5C1D-NOMMA'!K76+'Table 5C1E-LFNO'!K76+'Table 5C1F-Lake Charles Charter'!K76+'Table 5C2 - LA Virtual Admy'!L73+'Table 5C3 - LA Connections EBR'!L73</f>
        <v>-50562.80613403055</v>
      </c>
      <c r="F79" s="1244"/>
      <c r="G79" s="905">
        <f t="shared" si="7"/>
        <v>1465.819060036607</v>
      </c>
      <c r="H79" s="524">
        <f t="shared" si="5"/>
        <v>-2.8199999999999999E-2</v>
      </c>
    </row>
    <row r="80" spans="1:8" s="35" customFormat="1" ht="20.25" customHeight="1">
      <c r="A80" s="184"/>
      <c r="B80" s="200" t="s">
        <v>166</v>
      </c>
      <c r="C80" s="1165" t="s">
        <v>477</v>
      </c>
      <c r="D80" s="1170">
        <v>8.3400291723955888</v>
      </c>
      <c r="E80" s="945">
        <f>'Table 5D1 - New Vision'!J76+'Table 5D2 - Glencoe'!J76+'Table 5D3 - International'!J76+'Table 5D4 - Avoyelles'!J76+'Table 5D5 - Delhi'!J76+'Table 5D6 - Milestone'!J76+'Table 5D7 - Max'!J76+'Table 5D8 - Belle Chasse'!L76</f>
        <v>70894.889460474515</v>
      </c>
      <c r="F80" s="1244"/>
      <c r="G80" s="905">
        <f t="shared" si="7"/>
        <v>70886.549431302119</v>
      </c>
      <c r="H80" s="524">
        <f t="shared" si="5"/>
        <v>8499.5565000000006</v>
      </c>
    </row>
    <row r="81" spans="1:8" s="35" customFormat="1" ht="20.25" customHeight="1">
      <c r="A81" s="184"/>
      <c r="B81" s="200" t="s">
        <v>167</v>
      </c>
      <c r="C81" s="364" t="s">
        <v>637</v>
      </c>
      <c r="D81" s="1225">
        <v>-5928.4203465283663</v>
      </c>
      <c r="E81" s="937">
        <f>'Table 5E_OJJ'!I76</f>
        <v>0</v>
      </c>
      <c r="F81" s="955"/>
      <c r="G81" s="905"/>
      <c r="H81" s="524"/>
    </row>
    <row r="82" spans="1:8" s="35" customFormat="1" ht="20.25" customHeight="1">
      <c r="A82" s="184"/>
      <c r="B82" s="210" t="s">
        <v>188</v>
      </c>
      <c r="C82" s="1166" t="s">
        <v>294</v>
      </c>
      <c r="D82" s="1171">
        <v>0</v>
      </c>
      <c r="E82" s="946">
        <v>0</v>
      </c>
      <c r="F82" s="956"/>
      <c r="G82" s="906">
        <f t="shared" ref="G82:G95" si="8">E82-D82</f>
        <v>0</v>
      </c>
      <c r="H82" s="524" t="e">
        <f t="shared" si="5"/>
        <v>#DIV/0!</v>
      </c>
    </row>
    <row r="83" spans="1:8" s="35" customFormat="1" ht="20.25" customHeight="1">
      <c r="A83" s="184"/>
      <c r="B83" s="1142" t="s">
        <v>453</v>
      </c>
      <c r="C83" s="1166" t="s">
        <v>525</v>
      </c>
      <c r="D83" s="1171"/>
      <c r="E83" s="946"/>
      <c r="F83" s="956"/>
      <c r="G83" s="906"/>
      <c r="H83" s="524"/>
    </row>
    <row r="84" spans="1:8" s="35" customFormat="1" ht="20.25" customHeight="1">
      <c r="A84" s="184"/>
      <c r="B84" s="178"/>
      <c r="C84" s="1172" t="s">
        <v>526</v>
      </c>
      <c r="D84" s="1173">
        <v>-139518605.89238623</v>
      </c>
      <c r="E84" s="1174">
        <f>'Table 2_State Distrib and Adjs'!I76</f>
        <v>-143215353.45973492</v>
      </c>
      <c r="F84" s="1175"/>
      <c r="G84" s="1176">
        <f t="shared" si="8"/>
        <v>-3696747.5673486888</v>
      </c>
      <c r="H84" s="1177">
        <f>ROUND((E84/D84)-1,4)</f>
        <v>2.6499999999999999E-2</v>
      </c>
    </row>
    <row r="85" spans="1:8" s="35" customFormat="1" ht="20.25" customHeight="1">
      <c r="A85" s="184"/>
      <c r="B85" s="178"/>
      <c r="C85" s="1178" t="s">
        <v>527</v>
      </c>
      <c r="D85" s="1179">
        <v>-17354659.034030937</v>
      </c>
      <c r="E85" s="1249">
        <f>'Table 2_State Distrib and Adjs'!J76+'Table 2_State Distrib and Adjs'!K76+'Table 2_State Distrib and Adjs'!L76+'Table 2_State Distrib and Adjs'!M76+'Table 2_State Distrib and Adjs'!N76+'Table 2_State Distrib and Adjs'!O76+'Table 2_State Distrib and Adjs'!R76+'Table 2_State Distrib and Adjs'!S76+'Table 2_State Distrib and Adjs'!P76+'Table 2_State Distrib and Adjs'!Q76</f>
        <v>-26690460.693222009</v>
      </c>
      <c r="F85" s="1181"/>
      <c r="G85" s="1182">
        <f t="shared" si="8"/>
        <v>-9335801.659191072</v>
      </c>
      <c r="H85" s="1183">
        <f t="shared" ref="H85:H93" si="9">ROUND((E85/D85)-1,4)</f>
        <v>0.53790000000000004</v>
      </c>
    </row>
    <row r="86" spans="1:8" s="35" customFormat="1" ht="20.25" customHeight="1">
      <c r="A86" s="184"/>
      <c r="B86" s="178"/>
      <c r="C86" s="1178" t="s">
        <v>528</v>
      </c>
      <c r="D86" s="1179">
        <v>-19197548.492751442</v>
      </c>
      <c r="E86" s="1249">
        <f>'Table 2_State Distrib and Adjs'!T76+'Table 2_State Distrib and Adjs'!U76+'Table 2_State Distrib and Adjs'!V76+'Table 2_State Distrib and Adjs'!W76+'Table 2_State Distrib and Adjs'!X76+'Table 2_State Distrib and Adjs'!Y76+'Table 2_State Distrib and Adjs'!Z76+'Table 2_State Distrib and Adjs'!AA76</f>
        <v>-20303614.742457844</v>
      </c>
      <c r="F86" s="1181"/>
      <c r="G86" s="1182">
        <f t="shared" si="8"/>
        <v>-1106066.2497064024</v>
      </c>
      <c r="H86" s="1183">
        <f t="shared" si="9"/>
        <v>5.7599999999999998E-2</v>
      </c>
    </row>
    <row r="87" spans="1:8" s="35" customFormat="1" ht="20.25" customHeight="1">
      <c r="A87" s="184"/>
      <c r="B87" s="178"/>
      <c r="C87" s="1178" t="s">
        <v>529</v>
      </c>
      <c r="D87" s="1179">
        <v>-1099327.8311734488</v>
      </c>
      <c r="E87" s="1180">
        <f>-E71</f>
        <v>-1114662.1752867466</v>
      </c>
      <c r="F87" s="1181"/>
      <c r="G87" s="1182">
        <f t="shared" si="8"/>
        <v>-15334.34411329776</v>
      </c>
      <c r="H87" s="1183">
        <f t="shared" si="9"/>
        <v>1.3899999999999999E-2</v>
      </c>
    </row>
    <row r="88" spans="1:8" s="35" customFormat="1" ht="20.25" customHeight="1">
      <c r="A88" s="184"/>
      <c r="B88" s="178"/>
      <c r="C88" s="1178" t="s">
        <v>530</v>
      </c>
      <c r="D88" s="1179">
        <v>-1453552.0165221815</v>
      </c>
      <c r="E88" s="1180">
        <f>-E72</f>
        <v>-1506143.985159491</v>
      </c>
      <c r="F88" s="1181"/>
      <c r="G88" s="1182">
        <f t="shared" si="8"/>
        <v>-52591.968637309503</v>
      </c>
      <c r="H88" s="1183">
        <f t="shared" si="9"/>
        <v>3.6200000000000003E-2</v>
      </c>
    </row>
    <row r="89" spans="1:8" s="35" customFormat="1" ht="20.25" customHeight="1">
      <c r="A89" s="184"/>
      <c r="B89" s="178"/>
      <c r="C89" s="1178" t="s">
        <v>1035</v>
      </c>
      <c r="D89" s="1399">
        <v>-9523451.3774517681</v>
      </c>
      <c r="E89" s="1400">
        <f>-E73</f>
        <v>-21721939.127669465</v>
      </c>
      <c r="F89" s="1401"/>
      <c r="G89" s="1182">
        <f t="shared" si="8"/>
        <v>-12198487.750217697</v>
      </c>
      <c r="H89" s="1183">
        <f t="shared" si="9"/>
        <v>1.2808999999999999</v>
      </c>
    </row>
    <row r="90" spans="1:8" s="35" customFormat="1" ht="20.25" customHeight="1">
      <c r="A90" s="184"/>
      <c r="B90" s="178"/>
      <c r="C90" s="1568" t="s">
        <v>768</v>
      </c>
      <c r="D90" s="1179">
        <v>0</v>
      </c>
      <c r="E90" s="1180">
        <f>-E69</f>
        <v>-1380310.2625173437</v>
      </c>
      <c r="F90" s="1181"/>
      <c r="G90" s="1182">
        <f t="shared" si="8"/>
        <v>-1380310.2625173437</v>
      </c>
      <c r="H90" s="1183">
        <v>0</v>
      </c>
    </row>
    <row r="91" spans="1:8" s="35" customFormat="1" ht="20.25" customHeight="1">
      <c r="A91" s="184"/>
      <c r="B91" s="178"/>
      <c r="C91" s="1569" t="s">
        <v>1200</v>
      </c>
      <c r="D91" s="1570">
        <v>0</v>
      </c>
      <c r="E91" s="1571">
        <f>-E70</f>
        <v>-511911.20639433758</v>
      </c>
      <c r="F91" s="1181"/>
      <c r="G91" s="1182">
        <f t="shared" si="8"/>
        <v>-511911.20639433758</v>
      </c>
      <c r="H91" s="1398">
        <v>0</v>
      </c>
    </row>
    <row r="92" spans="1:8" s="35" customFormat="1" ht="20.25" customHeight="1">
      <c r="A92" s="184"/>
      <c r="B92" s="1572"/>
      <c r="C92" s="1573" t="s">
        <v>1058</v>
      </c>
      <c r="D92" s="1169">
        <v>0</v>
      </c>
      <c r="E92" s="1397">
        <f>-E66*0.9</f>
        <v>-10171229.528519969</v>
      </c>
      <c r="F92" s="1244"/>
      <c r="G92" s="1182">
        <f t="shared" si="8"/>
        <v>-10171229.528519969</v>
      </c>
      <c r="H92" s="1398">
        <v>0</v>
      </c>
    </row>
    <row r="93" spans="1:8" s="801" customFormat="1" ht="20.25" customHeight="1" thickBot="1">
      <c r="A93" s="1161"/>
      <c r="B93" s="1162" t="s">
        <v>638</v>
      </c>
      <c r="C93" s="1160" t="s">
        <v>1036</v>
      </c>
      <c r="D93" s="1316">
        <v>-3552272.0024517681</v>
      </c>
      <c r="E93" s="1315">
        <f>-'Table 5F Scholarships '!Q975</f>
        <v>-9621973.8505515885</v>
      </c>
      <c r="F93" s="1245"/>
      <c r="G93" s="1163">
        <f t="shared" si="8"/>
        <v>-6069701.8480998203</v>
      </c>
      <c r="H93" s="1164">
        <f t="shared" si="9"/>
        <v>1.7087000000000001</v>
      </c>
    </row>
    <row r="94" spans="1:8" s="35" customFormat="1" ht="23.25" customHeight="1" thickBot="1">
      <c r="A94" s="442" t="s">
        <v>515</v>
      </c>
      <c r="B94" s="1835" t="s">
        <v>1136</v>
      </c>
      <c r="C94" s="1836"/>
      <c r="D94" s="443">
        <v>3419813114.5606341</v>
      </c>
      <c r="E94" s="947">
        <f>E74+E75</f>
        <v>3458799075.6247487</v>
      </c>
      <c r="F94" s="1094"/>
      <c r="G94" s="907">
        <f t="shared" si="8"/>
        <v>38985961.064114571</v>
      </c>
      <c r="H94" s="539">
        <f t="shared" si="5"/>
        <v>1.14E-2</v>
      </c>
    </row>
    <row r="95" spans="1:8" s="438" customFormat="1" ht="24" customHeight="1" thickBot="1">
      <c r="A95" s="544" t="s">
        <v>520</v>
      </c>
      <c r="B95" s="1837" t="s">
        <v>659</v>
      </c>
      <c r="C95" s="1838"/>
      <c r="D95" s="545">
        <v>3422265205</v>
      </c>
      <c r="E95" s="948">
        <v>3461265205</v>
      </c>
      <c r="F95" s="957"/>
      <c r="G95" s="1135">
        <f t="shared" si="8"/>
        <v>39000000</v>
      </c>
      <c r="H95" s="1136"/>
    </row>
    <row r="96" spans="1:8" s="35" customFormat="1" ht="18.75" customHeight="1" thickBot="1">
      <c r="A96" s="880" t="s">
        <v>1130</v>
      </c>
      <c r="B96" s="39" t="s">
        <v>660</v>
      </c>
      <c r="C96" s="39"/>
      <c r="D96" s="40">
        <v>-2452090.4393658638</v>
      </c>
      <c r="E96" s="960">
        <f>E94-E95</f>
        <v>-2466129.3752512932</v>
      </c>
      <c r="F96" s="959"/>
      <c r="G96" s="908">
        <f>E96-D96</f>
        <v>-14038.935885429382</v>
      </c>
      <c r="H96" s="540"/>
    </row>
    <row r="97" spans="1:11" s="35" customFormat="1" ht="19.5" customHeight="1" thickTop="1">
      <c r="A97" s="967"/>
      <c r="B97" s="1829"/>
      <c r="C97" s="1829"/>
      <c r="D97" s="1829"/>
      <c r="E97" s="1829"/>
      <c r="F97" s="1829"/>
      <c r="G97" s="1829"/>
      <c r="H97" s="1829"/>
    </row>
    <row r="98" spans="1:11" ht="4.5" customHeight="1">
      <c r="A98" s="881"/>
      <c r="B98" s="881"/>
      <c r="C98" s="881"/>
      <c r="D98" s="208"/>
      <c r="E98" s="441"/>
      <c r="F98" s="441"/>
    </row>
    <row r="99" spans="1:11" ht="17.25" hidden="1" customHeight="1">
      <c r="D99" s="59"/>
      <c r="E99" s="439">
        <f>'Table 3 Levels 1&amp;2'!AX78</f>
        <v>0.65</v>
      </c>
      <c r="F99" s="439"/>
      <c r="G99" s="439">
        <f>'Table 3 Levels 1&amp;2'!AY78</f>
        <v>0.35</v>
      </c>
      <c r="J99" s="588"/>
    </row>
    <row r="100" spans="1:11" s="431" customFormat="1" ht="17.25" customHeight="1">
      <c r="B100" s="432"/>
      <c r="C100" s="580"/>
      <c r="D100" s="59"/>
      <c r="E100" s="59"/>
      <c r="F100" s="59"/>
      <c r="G100"/>
      <c r="H100"/>
      <c r="I100"/>
    </row>
    <row r="101" spans="1:11" s="431" customFormat="1" ht="17.25" customHeight="1">
      <c r="A101"/>
      <c r="B101"/>
      <c r="C101" s="211"/>
      <c r="D101" s="59"/>
      <c r="E101"/>
      <c r="F101"/>
      <c r="G101"/>
      <c r="H101"/>
      <c r="I101"/>
      <c r="J101" s="589"/>
      <c r="K101"/>
    </row>
    <row r="102" spans="1:11" ht="17.25" customHeight="1">
      <c r="B102" s="720"/>
      <c r="C102" s="1319"/>
      <c r="D102" s="59"/>
      <c r="E102" s="2"/>
      <c r="F102" s="2"/>
      <c r="J102" s="59"/>
    </row>
    <row r="103" spans="1:11" ht="17.25" customHeight="1">
      <c r="C103" s="1320"/>
      <c r="D103" s="721"/>
      <c r="E103" s="2"/>
      <c r="F103" s="2"/>
      <c r="J103" s="59"/>
    </row>
    <row r="104" spans="1:11" ht="17.25" customHeight="1">
      <c r="C104" s="1321"/>
      <c r="D104" s="59"/>
      <c r="E104" s="1323"/>
      <c r="F104" s="1323"/>
      <c r="G104" s="1323"/>
      <c r="H104" s="1323"/>
      <c r="J104" s="59"/>
    </row>
    <row r="105" spans="1:11" ht="10.5" customHeight="1">
      <c r="C105" s="49"/>
      <c r="E105" s="1323"/>
      <c r="F105" s="1323"/>
      <c r="G105" s="1323"/>
      <c r="H105" s="1323"/>
      <c r="J105" s="721"/>
      <c r="K105" s="2"/>
    </row>
    <row r="106" spans="1:11">
      <c r="C106" s="1776"/>
      <c r="D106" s="721"/>
      <c r="E106" s="1777"/>
      <c r="F106" s="1777"/>
      <c r="G106" s="35"/>
      <c r="H106" s="35"/>
      <c r="I106" s="35"/>
      <c r="J106" s="721"/>
      <c r="K106" s="35"/>
    </row>
    <row r="107" spans="1:11">
      <c r="C107" s="1776"/>
      <c r="D107" s="721"/>
      <c r="E107" s="1776"/>
      <c r="F107" s="1776"/>
      <c r="G107" s="35"/>
      <c r="H107" s="35"/>
      <c r="I107" s="35"/>
      <c r="J107" s="35"/>
      <c r="K107" s="35"/>
    </row>
    <row r="108" spans="1:11">
      <c r="C108" s="1776"/>
      <c r="D108" s="721"/>
      <c r="E108" s="1776"/>
      <c r="F108" s="1776"/>
      <c r="G108" s="35"/>
      <c r="H108" s="35"/>
      <c r="I108" s="35"/>
      <c r="J108" s="35"/>
      <c r="K108" s="35"/>
    </row>
    <row r="109" spans="1:11">
      <c r="C109" s="1776"/>
      <c r="D109" s="35"/>
      <c r="E109" s="1776"/>
      <c r="F109" s="1776"/>
      <c r="G109" s="35"/>
      <c r="H109" s="35"/>
      <c r="I109" s="35"/>
      <c r="J109" s="35"/>
      <c r="K109" s="35"/>
    </row>
    <row r="110" spans="1:11">
      <c r="C110" s="49"/>
      <c r="G110" s="75"/>
    </row>
  </sheetData>
  <mergeCells count="15">
    <mergeCell ref="B97:H97"/>
    <mergeCell ref="B10:C10"/>
    <mergeCell ref="B39:C39"/>
    <mergeCell ref="B55:C55"/>
    <mergeCell ref="B94:C94"/>
    <mergeCell ref="B95:C95"/>
    <mergeCell ref="B50:C50"/>
    <mergeCell ref="B47:C47"/>
    <mergeCell ref="A2:H2"/>
    <mergeCell ref="A3:H3"/>
    <mergeCell ref="A4:H4"/>
    <mergeCell ref="D5:D8"/>
    <mergeCell ref="G5:G8"/>
    <mergeCell ref="H5:H8"/>
    <mergeCell ref="E5:F8"/>
  </mergeCells>
  <printOptions horizontalCentered="1"/>
  <pageMargins left="0.25" right="0.25" top="0.19" bottom="0.16" header="0.17" footer="0.16"/>
  <pageSetup paperSize="5" scale="70" orientation="portrait" useFirstPageNumber="1" r:id="rId1"/>
  <headerFooter alignWithMargins="0">
    <oddFooter>&amp;R&amp;12&amp;P</oddFooter>
  </headerFooter>
  <rowBreaks count="1" manualBreakCount="1">
    <brk id="74" max="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FC106"/>
  <sheetViews>
    <sheetView view="pageBreakPreview" zoomScaleNormal="100" zoomScaleSheetLayoutView="100" workbookViewId="0">
      <pane xSplit="2" ySplit="6" topLeftCell="C7" activePane="bottomRight" state="frozen"/>
      <selection activeCell="B3" sqref="B3:B5"/>
      <selection pane="topRight" activeCell="B3" sqref="B3:B5"/>
      <selection pane="bottomLeft" activeCell="B3" sqref="B3:B5"/>
      <selection pane="bottomRight" activeCell="A2" sqref="A2:B4"/>
    </sheetView>
  </sheetViews>
  <sheetFormatPr defaultColWidth="12.5703125" defaultRowHeight="12.75"/>
  <cols>
    <col min="1" max="1" width="3.85546875" style="971" customWidth="1"/>
    <col min="2" max="2" width="17.85546875" style="971" bestFit="1" customWidth="1"/>
    <col min="3" max="3" width="14.5703125" style="974" customWidth="1"/>
    <col min="4" max="4" width="18.7109375" style="974" customWidth="1"/>
    <col min="5" max="5" width="13.42578125" style="974" customWidth="1"/>
    <col min="6" max="6" width="13.7109375" style="974" customWidth="1"/>
    <col min="7" max="7" width="12.5703125" style="974" bestFit="1" customWidth="1"/>
    <col min="8" max="8" width="13.7109375" style="974" customWidth="1"/>
    <col min="9" max="9" width="13.28515625" style="974" customWidth="1"/>
    <col min="10" max="10" width="17" style="974" customWidth="1"/>
    <col min="11" max="11" width="15.42578125" style="974" customWidth="1"/>
    <col min="12" max="12" width="15.140625" style="974" customWidth="1"/>
    <col min="13" max="13" width="15" style="974" customWidth="1"/>
    <col min="14" max="14" width="14.85546875" style="974" customWidth="1"/>
    <col min="15" max="15" width="10.42578125" style="974" customWidth="1"/>
    <col min="16" max="17" width="12.5703125" style="971" customWidth="1"/>
    <col min="18" max="16384" width="12.5703125" style="971"/>
  </cols>
  <sheetData>
    <row r="1" spans="1:159" ht="9" customHeight="1">
      <c r="B1" s="972"/>
      <c r="C1" s="973"/>
      <c r="D1" s="973"/>
      <c r="E1" s="973"/>
      <c r="F1" s="973"/>
      <c r="G1" s="973"/>
      <c r="H1" s="973"/>
      <c r="I1" s="973"/>
    </row>
    <row r="2" spans="1:159" s="976" customFormat="1" ht="39.75" customHeight="1">
      <c r="A2" s="2000" t="s">
        <v>484</v>
      </c>
      <c r="B2" s="2001"/>
      <c r="C2" s="2011" t="s">
        <v>483</v>
      </c>
      <c r="D2" s="2012"/>
      <c r="E2" s="2012"/>
      <c r="F2" s="2013"/>
      <c r="G2" s="2013"/>
      <c r="H2" s="2013"/>
      <c r="I2" s="2012"/>
      <c r="J2" s="1992" t="s">
        <v>1338</v>
      </c>
      <c r="K2" s="1993"/>
      <c r="L2" s="1994"/>
      <c r="M2" s="1995" t="s">
        <v>1346</v>
      </c>
      <c r="N2" s="1995" t="s">
        <v>1339</v>
      </c>
      <c r="O2" s="1795"/>
      <c r="P2" s="1798"/>
      <c r="Q2" s="1798"/>
      <c r="R2" s="1798"/>
      <c r="S2" s="1798"/>
      <c r="T2" s="1798"/>
      <c r="U2" s="1798"/>
      <c r="V2" s="1798"/>
      <c r="W2" s="1798"/>
      <c r="X2" s="1798"/>
      <c r="Y2" s="1798"/>
      <c r="Z2" s="1798"/>
      <c r="AA2" s="1798"/>
      <c r="AB2" s="1798"/>
      <c r="AC2" s="1798"/>
      <c r="AD2" s="1798"/>
      <c r="AE2" s="1798"/>
      <c r="AF2" s="1798"/>
      <c r="AG2" s="1798"/>
      <c r="AH2" s="1798"/>
      <c r="AI2" s="1798"/>
      <c r="AJ2" s="1798"/>
      <c r="AK2" s="1798"/>
      <c r="AL2" s="1798"/>
      <c r="AM2" s="1798"/>
      <c r="AN2" s="1798"/>
      <c r="AO2" s="1798"/>
      <c r="AP2" s="1798"/>
      <c r="AQ2" s="1798"/>
      <c r="AR2" s="1798"/>
      <c r="AS2" s="1798"/>
      <c r="AT2" s="1798"/>
      <c r="AU2" s="1798"/>
      <c r="AV2" s="1798"/>
      <c r="AW2" s="1798"/>
      <c r="AX2" s="1798"/>
      <c r="AY2" s="1798"/>
      <c r="AZ2" s="1798"/>
      <c r="BA2" s="1798"/>
      <c r="BB2" s="1798"/>
      <c r="BC2" s="1798"/>
      <c r="BD2" s="1798"/>
      <c r="BE2" s="1798"/>
      <c r="BF2" s="1798"/>
      <c r="BG2" s="1798"/>
      <c r="BH2" s="1798"/>
      <c r="BI2" s="1798"/>
      <c r="BJ2" s="1798"/>
      <c r="BK2" s="1798"/>
      <c r="BL2" s="1798"/>
      <c r="BM2" s="1798"/>
      <c r="BN2" s="1798"/>
      <c r="BO2" s="1798"/>
      <c r="BP2" s="1798"/>
      <c r="BQ2" s="1798"/>
      <c r="BR2" s="1798"/>
      <c r="BS2" s="1798"/>
      <c r="BT2" s="1798"/>
      <c r="BU2" s="1798"/>
      <c r="BV2" s="1798"/>
      <c r="BW2" s="1798"/>
      <c r="BX2" s="1798"/>
      <c r="BY2" s="1798"/>
      <c r="BZ2" s="1798"/>
      <c r="CA2" s="1798"/>
      <c r="CB2" s="1798"/>
      <c r="CC2" s="1798"/>
      <c r="CD2" s="1798"/>
      <c r="CE2" s="1798"/>
      <c r="CF2" s="1798"/>
      <c r="CG2" s="1798"/>
      <c r="CH2" s="1798"/>
      <c r="CI2" s="1798"/>
      <c r="CJ2" s="1798"/>
      <c r="CK2" s="1798"/>
      <c r="CL2" s="1798"/>
      <c r="CM2" s="1798"/>
      <c r="CN2" s="1798"/>
      <c r="CO2" s="1798"/>
      <c r="CP2" s="1798"/>
      <c r="CQ2" s="1798"/>
      <c r="CR2" s="1798"/>
      <c r="CS2" s="1798"/>
      <c r="CT2" s="1798"/>
      <c r="CU2" s="1798"/>
      <c r="CV2" s="1798"/>
      <c r="CW2" s="1798"/>
      <c r="CX2" s="1798"/>
      <c r="CY2" s="1798"/>
      <c r="CZ2" s="1798"/>
      <c r="DA2" s="1798"/>
      <c r="DB2" s="1798"/>
      <c r="DC2" s="1798"/>
      <c r="DD2" s="1798"/>
      <c r="DE2" s="1798"/>
      <c r="DF2" s="1798"/>
      <c r="DG2" s="1798"/>
      <c r="DH2" s="1798"/>
      <c r="DI2" s="1798"/>
      <c r="DJ2" s="1798"/>
      <c r="DK2" s="1798"/>
      <c r="DL2" s="1798"/>
      <c r="DM2" s="1798"/>
      <c r="DN2" s="1798"/>
      <c r="DO2" s="1798"/>
      <c r="DP2" s="1798"/>
      <c r="DQ2" s="1798"/>
      <c r="DR2" s="1798"/>
      <c r="DS2" s="1798"/>
      <c r="DT2" s="1798"/>
      <c r="DU2" s="1798"/>
      <c r="DV2" s="1798"/>
      <c r="DW2" s="1798"/>
      <c r="DX2" s="1798"/>
      <c r="DY2" s="1798"/>
      <c r="DZ2" s="1798"/>
      <c r="EA2" s="1798"/>
      <c r="EB2" s="1798"/>
      <c r="EC2" s="1798"/>
      <c r="ED2" s="1798"/>
      <c r="EE2" s="1798"/>
      <c r="EF2" s="1798"/>
      <c r="EG2" s="1798"/>
      <c r="EH2" s="1798"/>
      <c r="EI2" s="1798"/>
      <c r="EJ2" s="1798"/>
      <c r="EK2" s="1798"/>
      <c r="EL2" s="1798"/>
      <c r="EM2" s="1798"/>
      <c r="EN2" s="1798"/>
      <c r="EO2" s="1798"/>
      <c r="EP2" s="1798"/>
      <c r="EQ2" s="1798"/>
      <c r="ER2" s="1798"/>
      <c r="ES2" s="1798"/>
      <c r="ET2" s="1798"/>
      <c r="EU2" s="1798"/>
      <c r="EV2" s="1798"/>
      <c r="EW2" s="1798"/>
      <c r="EX2" s="1798"/>
      <c r="EY2" s="1798"/>
      <c r="EZ2" s="1798"/>
      <c r="FA2" s="1798"/>
      <c r="FB2" s="1798"/>
      <c r="FC2" s="1798"/>
    </row>
    <row r="3" spans="1:159" ht="78" customHeight="1">
      <c r="A3" s="2002"/>
      <c r="B3" s="2003"/>
      <c r="C3" s="2014" t="s">
        <v>1174</v>
      </c>
      <c r="D3" s="2016" t="s">
        <v>1344</v>
      </c>
      <c r="E3" s="2006" t="s">
        <v>1345</v>
      </c>
      <c r="F3" s="2006" t="s">
        <v>1186</v>
      </c>
      <c r="G3" s="2006" t="s">
        <v>521</v>
      </c>
      <c r="H3" s="2006" t="s">
        <v>1336</v>
      </c>
      <c r="I3" s="2006" t="s">
        <v>1342</v>
      </c>
      <c r="J3" s="2009" t="s">
        <v>1349</v>
      </c>
      <c r="K3" s="1998" t="s">
        <v>1348</v>
      </c>
      <c r="L3" s="1998" t="s">
        <v>1341</v>
      </c>
      <c r="M3" s="1996"/>
      <c r="N3" s="1996"/>
      <c r="O3" s="1799"/>
      <c r="P3" s="1800"/>
      <c r="Q3" s="1800"/>
      <c r="R3" s="1800"/>
      <c r="S3" s="1800"/>
      <c r="T3" s="1800"/>
      <c r="U3" s="1800"/>
      <c r="V3" s="1800"/>
      <c r="W3" s="1800"/>
      <c r="X3" s="1800"/>
      <c r="Y3" s="1800"/>
      <c r="Z3" s="1800"/>
      <c r="AA3" s="1800"/>
      <c r="AB3" s="1800"/>
      <c r="AC3" s="1800"/>
      <c r="AD3" s="1800"/>
      <c r="AE3" s="1800"/>
      <c r="AF3" s="1800"/>
      <c r="AG3" s="1800"/>
      <c r="AH3" s="1800"/>
      <c r="AI3" s="1800"/>
      <c r="AJ3" s="1800"/>
      <c r="AK3" s="1800"/>
      <c r="AL3" s="1800"/>
      <c r="AM3" s="1800"/>
      <c r="AN3" s="1800"/>
      <c r="AO3" s="1800"/>
      <c r="AP3" s="1800"/>
      <c r="AQ3" s="1800"/>
      <c r="AR3" s="1800"/>
      <c r="AS3" s="1800"/>
      <c r="AT3" s="1800"/>
      <c r="AU3" s="1800"/>
      <c r="AV3" s="1800"/>
      <c r="AW3" s="1800"/>
      <c r="AX3" s="1800"/>
      <c r="AY3" s="1800"/>
      <c r="AZ3" s="1800"/>
      <c r="BA3" s="1800"/>
      <c r="BB3" s="1800"/>
      <c r="BC3" s="1800"/>
      <c r="BD3" s="1800"/>
      <c r="BE3" s="1800"/>
      <c r="BF3" s="1800"/>
      <c r="BG3" s="1800"/>
      <c r="BH3" s="1800"/>
      <c r="BI3" s="1800"/>
      <c r="BJ3" s="1800"/>
      <c r="BK3" s="1800"/>
      <c r="BL3" s="1800"/>
      <c r="BM3" s="1800"/>
      <c r="BN3" s="1800"/>
      <c r="BO3" s="1800"/>
      <c r="BP3" s="1800"/>
      <c r="BQ3" s="1800"/>
      <c r="BR3" s="1800"/>
      <c r="BS3" s="1800"/>
      <c r="BT3" s="1800"/>
      <c r="BU3" s="1800"/>
      <c r="BV3" s="1800"/>
      <c r="BW3" s="1800"/>
      <c r="BX3" s="1800"/>
      <c r="BY3" s="1800"/>
      <c r="BZ3" s="1800"/>
      <c r="CA3" s="1800"/>
      <c r="CB3" s="1800"/>
      <c r="CC3" s="1800"/>
      <c r="CD3" s="1800"/>
      <c r="CE3" s="1800"/>
      <c r="CF3" s="1800"/>
      <c r="CG3" s="1800"/>
      <c r="CH3" s="1800"/>
      <c r="CI3" s="1800"/>
      <c r="CJ3" s="1800"/>
      <c r="CK3" s="1800"/>
      <c r="CL3" s="1800"/>
      <c r="CM3" s="1800"/>
      <c r="CN3" s="1800"/>
      <c r="CO3" s="1800"/>
      <c r="CP3" s="1800"/>
      <c r="CQ3" s="1800"/>
      <c r="CR3" s="1800"/>
      <c r="CS3" s="1800"/>
      <c r="CT3" s="1800"/>
      <c r="CU3" s="1800"/>
      <c r="CV3" s="1800"/>
      <c r="CW3" s="1800"/>
      <c r="CX3" s="1800"/>
      <c r="CY3" s="1800"/>
      <c r="CZ3" s="1800"/>
      <c r="DA3" s="1800"/>
      <c r="DB3" s="1800"/>
      <c r="DC3" s="1800"/>
      <c r="DD3" s="1800"/>
      <c r="DE3" s="1800"/>
      <c r="DF3" s="1800"/>
      <c r="DG3" s="1800"/>
      <c r="DH3" s="1800"/>
      <c r="DI3" s="1800"/>
      <c r="DJ3" s="1800"/>
      <c r="DK3" s="1800"/>
      <c r="DL3" s="1800"/>
      <c r="DM3" s="1800"/>
      <c r="DN3" s="1800"/>
      <c r="DO3" s="1800"/>
      <c r="DP3" s="1800"/>
      <c r="DQ3" s="1800"/>
      <c r="DR3" s="1800"/>
      <c r="DS3" s="1800"/>
      <c r="DT3" s="1800"/>
      <c r="DU3" s="1800"/>
      <c r="DV3" s="1800"/>
      <c r="DW3" s="1800"/>
      <c r="DX3" s="1800"/>
      <c r="DY3" s="1800"/>
      <c r="DZ3" s="1800"/>
      <c r="EA3" s="1800"/>
      <c r="EB3" s="1800"/>
      <c r="EC3" s="1800"/>
      <c r="ED3" s="1800"/>
      <c r="EE3" s="1800"/>
      <c r="EF3" s="1800"/>
      <c r="EG3" s="1800"/>
      <c r="EH3" s="1800"/>
      <c r="EI3" s="1800"/>
      <c r="EJ3" s="1800"/>
      <c r="EK3" s="1800"/>
      <c r="EL3" s="1800"/>
      <c r="EM3" s="1800"/>
      <c r="EN3" s="1800"/>
      <c r="EO3" s="1800"/>
      <c r="EP3" s="1800"/>
      <c r="EQ3" s="1800"/>
      <c r="ER3" s="1800"/>
      <c r="ES3" s="1800"/>
      <c r="ET3" s="1800"/>
      <c r="EU3" s="1800"/>
      <c r="EV3" s="1800"/>
      <c r="EW3" s="1800"/>
      <c r="EX3" s="1800"/>
      <c r="EY3" s="1800"/>
      <c r="EZ3" s="1800"/>
      <c r="FA3" s="1800"/>
      <c r="FB3" s="1800"/>
      <c r="FC3" s="1800"/>
    </row>
    <row r="4" spans="1:159" ht="38.25" customHeight="1">
      <c r="A4" s="2004"/>
      <c r="B4" s="2005"/>
      <c r="C4" s="2015"/>
      <c r="D4" s="2016"/>
      <c r="E4" s="2007"/>
      <c r="F4" s="2007"/>
      <c r="G4" s="2007"/>
      <c r="H4" s="2007"/>
      <c r="I4" s="2007"/>
      <c r="J4" s="2010"/>
      <c r="K4" s="1999"/>
      <c r="L4" s="1999"/>
      <c r="M4" s="1997"/>
      <c r="N4" s="1997"/>
      <c r="O4" s="1799"/>
      <c r="P4" s="1800"/>
      <c r="Q4" s="1800"/>
      <c r="R4" s="1800"/>
      <c r="S4" s="1800"/>
      <c r="T4" s="1800"/>
      <c r="U4" s="1800"/>
      <c r="V4" s="1800"/>
      <c r="W4" s="1800"/>
      <c r="X4" s="1800"/>
      <c r="Y4" s="1800"/>
      <c r="Z4" s="1800"/>
      <c r="AA4" s="1800"/>
      <c r="AB4" s="1800"/>
      <c r="AC4" s="1800"/>
      <c r="AD4" s="1800"/>
      <c r="AE4" s="1800"/>
      <c r="AF4" s="1800"/>
      <c r="AG4" s="1800"/>
      <c r="AH4" s="1800"/>
      <c r="AI4" s="1800"/>
      <c r="AJ4" s="1800"/>
      <c r="AK4" s="1800"/>
      <c r="AL4" s="1800"/>
      <c r="AM4" s="1800"/>
      <c r="AN4" s="1800"/>
      <c r="AO4" s="1800"/>
      <c r="AP4" s="1800"/>
      <c r="AQ4" s="1800"/>
      <c r="AR4" s="1800"/>
      <c r="AS4" s="1800"/>
      <c r="AT4" s="1800"/>
      <c r="AU4" s="1800"/>
      <c r="AV4" s="1800"/>
      <c r="AW4" s="1800"/>
      <c r="AX4" s="1800"/>
      <c r="AY4" s="1800"/>
      <c r="AZ4" s="1800"/>
      <c r="BA4" s="1800"/>
      <c r="BB4" s="1800"/>
      <c r="BC4" s="1800"/>
      <c r="BD4" s="1800"/>
      <c r="BE4" s="1800"/>
      <c r="BF4" s="1800"/>
      <c r="BG4" s="1800"/>
      <c r="BH4" s="1800"/>
      <c r="BI4" s="1800"/>
      <c r="BJ4" s="1800"/>
      <c r="BK4" s="1800"/>
      <c r="BL4" s="1800"/>
      <c r="BM4" s="1800"/>
      <c r="BN4" s="1800"/>
      <c r="BO4" s="1800"/>
      <c r="BP4" s="1800"/>
      <c r="BQ4" s="1800"/>
      <c r="BR4" s="1800"/>
      <c r="BS4" s="1800"/>
      <c r="BT4" s="1800"/>
      <c r="BU4" s="1800"/>
      <c r="BV4" s="1800"/>
      <c r="BW4" s="1800"/>
      <c r="BX4" s="1800"/>
      <c r="BY4" s="1800"/>
      <c r="BZ4" s="1800"/>
      <c r="CA4" s="1800"/>
      <c r="CB4" s="1800"/>
      <c r="CC4" s="1800"/>
      <c r="CD4" s="1800"/>
      <c r="CE4" s="1800"/>
      <c r="CF4" s="1800"/>
      <c r="CG4" s="1800"/>
      <c r="CH4" s="1800"/>
      <c r="CI4" s="1800"/>
      <c r="CJ4" s="1800"/>
      <c r="CK4" s="1800"/>
      <c r="CL4" s="1800"/>
      <c r="CM4" s="1800"/>
      <c r="CN4" s="1800"/>
      <c r="CO4" s="1800"/>
      <c r="CP4" s="1800"/>
      <c r="CQ4" s="1800"/>
      <c r="CR4" s="1800"/>
      <c r="CS4" s="1800"/>
      <c r="CT4" s="1800"/>
      <c r="CU4" s="1800"/>
      <c r="CV4" s="1800"/>
      <c r="CW4" s="1800"/>
      <c r="CX4" s="1800"/>
      <c r="CY4" s="1800"/>
      <c r="CZ4" s="1800"/>
      <c r="DA4" s="1800"/>
      <c r="DB4" s="1800"/>
      <c r="DC4" s="1800"/>
      <c r="DD4" s="1800"/>
      <c r="DE4" s="1800"/>
      <c r="DF4" s="1800"/>
      <c r="DG4" s="1800"/>
      <c r="DH4" s="1800"/>
      <c r="DI4" s="1800"/>
      <c r="DJ4" s="1800"/>
      <c r="DK4" s="1800"/>
      <c r="DL4" s="1800"/>
      <c r="DM4" s="1800"/>
      <c r="DN4" s="1800"/>
      <c r="DO4" s="1800"/>
      <c r="DP4" s="1800"/>
      <c r="DQ4" s="1800"/>
      <c r="DR4" s="1800"/>
      <c r="DS4" s="1800"/>
      <c r="DT4" s="1800"/>
      <c r="DU4" s="1800"/>
      <c r="DV4" s="1800"/>
      <c r="DW4" s="1800"/>
      <c r="DX4" s="1800"/>
      <c r="DY4" s="1800"/>
      <c r="DZ4" s="1800"/>
      <c r="EA4" s="1800"/>
      <c r="EB4" s="1800"/>
      <c r="EC4" s="1800"/>
      <c r="ED4" s="1800"/>
      <c r="EE4" s="1800"/>
      <c r="EF4" s="1800"/>
      <c r="EG4" s="1800"/>
      <c r="EH4" s="1800"/>
      <c r="EI4" s="1800"/>
      <c r="EJ4" s="1800"/>
      <c r="EK4" s="1800"/>
      <c r="EL4" s="1800"/>
      <c r="EM4" s="1800"/>
      <c r="EN4" s="1800"/>
      <c r="EO4" s="1800"/>
      <c r="EP4" s="1800"/>
      <c r="EQ4" s="1800"/>
      <c r="ER4" s="1800"/>
      <c r="ES4" s="1800"/>
      <c r="ET4" s="1800"/>
      <c r="EU4" s="1800"/>
      <c r="EV4" s="1800"/>
      <c r="EW4" s="1800"/>
      <c r="EX4" s="1800"/>
      <c r="EY4" s="1800"/>
      <c r="EZ4" s="1800"/>
      <c r="FA4" s="1800"/>
      <c r="FB4" s="1800"/>
      <c r="FC4" s="1800"/>
    </row>
    <row r="5" spans="1:159" s="981" customFormat="1" ht="14.25" customHeight="1">
      <c r="A5" s="978"/>
      <c r="B5" s="979"/>
      <c r="C5" s="980">
        <v>1</v>
      </c>
      <c r="D5" s="980">
        <f>C5+1</f>
        <v>2</v>
      </c>
      <c r="E5" s="980">
        <f t="shared" ref="E5" si="0">D5+1</f>
        <v>3</v>
      </c>
      <c r="F5" s="980">
        <f t="shared" ref="F5" si="1">E5+1</f>
        <v>4</v>
      </c>
      <c r="G5" s="980">
        <f t="shared" ref="G5" si="2">F5+1</f>
        <v>5</v>
      </c>
      <c r="H5" s="980">
        <f t="shared" ref="H5" si="3">G5+1</f>
        <v>6</v>
      </c>
      <c r="I5" s="980">
        <f t="shared" ref="I5" si="4">H5+1</f>
        <v>7</v>
      </c>
      <c r="J5" s="980">
        <f t="shared" ref="J5" si="5">I5+1</f>
        <v>8</v>
      </c>
      <c r="K5" s="980">
        <f t="shared" ref="K5" si="6">J5+1</f>
        <v>9</v>
      </c>
      <c r="L5" s="980">
        <f t="shared" ref="L5" si="7">K5+1</f>
        <v>10</v>
      </c>
      <c r="M5" s="980">
        <f t="shared" ref="M5" si="8">L5+1</f>
        <v>11</v>
      </c>
      <c r="N5" s="980">
        <f t="shared" ref="N5" si="9">M5+1</f>
        <v>12</v>
      </c>
      <c r="O5" s="1801"/>
      <c r="P5" s="1802"/>
      <c r="Q5" s="1802"/>
      <c r="R5" s="1802"/>
      <c r="S5" s="1802"/>
      <c r="T5" s="1802"/>
      <c r="U5" s="1802"/>
      <c r="V5" s="1802"/>
      <c r="W5" s="1802"/>
      <c r="X5" s="1802"/>
      <c r="Y5" s="1802"/>
      <c r="Z5" s="1802"/>
      <c r="AA5" s="1802"/>
      <c r="AB5" s="1802"/>
      <c r="AC5" s="1802"/>
      <c r="AD5" s="1802"/>
      <c r="AE5" s="1802"/>
      <c r="AF5" s="1802"/>
      <c r="AG5" s="1802"/>
      <c r="AH5" s="1802"/>
      <c r="AI5" s="1802"/>
      <c r="AJ5" s="1802"/>
      <c r="AK5" s="1802"/>
      <c r="AL5" s="1802"/>
      <c r="AM5" s="1802"/>
      <c r="AN5" s="1802"/>
      <c r="AO5" s="1802"/>
      <c r="AP5" s="1802"/>
      <c r="AQ5" s="1802"/>
      <c r="AR5" s="1802"/>
      <c r="AS5" s="1802"/>
      <c r="AT5" s="1802"/>
      <c r="AU5" s="1802"/>
      <c r="AV5" s="1802"/>
      <c r="AW5" s="1802"/>
      <c r="AX5" s="1802"/>
      <c r="AY5" s="1802"/>
      <c r="AZ5" s="1802"/>
      <c r="BA5" s="1802"/>
      <c r="BB5" s="1802"/>
      <c r="BC5" s="1802"/>
      <c r="BD5" s="1802"/>
      <c r="BE5" s="1802"/>
      <c r="BF5" s="1802"/>
      <c r="BG5" s="1802"/>
      <c r="BH5" s="1802"/>
      <c r="BI5" s="1802"/>
      <c r="BJ5" s="1802"/>
      <c r="BK5" s="1802"/>
      <c r="BL5" s="1802"/>
      <c r="BM5" s="1802"/>
      <c r="BN5" s="1802"/>
      <c r="BO5" s="1802"/>
      <c r="BP5" s="1802"/>
      <c r="BQ5" s="1802"/>
      <c r="BR5" s="1802"/>
      <c r="BS5" s="1802"/>
      <c r="BT5" s="1802"/>
      <c r="BU5" s="1802"/>
      <c r="BV5" s="1802"/>
      <c r="BW5" s="1802"/>
      <c r="BX5" s="1802"/>
      <c r="BY5" s="1802"/>
      <c r="BZ5" s="1802"/>
      <c r="CA5" s="1802"/>
      <c r="CB5" s="1802"/>
      <c r="CC5" s="1802"/>
      <c r="CD5" s="1802"/>
      <c r="CE5" s="1802"/>
      <c r="CF5" s="1802"/>
      <c r="CG5" s="1802"/>
      <c r="CH5" s="1802"/>
      <c r="CI5" s="1802"/>
      <c r="CJ5" s="1802"/>
      <c r="CK5" s="1802"/>
      <c r="CL5" s="1802"/>
      <c r="CM5" s="1802"/>
      <c r="CN5" s="1802"/>
      <c r="CO5" s="1802"/>
      <c r="CP5" s="1802"/>
      <c r="CQ5" s="1802"/>
      <c r="CR5" s="1802"/>
      <c r="CS5" s="1802"/>
      <c r="CT5" s="1802"/>
      <c r="CU5" s="1802"/>
      <c r="CV5" s="1802"/>
      <c r="CW5" s="1802"/>
      <c r="CX5" s="1802"/>
      <c r="CY5" s="1802"/>
      <c r="CZ5" s="1802"/>
      <c r="DA5" s="1802"/>
      <c r="DB5" s="1802"/>
      <c r="DC5" s="1802"/>
      <c r="DD5" s="1802"/>
      <c r="DE5" s="1802"/>
      <c r="DF5" s="1802"/>
      <c r="DG5" s="1802"/>
      <c r="DH5" s="1802"/>
      <c r="DI5" s="1802"/>
      <c r="DJ5" s="1802"/>
      <c r="DK5" s="1802"/>
      <c r="DL5" s="1802"/>
      <c r="DM5" s="1802"/>
      <c r="DN5" s="1802"/>
      <c r="DO5" s="1802"/>
      <c r="DP5" s="1802"/>
      <c r="DQ5" s="1802"/>
      <c r="DR5" s="1802"/>
      <c r="DS5" s="1802"/>
      <c r="DT5" s="1802"/>
      <c r="DU5" s="1802"/>
      <c r="DV5" s="1802"/>
      <c r="DW5" s="1802"/>
      <c r="DX5" s="1802"/>
      <c r="DY5" s="1802"/>
      <c r="DZ5" s="1802"/>
      <c r="EA5" s="1802"/>
      <c r="EB5" s="1802"/>
      <c r="EC5" s="1802"/>
      <c r="ED5" s="1802"/>
      <c r="EE5" s="1802"/>
      <c r="EF5" s="1802"/>
      <c r="EG5" s="1802"/>
      <c r="EH5" s="1802"/>
      <c r="EI5" s="1802"/>
      <c r="EJ5" s="1802"/>
      <c r="EK5" s="1802"/>
      <c r="EL5" s="1802"/>
      <c r="EM5" s="1802"/>
      <c r="EN5" s="1802"/>
      <c r="EO5" s="1802"/>
      <c r="EP5" s="1802"/>
      <c r="EQ5" s="1802"/>
      <c r="ER5" s="1802"/>
      <c r="ES5" s="1802"/>
      <c r="ET5" s="1802"/>
      <c r="EU5" s="1802"/>
      <c r="EV5" s="1802"/>
      <c r="EW5" s="1802"/>
      <c r="EX5" s="1802"/>
      <c r="EY5" s="1802"/>
      <c r="EZ5" s="1802"/>
      <c r="FA5" s="1802"/>
      <c r="FB5" s="1802"/>
      <c r="FC5" s="1802"/>
    </row>
    <row r="6" spans="1:159" s="1045" customFormat="1" ht="27" customHeight="1">
      <c r="A6" s="1041"/>
      <c r="B6" s="1042"/>
      <c r="C6" s="1043" t="s">
        <v>441</v>
      </c>
      <c r="D6" s="1044" t="s">
        <v>363</v>
      </c>
      <c r="E6" s="1044" t="s">
        <v>738</v>
      </c>
      <c r="F6" s="1044" t="s">
        <v>363</v>
      </c>
      <c r="G6" s="1533" t="s">
        <v>1039</v>
      </c>
      <c r="H6" s="1533" t="s">
        <v>1040</v>
      </c>
      <c r="I6" s="1044" t="s">
        <v>505</v>
      </c>
      <c r="J6" s="1044" t="s">
        <v>363</v>
      </c>
      <c r="K6" s="1044" t="s">
        <v>1191</v>
      </c>
      <c r="L6" s="1044" t="s">
        <v>1041</v>
      </c>
      <c r="M6" s="1044" t="s">
        <v>506</v>
      </c>
      <c r="N6" s="1044" t="s">
        <v>1042</v>
      </c>
      <c r="O6" s="1796"/>
      <c r="P6" s="1797"/>
      <c r="Q6" s="1797"/>
      <c r="R6" s="1797"/>
      <c r="S6" s="1797"/>
      <c r="T6" s="1797"/>
      <c r="U6" s="1797"/>
      <c r="V6" s="1797"/>
      <c r="W6" s="1797"/>
      <c r="X6" s="1797"/>
      <c r="Y6" s="1797"/>
      <c r="Z6" s="1797"/>
      <c r="AA6" s="1797"/>
      <c r="AB6" s="1797"/>
      <c r="AC6" s="1797"/>
      <c r="AD6" s="1797"/>
      <c r="AE6" s="1797"/>
      <c r="AF6" s="1797"/>
      <c r="AG6" s="1797"/>
      <c r="AH6" s="1797"/>
      <c r="AI6" s="1797"/>
      <c r="AJ6" s="1797"/>
      <c r="AK6" s="1797"/>
      <c r="AL6" s="1797"/>
      <c r="AM6" s="1797"/>
      <c r="AN6" s="1797"/>
      <c r="AO6" s="1797"/>
      <c r="AP6" s="1797"/>
      <c r="AQ6" s="1797"/>
      <c r="AR6" s="1797"/>
      <c r="AS6" s="1797"/>
      <c r="AT6" s="1797"/>
      <c r="AU6" s="1797"/>
      <c r="AV6" s="1797"/>
      <c r="AW6" s="1797"/>
      <c r="AX6" s="1797"/>
      <c r="AY6" s="1797"/>
      <c r="AZ6" s="1797"/>
      <c r="BA6" s="1797"/>
      <c r="BB6" s="1797"/>
      <c r="BC6" s="1797"/>
      <c r="BD6" s="1797"/>
      <c r="BE6" s="1797"/>
      <c r="BF6" s="1797"/>
      <c r="BG6" s="1797"/>
      <c r="BH6" s="1797"/>
      <c r="BI6" s="1797"/>
      <c r="BJ6" s="1797"/>
      <c r="BK6" s="1797"/>
      <c r="BL6" s="1797"/>
      <c r="BM6" s="1797"/>
      <c r="BN6" s="1797"/>
      <c r="BO6" s="1797"/>
      <c r="BP6" s="1797"/>
      <c r="BQ6" s="1797"/>
      <c r="BR6" s="1797"/>
      <c r="BS6" s="1797"/>
      <c r="BT6" s="1797"/>
      <c r="BU6" s="1797"/>
      <c r="BV6" s="1797"/>
      <c r="BW6" s="1797"/>
      <c r="BX6" s="1797"/>
      <c r="BY6" s="1797"/>
      <c r="BZ6" s="1797"/>
      <c r="CA6" s="1797"/>
      <c r="CB6" s="1797"/>
      <c r="CC6" s="1797"/>
      <c r="CD6" s="1797"/>
      <c r="CE6" s="1797"/>
      <c r="CF6" s="1797"/>
      <c r="CG6" s="1797"/>
      <c r="CH6" s="1797"/>
      <c r="CI6" s="1797"/>
      <c r="CJ6" s="1797"/>
      <c r="CK6" s="1797"/>
      <c r="CL6" s="1797"/>
      <c r="CM6" s="1797"/>
      <c r="CN6" s="1797"/>
      <c r="CO6" s="1797"/>
      <c r="CP6" s="1797"/>
      <c r="CQ6" s="1797"/>
      <c r="CR6" s="1797"/>
      <c r="CS6" s="1797"/>
      <c r="CT6" s="1797"/>
      <c r="CU6" s="1797"/>
      <c r="CV6" s="1797"/>
      <c r="CW6" s="1797"/>
      <c r="CX6" s="1797"/>
      <c r="CY6" s="1797"/>
      <c r="CZ6" s="1797"/>
      <c r="DA6" s="1797"/>
      <c r="DB6" s="1797"/>
      <c r="DC6" s="1797"/>
      <c r="DD6" s="1797"/>
      <c r="DE6" s="1797"/>
      <c r="DF6" s="1797"/>
      <c r="DG6" s="1797"/>
      <c r="DH6" s="1797"/>
      <c r="DI6" s="1797"/>
      <c r="DJ6" s="1797"/>
      <c r="DK6" s="1797"/>
      <c r="DL6" s="1797"/>
      <c r="DM6" s="1797"/>
      <c r="DN6" s="1797"/>
      <c r="DO6" s="1797"/>
      <c r="DP6" s="1797"/>
      <c r="DQ6" s="1797"/>
      <c r="DR6" s="1797"/>
      <c r="DS6" s="1797"/>
      <c r="DT6" s="1797"/>
      <c r="DU6" s="1797"/>
      <c r="DV6" s="1797"/>
      <c r="DW6" s="1797"/>
      <c r="DX6" s="1797"/>
      <c r="DY6" s="1797"/>
      <c r="DZ6" s="1797"/>
      <c r="EA6" s="1797"/>
      <c r="EB6" s="1797"/>
      <c r="EC6" s="1797"/>
      <c r="ED6" s="1797"/>
      <c r="EE6" s="1797"/>
      <c r="EF6" s="1797"/>
      <c r="EG6" s="1797"/>
      <c r="EH6" s="1797"/>
      <c r="EI6" s="1797"/>
      <c r="EJ6" s="1797"/>
      <c r="EK6" s="1797"/>
      <c r="EL6" s="1797"/>
      <c r="EM6" s="1797"/>
      <c r="EN6" s="1797"/>
      <c r="EO6" s="1797"/>
      <c r="EP6" s="1797"/>
      <c r="EQ6" s="1797"/>
      <c r="ER6" s="1797"/>
      <c r="ES6" s="1797"/>
      <c r="ET6" s="1797"/>
      <c r="EU6" s="1797"/>
      <c r="EV6" s="1797"/>
      <c r="EW6" s="1797"/>
      <c r="EX6" s="1797"/>
      <c r="EY6" s="1797"/>
      <c r="EZ6" s="1797"/>
      <c r="FA6" s="1797"/>
      <c r="FB6" s="1797"/>
      <c r="FC6" s="1797"/>
    </row>
    <row r="7" spans="1:159">
      <c r="A7" s="987">
        <v>1</v>
      </c>
      <c r="B7" s="988" t="s">
        <v>95</v>
      </c>
      <c r="C7" s="989">
        <f>'[2]ALL-Reformatted'!Z6</f>
        <v>0</v>
      </c>
      <c r="D7" s="990">
        <f>'Table 3 Levels 1&amp;2'!BN9+'Table 3 Levels 1&amp;2'!BV9</f>
        <v>4565.2108060165392</v>
      </c>
      <c r="E7" s="991">
        <f t="shared" ref="E7:E38" si="10">D7*C7</f>
        <v>0</v>
      </c>
      <c r="F7" s="991">
        <f>'Table 4 Level 3'!N6</f>
        <v>777.48</v>
      </c>
      <c r="G7" s="991">
        <f>C7*F7</f>
        <v>0</v>
      </c>
      <c r="H7" s="991">
        <f>E7+G7</f>
        <v>0</v>
      </c>
      <c r="I7" s="991">
        <f>ROUND(H7/12,0)</f>
        <v>0</v>
      </c>
      <c r="J7" s="990">
        <f>'Table 3 Levels 1&amp;2'!CB9</f>
        <v>2143.02</v>
      </c>
      <c r="K7" s="1077">
        <f t="shared" ref="K7:K38" si="11">J7*C7</f>
        <v>0</v>
      </c>
      <c r="L7" s="1077">
        <f>ROUND(K7/12,0)</f>
        <v>0</v>
      </c>
      <c r="M7" s="1085">
        <f>K7+H7</f>
        <v>0</v>
      </c>
      <c r="N7" s="1085">
        <f>I7+L7</f>
        <v>0</v>
      </c>
      <c r="O7" s="1799"/>
      <c r="P7" s="1800"/>
      <c r="Q7" s="1800"/>
      <c r="R7" s="1800"/>
      <c r="S7" s="1800"/>
      <c r="T7" s="1800"/>
      <c r="U7" s="1800"/>
      <c r="V7" s="1800"/>
      <c r="W7" s="1800"/>
      <c r="X7" s="1800"/>
      <c r="Y7" s="1800"/>
      <c r="Z7" s="1800"/>
      <c r="AA7" s="1800"/>
      <c r="AB7" s="1800"/>
      <c r="AC7" s="1800"/>
      <c r="AD7" s="1800"/>
      <c r="AE7" s="1800"/>
      <c r="AF7" s="1800"/>
      <c r="AG7" s="1800"/>
      <c r="AH7" s="1800"/>
      <c r="AI7" s="1800"/>
      <c r="AJ7" s="1800"/>
      <c r="AK7" s="1800"/>
      <c r="AL7" s="1800"/>
      <c r="AM7" s="1800"/>
      <c r="AN7" s="1800"/>
      <c r="AO7" s="1800"/>
      <c r="AP7" s="1800"/>
      <c r="AQ7" s="1800"/>
      <c r="AR7" s="1800"/>
      <c r="AS7" s="1800"/>
      <c r="AT7" s="1800"/>
      <c r="AU7" s="1800"/>
      <c r="AV7" s="1800"/>
      <c r="AW7" s="1800"/>
      <c r="AX7" s="1800"/>
      <c r="AY7" s="1800"/>
      <c r="AZ7" s="1800"/>
      <c r="BA7" s="1800"/>
      <c r="BB7" s="1800"/>
      <c r="BC7" s="1800"/>
      <c r="BD7" s="1800"/>
      <c r="BE7" s="1800"/>
      <c r="BF7" s="1800"/>
      <c r="BG7" s="1800"/>
      <c r="BH7" s="1800"/>
      <c r="BI7" s="1800"/>
      <c r="BJ7" s="1800"/>
      <c r="BK7" s="1800"/>
      <c r="BL7" s="1800"/>
      <c r="BM7" s="1800"/>
      <c r="BN7" s="1800"/>
      <c r="BO7" s="1800"/>
      <c r="BP7" s="1800"/>
      <c r="BQ7" s="1800"/>
      <c r="BR7" s="1800"/>
      <c r="BS7" s="1800"/>
      <c r="BT7" s="1800"/>
      <c r="BU7" s="1800"/>
      <c r="BV7" s="1800"/>
      <c r="BW7" s="1800"/>
      <c r="BX7" s="1800"/>
      <c r="BY7" s="1800"/>
      <c r="BZ7" s="1800"/>
      <c r="CA7" s="1800"/>
      <c r="CB7" s="1800"/>
      <c r="CC7" s="1800"/>
      <c r="CD7" s="1800"/>
      <c r="CE7" s="1800"/>
      <c r="CF7" s="1800"/>
      <c r="CG7" s="1800"/>
      <c r="CH7" s="1800"/>
      <c r="CI7" s="1800"/>
      <c r="CJ7" s="1800"/>
      <c r="CK7" s="1800"/>
      <c r="CL7" s="1800"/>
      <c r="CM7" s="1800"/>
      <c r="CN7" s="1800"/>
      <c r="CO7" s="1800"/>
      <c r="CP7" s="1800"/>
      <c r="CQ7" s="1800"/>
      <c r="CR7" s="1800"/>
      <c r="CS7" s="1800"/>
      <c r="CT7" s="1800"/>
      <c r="CU7" s="1800"/>
      <c r="CV7" s="1800"/>
      <c r="CW7" s="1800"/>
      <c r="CX7" s="1800"/>
      <c r="CY7" s="1800"/>
      <c r="CZ7" s="1800"/>
      <c r="DA7" s="1800"/>
      <c r="DB7" s="1800"/>
      <c r="DC7" s="1800"/>
      <c r="DD7" s="1800"/>
      <c r="DE7" s="1800"/>
      <c r="DF7" s="1800"/>
      <c r="DG7" s="1800"/>
      <c r="DH7" s="1800"/>
      <c r="DI7" s="1800"/>
      <c r="DJ7" s="1800"/>
      <c r="DK7" s="1800"/>
      <c r="DL7" s="1800"/>
      <c r="DM7" s="1800"/>
      <c r="DN7" s="1800"/>
      <c r="DO7" s="1800"/>
      <c r="DP7" s="1800"/>
      <c r="DQ7" s="1800"/>
      <c r="DR7" s="1800"/>
      <c r="DS7" s="1800"/>
      <c r="DT7" s="1800"/>
      <c r="DU7" s="1800"/>
      <c r="DV7" s="1800"/>
      <c r="DW7" s="1800"/>
      <c r="DX7" s="1800"/>
      <c r="DY7" s="1800"/>
      <c r="DZ7" s="1800"/>
      <c r="EA7" s="1800"/>
      <c r="EB7" s="1800"/>
      <c r="EC7" s="1800"/>
      <c r="ED7" s="1800"/>
      <c r="EE7" s="1800"/>
      <c r="EF7" s="1800"/>
      <c r="EG7" s="1800"/>
      <c r="EH7" s="1800"/>
      <c r="EI7" s="1800"/>
      <c r="EJ7" s="1800"/>
      <c r="EK7" s="1800"/>
      <c r="EL7" s="1800"/>
      <c r="EM7" s="1800"/>
      <c r="EN7" s="1800"/>
      <c r="EO7" s="1800"/>
      <c r="EP7" s="1800"/>
      <c r="EQ7" s="1800"/>
      <c r="ER7" s="1800"/>
      <c r="ES7" s="1800"/>
      <c r="ET7" s="1800"/>
      <c r="EU7" s="1800"/>
      <c r="EV7" s="1800"/>
      <c r="EW7" s="1800"/>
      <c r="EX7" s="1800"/>
      <c r="EY7" s="1800"/>
      <c r="EZ7" s="1800"/>
      <c r="FA7" s="1800"/>
      <c r="FB7" s="1800"/>
      <c r="FC7" s="1800"/>
    </row>
    <row r="8" spans="1:159">
      <c r="A8" s="994">
        <v>2</v>
      </c>
      <c r="B8" s="995" t="s">
        <v>96</v>
      </c>
      <c r="C8" s="996">
        <f>'[2]ALL-Reformatted'!Z7</f>
        <v>0</v>
      </c>
      <c r="D8" s="997">
        <f>'Table 3 Levels 1&amp;2'!BN10+'Table 3 Levels 1&amp;2'!BV10</f>
        <v>6132.0480322513831</v>
      </c>
      <c r="E8" s="1052">
        <f t="shared" si="10"/>
        <v>0</v>
      </c>
      <c r="F8" s="1534">
        <f>'Table 4 Level 3'!N7</f>
        <v>842.32</v>
      </c>
      <c r="G8" s="1534">
        <f t="shared" ref="G8:G71" si="12">C8*F8</f>
        <v>0</v>
      </c>
      <c r="H8" s="1534">
        <f t="shared" ref="H8:H71" si="13">E8+G8</f>
        <v>0</v>
      </c>
      <c r="I8" s="1052">
        <f t="shared" ref="I8:I71" si="14">ROUND(H8/12,0)</f>
        <v>0</v>
      </c>
      <c r="J8" s="997">
        <f>'Table 3 Levels 1&amp;2'!CB10</f>
        <v>2631.58</v>
      </c>
      <c r="K8" s="1078">
        <f t="shared" si="11"/>
        <v>0</v>
      </c>
      <c r="L8" s="1078">
        <f t="shared" ref="L8:L71" si="15">ROUND(K8/12,0)</f>
        <v>0</v>
      </c>
      <c r="M8" s="1086">
        <f>K8+H8</f>
        <v>0</v>
      </c>
      <c r="N8" s="1086">
        <f>I8+L8</f>
        <v>0</v>
      </c>
      <c r="O8" s="1799"/>
      <c r="P8" s="1800"/>
      <c r="Q8" s="1800"/>
      <c r="R8" s="1800"/>
      <c r="S8" s="1800"/>
      <c r="T8" s="1800"/>
      <c r="U8" s="1800"/>
      <c r="V8" s="1800"/>
      <c r="W8" s="1800"/>
      <c r="X8" s="1800"/>
      <c r="Y8" s="1800"/>
      <c r="Z8" s="1800"/>
      <c r="AA8" s="1800"/>
      <c r="AB8" s="1800"/>
      <c r="AC8" s="1800"/>
      <c r="AD8" s="1800"/>
      <c r="AE8" s="1800"/>
      <c r="AF8" s="1800"/>
      <c r="AG8" s="1800"/>
      <c r="AH8" s="1800"/>
      <c r="AI8" s="1800"/>
      <c r="AJ8" s="1800"/>
      <c r="AK8" s="1800"/>
      <c r="AL8" s="1800"/>
      <c r="AM8" s="1800"/>
      <c r="AN8" s="1800"/>
      <c r="AO8" s="1800"/>
      <c r="AP8" s="1800"/>
      <c r="AQ8" s="1800"/>
      <c r="AR8" s="1800"/>
      <c r="AS8" s="1800"/>
      <c r="AT8" s="1800"/>
      <c r="AU8" s="1800"/>
      <c r="AV8" s="1800"/>
      <c r="AW8" s="1800"/>
      <c r="AX8" s="1800"/>
      <c r="AY8" s="1800"/>
      <c r="AZ8" s="1800"/>
      <c r="BA8" s="1800"/>
      <c r="BB8" s="1800"/>
      <c r="BC8" s="1800"/>
      <c r="BD8" s="1800"/>
      <c r="BE8" s="1800"/>
      <c r="BF8" s="1800"/>
      <c r="BG8" s="1800"/>
      <c r="BH8" s="1800"/>
      <c r="BI8" s="1800"/>
      <c r="BJ8" s="1800"/>
      <c r="BK8" s="1800"/>
      <c r="BL8" s="1800"/>
      <c r="BM8" s="1800"/>
      <c r="BN8" s="1800"/>
      <c r="BO8" s="1800"/>
      <c r="BP8" s="1800"/>
      <c r="BQ8" s="1800"/>
      <c r="BR8" s="1800"/>
      <c r="BS8" s="1800"/>
      <c r="BT8" s="1800"/>
      <c r="BU8" s="1800"/>
      <c r="BV8" s="1800"/>
      <c r="BW8" s="1800"/>
      <c r="BX8" s="1800"/>
      <c r="BY8" s="1800"/>
      <c r="BZ8" s="1800"/>
      <c r="CA8" s="1800"/>
      <c r="CB8" s="1800"/>
      <c r="CC8" s="1800"/>
      <c r="CD8" s="1800"/>
      <c r="CE8" s="1800"/>
      <c r="CF8" s="1800"/>
      <c r="CG8" s="1800"/>
      <c r="CH8" s="1800"/>
      <c r="CI8" s="1800"/>
      <c r="CJ8" s="1800"/>
      <c r="CK8" s="1800"/>
      <c r="CL8" s="1800"/>
      <c r="CM8" s="1800"/>
      <c r="CN8" s="1800"/>
      <c r="CO8" s="1800"/>
      <c r="CP8" s="1800"/>
      <c r="CQ8" s="1800"/>
      <c r="CR8" s="1800"/>
      <c r="CS8" s="1800"/>
      <c r="CT8" s="1800"/>
      <c r="CU8" s="1800"/>
      <c r="CV8" s="1800"/>
      <c r="CW8" s="1800"/>
      <c r="CX8" s="1800"/>
      <c r="CY8" s="1800"/>
      <c r="CZ8" s="1800"/>
      <c r="DA8" s="1800"/>
      <c r="DB8" s="1800"/>
      <c r="DC8" s="1800"/>
      <c r="DD8" s="1800"/>
      <c r="DE8" s="1800"/>
      <c r="DF8" s="1800"/>
      <c r="DG8" s="1800"/>
      <c r="DH8" s="1800"/>
      <c r="DI8" s="1800"/>
      <c r="DJ8" s="1800"/>
      <c r="DK8" s="1800"/>
      <c r="DL8" s="1800"/>
      <c r="DM8" s="1800"/>
      <c r="DN8" s="1800"/>
      <c r="DO8" s="1800"/>
      <c r="DP8" s="1800"/>
      <c r="DQ8" s="1800"/>
      <c r="DR8" s="1800"/>
      <c r="DS8" s="1800"/>
      <c r="DT8" s="1800"/>
      <c r="DU8" s="1800"/>
      <c r="DV8" s="1800"/>
      <c r="DW8" s="1800"/>
      <c r="DX8" s="1800"/>
      <c r="DY8" s="1800"/>
      <c r="DZ8" s="1800"/>
      <c r="EA8" s="1800"/>
      <c r="EB8" s="1800"/>
      <c r="EC8" s="1800"/>
      <c r="ED8" s="1800"/>
      <c r="EE8" s="1800"/>
      <c r="EF8" s="1800"/>
      <c r="EG8" s="1800"/>
      <c r="EH8" s="1800"/>
      <c r="EI8" s="1800"/>
      <c r="EJ8" s="1800"/>
      <c r="EK8" s="1800"/>
      <c r="EL8" s="1800"/>
      <c r="EM8" s="1800"/>
      <c r="EN8" s="1800"/>
      <c r="EO8" s="1800"/>
      <c r="EP8" s="1800"/>
      <c r="EQ8" s="1800"/>
      <c r="ER8" s="1800"/>
      <c r="ES8" s="1800"/>
      <c r="ET8" s="1800"/>
      <c r="EU8" s="1800"/>
      <c r="EV8" s="1800"/>
      <c r="EW8" s="1800"/>
      <c r="EX8" s="1800"/>
      <c r="EY8" s="1800"/>
      <c r="EZ8" s="1800"/>
      <c r="FA8" s="1800"/>
      <c r="FB8" s="1800"/>
      <c r="FC8" s="1800"/>
    </row>
    <row r="9" spans="1:159" ht="12.75" customHeight="1">
      <c r="A9" s="994">
        <v>3</v>
      </c>
      <c r="B9" s="995" t="s">
        <v>97</v>
      </c>
      <c r="C9" s="996">
        <f>'[2]ALL-Reformatted'!Z8</f>
        <v>1</v>
      </c>
      <c r="D9" s="997">
        <f>'Table 3 Levels 1&amp;2'!BN11+'Table 3 Levels 1&amp;2'!BV11</f>
        <v>4186.9626187036429</v>
      </c>
      <c r="E9" s="1052">
        <f t="shared" si="10"/>
        <v>4186.9626187036429</v>
      </c>
      <c r="F9" s="1534">
        <f>'Table 4 Level 3'!N8</f>
        <v>596.84</v>
      </c>
      <c r="G9" s="1534">
        <f t="shared" si="12"/>
        <v>596.84</v>
      </c>
      <c r="H9" s="1534">
        <f t="shared" si="13"/>
        <v>4783.802618703643</v>
      </c>
      <c r="I9" s="1052">
        <f t="shared" si="14"/>
        <v>399</v>
      </c>
      <c r="J9" s="997">
        <f>'Table 3 Levels 1&amp;2'!CB11</f>
        <v>3447.08</v>
      </c>
      <c r="K9" s="1078">
        <f t="shared" si="11"/>
        <v>3447.08</v>
      </c>
      <c r="L9" s="1078">
        <f t="shared" si="15"/>
        <v>287</v>
      </c>
      <c r="M9" s="1086">
        <f t="shared" ref="M9:M71" si="16">K9+H9</f>
        <v>8230.8826187036429</v>
      </c>
      <c r="N9" s="1086">
        <f t="shared" ref="N9:N71" si="17">I9+L9</f>
        <v>686</v>
      </c>
      <c r="O9" s="971"/>
    </row>
    <row r="10" spans="1:159" ht="12.75" customHeight="1">
      <c r="A10" s="994">
        <v>4</v>
      </c>
      <c r="B10" s="995" t="s">
        <v>98</v>
      </c>
      <c r="C10" s="996">
        <f>'[2]ALL-Reformatted'!Z9</f>
        <v>0</v>
      </c>
      <c r="D10" s="997">
        <f>'Table 3 Levels 1&amp;2'!BN12+'Table 3 Levels 1&amp;2'!BV12</f>
        <v>5918.8798759182582</v>
      </c>
      <c r="E10" s="1052">
        <f t="shared" si="10"/>
        <v>0</v>
      </c>
      <c r="F10" s="1534">
        <f>'Table 4 Level 3'!N9</f>
        <v>585.76</v>
      </c>
      <c r="G10" s="1534">
        <f t="shared" si="12"/>
        <v>0</v>
      </c>
      <c r="H10" s="1534">
        <f t="shared" si="13"/>
        <v>0</v>
      </c>
      <c r="I10" s="1052">
        <f t="shared" si="14"/>
        <v>0</v>
      </c>
      <c r="J10" s="997">
        <f>'Table 3 Levels 1&amp;2'!CB12</f>
        <v>3169.66</v>
      </c>
      <c r="K10" s="1078">
        <f t="shared" si="11"/>
        <v>0</v>
      </c>
      <c r="L10" s="1078">
        <f t="shared" si="15"/>
        <v>0</v>
      </c>
      <c r="M10" s="1086">
        <f t="shared" si="16"/>
        <v>0</v>
      </c>
      <c r="N10" s="1086">
        <f t="shared" si="17"/>
        <v>0</v>
      </c>
      <c r="O10" s="971"/>
    </row>
    <row r="11" spans="1:159">
      <c r="A11" s="998">
        <v>5</v>
      </c>
      <c r="B11" s="999" t="s">
        <v>99</v>
      </c>
      <c r="C11" s="1000">
        <f>'[2]ALL-Reformatted'!Z10</f>
        <v>0</v>
      </c>
      <c r="D11" s="1001">
        <f>'Table 3 Levels 1&amp;2'!BN13+'Table 3 Levels 1&amp;2'!BV13</f>
        <v>4880.3484353147733</v>
      </c>
      <c r="E11" s="1055">
        <f t="shared" si="10"/>
        <v>0</v>
      </c>
      <c r="F11" s="1535">
        <f>'Table 4 Level 3'!N10</f>
        <v>555.91</v>
      </c>
      <c r="G11" s="1535">
        <f t="shared" si="12"/>
        <v>0</v>
      </c>
      <c r="H11" s="1535">
        <f t="shared" si="13"/>
        <v>0</v>
      </c>
      <c r="I11" s="1055">
        <f t="shared" si="14"/>
        <v>0</v>
      </c>
      <c r="J11" s="1001">
        <f>'Table 3 Levels 1&amp;2'!CB13</f>
        <v>1381.35</v>
      </c>
      <c r="K11" s="1079">
        <f t="shared" si="11"/>
        <v>0</v>
      </c>
      <c r="L11" s="1079">
        <f t="shared" si="15"/>
        <v>0</v>
      </c>
      <c r="M11" s="1087">
        <f t="shared" si="16"/>
        <v>0</v>
      </c>
      <c r="N11" s="1087">
        <f t="shared" si="17"/>
        <v>0</v>
      </c>
      <c r="O11" s="971"/>
    </row>
    <row r="12" spans="1:159" ht="12.75" customHeight="1">
      <c r="A12" s="987">
        <v>6</v>
      </c>
      <c r="B12" s="988" t="s">
        <v>100</v>
      </c>
      <c r="C12" s="989">
        <f>'[2]ALL-Reformatted'!Z11</f>
        <v>0</v>
      </c>
      <c r="D12" s="990">
        <f>'Table 3 Levels 1&amp;2'!BN14+'Table 3 Levels 1&amp;2'!BV14</f>
        <v>5379.7759718479856</v>
      </c>
      <c r="E12" s="991">
        <f t="shared" si="10"/>
        <v>0</v>
      </c>
      <c r="F12" s="991">
        <f>'Table 4 Level 3'!N11</f>
        <v>545.4799999999999</v>
      </c>
      <c r="G12" s="991">
        <f t="shared" si="12"/>
        <v>0</v>
      </c>
      <c r="H12" s="991">
        <f t="shared" si="13"/>
        <v>0</v>
      </c>
      <c r="I12" s="991">
        <f t="shared" si="14"/>
        <v>0</v>
      </c>
      <c r="J12" s="990">
        <f>'Table 3 Levels 1&amp;2'!CB14</f>
        <v>3170.1</v>
      </c>
      <c r="K12" s="1077">
        <f t="shared" si="11"/>
        <v>0</v>
      </c>
      <c r="L12" s="1077">
        <f t="shared" si="15"/>
        <v>0</v>
      </c>
      <c r="M12" s="1085">
        <f t="shared" si="16"/>
        <v>0</v>
      </c>
      <c r="N12" s="1085">
        <f t="shared" si="17"/>
        <v>0</v>
      </c>
      <c r="O12" s="971"/>
    </row>
    <row r="13" spans="1:159">
      <c r="A13" s="994">
        <v>7</v>
      </c>
      <c r="B13" s="995" t="s">
        <v>101</v>
      </c>
      <c r="C13" s="996">
        <f>'[2]ALL-Reformatted'!Z12</f>
        <v>0</v>
      </c>
      <c r="D13" s="997">
        <f>'Table 3 Levels 1&amp;2'!BN15+'Table 3 Levels 1&amp;2'!BV15</f>
        <v>1698.1351763907733</v>
      </c>
      <c r="E13" s="1052">
        <f t="shared" si="10"/>
        <v>0</v>
      </c>
      <c r="F13" s="1534">
        <f>'Table 4 Level 3'!N12</f>
        <v>756.91999999999985</v>
      </c>
      <c r="G13" s="1534">
        <f t="shared" si="12"/>
        <v>0</v>
      </c>
      <c r="H13" s="1534">
        <f t="shared" si="13"/>
        <v>0</v>
      </c>
      <c r="I13" s="1052">
        <f t="shared" si="14"/>
        <v>0</v>
      </c>
      <c r="J13" s="997">
        <f>'Table 3 Levels 1&amp;2'!CB15</f>
        <v>5999.02</v>
      </c>
      <c r="K13" s="1078">
        <f t="shared" si="11"/>
        <v>0</v>
      </c>
      <c r="L13" s="1078">
        <f t="shared" si="15"/>
        <v>0</v>
      </c>
      <c r="M13" s="1086">
        <f t="shared" si="16"/>
        <v>0</v>
      </c>
      <c r="N13" s="1086">
        <f t="shared" si="17"/>
        <v>0</v>
      </c>
      <c r="O13" s="971"/>
    </row>
    <row r="14" spans="1:159">
      <c r="A14" s="994">
        <v>8</v>
      </c>
      <c r="B14" s="995" t="s">
        <v>102</v>
      </c>
      <c r="C14" s="996">
        <f>'[2]ALL-Reformatted'!Z13</f>
        <v>0</v>
      </c>
      <c r="D14" s="997">
        <f>'Table 3 Levels 1&amp;2'!BN16+'Table 3 Levels 1&amp;2'!BV16</f>
        <v>4239.8578920718974</v>
      </c>
      <c r="E14" s="1052">
        <f t="shared" si="10"/>
        <v>0</v>
      </c>
      <c r="F14" s="1534">
        <f>'Table 4 Level 3'!N13</f>
        <v>725.76</v>
      </c>
      <c r="G14" s="1534">
        <f t="shared" si="12"/>
        <v>0</v>
      </c>
      <c r="H14" s="1534">
        <f t="shared" si="13"/>
        <v>0</v>
      </c>
      <c r="I14" s="1052">
        <f t="shared" si="14"/>
        <v>0</v>
      </c>
      <c r="J14" s="997">
        <f>'Table 3 Levels 1&amp;2'!CB16</f>
        <v>3477.24</v>
      </c>
      <c r="K14" s="1078">
        <f t="shared" si="11"/>
        <v>0</v>
      </c>
      <c r="L14" s="1078">
        <f t="shared" si="15"/>
        <v>0</v>
      </c>
      <c r="M14" s="1086">
        <f t="shared" si="16"/>
        <v>0</v>
      </c>
      <c r="N14" s="1086">
        <f t="shared" si="17"/>
        <v>0</v>
      </c>
      <c r="O14" s="971"/>
    </row>
    <row r="15" spans="1:159">
      <c r="A15" s="994">
        <v>9</v>
      </c>
      <c r="B15" s="995" t="s">
        <v>103</v>
      </c>
      <c r="C15" s="996">
        <f>'[2]ALL-Reformatted'!Z14</f>
        <v>0</v>
      </c>
      <c r="D15" s="997">
        <f>'Table 3 Levels 1&amp;2'!BN17+'Table 3 Levels 1&amp;2'!BV17</f>
        <v>4361.2752875373017</v>
      </c>
      <c r="E15" s="1052">
        <f t="shared" si="10"/>
        <v>0</v>
      </c>
      <c r="F15" s="1534">
        <f>'Table 4 Level 3'!N14</f>
        <v>744.76</v>
      </c>
      <c r="G15" s="1534">
        <f t="shared" si="12"/>
        <v>0</v>
      </c>
      <c r="H15" s="1534">
        <f t="shared" si="13"/>
        <v>0</v>
      </c>
      <c r="I15" s="1052">
        <f t="shared" si="14"/>
        <v>0</v>
      </c>
      <c r="J15" s="997">
        <f>'Table 3 Levels 1&amp;2'!CB17</f>
        <v>3453.29</v>
      </c>
      <c r="K15" s="1078">
        <f t="shared" si="11"/>
        <v>0</v>
      </c>
      <c r="L15" s="1078">
        <f t="shared" si="15"/>
        <v>0</v>
      </c>
      <c r="M15" s="1086">
        <f t="shared" si="16"/>
        <v>0</v>
      </c>
      <c r="N15" s="1086">
        <f t="shared" si="17"/>
        <v>0</v>
      </c>
      <c r="O15" s="971"/>
    </row>
    <row r="16" spans="1:159">
      <c r="A16" s="998">
        <v>10</v>
      </c>
      <c r="B16" s="999" t="s">
        <v>104</v>
      </c>
      <c r="C16" s="1000">
        <f>'[2]ALL-Reformatted'!Z15</f>
        <v>0</v>
      </c>
      <c r="D16" s="1001">
        <f>'Table 3 Levels 1&amp;2'!BN18+'Table 3 Levels 1&amp;2'!BV18</f>
        <v>4179.4641652904756</v>
      </c>
      <c r="E16" s="1055">
        <f t="shared" si="10"/>
        <v>0</v>
      </c>
      <c r="F16" s="1535">
        <f>'Table 4 Level 3'!N15</f>
        <v>608.04000000000008</v>
      </c>
      <c r="G16" s="1535">
        <f t="shared" si="12"/>
        <v>0</v>
      </c>
      <c r="H16" s="1535">
        <f t="shared" si="13"/>
        <v>0</v>
      </c>
      <c r="I16" s="1055">
        <f t="shared" si="14"/>
        <v>0</v>
      </c>
      <c r="J16" s="1001">
        <f>'Table 3 Levels 1&amp;2'!CB18</f>
        <v>3841.29</v>
      </c>
      <c r="K16" s="1079">
        <f t="shared" si="11"/>
        <v>0</v>
      </c>
      <c r="L16" s="1079">
        <f t="shared" si="15"/>
        <v>0</v>
      </c>
      <c r="M16" s="1087">
        <f t="shared" si="16"/>
        <v>0</v>
      </c>
      <c r="N16" s="1087">
        <f t="shared" si="17"/>
        <v>0</v>
      </c>
      <c r="O16" s="971"/>
    </row>
    <row r="17" spans="1:15">
      <c r="A17" s="987">
        <v>11</v>
      </c>
      <c r="B17" s="988" t="s">
        <v>105</v>
      </c>
      <c r="C17" s="989">
        <f>'[2]ALL-Reformatted'!Z16</f>
        <v>0</v>
      </c>
      <c r="D17" s="990">
        <f>'Table 3 Levels 1&amp;2'!BN19+'Table 3 Levels 1&amp;2'!BV19</f>
        <v>6825.0221851487568</v>
      </c>
      <c r="E17" s="991">
        <f t="shared" si="10"/>
        <v>0</v>
      </c>
      <c r="F17" s="991">
        <f>'Table 4 Level 3'!N16</f>
        <v>706.55</v>
      </c>
      <c r="G17" s="991">
        <f t="shared" si="12"/>
        <v>0</v>
      </c>
      <c r="H17" s="991">
        <f t="shared" si="13"/>
        <v>0</v>
      </c>
      <c r="I17" s="991">
        <f t="shared" si="14"/>
        <v>0</v>
      </c>
      <c r="J17" s="990">
        <f>'Table 3 Levels 1&amp;2'!CB19</f>
        <v>3271.76</v>
      </c>
      <c r="K17" s="1077">
        <f t="shared" si="11"/>
        <v>0</v>
      </c>
      <c r="L17" s="1077">
        <f t="shared" si="15"/>
        <v>0</v>
      </c>
      <c r="M17" s="1085">
        <f t="shared" si="16"/>
        <v>0</v>
      </c>
      <c r="N17" s="1085">
        <f t="shared" si="17"/>
        <v>0</v>
      </c>
      <c r="O17" s="971"/>
    </row>
    <row r="18" spans="1:15">
      <c r="A18" s="994">
        <v>12</v>
      </c>
      <c r="B18" s="995" t="s">
        <v>106</v>
      </c>
      <c r="C18" s="996">
        <f>'[2]ALL-Reformatted'!Z17</f>
        <v>0</v>
      </c>
      <c r="D18" s="997">
        <f>'Table 3 Levels 1&amp;2'!BN20+'Table 3 Levels 1&amp;2'!BV20</f>
        <v>1688.0492586490939</v>
      </c>
      <c r="E18" s="1052">
        <f t="shared" si="10"/>
        <v>0</v>
      </c>
      <c r="F18" s="1534">
        <f>'Table 4 Level 3'!N17</f>
        <v>1063.31</v>
      </c>
      <c r="G18" s="1534">
        <f t="shared" si="12"/>
        <v>0</v>
      </c>
      <c r="H18" s="1534">
        <f t="shared" si="13"/>
        <v>0</v>
      </c>
      <c r="I18" s="1052">
        <f t="shared" si="14"/>
        <v>0</v>
      </c>
      <c r="J18" s="997">
        <f>'Table 3 Levels 1&amp;2'!CB20</f>
        <v>6440.56</v>
      </c>
      <c r="K18" s="1078">
        <f t="shared" si="11"/>
        <v>0</v>
      </c>
      <c r="L18" s="1078">
        <f t="shared" si="15"/>
        <v>0</v>
      </c>
      <c r="M18" s="1086">
        <f t="shared" si="16"/>
        <v>0</v>
      </c>
      <c r="N18" s="1086">
        <f t="shared" si="17"/>
        <v>0</v>
      </c>
      <c r="O18" s="971"/>
    </row>
    <row r="19" spans="1:15">
      <c r="A19" s="994">
        <v>13</v>
      </c>
      <c r="B19" s="995" t="s">
        <v>107</v>
      </c>
      <c r="C19" s="996">
        <f>'[2]ALL-Reformatted'!Z18</f>
        <v>0</v>
      </c>
      <c r="D19" s="997">
        <f>'Table 3 Levels 1&amp;2'!BN21+'Table 3 Levels 1&amp;2'!BV21</f>
        <v>6187.1651272387344</v>
      </c>
      <c r="E19" s="1052">
        <f t="shared" si="10"/>
        <v>0</v>
      </c>
      <c r="F19" s="1534">
        <f>'Table 4 Level 3'!N18</f>
        <v>749.43000000000006</v>
      </c>
      <c r="G19" s="1534">
        <f t="shared" si="12"/>
        <v>0</v>
      </c>
      <c r="H19" s="1534">
        <f t="shared" si="13"/>
        <v>0</v>
      </c>
      <c r="I19" s="1052">
        <f t="shared" si="14"/>
        <v>0</v>
      </c>
      <c r="J19" s="997">
        <f>'Table 3 Levels 1&amp;2'!CB21</f>
        <v>2526.2199999999998</v>
      </c>
      <c r="K19" s="1078">
        <f t="shared" si="11"/>
        <v>0</v>
      </c>
      <c r="L19" s="1078">
        <f t="shared" si="15"/>
        <v>0</v>
      </c>
      <c r="M19" s="1086">
        <f t="shared" si="16"/>
        <v>0</v>
      </c>
      <c r="N19" s="1086">
        <f t="shared" si="17"/>
        <v>0</v>
      </c>
      <c r="O19" s="971"/>
    </row>
    <row r="20" spans="1:15" ht="12.75" customHeight="1">
      <c r="A20" s="994">
        <v>14</v>
      </c>
      <c r="B20" s="995" t="s">
        <v>108</v>
      </c>
      <c r="C20" s="996">
        <f>'[2]ALL-Reformatted'!Z19</f>
        <v>0</v>
      </c>
      <c r="D20" s="997">
        <f>'Table 3 Levels 1&amp;2'!BN22+'Table 3 Levels 1&amp;2'!BV22</f>
        <v>5339.1887414618923</v>
      </c>
      <c r="E20" s="1052">
        <f t="shared" si="10"/>
        <v>0</v>
      </c>
      <c r="F20" s="1534">
        <f>'Table 4 Level 3'!N19</f>
        <v>809.9799999999999</v>
      </c>
      <c r="G20" s="1534">
        <f t="shared" si="12"/>
        <v>0</v>
      </c>
      <c r="H20" s="1534">
        <f t="shared" si="13"/>
        <v>0</v>
      </c>
      <c r="I20" s="1052">
        <f t="shared" si="14"/>
        <v>0</v>
      </c>
      <c r="J20" s="997">
        <f>'Table 3 Levels 1&amp;2'!CB22</f>
        <v>4046.06</v>
      </c>
      <c r="K20" s="1078">
        <f t="shared" si="11"/>
        <v>0</v>
      </c>
      <c r="L20" s="1078">
        <f t="shared" si="15"/>
        <v>0</v>
      </c>
      <c r="M20" s="1086">
        <f t="shared" si="16"/>
        <v>0</v>
      </c>
      <c r="N20" s="1086">
        <f t="shared" si="17"/>
        <v>0</v>
      </c>
      <c r="O20" s="971"/>
    </row>
    <row r="21" spans="1:15">
      <c r="A21" s="998">
        <v>15</v>
      </c>
      <c r="B21" s="999" t="s">
        <v>109</v>
      </c>
      <c r="C21" s="1000">
        <f>'[2]ALL-Reformatted'!Z20</f>
        <v>0</v>
      </c>
      <c r="D21" s="1001">
        <f>'Table 3 Levels 1&amp;2'!BN23+'Table 3 Levels 1&amp;2'!BV23</f>
        <v>5492.5789412344011</v>
      </c>
      <c r="E21" s="1055">
        <f t="shared" si="10"/>
        <v>0</v>
      </c>
      <c r="F21" s="1535">
        <f>'Table 4 Level 3'!N20</f>
        <v>553.79999999999995</v>
      </c>
      <c r="G21" s="1535">
        <f t="shared" si="12"/>
        <v>0</v>
      </c>
      <c r="H21" s="1535">
        <f t="shared" si="13"/>
        <v>0</v>
      </c>
      <c r="I21" s="1055">
        <f t="shared" si="14"/>
        <v>0</v>
      </c>
      <c r="J21" s="1001">
        <f>'Table 3 Levels 1&amp;2'!CB23</f>
        <v>2811.01</v>
      </c>
      <c r="K21" s="1079">
        <f t="shared" si="11"/>
        <v>0</v>
      </c>
      <c r="L21" s="1079">
        <f t="shared" si="15"/>
        <v>0</v>
      </c>
      <c r="M21" s="1087">
        <f t="shared" si="16"/>
        <v>0</v>
      </c>
      <c r="N21" s="1087">
        <f t="shared" si="17"/>
        <v>0</v>
      </c>
      <c r="O21" s="971"/>
    </row>
    <row r="22" spans="1:15">
      <c r="A22" s="987">
        <v>16</v>
      </c>
      <c r="B22" s="988" t="s">
        <v>110</v>
      </c>
      <c r="C22" s="989">
        <f>'[2]ALL-Reformatted'!Z21</f>
        <v>0</v>
      </c>
      <c r="D22" s="990">
        <f>'Table 3 Levels 1&amp;2'!BN24+'Table 3 Levels 1&amp;2'!BV24</f>
        <v>1506.1153407945151</v>
      </c>
      <c r="E22" s="991">
        <f t="shared" si="10"/>
        <v>0</v>
      </c>
      <c r="F22" s="991">
        <f>'Table 4 Level 3'!N21</f>
        <v>686.73</v>
      </c>
      <c r="G22" s="991">
        <f t="shared" si="12"/>
        <v>0</v>
      </c>
      <c r="H22" s="991">
        <f t="shared" si="13"/>
        <v>0</v>
      </c>
      <c r="I22" s="991">
        <f t="shared" si="14"/>
        <v>0</v>
      </c>
      <c r="J22" s="990">
        <f>'Table 3 Levels 1&amp;2'!CB24</f>
        <v>5977.04</v>
      </c>
      <c r="K22" s="1077">
        <f t="shared" si="11"/>
        <v>0</v>
      </c>
      <c r="L22" s="1077">
        <f t="shared" si="15"/>
        <v>0</v>
      </c>
      <c r="M22" s="1085">
        <f t="shared" si="16"/>
        <v>0</v>
      </c>
      <c r="N22" s="1085">
        <f t="shared" si="17"/>
        <v>0</v>
      </c>
      <c r="O22" s="971"/>
    </row>
    <row r="23" spans="1:15">
      <c r="A23" s="994">
        <v>17</v>
      </c>
      <c r="B23" s="995" t="s">
        <v>111</v>
      </c>
      <c r="C23" s="996">
        <f>'[2]ALL-Reformatted'!Z22</f>
        <v>0</v>
      </c>
      <c r="D23" s="997">
        <f>'Table 3 Levels 1&amp;2'!BN25+'Table 3 Levels 1&amp;2'!BV25</f>
        <v>3311.610845996096</v>
      </c>
      <c r="E23" s="1052">
        <f t="shared" si="10"/>
        <v>0</v>
      </c>
      <c r="F23" s="1534">
        <f>'Table 4 Level 3'!N22</f>
        <v>801.47762416806802</v>
      </c>
      <c r="G23" s="1534">
        <f t="shared" si="12"/>
        <v>0</v>
      </c>
      <c r="H23" s="1534">
        <f t="shared" si="13"/>
        <v>0</v>
      </c>
      <c r="I23" s="1052">
        <f t="shared" si="14"/>
        <v>0</v>
      </c>
      <c r="J23" s="997">
        <f>'Table 3 Levels 1&amp;2'!CB25</f>
        <v>4575.26</v>
      </c>
      <c r="K23" s="1078">
        <f t="shared" si="11"/>
        <v>0</v>
      </c>
      <c r="L23" s="1078">
        <f t="shared" si="15"/>
        <v>0</v>
      </c>
      <c r="M23" s="1086">
        <f t="shared" si="16"/>
        <v>0</v>
      </c>
      <c r="N23" s="1086">
        <f t="shared" si="17"/>
        <v>0</v>
      </c>
      <c r="O23" s="971"/>
    </row>
    <row r="24" spans="1:15">
      <c r="A24" s="994">
        <v>18</v>
      </c>
      <c r="B24" s="995" t="s">
        <v>112</v>
      </c>
      <c r="C24" s="996">
        <f>'[2]ALL-Reformatted'!Z23</f>
        <v>0</v>
      </c>
      <c r="D24" s="997">
        <f>'Table 3 Levels 1&amp;2'!BN26+'Table 3 Levels 1&amp;2'!BV26</f>
        <v>5964.3490202032081</v>
      </c>
      <c r="E24" s="1052">
        <f t="shared" si="10"/>
        <v>0</v>
      </c>
      <c r="F24" s="1534">
        <f>'Table 4 Level 3'!N23</f>
        <v>845.94999999999993</v>
      </c>
      <c r="G24" s="1534">
        <f t="shared" si="12"/>
        <v>0</v>
      </c>
      <c r="H24" s="1534">
        <f t="shared" si="13"/>
        <v>0</v>
      </c>
      <c r="I24" s="1052">
        <f t="shared" si="14"/>
        <v>0</v>
      </c>
      <c r="J24" s="997">
        <f>'Table 3 Levels 1&amp;2'!CB26</f>
        <v>2269.83</v>
      </c>
      <c r="K24" s="1078">
        <f t="shared" si="11"/>
        <v>0</v>
      </c>
      <c r="L24" s="1078">
        <f t="shared" si="15"/>
        <v>0</v>
      </c>
      <c r="M24" s="1086">
        <f t="shared" si="16"/>
        <v>0</v>
      </c>
      <c r="N24" s="1086">
        <f t="shared" si="17"/>
        <v>0</v>
      </c>
      <c r="O24" s="971"/>
    </row>
    <row r="25" spans="1:15">
      <c r="A25" s="994">
        <v>19</v>
      </c>
      <c r="B25" s="995" t="s">
        <v>113</v>
      </c>
      <c r="C25" s="996">
        <f>'[2]ALL-Reformatted'!Z24</f>
        <v>0</v>
      </c>
      <c r="D25" s="997">
        <f>'Table 3 Levels 1&amp;2'!BN27+'Table 3 Levels 1&amp;2'!BV27</f>
        <v>5283.1088158476596</v>
      </c>
      <c r="E25" s="1052">
        <f t="shared" si="10"/>
        <v>0</v>
      </c>
      <c r="F25" s="1534">
        <f>'Table 4 Level 3'!N24</f>
        <v>905.43</v>
      </c>
      <c r="G25" s="1534">
        <f t="shared" si="12"/>
        <v>0</v>
      </c>
      <c r="H25" s="1534">
        <f t="shared" si="13"/>
        <v>0</v>
      </c>
      <c r="I25" s="1052">
        <f t="shared" si="14"/>
        <v>0</v>
      </c>
      <c r="J25" s="997">
        <f>'Table 3 Levels 1&amp;2'!CB27</f>
        <v>2756.32</v>
      </c>
      <c r="K25" s="1078">
        <f t="shared" si="11"/>
        <v>0</v>
      </c>
      <c r="L25" s="1078">
        <f t="shared" si="15"/>
        <v>0</v>
      </c>
      <c r="M25" s="1086">
        <f t="shared" si="16"/>
        <v>0</v>
      </c>
      <c r="N25" s="1086">
        <f t="shared" si="17"/>
        <v>0</v>
      </c>
      <c r="O25" s="971"/>
    </row>
    <row r="26" spans="1:15">
      <c r="A26" s="998">
        <v>20</v>
      </c>
      <c r="B26" s="999" t="s">
        <v>114</v>
      </c>
      <c r="C26" s="1000">
        <f>'[2]ALL-Reformatted'!Z25</f>
        <v>0</v>
      </c>
      <c r="D26" s="1001">
        <f>'Table 3 Levels 1&amp;2'!BN28+'Table 3 Levels 1&amp;2'!BV28</f>
        <v>5389.6047094824808</v>
      </c>
      <c r="E26" s="1055">
        <f t="shared" si="10"/>
        <v>0</v>
      </c>
      <c r="F26" s="1535">
        <f>'Table 4 Level 3'!N25</f>
        <v>586.16999999999996</v>
      </c>
      <c r="G26" s="1535">
        <f t="shared" si="12"/>
        <v>0</v>
      </c>
      <c r="H26" s="1535">
        <f t="shared" si="13"/>
        <v>0</v>
      </c>
      <c r="I26" s="1055">
        <f t="shared" si="14"/>
        <v>0</v>
      </c>
      <c r="J26" s="1001">
        <f>'Table 3 Levels 1&amp;2'!CB28</f>
        <v>2439.08</v>
      </c>
      <c r="K26" s="1079">
        <f t="shared" si="11"/>
        <v>0</v>
      </c>
      <c r="L26" s="1079">
        <f t="shared" si="15"/>
        <v>0</v>
      </c>
      <c r="M26" s="1087">
        <f t="shared" si="16"/>
        <v>0</v>
      </c>
      <c r="N26" s="1087">
        <f t="shared" si="17"/>
        <v>0</v>
      </c>
      <c r="O26" s="971"/>
    </row>
    <row r="27" spans="1:15">
      <c r="A27" s="987">
        <v>21</v>
      </c>
      <c r="B27" s="988" t="s">
        <v>115</v>
      </c>
      <c r="C27" s="989">
        <f>'[2]ALL-Reformatted'!Z26</f>
        <v>0</v>
      </c>
      <c r="D27" s="990">
        <f>'Table 3 Levels 1&amp;2'!BN29+'Table 3 Levels 1&amp;2'!BV29</f>
        <v>5659.8229810652783</v>
      </c>
      <c r="E27" s="991">
        <f t="shared" si="10"/>
        <v>0</v>
      </c>
      <c r="F27" s="991">
        <f>'Table 4 Level 3'!N26</f>
        <v>610.35</v>
      </c>
      <c r="G27" s="991">
        <f t="shared" si="12"/>
        <v>0</v>
      </c>
      <c r="H27" s="991">
        <f t="shared" si="13"/>
        <v>0</v>
      </c>
      <c r="I27" s="991">
        <f t="shared" si="14"/>
        <v>0</v>
      </c>
      <c r="J27" s="990">
        <f>'Table 3 Levels 1&amp;2'!CB29</f>
        <v>2194.34</v>
      </c>
      <c r="K27" s="1077">
        <f t="shared" si="11"/>
        <v>0</v>
      </c>
      <c r="L27" s="1077">
        <f t="shared" si="15"/>
        <v>0</v>
      </c>
      <c r="M27" s="1085">
        <f t="shared" si="16"/>
        <v>0</v>
      </c>
      <c r="N27" s="1085">
        <f t="shared" si="17"/>
        <v>0</v>
      </c>
      <c r="O27" s="971"/>
    </row>
    <row r="28" spans="1:15">
      <c r="A28" s="994">
        <v>22</v>
      </c>
      <c r="B28" s="995" t="s">
        <v>116</v>
      </c>
      <c r="C28" s="996">
        <f>'[2]ALL-Reformatted'!Z27</f>
        <v>0</v>
      </c>
      <c r="D28" s="997">
        <f>'Table 3 Levels 1&amp;2'!BN30+'Table 3 Levels 1&amp;2'!BV30</f>
        <v>6191.1997628958306</v>
      </c>
      <c r="E28" s="1052">
        <f t="shared" si="10"/>
        <v>0</v>
      </c>
      <c r="F28" s="1534">
        <f>'Table 4 Level 3'!N27</f>
        <v>496.36</v>
      </c>
      <c r="G28" s="1534">
        <f t="shared" si="12"/>
        <v>0</v>
      </c>
      <c r="H28" s="1534">
        <f t="shared" si="13"/>
        <v>0</v>
      </c>
      <c r="I28" s="1052">
        <f t="shared" si="14"/>
        <v>0</v>
      </c>
      <c r="J28" s="997">
        <f>'Table 3 Levels 1&amp;2'!CB30</f>
        <v>1611.91</v>
      </c>
      <c r="K28" s="1078">
        <f t="shared" si="11"/>
        <v>0</v>
      </c>
      <c r="L28" s="1078">
        <f t="shared" si="15"/>
        <v>0</v>
      </c>
      <c r="M28" s="1086">
        <f t="shared" si="16"/>
        <v>0</v>
      </c>
      <c r="N28" s="1086">
        <f t="shared" si="17"/>
        <v>0</v>
      </c>
      <c r="O28" s="971"/>
    </row>
    <row r="29" spans="1:15">
      <c r="A29" s="994">
        <v>23</v>
      </c>
      <c r="B29" s="995" t="s">
        <v>117</v>
      </c>
      <c r="C29" s="996">
        <f>'[2]ALL-Reformatted'!Z28</f>
        <v>0</v>
      </c>
      <c r="D29" s="997">
        <f>'Table 3 Levels 1&amp;2'!BN31+'Table 3 Levels 1&amp;2'!BV31</f>
        <v>4788.2881021645453</v>
      </c>
      <c r="E29" s="1052">
        <f t="shared" si="10"/>
        <v>0</v>
      </c>
      <c r="F29" s="1534">
        <f>'Table 4 Level 3'!N28</f>
        <v>688.58</v>
      </c>
      <c r="G29" s="1534">
        <f t="shared" si="12"/>
        <v>0</v>
      </c>
      <c r="H29" s="1534">
        <f t="shared" si="13"/>
        <v>0</v>
      </c>
      <c r="I29" s="1052">
        <f t="shared" si="14"/>
        <v>0</v>
      </c>
      <c r="J29" s="997">
        <f>'Table 3 Levels 1&amp;2'!CB31</f>
        <v>3318.13</v>
      </c>
      <c r="K29" s="1078">
        <f t="shared" si="11"/>
        <v>0</v>
      </c>
      <c r="L29" s="1078">
        <f t="shared" si="15"/>
        <v>0</v>
      </c>
      <c r="M29" s="1086">
        <f t="shared" si="16"/>
        <v>0</v>
      </c>
      <c r="N29" s="1086">
        <f t="shared" si="17"/>
        <v>0</v>
      </c>
      <c r="O29" s="971"/>
    </row>
    <row r="30" spans="1:15">
      <c r="A30" s="994">
        <v>24</v>
      </c>
      <c r="B30" s="995" t="s">
        <v>118</v>
      </c>
      <c r="C30" s="996">
        <f>'[2]ALL-Reformatted'!Z29</f>
        <v>0</v>
      </c>
      <c r="D30" s="997">
        <f>'Table 3 Levels 1&amp;2'!BN32+'Table 3 Levels 1&amp;2'!BV32</f>
        <v>2743.328175824176</v>
      </c>
      <c r="E30" s="1052">
        <f t="shared" si="10"/>
        <v>0</v>
      </c>
      <c r="F30" s="1534">
        <f>'Table 4 Level 3'!N29</f>
        <v>854.24999999999989</v>
      </c>
      <c r="G30" s="1534">
        <f t="shared" si="12"/>
        <v>0</v>
      </c>
      <c r="H30" s="1534">
        <f t="shared" si="13"/>
        <v>0</v>
      </c>
      <c r="I30" s="1052">
        <f t="shared" si="14"/>
        <v>0</v>
      </c>
      <c r="J30" s="997">
        <f>'Table 3 Levels 1&amp;2'!CB32</f>
        <v>5176.3500000000004</v>
      </c>
      <c r="K30" s="1078">
        <f t="shared" si="11"/>
        <v>0</v>
      </c>
      <c r="L30" s="1078">
        <f t="shared" si="15"/>
        <v>0</v>
      </c>
      <c r="M30" s="1086">
        <f t="shared" si="16"/>
        <v>0</v>
      </c>
      <c r="N30" s="1086">
        <f t="shared" si="17"/>
        <v>0</v>
      </c>
      <c r="O30" s="971"/>
    </row>
    <row r="31" spans="1:15">
      <c r="A31" s="998">
        <v>25</v>
      </c>
      <c r="B31" s="999" t="s">
        <v>119</v>
      </c>
      <c r="C31" s="1000">
        <f>'[2]ALL-Reformatted'!Z30</f>
        <v>0</v>
      </c>
      <c r="D31" s="1001">
        <f>'Table 3 Levels 1&amp;2'!BN33+'Table 3 Levels 1&amp;2'!BV33</f>
        <v>3799.3890273447178</v>
      </c>
      <c r="E31" s="1055">
        <f t="shared" si="10"/>
        <v>0</v>
      </c>
      <c r="F31" s="1535">
        <f>'Table 4 Level 3'!N30</f>
        <v>653.73</v>
      </c>
      <c r="G31" s="1535">
        <f t="shared" si="12"/>
        <v>0</v>
      </c>
      <c r="H31" s="1535">
        <f t="shared" si="13"/>
        <v>0</v>
      </c>
      <c r="I31" s="1055">
        <f t="shared" si="14"/>
        <v>0</v>
      </c>
      <c r="J31" s="1001">
        <f>'Table 3 Levels 1&amp;2'!CB33</f>
        <v>4459.46</v>
      </c>
      <c r="K31" s="1079">
        <f t="shared" si="11"/>
        <v>0</v>
      </c>
      <c r="L31" s="1079">
        <f t="shared" si="15"/>
        <v>0</v>
      </c>
      <c r="M31" s="1087">
        <f t="shared" si="16"/>
        <v>0</v>
      </c>
      <c r="N31" s="1087">
        <f t="shared" si="17"/>
        <v>0</v>
      </c>
      <c r="O31" s="971"/>
    </row>
    <row r="32" spans="1:15">
      <c r="A32" s="987">
        <v>26</v>
      </c>
      <c r="B32" s="988" t="s">
        <v>120</v>
      </c>
      <c r="C32" s="989">
        <f>'[2]ALL-Reformatted'!Z31</f>
        <v>32</v>
      </c>
      <c r="D32" s="990">
        <f>'Table 3 Levels 1&amp;2'!BN34+'Table 3 Levels 1&amp;2'!BV34</f>
        <v>3320.7842100822745</v>
      </c>
      <c r="E32" s="991">
        <f t="shared" si="10"/>
        <v>106265.09472263278</v>
      </c>
      <c r="F32" s="991">
        <f>'Table 4 Level 3'!N31</f>
        <v>836.83</v>
      </c>
      <c r="G32" s="991">
        <f t="shared" si="12"/>
        <v>26778.560000000001</v>
      </c>
      <c r="H32" s="991">
        <f t="shared" si="13"/>
        <v>133043.65472263278</v>
      </c>
      <c r="I32" s="991">
        <f t="shared" si="14"/>
        <v>11087</v>
      </c>
      <c r="J32" s="990">
        <f>'Table 3 Levels 1&amp;2'!CB34</f>
        <v>4706.3</v>
      </c>
      <c r="K32" s="1077">
        <f t="shared" si="11"/>
        <v>150601.60000000001</v>
      </c>
      <c r="L32" s="1077">
        <f t="shared" si="15"/>
        <v>12550</v>
      </c>
      <c r="M32" s="1085">
        <f t="shared" si="16"/>
        <v>283645.25472263282</v>
      </c>
      <c r="N32" s="1085">
        <f t="shared" si="17"/>
        <v>23637</v>
      </c>
      <c r="O32" s="971"/>
    </row>
    <row r="33" spans="1:15">
      <c r="A33" s="994">
        <v>27</v>
      </c>
      <c r="B33" s="995" t="s">
        <v>121</v>
      </c>
      <c r="C33" s="1002">
        <f>'[2]ALL-Reformatted'!Z32</f>
        <v>0</v>
      </c>
      <c r="D33" s="1003">
        <f>'Table 3 Levels 1&amp;2'!BN35+'Table 3 Levels 1&amp;2'!BV35</f>
        <v>5636.5919457972805</v>
      </c>
      <c r="E33" s="1059">
        <f t="shared" si="10"/>
        <v>0</v>
      </c>
      <c r="F33" s="1536">
        <f>'Table 4 Level 3'!N32</f>
        <v>693.06</v>
      </c>
      <c r="G33" s="1536">
        <f t="shared" si="12"/>
        <v>0</v>
      </c>
      <c r="H33" s="1536">
        <f t="shared" si="13"/>
        <v>0</v>
      </c>
      <c r="I33" s="1059">
        <f t="shared" si="14"/>
        <v>0</v>
      </c>
      <c r="J33" s="1003">
        <f>'Table 3 Levels 1&amp;2'!CB35</f>
        <v>3073.92</v>
      </c>
      <c r="K33" s="1080">
        <f t="shared" si="11"/>
        <v>0</v>
      </c>
      <c r="L33" s="1080">
        <f t="shared" si="15"/>
        <v>0</v>
      </c>
      <c r="M33" s="1088">
        <f t="shared" si="16"/>
        <v>0</v>
      </c>
      <c r="N33" s="1088">
        <f t="shared" si="17"/>
        <v>0</v>
      </c>
      <c r="O33" s="971"/>
    </row>
    <row r="34" spans="1:15">
      <c r="A34" s="994">
        <v>28</v>
      </c>
      <c r="B34" s="995" t="s">
        <v>122</v>
      </c>
      <c r="C34" s="1002">
        <f>'[2]ALL-Reformatted'!Z33</f>
        <v>0</v>
      </c>
      <c r="D34" s="1003">
        <f>'Table 3 Levels 1&amp;2'!BN36+'Table 3 Levels 1&amp;2'!BV36</f>
        <v>3106.8056522508969</v>
      </c>
      <c r="E34" s="1059">
        <f t="shared" si="10"/>
        <v>0</v>
      </c>
      <c r="F34" s="1536">
        <f>'Table 4 Level 3'!N33</f>
        <v>694.4</v>
      </c>
      <c r="G34" s="1536">
        <f t="shared" si="12"/>
        <v>0</v>
      </c>
      <c r="H34" s="1536">
        <f t="shared" si="13"/>
        <v>0</v>
      </c>
      <c r="I34" s="1059">
        <f t="shared" si="14"/>
        <v>0</v>
      </c>
      <c r="J34" s="1003">
        <f>'Table 3 Levels 1&amp;2'!CB36</f>
        <v>4168.67</v>
      </c>
      <c r="K34" s="1080">
        <f t="shared" si="11"/>
        <v>0</v>
      </c>
      <c r="L34" s="1080">
        <f t="shared" si="15"/>
        <v>0</v>
      </c>
      <c r="M34" s="1088">
        <f t="shared" si="16"/>
        <v>0</v>
      </c>
      <c r="N34" s="1088">
        <f t="shared" si="17"/>
        <v>0</v>
      </c>
      <c r="O34" s="971"/>
    </row>
    <row r="35" spans="1:15">
      <c r="A35" s="994">
        <v>29</v>
      </c>
      <c r="B35" s="995" t="s">
        <v>123</v>
      </c>
      <c r="C35" s="1002">
        <f>'[2]ALL-Reformatted'!Z34</f>
        <v>1</v>
      </c>
      <c r="D35" s="1003">
        <f>'Table 3 Levels 1&amp;2'!BN37+'Table 3 Levels 1&amp;2'!BV37</f>
        <v>3912.1846976122315</v>
      </c>
      <c r="E35" s="1059">
        <f t="shared" si="10"/>
        <v>3912.1846976122315</v>
      </c>
      <c r="F35" s="1536">
        <f>'Table 4 Level 3'!N34</f>
        <v>754.94999999999993</v>
      </c>
      <c r="G35" s="1536">
        <f t="shared" si="12"/>
        <v>754.94999999999993</v>
      </c>
      <c r="H35" s="1536">
        <f t="shared" si="13"/>
        <v>4667.1346976122313</v>
      </c>
      <c r="I35" s="1059">
        <f t="shared" si="14"/>
        <v>389</v>
      </c>
      <c r="J35" s="1003">
        <f>'Table 3 Levels 1&amp;2'!CB37</f>
        <v>3536.5</v>
      </c>
      <c r="K35" s="1080">
        <f t="shared" si="11"/>
        <v>3536.5</v>
      </c>
      <c r="L35" s="1080">
        <f t="shared" si="15"/>
        <v>295</v>
      </c>
      <c r="M35" s="1088">
        <f t="shared" si="16"/>
        <v>8203.6346976122313</v>
      </c>
      <c r="N35" s="1088">
        <f t="shared" si="17"/>
        <v>684</v>
      </c>
      <c r="O35" s="971"/>
    </row>
    <row r="36" spans="1:15">
      <c r="A36" s="998">
        <v>30</v>
      </c>
      <c r="B36" s="999" t="s">
        <v>124</v>
      </c>
      <c r="C36" s="1004">
        <f>'[2]ALL-Reformatted'!Z35</f>
        <v>0</v>
      </c>
      <c r="D36" s="1005">
        <f>'Table 3 Levels 1&amp;2'!BN38+'Table 3 Levels 1&amp;2'!BV38</f>
        <v>5594.0091640611508</v>
      </c>
      <c r="E36" s="1060">
        <f t="shared" si="10"/>
        <v>0</v>
      </c>
      <c r="F36" s="1537">
        <f>'Table 4 Level 3'!N35</f>
        <v>727.17</v>
      </c>
      <c r="G36" s="1537">
        <f t="shared" si="12"/>
        <v>0</v>
      </c>
      <c r="H36" s="1537">
        <f t="shared" si="13"/>
        <v>0</v>
      </c>
      <c r="I36" s="1060">
        <f t="shared" si="14"/>
        <v>0</v>
      </c>
      <c r="J36" s="1005">
        <f>'Table 3 Levels 1&amp;2'!CB38</f>
        <v>3056.24</v>
      </c>
      <c r="K36" s="1081">
        <f t="shared" si="11"/>
        <v>0</v>
      </c>
      <c r="L36" s="1081">
        <f t="shared" si="15"/>
        <v>0</v>
      </c>
      <c r="M36" s="1089">
        <f t="shared" si="16"/>
        <v>0</v>
      </c>
      <c r="N36" s="1089">
        <f t="shared" si="17"/>
        <v>0</v>
      </c>
      <c r="O36" s="971"/>
    </row>
    <row r="37" spans="1:15">
      <c r="A37" s="987">
        <v>31</v>
      </c>
      <c r="B37" s="988" t="s">
        <v>125</v>
      </c>
      <c r="C37" s="1006">
        <f>'[2]ALL-Reformatted'!Z36</f>
        <v>0</v>
      </c>
      <c r="D37" s="1007">
        <f>'Table 3 Levels 1&amp;2'!BN39+'Table 3 Levels 1&amp;2'!BV39</f>
        <v>4320.114188911979</v>
      </c>
      <c r="E37" s="1061">
        <f t="shared" si="10"/>
        <v>0</v>
      </c>
      <c r="F37" s="1061">
        <f>'Table 4 Level 3'!N36</f>
        <v>620.83000000000004</v>
      </c>
      <c r="G37" s="1061">
        <f t="shared" si="12"/>
        <v>0</v>
      </c>
      <c r="H37" s="1061">
        <f t="shared" si="13"/>
        <v>0</v>
      </c>
      <c r="I37" s="1061">
        <f t="shared" si="14"/>
        <v>0</v>
      </c>
      <c r="J37" s="1007">
        <f>'Table 3 Levels 1&amp;2'!CB39</f>
        <v>3737.21</v>
      </c>
      <c r="K37" s="1082">
        <f t="shared" si="11"/>
        <v>0</v>
      </c>
      <c r="L37" s="1082">
        <f t="shared" si="15"/>
        <v>0</v>
      </c>
      <c r="M37" s="1090">
        <f t="shared" si="16"/>
        <v>0</v>
      </c>
      <c r="N37" s="1090">
        <f t="shared" si="17"/>
        <v>0</v>
      </c>
      <c r="O37" s="971"/>
    </row>
    <row r="38" spans="1:15">
      <c r="A38" s="994">
        <v>32</v>
      </c>
      <c r="B38" s="995" t="s">
        <v>126</v>
      </c>
      <c r="C38" s="1002">
        <f>'[2]ALL-Reformatted'!Z37</f>
        <v>1</v>
      </c>
      <c r="D38" s="1003">
        <f>'Table 3 Levels 1&amp;2'!BN40+'Table 3 Levels 1&amp;2'!BV40</f>
        <v>5504.4479209353676</v>
      </c>
      <c r="E38" s="1059">
        <f t="shared" si="10"/>
        <v>5504.4479209353676</v>
      </c>
      <c r="F38" s="1536">
        <f>'Table 4 Level 3'!N37</f>
        <v>559.77</v>
      </c>
      <c r="G38" s="1536">
        <f t="shared" si="12"/>
        <v>559.77</v>
      </c>
      <c r="H38" s="1536">
        <f t="shared" si="13"/>
        <v>6064.2179209353671</v>
      </c>
      <c r="I38" s="1059">
        <f t="shared" si="14"/>
        <v>505</v>
      </c>
      <c r="J38" s="1003">
        <f>'Table 3 Levels 1&amp;2'!CB40</f>
        <v>2004.53</v>
      </c>
      <c r="K38" s="1080">
        <f t="shared" si="11"/>
        <v>2004.53</v>
      </c>
      <c r="L38" s="1080">
        <f t="shared" si="15"/>
        <v>167</v>
      </c>
      <c r="M38" s="1088">
        <f t="shared" si="16"/>
        <v>8068.7479209353669</v>
      </c>
      <c r="N38" s="1088">
        <f t="shared" si="17"/>
        <v>672</v>
      </c>
      <c r="O38" s="971"/>
    </row>
    <row r="39" spans="1:15">
      <c r="A39" s="994">
        <v>33</v>
      </c>
      <c r="B39" s="995" t="s">
        <v>127</v>
      </c>
      <c r="C39" s="1002">
        <f>'[2]ALL-Reformatted'!Z38</f>
        <v>0</v>
      </c>
      <c r="D39" s="1003">
        <f>'Table 3 Levels 1&amp;2'!BN41+'Table 3 Levels 1&amp;2'!BV41</f>
        <v>5322.07272511876</v>
      </c>
      <c r="E39" s="1059">
        <f t="shared" ref="E39:E70" si="18">D39*C39</f>
        <v>0</v>
      </c>
      <c r="F39" s="1536">
        <f>'Table 4 Level 3'!N38</f>
        <v>655.31000000000006</v>
      </c>
      <c r="G39" s="1536">
        <f t="shared" si="12"/>
        <v>0</v>
      </c>
      <c r="H39" s="1536">
        <f t="shared" si="13"/>
        <v>0</v>
      </c>
      <c r="I39" s="1059">
        <f t="shared" si="14"/>
        <v>0</v>
      </c>
      <c r="J39" s="1003">
        <f>'Table 3 Levels 1&amp;2'!CB41</f>
        <v>2749.51</v>
      </c>
      <c r="K39" s="1080">
        <f t="shared" ref="K39:K70" si="19">J39*C39</f>
        <v>0</v>
      </c>
      <c r="L39" s="1080">
        <f t="shared" si="15"/>
        <v>0</v>
      </c>
      <c r="M39" s="1088">
        <f t="shared" si="16"/>
        <v>0</v>
      </c>
      <c r="N39" s="1088">
        <f t="shared" si="17"/>
        <v>0</v>
      </c>
      <c r="O39" s="971"/>
    </row>
    <row r="40" spans="1:15">
      <c r="A40" s="994">
        <v>34</v>
      </c>
      <c r="B40" s="995" t="s">
        <v>128</v>
      </c>
      <c r="C40" s="1002">
        <f>'[2]ALL-Reformatted'!Z39</f>
        <v>0</v>
      </c>
      <c r="D40" s="1003">
        <f>'Table 3 Levels 1&amp;2'!BN42+'Table 3 Levels 1&amp;2'!BV42</f>
        <v>5959.062840731639</v>
      </c>
      <c r="E40" s="1059">
        <f t="shared" si="18"/>
        <v>0</v>
      </c>
      <c r="F40" s="1536">
        <f>'Table 4 Level 3'!N39</f>
        <v>644.11000000000013</v>
      </c>
      <c r="G40" s="1536">
        <f t="shared" si="12"/>
        <v>0</v>
      </c>
      <c r="H40" s="1536">
        <f t="shared" si="13"/>
        <v>0</v>
      </c>
      <c r="I40" s="1059">
        <f t="shared" si="14"/>
        <v>0</v>
      </c>
      <c r="J40" s="1003">
        <f>'Table 3 Levels 1&amp;2'!CB42</f>
        <v>2869.95</v>
      </c>
      <c r="K40" s="1080">
        <f t="shared" si="19"/>
        <v>0</v>
      </c>
      <c r="L40" s="1080">
        <f t="shared" si="15"/>
        <v>0</v>
      </c>
      <c r="M40" s="1088">
        <f t="shared" si="16"/>
        <v>0</v>
      </c>
      <c r="N40" s="1088">
        <f t="shared" si="17"/>
        <v>0</v>
      </c>
      <c r="O40" s="971"/>
    </row>
    <row r="41" spans="1:15">
      <c r="A41" s="998">
        <v>35</v>
      </c>
      <c r="B41" s="999" t="s">
        <v>129</v>
      </c>
      <c r="C41" s="1004">
        <f>'[2]ALL-Reformatted'!Z40</f>
        <v>0</v>
      </c>
      <c r="D41" s="1005">
        <f>'Table 3 Levels 1&amp;2'!BN43+'Table 3 Levels 1&amp;2'!BV43</f>
        <v>4571.947611490059</v>
      </c>
      <c r="E41" s="1060">
        <f t="shared" si="18"/>
        <v>0</v>
      </c>
      <c r="F41" s="1537">
        <f>'Table 4 Level 3'!N40</f>
        <v>537.96</v>
      </c>
      <c r="G41" s="1537">
        <f t="shared" si="12"/>
        <v>0</v>
      </c>
      <c r="H41" s="1537">
        <f t="shared" si="13"/>
        <v>0</v>
      </c>
      <c r="I41" s="1060">
        <f t="shared" si="14"/>
        <v>0</v>
      </c>
      <c r="J41" s="1005">
        <f>'Table 3 Levels 1&amp;2'!CB43</f>
        <v>3599.19</v>
      </c>
      <c r="K41" s="1081">
        <f t="shared" si="19"/>
        <v>0</v>
      </c>
      <c r="L41" s="1081">
        <f t="shared" si="15"/>
        <v>0</v>
      </c>
      <c r="M41" s="1089">
        <f t="shared" si="16"/>
        <v>0</v>
      </c>
      <c r="N41" s="1089">
        <f t="shared" si="17"/>
        <v>0</v>
      </c>
      <c r="O41" s="971"/>
    </row>
    <row r="42" spans="1:15">
      <c r="A42" s="987">
        <v>36</v>
      </c>
      <c r="B42" s="988" t="s">
        <v>130</v>
      </c>
      <c r="C42" s="1006">
        <f>'[2]ALL-Reformatted'!Z41</f>
        <v>52</v>
      </c>
      <c r="D42" s="1007">
        <f>'Table 3 Levels 1&amp;2'!BN44+'Table 3 Levels 1&amp;2'!BV44</f>
        <v>3666.4136012725312</v>
      </c>
      <c r="E42" s="1061">
        <f t="shared" si="18"/>
        <v>190653.50726617163</v>
      </c>
      <c r="F42" s="1061">
        <f>'Table 4 Level 3'!N41</f>
        <v>727.23177743956114</v>
      </c>
      <c r="G42" s="1061">
        <f t="shared" si="12"/>
        <v>37816.052426857183</v>
      </c>
      <c r="H42" s="1061">
        <f t="shared" si="13"/>
        <v>228469.5596930288</v>
      </c>
      <c r="I42" s="1061">
        <f t="shared" si="14"/>
        <v>19039</v>
      </c>
      <c r="J42" s="1007">
        <f>'Table 3 Levels 1&amp;2'!CB44</f>
        <v>4149.93</v>
      </c>
      <c r="K42" s="1082">
        <f t="shared" si="19"/>
        <v>215796.36000000002</v>
      </c>
      <c r="L42" s="1082">
        <f t="shared" si="15"/>
        <v>17983</v>
      </c>
      <c r="M42" s="1090">
        <f t="shared" si="16"/>
        <v>444265.91969302879</v>
      </c>
      <c r="N42" s="1090">
        <f t="shared" si="17"/>
        <v>37022</v>
      </c>
      <c r="O42" s="971"/>
    </row>
    <row r="43" spans="1:15">
      <c r="A43" s="994">
        <v>37</v>
      </c>
      <c r="B43" s="995" t="s">
        <v>131</v>
      </c>
      <c r="C43" s="1002">
        <f>'[2]ALL-Reformatted'!Z42</f>
        <v>0</v>
      </c>
      <c r="D43" s="1003">
        <f>'Table 3 Levels 1&amp;2'!BN45+'Table 3 Levels 1&amp;2'!BV45</f>
        <v>5484.8089042263191</v>
      </c>
      <c r="E43" s="1059">
        <f t="shared" si="18"/>
        <v>0</v>
      </c>
      <c r="F43" s="1536">
        <f>'Table 4 Level 3'!N42</f>
        <v>653.61</v>
      </c>
      <c r="G43" s="1536">
        <f t="shared" si="12"/>
        <v>0</v>
      </c>
      <c r="H43" s="1536">
        <f t="shared" si="13"/>
        <v>0</v>
      </c>
      <c r="I43" s="1059">
        <f t="shared" si="14"/>
        <v>0</v>
      </c>
      <c r="J43" s="1003">
        <f>'Table 3 Levels 1&amp;2'!CB45</f>
        <v>2856.98</v>
      </c>
      <c r="K43" s="1080">
        <f t="shared" si="19"/>
        <v>0</v>
      </c>
      <c r="L43" s="1080">
        <f t="shared" si="15"/>
        <v>0</v>
      </c>
      <c r="M43" s="1088">
        <f t="shared" si="16"/>
        <v>0</v>
      </c>
      <c r="N43" s="1088">
        <f t="shared" si="17"/>
        <v>0</v>
      </c>
      <c r="O43" s="971"/>
    </row>
    <row r="44" spans="1:15">
      <c r="A44" s="994">
        <v>38</v>
      </c>
      <c r="B44" s="995" t="s">
        <v>132</v>
      </c>
      <c r="C44" s="1002">
        <f>'[2]ALL-Reformatted'!Z43</f>
        <v>1</v>
      </c>
      <c r="D44" s="1003">
        <f>'Table 3 Levels 1&amp;2'!BN46+'Table 3 Levels 1&amp;2'!BV46</f>
        <v>2078.5917829727841</v>
      </c>
      <c r="E44" s="1059">
        <f t="shared" si="18"/>
        <v>2078.5917829727841</v>
      </c>
      <c r="F44" s="1536">
        <f>'Table 4 Level 3'!N43</f>
        <v>829.92000000000007</v>
      </c>
      <c r="G44" s="1536">
        <f t="shared" si="12"/>
        <v>829.92000000000007</v>
      </c>
      <c r="H44" s="1536">
        <f t="shared" si="13"/>
        <v>2908.5117829727842</v>
      </c>
      <c r="I44" s="1059">
        <f t="shared" si="14"/>
        <v>242</v>
      </c>
      <c r="J44" s="1003">
        <f>'Table 3 Levels 1&amp;2'!CB46</f>
        <v>6087.79</v>
      </c>
      <c r="K44" s="1080">
        <f t="shared" si="19"/>
        <v>6087.79</v>
      </c>
      <c r="L44" s="1080">
        <f t="shared" si="15"/>
        <v>507</v>
      </c>
      <c r="M44" s="1088">
        <f t="shared" si="16"/>
        <v>8996.3017829727833</v>
      </c>
      <c r="N44" s="1088">
        <f t="shared" si="17"/>
        <v>749</v>
      </c>
      <c r="O44" s="971"/>
    </row>
    <row r="45" spans="1:15">
      <c r="A45" s="994">
        <v>39</v>
      </c>
      <c r="B45" s="995" t="s">
        <v>133</v>
      </c>
      <c r="C45" s="1002">
        <f>'[2]ALL-Reformatted'!Z44</f>
        <v>0</v>
      </c>
      <c r="D45" s="1003">
        <f>'Table 3 Levels 1&amp;2'!BN47+'Table 3 Levels 1&amp;2'!BV47</f>
        <v>3622.4878999042335</v>
      </c>
      <c r="E45" s="1059">
        <f t="shared" si="18"/>
        <v>0</v>
      </c>
      <c r="F45" s="1536">
        <f>'Table 4 Level 3'!N44</f>
        <v>779.65573042776441</v>
      </c>
      <c r="G45" s="1536">
        <f t="shared" si="12"/>
        <v>0</v>
      </c>
      <c r="H45" s="1536">
        <f t="shared" si="13"/>
        <v>0</v>
      </c>
      <c r="I45" s="1059">
        <f t="shared" si="14"/>
        <v>0</v>
      </c>
      <c r="J45" s="1003">
        <f>'Table 3 Levels 1&amp;2'!CB47</f>
        <v>4420.29</v>
      </c>
      <c r="K45" s="1080">
        <f t="shared" si="19"/>
        <v>0</v>
      </c>
      <c r="L45" s="1080">
        <f t="shared" si="15"/>
        <v>0</v>
      </c>
      <c r="M45" s="1088">
        <f t="shared" si="16"/>
        <v>0</v>
      </c>
      <c r="N45" s="1088">
        <f t="shared" si="17"/>
        <v>0</v>
      </c>
      <c r="O45" s="971"/>
    </row>
    <row r="46" spans="1:15">
      <c r="A46" s="998">
        <v>40</v>
      </c>
      <c r="B46" s="999" t="s">
        <v>134</v>
      </c>
      <c r="C46" s="1004">
        <f>'[2]ALL-Reformatted'!Z45</f>
        <v>0</v>
      </c>
      <c r="D46" s="1005">
        <f>'Table 3 Levels 1&amp;2'!BN48+'Table 3 Levels 1&amp;2'!BV48</f>
        <v>4885.6387343180086</v>
      </c>
      <c r="E46" s="1060">
        <f t="shared" si="18"/>
        <v>0</v>
      </c>
      <c r="F46" s="1537">
        <f>'Table 4 Level 3'!N45</f>
        <v>700.2700000000001</v>
      </c>
      <c r="G46" s="1537">
        <f t="shared" si="12"/>
        <v>0</v>
      </c>
      <c r="H46" s="1537">
        <f t="shared" si="13"/>
        <v>0</v>
      </c>
      <c r="I46" s="1060">
        <f t="shared" si="14"/>
        <v>0</v>
      </c>
      <c r="J46" s="1005">
        <f>'Table 3 Levels 1&amp;2'!CB48</f>
        <v>2999.72</v>
      </c>
      <c r="K46" s="1081">
        <f t="shared" si="19"/>
        <v>0</v>
      </c>
      <c r="L46" s="1081">
        <f t="shared" si="15"/>
        <v>0</v>
      </c>
      <c r="M46" s="1089">
        <f t="shared" si="16"/>
        <v>0</v>
      </c>
      <c r="N46" s="1089">
        <f t="shared" si="17"/>
        <v>0</v>
      </c>
      <c r="O46" s="971"/>
    </row>
    <row r="47" spans="1:15">
      <c r="A47" s="987">
        <v>41</v>
      </c>
      <c r="B47" s="988" t="s">
        <v>135</v>
      </c>
      <c r="C47" s="1006">
        <f>'[2]ALL-Reformatted'!Z46</f>
        <v>0</v>
      </c>
      <c r="D47" s="1007">
        <f>'Table 3 Levels 1&amp;2'!BN49+'Table 3 Levels 1&amp;2'!BV49</f>
        <v>1602.0398121899364</v>
      </c>
      <c r="E47" s="1061">
        <f t="shared" si="18"/>
        <v>0</v>
      </c>
      <c r="F47" s="1061">
        <f>'Table 4 Level 3'!N46</f>
        <v>886.22</v>
      </c>
      <c r="G47" s="1061">
        <f t="shared" si="12"/>
        <v>0</v>
      </c>
      <c r="H47" s="1061">
        <f t="shared" si="13"/>
        <v>0</v>
      </c>
      <c r="I47" s="1061">
        <f t="shared" si="14"/>
        <v>0</v>
      </c>
      <c r="J47" s="1007">
        <f>'Table 3 Levels 1&amp;2'!CB49</f>
        <v>6341.94</v>
      </c>
      <c r="K47" s="1082">
        <f t="shared" si="19"/>
        <v>0</v>
      </c>
      <c r="L47" s="1082">
        <f t="shared" si="15"/>
        <v>0</v>
      </c>
      <c r="M47" s="1090">
        <f t="shared" si="16"/>
        <v>0</v>
      </c>
      <c r="N47" s="1090">
        <f t="shared" si="17"/>
        <v>0</v>
      </c>
      <c r="O47" s="971"/>
    </row>
    <row r="48" spans="1:15">
      <c r="A48" s="994">
        <v>42</v>
      </c>
      <c r="B48" s="995" t="s">
        <v>136</v>
      </c>
      <c r="C48" s="1002">
        <f>'[2]ALL-Reformatted'!Z47</f>
        <v>0</v>
      </c>
      <c r="D48" s="1003">
        <f>'Table 3 Levels 1&amp;2'!BN50+'Table 3 Levels 1&amp;2'!BV50</f>
        <v>5098.6172346404755</v>
      </c>
      <c r="E48" s="1059">
        <f t="shared" si="18"/>
        <v>0</v>
      </c>
      <c r="F48" s="1536">
        <f>'Table 4 Level 3'!N47</f>
        <v>534.28</v>
      </c>
      <c r="G48" s="1536">
        <f t="shared" si="12"/>
        <v>0</v>
      </c>
      <c r="H48" s="1536">
        <f t="shared" si="13"/>
        <v>0</v>
      </c>
      <c r="I48" s="1059">
        <f t="shared" si="14"/>
        <v>0</v>
      </c>
      <c r="J48" s="1003">
        <f>'Table 3 Levels 1&amp;2'!CB50</f>
        <v>2618.67</v>
      </c>
      <c r="K48" s="1080">
        <f t="shared" si="19"/>
        <v>0</v>
      </c>
      <c r="L48" s="1080">
        <f t="shared" si="15"/>
        <v>0</v>
      </c>
      <c r="M48" s="1088">
        <f t="shared" si="16"/>
        <v>0</v>
      </c>
      <c r="N48" s="1088">
        <f t="shared" si="17"/>
        <v>0</v>
      </c>
      <c r="O48" s="971"/>
    </row>
    <row r="49" spans="1:15">
      <c r="A49" s="994">
        <v>43</v>
      </c>
      <c r="B49" s="995" t="s">
        <v>137</v>
      </c>
      <c r="C49" s="1002">
        <f>'[2]ALL-Reformatted'!Z48</f>
        <v>0</v>
      </c>
      <c r="D49" s="1003">
        <f>'Table 3 Levels 1&amp;2'!BN51+'Table 3 Levels 1&amp;2'!BV51</f>
        <v>4701.3362575004667</v>
      </c>
      <c r="E49" s="1059">
        <f t="shared" si="18"/>
        <v>0</v>
      </c>
      <c r="F49" s="1536">
        <f>'Table 4 Level 3'!N48</f>
        <v>574.6099999999999</v>
      </c>
      <c r="G49" s="1536">
        <f t="shared" si="12"/>
        <v>0</v>
      </c>
      <c r="H49" s="1536">
        <f t="shared" si="13"/>
        <v>0</v>
      </c>
      <c r="I49" s="1059">
        <f t="shared" si="14"/>
        <v>0</v>
      </c>
      <c r="J49" s="1003">
        <f>'Table 3 Levels 1&amp;2'!CB51</f>
        <v>3919.99</v>
      </c>
      <c r="K49" s="1080">
        <f t="shared" si="19"/>
        <v>0</v>
      </c>
      <c r="L49" s="1080">
        <f t="shared" si="15"/>
        <v>0</v>
      </c>
      <c r="M49" s="1088">
        <f t="shared" si="16"/>
        <v>0</v>
      </c>
      <c r="N49" s="1088">
        <f t="shared" si="17"/>
        <v>0</v>
      </c>
      <c r="O49" s="971"/>
    </row>
    <row r="50" spans="1:15">
      <c r="A50" s="994">
        <v>44</v>
      </c>
      <c r="B50" s="995" t="s">
        <v>138</v>
      </c>
      <c r="C50" s="1002">
        <f>'[2]ALL-Reformatted'!Z49</f>
        <v>3</v>
      </c>
      <c r="D50" s="1003">
        <f>'Table 3 Levels 1&amp;2'!BN52+'Table 3 Levels 1&amp;2'!BV52</f>
        <v>4649.5559521248724</v>
      </c>
      <c r="E50" s="1059">
        <f t="shared" si="18"/>
        <v>13948.667856374617</v>
      </c>
      <c r="F50" s="1536">
        <f>'Table 4 Level 3'!N49</f>
        <v>663.16000000000008</v>
      </c>
      <c r="G50" s="1536">
        <f t="shared" si="12"/>
        <v>1989.4800000000002</v>
      </c>
      <c r="H50" s="1536">
        <f t="shared" si="13"/>
        <v>15938.147856374617</v>
      </c>
      <c r="I50" s="1059">
        <f t="shared" si="14"/>
        <v>1328</v>
      </c>
      <c r="J50" s="1003">
        <f>'Table 3 Levels 1&amp;2'!CB52</f>
        <v>3484.64</v>
      </c>
      <c r="K50" s="1080">
        <f t="shared" si="19"/>
        <v>10453.92</v>
      </c>
      <c r="L50" s="1080">
        <f t="shared" si="15"/>
        <v>871</v>
      </c>
      <c r="M50" s="1088">
        <f t="shared" si="16"/>
        <v>26392.067856374619</v>
      </c>
      <c r="N50" s="1088">
        <f t="shared" si="17"/>
        <v>2199</v>
      </c>
      <c r="O50" s="971"/>
    </row>
    <row r="51" spans="1:15">
      <c r="A51" s="998">
        <v>45</v>
      </c>
      <c r="B51" s="999" t="s">
        <v>139</v>
      </c>
      <c r="C51" s="1004">
        <f>'[2]ALL-Reformatted'!Z50</f>
        <v>5</v>
      </c>
      <c r="D51" s="1005">
        <f>'Table 3 Levels 1&amp;2'!BN53+'Table 3 Levels 1&amp;2'!BV53</f>
        <v>2159.257884231537</v>
      </c>
      <c r="E51" s="1060">
        <f t="shared" si="18"/>
        <v>10796.289421157686</v>
      </c>
      <c r="F51" s="1537">
        <f>'Table 4 Level 3'!N50</f>
        <v>753.96000000000015</v>
      </c>
      <c r="G51" s="1537">
        <f t="shared" si="12"/>
        <v>3769.8000000000006</v>
      </c>
      <c r="H51" s="1537">
        <f t="shared" si="13"/>
        <v>14566.089421157687</v>
      </c>
      <c r="I51" s="1060">
        <f t="shared" si="14"/>
        <v>1214</v>
      </c>
      <c r="J51" s="1005">
        <f>'Table 3 Levels 1&amp;2'!CB53</f>
        <v>5247.83</v>
      </c>
      <c r="K51" s="1081">
        <f t="shared" si="19"/>
        <v>26239.15</v>
      </c>
      <c r="L51" s="1081">
        <f t="shared" si="15"/>
        <v>2187</v>
      </c>
      <c r="M51" s="1089">
        <f t="shared" si="16"/>
        <v>40805.23942115769</v>
      </c>
      <c r="N51" s="1089">
        <f t="shared" si="17"/>
        <v>3401</v>
      </c>
      <c r="O51" s="971"/>
    </row>
    <row r="52" spans="1:15">
      <c r="A52" s="987">
        <v>46</v>
      </c>
      <c r="B52" s="988" t="s">
        <v>140</v>
      </c>
      <c r="C52" s="1006">
        <f>'[2]ALL-Reformatted'!Z51</f>
        <v>0</v>
      </c>
      <c r="D52" s="1007">
        <f>'Table 3 Levels 1&amp;2'!BN54+'Table 3 Levels 1&amp;2'!BV54</f>
        <v>5578.7258135108641</v>
      </c>
      <c r="E52" s="1061">
        <f t="shared" si="18"/>
        <v>0</v>
      </c>
      <c r="F52" s="1061">
        <f>'Table 4 Level 3'!N51</f>
        <v>728.06</v>
      </c>
      <c r="G52" s="1061">
        <f t="shared" si="12"/>
        <v>0</v>
      </c>
      <c r="H52" s="1061">
        <f t="shared" si="13"/>
        <v>0</v>
      </c>
      <c r="I52" s="1061">
        <f t="shared" si="14"/>
        <v>0</v>
      </c>
      <c r="J52" s="1007">
        <f>'Table 3 Levels 1&amp;2'!CB54</f>
        <v>2002.88</v>
      </c>
      <c r="K52" s="1082">
        <f t="shared" si="19"/>
        <v>0</v>
      </c>
      <c r="L52" s="1082">
        <f t="shared" si="15"/>
        <v>0</v>
      </c>
      <c r="M52" s="1090">
        <f t="shared" si="16"/>
        <v>0</v>
      </c>
      <c r="N52" s="1090">
        <f t="shared" si="17"/>
        <v>0</v>
      </c>
      <c r="O52" s="971"/>
    </row>
    <row r="53" spans="1:15">
      <c r="A53" s="994">
        <v>47</v>
      </c>
      <c r="B53" s="995" t="s">
        <v>141</v>
      </c>
      <c r="C53" s="1002">
        <f>'[2]ALL-Reformatted'!Z52</f>
        <v>0</v>
      </c>
      <c r="D53" s="1003">
        <f>'Table 3 Levels 1&amp;2'!BN55+'Table 3 Levels 1&amp;2'!BV55</f>
        <v>2709.058014721415</v>
      </c>
      <c r="E53" s="1059">
        <f t="shared" si="18"/>
        <v>0</v>
      </c>
      <c r="F53" s="1536">
        <f>'Table 4 Level 3'!N52</f>
        <v>910.76</v>
      </c>
      <c r="G53" s="1536">
        <f t="shared" si="12"/>
        <v>0</v>
      </c>
      <c r="H53" s="1536">
        <f t="shared" si="13"/>
        <v>0</v>
      </c>
      <c r="I53" s="1059">
        <f t="shared" si="14"/>
        <v>0</v>
      </c>
      <c r="J53" s="1003">
        <f>'Table 3 Levels 1&amp;2'!CB55</f>
        <v>5508.89</v>
      </c>
      <c r="K53" s="1080">
        <f t="shared" si="19"/>
        <v>0</v>
      </c>
      <c r="L53" s="1080">
        <f t="shared" si="15"/>
        <v>0</v>
      </c>
      <c r="M53" s="1088">
        <f t="shared" si="16"/>
        <v>0</v>
      </c>
      <c r="N53" s="1088">
        <f t="shared" si="17"/>
        <v>0</v>
      </c>
      <c r="O53" s="971"/>
    </row>
    <row r="54" spans="1:15">
      <c r="A54" s="994">
        <v>48</v>
      </c>
      <c r="B54" s="995" t="s">
        <v>202</v>
      </c>
      <c r="C54" s="1002">
        <f>'[2]ALL-Reformatted'!Z53</f>
        <v>1</v>
      </c>
      <c r="D54" s="1003">
        <f>'Table 3 Levels 1&amp;2'!BN56+'Table 3 Levels 1&amp;2'!BV56</f>
        <v>4259.4136153508553</v>
      </c>
      <c r="E54" s="1059">
        <f t="shared" si="18"/>
        <v>4259.4136153508553</v>
      </c>
      <c r="F54" s="1536">
        <f>'Table 4 Level 3'!N53</f>
        <v>871.07</v>
      </c>
      <c r="G54" s="1536">
        <f t="shared" si="12"/>
        <v>871.07</v>
      </c>
      <c r="H54" s="1536">
        <f t="shared" si="13"/>
        <v>5130.483615350855</v>
      </c>
      <c r="I54" s="1059">
        <f t="shared" si="14"/>
        <v>428</v>
      </c>
      <c r="J54" s="1003">
        <f>'Table 3 Levels 1&amp;2'!CB56</f>
        <v>4119.8599999999997</v>
      </c>
      <c r="K54" s="1080">
        <f t="shared" si="19"/>
        <v>4119.8599999999997</v>
      </c>
      <c r="L54" s="1080">
        <f t="shared" si="15"/>
        <v>343</v>
      </c>
      <c r="M54" s="1088">
        <f t="shared" si="16"/>
        <v>9250.3436153508555</v>
      </c>
      <c r="N54" s="1088">
        <f t="shared" si="17"/>
        <v>771</v>
      </c>
      <c r="O54" s="971"/>
    </row>
    <row r="55" spans="1:15">
      <c r="A55" s="994">
        <v>49</v>
      </c>
      <c r="B55" s="995" t="s">
        <v>142</v>
      </c>
      <c r="C55" s="1002">
        <f>'[2]ALL-Reformatted'!Z54</f>
        <v>0</v>
      </c>
      <c r="D55" s="1003">
        <f>'Table 3 Levels 1&amp;2'!BN57+'Table 3 Levels 1&amp;2'!BV57</f>
        <v>4790.0513947378495</v>
      </c>
      <c r="E55" s="1059">
        <f t="shared" si="18"/>
        <v>0</v>
      </c>
      <c r="F55" s="1536">
        <f>'Table 4 Level 3'!N54</f>
        <v>574.43999999999994</v>
      </c>
      <c r="G55" s="1536">
        <f t="shared" si="12"/>
        <v>0</v>
      </c>
      <c r="H55" s="1536">
        <f t="shared" si="13"/>
        <v>0</v>
      </c>
      <c r="I55" s="1059">
        <f t="shared" si="14"/>
        <v>0</v>
      </c>
      <c r="J55" s="1003">
        <f>'Table 3 Levels 1&amp;2'!CB57</f>
        <v>2384.88</v>
      </c>
      <c r="K55" s="1080">
        <f t="shared" si="19"/>
        <v>0</v>
      </c>
      <c r="L55" s="1080">
        <f t="shared" si="15"/>
        <v>0</v>
      </c>
      <c r="M55" s="1088">
        <f t="shared" si="16"/>
        <v>0</v>
      </c>
      <c r="N55" s="1088">
        <f t="shared" si="17"/>
        <v>0</v>
      </c>
      <c r="O55" s="971"/>
    </row>
    <row r="56" spans="1:15">
      <c r="A56" s="998">
        <v>50</v>
      </c>
      <c r="B56" s="999" t="s">
        <v>143</v>
      </c>
      <c r="C56" s="1004">
        <f>'[2]ALL-Reformatted'!Z55</f>
        <v>0</v>
      </c>
      <c r="D56" s="1005">
        <f>'Table 3 Levels 1&amp;2'!BN58+'Table 3 Levels 1&amp;2'!BV58</f>
        <v>4954.3375045905796</v>
      </c>
      <c r="E56" s="1060">
        <f t="shared" si="18"/>
        <v>0</v>
      </c>
      <c r="F56" s="1537">
        <f>'Table 4 Level 3'!N55</f>
        <v>634.46</v>
      </c>
      <c r="G56" s="1537">
        <f t="shared" si="12"/>
        <v>0</v>
      </c>
      <c r="H56" s="1537">
        <f t="shared" si="13"/>
        <v>0</v>
      </c>
      <c r="I56" s="1060">
        <f t="shared" si="14"/>
        <v>0</v>
      </c>
      <c r="J56" s="1005">
        <f>'Table 3 Levels 1&amp;2'!CB58</f>
        <v>2872.14</v>
      </c>
      <c r="K56" s="1081">
        <f t="shared" si="19"/>
        <v>0</v>
      </c>
      <c r="L56" s="1081">
        <f t="shared" si="15"/>
        <v>0</v>
      </c>
      <c r="M56" s="1089">
        <f t="shared" si="16"/>
        <v>0</v>
      </c>
      <c r="N56" s="1089">
        <f t="shared" si="17"/>
        <v>0</v>
      </c>
      <c r="O56" s="971"/>
    </row>
    <row r="57" spans="1:15">
      <c r="A57" s="987">
        <v>51</v>
      </c>
      <c r="B57" s="988" t="s">
        <v>144</v>
      </c>
      <c r="C57" s="1006">
        <f>'[2]ALL-Reformatted'!Z56</f>
        <v>0</v>
      </c>
      <c r="D57" s="1007">
        <f>'Table 3 Levels 1&amp;2'!BN59+'Table 3 Levels 1&amp;2'!BV59</f>
        <v>4290.3461727150461</v>
      </c>
      <c r="E57" s="1061">
        <f t="shared" si="18"/>
        <v>0</v>
      </c>
      <c r="F57" s="1061">
        <f>'Table 4 Level 3'!N56</f>
        <v>706.66</v>
      </c>
      <c r="G57" s="1061">
        <f t="shared" si="12"/>
        <v>0</v>
      </c>
      <c r="H57" s="1061">
        <f t="shared" si="13"/>
        <v>0</v>
      </c>
      <c r="I57" s="1061">
        <f t="shared" si="14"/>
        <v>0</v>
      </c>
      <c r="J57" s="1007">
        <f>'Table 3 Levels 1&amp;2'!CB59</f>
        <v>3938.13</v>
      </c>
      <c r="K57" s="1082">
        <f t="shared" si="19"/>
        <v>0</v>
      </c>
      <c r="L57" s="1082">
        <f t="shared" si="15"/>
        <v>0</v>
      </c>
      <c r="M57" s="1090">
        <f t="shared" si="16"/>
        <v>0</v>
      </c>
      <c r="N57" s="1090">
        <f t="shared" si="17"/>
        <v>0</v>
      </c>
      <c r="O57" s="971"/>
    </row>
    <row r="58" spans="1:15">
      <c r="A58" s="994">
        <v>52</v>
      </c>
      <c r="B58" s="995" t="s">
        <v>145</v>
      </c>
      <c r="C58" s="1002">
        <f>'[2]ALL-Reformatted'!Z57</f>
        <v>14</v>
      </c>
      <c r="D58" s="1003">
        <f>'Table 3 Levels 1&amp;2'!BN60+'Table 3 Levels 1&amp;2'!BV60</f>
        <v>4988.6415961118701</v>
      </c>
      <c r="E58" s="1059">
        <f t="shared" si="18"/>
        <v>69840.982345566183</v>
      </c>
      <c r="F58" s="1536">
        <f>'Table 4 Level 3'!N57</f>
        <v>658.37</v>
      </c>
      <c r="G58" s="1536">
        <f t="shared" si="12"/>
        <v>9217.18</v>
      </c>
      <c r="H58" s="1536">
        <f t="shared" si="13"/>
        <v>79058.162345566176</v>
      </c>
      <c r="I58" s="1059">
        <f t="shared" si="14"/>
        <v>6588</v>
      </c>
      <c r="J58" s="1003">
        <f>'Table 3 Levels 1&amp;2'!CB60</f>
        <v>3543.17</v>
      </c>
      <c r="K58" s="1080">
        <f t="shared" si="19"/>
        <v>49604.380000000005</v>
      </c>
      <c r="L58" s="1080">
        <f t="shared" si="15"/>
        <v>4134</v>
      </c>
      <c r="M58" s="1088">
        <f t="shared" si="16"/>
        <v>128662.54234556618</v>
      </c>
      <c r="N58" s="1088">
        <f t="shared" si="17"/>
        <v>10722</v>
      </c>
      <c r="O58" s="971"/>
    </row>
    <row r="59" spans="1:15">
      <c r="A59" s="994">
        <v>53</v>
      </c>
      <c r="B59" s="995" t="s">
        <v>146</v>
      </c>
      <c r="C59" s="1002">
        <f>'[2]ALL-Reformatted'!Z58</f>
        <v>1</v>
      </c>
      <c r="D59" s="1003">
        <f>'Table 3 Levels 1&amp;2'!BN61+'Table 3 Levels 1&amp;2'!BV61</f>
        <v>4739.7077057162423</v>
      </c>
      <c r="E59" s="1059">
        <f t="shared" si="18"/>
        <v>4739.7077057162423</v>
      </c>
      <c r="F59" s="1536">
        <f>'Table 4 Level 3'!N58</f>
        <v>689.74</v>
      </c>
      <c r="G59" s="1536">
        <f t="shared" si="12"/>
        <v>689.74</v>
      </c>
      <c r="H59" s="1536">
        <f t="shared" si="13"/>
        <v>5429.4477057162421</v>
      </c>
      <c r="I59" s="1059">
        <f t="shared" si="14"/>
        <v>452</v>
      </c>
      <c r="J59" s="1003">
        <f>'Table 3 Levels 1&amp;2'!CB61</f>
        <v>1941.1</v>
      </c>
      <c r="K59" s="1080">
        <f t="shared" si="19"/>
        <v>1941.1</v>
      </c>
      <c r="L59" s="1080">
        <f t="shared" si="15"/>
        <v>162</v>
      </c>
      <c r="M59" s="1088">
        <f t="shared" si="16"/>
        <v>7370.5477057162425</v>
      </c>
      <c r="N59" s="1088">
        <f t="shared" si="17"/>
        <v>614</v>
      </c>
      <c r="O59" s="971"/>
    </row>
    <row r="60" spans="1:15">
      <c r="A60" s="994">
        <v>54</v>
      </c>
      <c r="B60" s="995" t="s">
        <v>147</v>
      </c>
      <c r="C60" s="1002">
        <f>'[2]ALL-Reformatted'!Z59</f>
        <v>0</v>
      </c>
      <c r="D60" s="1003">
        <f>'Table 3 Levels 1&amp;2'!BN62+'Table 3 Levels 1&amp;2'!BV62</f>
        <v>5907.1276437932838</v>
      </c>
      <c r="E60" s="1059">
        <f t="shared" si="18"/>
        <v>0</v>
      </c>
      <c r="F60" s="1536">
        <f>'Table 4 Level 3'!N59</f>
        <v>951.45</v>
      </c>
      <c r="G60" s="1536">
        <f t="shared" si="12"/>
        <v>0</v>
      </c>
      <c r="H60" s="1536">
        <f t="shared" si="13"/>
        <v>0</v>
      </c>
      <c r="I60" s="1059">
        <f t="shared" si="14"/>
        <v>0</v>
      </c>
      <c r="J60" s="1003">
        <f>'Table 3 Levels 1&amp;2'!CB62</f>
        <v>3497.92</v>
      </c>
      <c r="K60" s="1080">
        <f t="shared" si="19"/>
        <v>0</v>
      </c>
      <c r="L60" s="1080">
        <f t="shared" si="15"/>
        <v>0</v>
      </c>
      <c r="M60" s="1088">
        <f t="shared" si="16"/>
        <v>0</v>
      </c>
      <c r="N60" s="1088">
        <f t="shared" si="17"/>
        <v>0</v>
      </c>
      <c r="O60" s="971"/>
    </row>
    <row r="61" spans="1:15">
      <c r="A61" s="998">
        <v>55</v>
      </c>
      <c r="B61" s="999" t="s">
        <v>148</v>
      </c>
      <c r="C61" s="1004">
        <f>'[2]ALL-Reformatted'!Z60</f>
        <v>1</v>
      </c>
      <c r="D61" s="1005">
        <f>'Table 3 Levels 1&amp;2'!BN63+'Table 3 Levels 1&amp;2'!BV63</f>
        <v>4115.0954812679902</v>
      </c>
      <c r="E61" s="1060">
        <f t="shared" si="18"/>
        <v>4115.0954812679902</v>
      </c>
      <c r="F61" s="1537">
        <f>'Table 4 Level 3'!N60</f>
        <v>795.14</v>
      </c>
      <c r="G61" s="1537">
        <f t="shared" si="12"/>
        <v>795.14</v>
      </c>
      <c r="H61" s="1537">
        <f t="shared" si="13"/>
        <v>4910.2354812679905</v>
      </c>
      <c r="I61" s="1060">
        <f t="shared" si="14"/>
        <v>409</v>
      </c>
      <c r="J61" s="1005">
        <f>'Table 3 Levels 1&amp;2'!CB63</f>
        <v>3144.82</v>
      </c>
      <c r="K61" s="1081">
        <f t="shared" si="19"/>
        <v>3144.82</v>
      </c>
      <c r="L61" s="1081">
        <f t="shared" si="15"/>
        <v>262</v>
      </c>
      <c r="M61" s="1089">
        <f t="shared" si="16"/>
        <v>8055.0554812679911</v>
      </c>
      <c r="N61" s="1089">
        <f t="shared" si="17"/>
        <v>671</v>
      </c>
      <c r="O61" s="971"/>
    </row>
    <row r="62" spans="1:15">
      <c r="A62" s="987">
        <v>56</v>
      </c>
      <c r="B62" s="988" t="s">
        <v>149</v>
      </c>
      <c r="C62" s="1006">
        <f>'[2]ALL-Reformatted'!Z61</f>
        <v>0</v>
      </c>
      <c r="D62" s="1007">
        <f>'Table 3 Levels 1&amp;2'!BN64+'Table 3 Levels 1&amp;2'!BV64</f>
        <v>4924.9032059941637</v>
      </c>
      <c r="E62" s="1061">
        <f t="shared" si="18"/>
        <v>0</v>
      </c>
      <c r="F62" s="1061">
        <f>'Table 4 Level 3'!N61</f>
        <v>614.66000000000008</v>
      </c>
      <c r="G62" s="1061">
        <f t="shared" si="12"/>
        <v>0</v>
      </c>
      <c r="H62" s="1061">
        <f t="shared" si="13"/>
        <v>0</v>
      </c>
      <c r="I62" s="1061">
        <f t="shared" si="14"/>
        <v>0</v>
      </c>
      <c r="J62" s="1007">
        <f>'Table 3 Levels 1&amp;2'!CB64</f>
        <v>2840.72</v>
      </c>
      <c r="K62" s="1082">
        <f t="shared" si="19"/>
        <v>0</v>
      </c>
      <c r="L62" s="1082">
        <f t="shared" si="15"/>
        <v>0</v>
      </c>
      <c r="M62" s="1090">
        <f t="shared" si="16"/>
        <v>0</v>
      </c>
      <c r="N62" s="1090">
        <f t="shared" si="17"/>
        <v>0</v>
      </c>
      <c r="O62" s="971"/>
    </row>
    <row r="63" spans="1:15">
      <c r="A63" s="994">
        <v>57</v>
      </c>
      <c r="B63" s="995" t="s">
        <v>150</v>
      </c>
      <c r="C63" s="1002">
        <f>'[2]ALL-Reformatted'!Z62</f>
        <v>0</v>
      </c>
      <c r="D63" s="1003">
        <f>'Table 3 Levels 1&amp;2'!BN65+'Table 3 Levels 1&amp;2'!BV65</f>
        <v>4434.5516744018987</v>
      </c>
      <c r="E63" s="1059">
        <f t="shared" si="18"/>
        <v>0</v>
      </c>
      <c r="F63" s="1536">
        <f>'Table 4 Level 3'!N62</f>
        <v>764.51</v>
      </c>
      <c r="G63" s="1536">
        <f t="shared" si="12"/>
        <v>0</v>
      </c>
      <c r="H63" s="1536">
        <f t="shared" si="13"/>
        <v>0</v>
      </c>
      <c r="I63" s="1059">
        <f t="shared" si="14"/>
        <v>0</v>
      </c>
      <c r="J63" s="1003">
        <f>'Table 3 Levels 1&amp;2'!CB65</f>
        <v>2842.73</v>
      </c>
      <c r="K63" s="1080">
        <f t="shared" si="19"/>
        <v>0</v>
      </c>
      <c r="L63" s="1080">
        <f t="shared" si="15"/>
        <v>0</v>
      </c>
      <c r="M63" s="1088">
        <f t="shared" si="16"/>
        <v>0</v>
      </c>
      <c r="N63" s="1088">
        <f t="shared" si="17"/>
        <v>0</v>
      </c>
      <c r="O63" s="971"/>
    </row>
    <row r="64" spans="1:15">
      <c r="A64" s="994">
        <v>58</v>
      </c>
      <c r="B64" s="995" t="s">
        <v>151</v>
      </c>
      <c r="C64" s="1002">
        <f>'[2]ALL-Reformatted'!Z63</f>
        <v>0</v>
      </c>
      <c r="D64" s="1003">
        <f>'Table 3 Levels 1&amp;2'!BN66+'Table 3 Levels 1&amp;2'!BV66</f>
        <v>5434.7170435013286</v>
      </c>
      <c r="E64" s="1059">
        <f t="shared" si="18"/>
        <v>0</v>
      </c>
      <c r="F64" s="1536">
        <f>'Table 4 Level 3'!N63</f>
        <v>697.04</v>
      </c>
      <c r="G64" s="1536">
        <f t="shared" si="12"/>
        <v>0</v>
      </c>
      <c r="H64" s="1536">
        <f t="shared" si="13"/>
        <v>0</v>
      </c>
      <c r="I64" s="1059">
        <f t="shared" si="14"/>
        <v>0</v>
      </c>
      <c r="J64" s="1003">
        <f>'Table 3 Levels 1&amp;2'!CB66</f>
        <v>2165.5100000000002</v>
      </c>
      <c r="K64" s="1080">
        <f t="shared" si="19"/>
        <v>0</v>
      </c>
      <c r="L64" s="1080">
        <f t="shared" si="15"/>
        <v>0</v>
      </c>
      <c r="M64" s="1088">
        <f t="shared" si="16"/>
        <v>0</v>
      </c>
      <c r="N64" s="1088">
        <f t="shared" si="17"/>
        <v>0</v>
      </c>
      <c r="O64" s="971"/>
    </row>
    <row r="65" spans="1:17">
      <c r="A65" s="994">
        <v>59</v>
      </c>
      <c r="B65" s="995" t="s">
        <v>152</v>
      </c>
      <c r="C65" s="1002">
        <f>'[2]ALL-Reformatted'!Z64</f>
        <v>1</v>
      </c>
      <c r="D65" s="1003">
        <f>'Table 3 Levels 1&amp;2'!BN67+'Table 3 Levels 1&amp;2'!BV67</f>
        <v>6252.2385330184643</v>
      </c>
      <c r="E65" s="1059">
        <f t="shared" si="18"/>
        <v>6252.2385330184643</v>
      </c>
      <c r="F65" s="1536">
        <f>'Table 4 Level 3'!N64</f>
        <v>689.52</v>
      </c>
      <c r="G65" s="1536">
        <f t="shared" si="12"/>
        <v>689.52</v>
      </c>
      <c r="H65" s="1536">
        <f t="shared" si="13"/>
        <v>6941.7585330184647</v>
      </c>
      <c r="I65" s="1059">
        <f t="shared" si="14"/>
        <v>578</v>
      </c>
      <c r="J65" s="1003">
        <f>'Table 3 Levels 1&amp;2'!CB67</f>
        <v>1565.88</v>
      </c>
      <c r="K65" s="1080">
        <f t="shared" si="19"/>
        <v>1565.88</v>
      </c>
      <c r="L65" s="1080">
        <f t="shared" si="15"/>
        <v>130</v>
      </c>
      <c r="M65" s="1088">
        <f t="shared" si="16"/>
        <v>8507.6385330184639</v>
      </c>
      <c r="N65" s="1088">
        <f t="shared" si="17"/>
        <v>708</v>
      </c>
      <c r="O65" s="971"/>
    </row>
    <row r="66" spans="1:17">
      <c r="A66" s="998">
        <v>60</v>
      </c>
      <c r="B66" s="999" t="s">
        <v>153</v>
      </c>
      <c r="C66" s="1004">
        <f>'[2]ALL-Reformatted'!Z65</f>
        <v>0</v>
      </c>
      <c r="D66" s="1005">
        <f>'Table 3 Levels 1&amp;2'!BN68+'Table 3 Levels 1&amp;2'!BV68</f>
        <v>4902.6575100268701</v>
      </c>
      <c r="E66" s="1060">
        <f t="shared" si="18"/>
        <v>0</v>
      </c>
      <c r="F66" s="1537">
        <f>'Table 4 Level 3'!N65</f>
        <v>594.04</v>
      </c>
      <c r="G66" s="1537">
        <f t="shared" si="12"/>
        <v>0</v>
      </c>
      <c r="H66" s="1537">
        <f t="shared" si="13"/>
        <v>0</v>
      </c>
      <c r="I66" s="1060">
        <f t="shared" si="14"/>
        <v>0</v>
      </c>
      <c r="J66" s="1005">
        <f>'Table 3 Levels 1&amp;2'!CB68</f>
        <v>3359.72</v>
      </c>
      <c r="K66" s="1081">
        <f t="shared" si="19"/>
        <v>0</v>
      </c>
      <c r="L66" s="1081">
        <f t="shared" si="15"/>
        <v>0</v>
      </c>
      <c r="M66" s="1089">
        <f t="shared" si="16"/>
        <v>0</v>
      </c>
      <c r="N66" s="1089">
        <f t="shared" si="17"/>
        <v>0</v>
      </c>
      <c r="O66" s="971"/>
    </row>
    <row r="67" spans="1:17">
      <c r="A67" s="987">
        <v>61</v>
      </c>
      <c r="B67" s="988" t="s">
        <v>154</v>
      </c>
      <c r="C67" s="1006">
        <f>'[2]ALL-Reformatted'!Z66</f>
        <v>0</v>
      </c>
      <c r="D67" s="1007">
        <f>'Table 3 Levels 1&amp;2'!BN69+'Table 3 Levels 1&amp;2'!BV69</f>
        <v>2872.7719101339244</v>
      </c>
      <c r="E67" s="1061">
        <f t="shared" si="18"/>
        <v>0</v>
      </c>
      <c r="F67" s="1061">
        <f>'Table 4 Level 3'!N66</f>
        <v>833.70999999999992</v>
      </c>
      <c r="G67" s="1061">
        <f t="shared" si="12"/>
        <v>0</v>
      </c>
      <c r="H67" s="1061">
        <f t="shared" si="13"/>
        <v>0</v>
      </c>
      <c r="I67" s="1061">
        <f t="shared" si="14"/>
        <v>0</v>
      </c>
      <c r="J67" s="1007">
        <f>'Table 3 Levels 1&amp;2'!CB69</f>
        <v>4930.3500000000004</v>
      </c>
      <c r="K67" s="1082">
        <f t="shared" si="19"/>
        <v>0</v>
      </c>
      <c r="L67" s="1082">
        <f t="shared" si="15"/>
        <v>0</v>
      </c>
      <c r="M67" s="1090">
        <f t="shared" si="16"/>
        <v>0</v>
      </c>
      <c r="N67" s="1090">
        <f t="shared" si="17"/>
        <v>0</v>
      </c>
      <c r="O67" s="971"/>
    </row>
    <row r="68" spans="1:17">
      <c r="A68" s="994">
        <v>62</v>
      </c>
      <c r="B68" s="995" t="s">
        <v>155</v>
      </c>
      <c r="C68" s="1002">
        <f>'[2]ALL-Reformatted'!Z67</f>
        <v>0</v>
      </c>
      <c r="D68" s="1003">
        <f>'Table 3 Levels 1&amp;2'!BN70+'Table 3 Levels 1&amp;2'!BV70</f>
        <v>5594.25143978908</v>
      </c>
      <c r="E68" s="1059">
        <f t="shared" si="18"/>
        <v>0</v>
      </c>
      <c r="F68" s="1536">
        <f>'Table 4 Level 3'!N67</f>
        <v>516.08000000000004</v>
      </c>
      <c r="G68" s="1536">
        <f t="shared" si="12"/>
        <v>0</v>
      </c>
      <c r="H68" s="1536">
        <f t="shared" si="13"/>
        <v>0</v>
      </c>
      <c r="I68" s="1059">
        <f t="shared" si="14"/>
        <v>0</v>
      </c>
      <c r="J68" s="1003">
        <f>'Table 3 Levels 1&amp;2'!CB70</f>
        <v>1801.5</v>
      </c>
      <c r="K68" s="1080">
        <f t="shared" si="19"/>
        <v>0</v>
      </c>
      <c r="L68" s="1080">
        <f t="shared" si="15"/>
        <v>0</v>
      </c>
      <c r="M68" s="1088">
        <f t="shared" si="16"/>
        <v>0</v>
      </c>
      <c r="N68" s="1088">
        <f t="shared" si="17"/>
        <v>0</v>
      </c>
      <c r="O68" s="971"/>
    </row>
    <row r="69" spans="1:17">
      <c r="A69" s="994">
        <v>63</v>
      </c>
      <c r="B69" s="995" t="s">
        <v>156</v>
      </c>
      <c r="C69" s="1002">
        <f>'[2]ALL-Reformatted'!Z68</f>
        <v>0</v>
      </c>
      <c r="D69" s="1003">
        <f>'Table 3 Levels 1&amp;2'!BN71+'Table 3 Levels 1&amp;2'!BV71</f>
        <v>4318.8609300898834</v>
      </c>
      <c r="E69" s="1059">
        <f t="shared" si="18"/>
        <v>0</v>
      </c>
      <c r="F69" s="1536">
        <f>'Table 4 Level 3'!N68</f>
        <v>756.79</v>
      </c>
      <c r="G69" s="1536">
        <f t="shared" si="12"/>
        <v>0</v>
      </c>
      <c r="H69" s="1536">
        <f t="shared" si="13"/>
        <v>0</v>
      </c>
      <c r="I69" s="1059">
        <f t="shared" si="14"/>
        <v>0</v>
      </c>
      <c r="J69" s="1003">
        <f>'Table 3 Levels 1&amp;2'!CB71</f>
        <v>4982.8599999999997</v>
      </c>
      <c r="K69" s="1080">
        <f t="shared" si="19"/>
        <v>0</v>
      </c>
      <c r="L69" s="1080">
        <f t="shared" si="15"/>
        <v>0</v>
      </c>
      <c r="M69" s="1088">
        <f t="shared" si="16"/>
        <v>0</v>
      </c>
      <c r="N69" s="1088">
        <f t="shared" si="17"/>
        <v>0</v>
      </c>
      <c r="O69" s="971"/>
    </row>
    <row r="70" spans="1:17">
      <c r="A70" s="994">
        <v>64</v>
      </c>
      <c r="B70" s="995" t="s">
        <v>157</v>
      </c>
      <c r="C70" s="1002">
        <f>'[2]ALL-Reformatted'!Z69</f>
        <v>0</v>
      </c>
      <c r="D70" s="1003">
        <f>'Table 3 Levels 1&amp;2'!BN72+'Table 3 Levels 1&amp;2'!BV72</f>
        <v>5921.7418933384488</v>
      </c>
      <c r="E70" s="1059">
        <f t="shared" si="18"/>
        <v>0</v>
      </c>
      <c r="F70" s="1536">
        <f>'Table 4 Level 3'!N69</f>
        <v>592.66</v>
      </c>
      <c r="G70" s="1536">
        <f t="shared" si="12"/>
        <v>0</v>
      </c>
      <c r="H70" s="1536">
        <f t="shared" si="13"/>
        <v>0</v>
      </c>
      <c r="I70" s="1059">
        <f t="shared" si="14"/>
        <v>0</v>
      </c>
      <c r="J70" s="1003">
        <f>'Table 3 Levels 1&amp;2'!CB72</f>
        <v>2874.09</v>
      </c>
      <c r="K70" s="1080">
        <f t="shared" si="19"/>
        <v>0</v>
      </c>
      <c r="L70" s="1080">
        <f t="shared" si="15"/>
        <v>0</v>
      </c>
      <c r="M70" s="1088">
        <f t="shared" si="16"/>
        <v>0</v>
      </c>
      <c r="N70" s="1088">
        <f t="shared" si="17"/>
        <v>0</v>
      </c>
      <c r="O70" s="971"/>
    </row>
    <row r="71" spans="1:17">
      <c r="A71" s="998">
        <v>65</v>
      </c>
      <c r="B71" s="999" t="s">
        <v>158</v>
      </c>
      <c r="C71" s="1004">
        <f>'[2]ALL-Reformatted'!Z70</f>
        <v>0</v>
      </c>
      <c r="D71" s="1005">
        <f>'Table 3 Levels 1&amp;2'!BN73+'Table 3 Levels 1&amp;2'!BV73</f>
        <v>4578.9201269671275</v>
      </c>
      <c r="E71" s="1060">
        <f t="shared" ref="E71:E75" si="20">D71*C71</f>
        <v>0</v>
      </c>
      <c r="F71" s="1537">
        <f>'Table 4 Level 3'!N70</f>
        <v>829.12</v>
      </c>
      <c r="G71" s="1537">
        <f t="shared" si="12"/>
        <v>0</v>
      </c>
      <c r="H71" s="1537">
        <f t="shared" si="13"/>
        <v>0</v>
      </c>
      <c r="I71" s="1060">
        <f t="shared" si="14"/>
        <v>0</v>
      </c>
      <c r="J71" s="1005">
        <f>'Table 3 Levels 1&amp;2'!CB73</f>
        <v>3892.27</v>
      </c>
      <c r="K71" s="1081">
        <f t="shared" ref="K71:K75" si="21">J71*C71</f>
        <v>0</v>
      </c>
      <c r="L71" s="1081">
        <f t="shared" si="15"/>
        <v>0</v>
      </c>
      <c r="M71" s="1089">
        <f t="shared" si="16"/>
        <v>0</v>
      </c>
      <c r="N71" s="1089">
        <f t="shared" si="17"/>
        <v>0</v>
      </c>
      <c r="O71" s="971"/>
    </row>
    <row r="72" spans="1:17">
      <c r="A72" s="987">
        <v>66</v>
      </c>
      <c r="B72" s="988" t="s">
        <v>159</v>
      </c>
      <c r="C72" s="1006">
        <f>'[2]ALL-Reformatted'!Z71</f>
        <v>0</v>
      </c>
      <c r="D72" s="1007">
        <f>'Table 3 Levels 1&amp;2'!BN74+'Table 3 Levels 1&amp;2'!BV74</f>
        <v>6340.8763293271122</v>
      </c>
      <c r="E72" s="1061">
        <f t="shared" si="20"/>
        <v>0</v>
      </c>
      <c r="F72" s="1061">
        <f>'Table 4 Level 3'!N71</f>
        <v>730.06</v>
      </c>
      <c r="G72" s="1061">
        <f t="shared" ref="G72:G75" si="22">C72*F72</f>
        <v>0</v>
      </c>
      <c r="H72" s="1061">
        <f t="shared" ref="H72:H75" si="23">E72+G72</f>
        <v>0</v>
      </c>
      <c r="I72" s="1061">
        <f t="shared" ref="I72:I75" si="24">ROUND(H72/12,0)</f>
        <v>0</v>
      </c>
      <c r="J72" s="1007">
        <f>'Table 3 Levels 1&amp;2'!CB74</f>
        <v>3657.95</v>
      </c>
      <c r="K72" s="1082">
        <f t="shared" si="21"/>
        <v>0</v>
      </c>
      <c r="L72" s="1082">
        <f t="shared" ref="L72:L75" si="25">ROUND(K72/12,0)</f>
        <v>0</v>
      </c>
      <c r="M72" s="1090">
        <f t="shared" ref="M72:M75" si="26">K72+H72</f>
        <v>0</v>
      </c>
      <c r="N72" s="1090">
        <f t="shared" ref="N72:N75" si="27">I72+L72</f>
        <v>0</v>
      </c>
      <c r="O72" s="971"/>
    </row>
    <row r="73" spans="1:17">
      <c r="A73" s="994">
        <v>67</v>
      </c>
      <c r="B73" s="995" t="s">
        <v>32</v>
      </c>
      <c r="C73" s="1002">
        <f>'[2]ALL-Reformatted'!Z72</f>
        <v>0</v>
      </c>
      <c r="D73" s="1003">
        <f>'Table 3 Levels 1&amp;2'!BN75+'Table 3 Levels 1&amp;2'!BV75</f>
        <v>4984.1100297034172</v>
      </c>
      <c r="E73" s="1059">
        <f t="shared" si="20"/>
        <v>0</v>
      </c>
      <c r="F73" s="1536">
        <f>'Table 4 Level 3'!N72</f>
        <v>715.61</v>
      </c>
      <c r="G73" s="1536">
        <f t="shared" si="22"/>
        <v>0</v>
      </c>
      <c r="H73" s="1536">
        <f t="shared" si="23"/>
        <v>0</v>
      </c>
      <c r="I73" s="1059">
        <f t="shared" si="24"/>
        <v>0</v>
      </c>
      <c r="J73" s="1003">
        <f>'Table 3 Levels 1&amp;2'!CB75</f>
        <v>3236.92</v>
      </c>
      <c r="K73" s="1080">
        <f t="shared" si="21"/>
        <v>0</v>
      </c>
      <c r="L73" s="1080">
        <f t="shared" si="25"/>
        <v>0</v>
      </c>
      <c r="M73" s="1088">
        <f t="shared" si="26"/>
        <v>0</v>
      </c>
      <c r="N73" s="1088">
        <f t="shared" si="27"/>
        <v>0</v>
      </c>
      <c r="O73" s="971"/>
    </row>
    <row r="74" spans="1:17">
      <c r="A74" s="994">
        <v>68</v>
      </c>
      <c r="B74" s="995" t="s">
        <v>30</v>
      </c>
      <c r="C74" s="1002">
        <f>'[2]ALL-Reformatted'!Z73</f>
        <v>0</v>
      </c>
      <c r="D74" s="1003">
        <f>'Table 3 Levels 1&amp;2'!BN76+'Table 3 Levels 1&amp;2'!BV76</f>
        <v>6012.7854305239725</v>
      </c>
      <c r="E74" s="1059">
        <f t="shared" si="20"/>
        <v>0</v>
      </c>
      <c r="F74" s="1536">
        <f>'Table 4 Level 3'!N73</f>
        <v>798.7</v>
      </c>
      <c r="G74" s="1536">
        <f t="shared" si="22"/>
        <v>0</v>
      </c>
      <c r="H74" s="1536">
        <f t="shared" si="23"/>
        <v>0</v>
      </c>
      <c r="I74" s="1059">
        <f t="shared" si="24"/>
        <v>0</v>
      </c>
      <c r="J74" s="1003">
        <f>'Table 3 Levels 1&amp;2'!CB76</f>
        <v>2776.55</v>
      </c>
      <c r="K74" s="1080">
        <f t="shared" si="21"/>
        <v>0</v>
      </c>
      <c r="L74" s="1080">
        <f t="shared" si="25"/>
        <v>0</v>
      </c>
      <c r="M74" s="1088">
        <f t="shared" si="26"/>
        <v>0</v>
      </c>
      <c r="N74" s="1088">
        <f t="shared" si="27"/>
        <v>0</v>
      </c>
      <c r="O74" s="971"/>
    </row>
    <row r="75" spans="1:17">
      <c r="A75" s="1008">
        <v>69</v>
      </c>
      <c r="B75" s="1009" t="s">
        <v>213</v>
      </c>
      <c r="C75" s="1010">
        <f>'[2]ALL-Reformatted'!Z74</f>
        <v>0</v>
      </c>
      <c r="D75" s="1011">
        <f>'Table 3 Levels 1&amp;2'!BN77+'Table 3 Levels 1&amp;2'!BV77</f>
        <v>5559.7139008686299</v>
      </c>
      <c r="E75" s="1062">
        <f t="shared" si="20"/>
        <v>0</v>
      </c>
      <c r="F75" s="1538">
        <f>'Table 4 Level 3'!N74</f>
        <v>705.67</v>
      </c>
      <c r="G75" s="1538">
        <f t="shared" si="22"/>
        <v>0</v>
      </c>
      <c r="H75" s="1538">
        <f t="shared" si="23"/>
        <v>0</v>
      </c>
      <c r="I75" s="1062">
        <f t="shared" si="24"/>
        <v>0</v>
      </c>
      <c r="J75" s="1011">
        <f>'Table 3 Levels 1&amp;2'!CB77</f>
        <v>2845.27</v>
      </c>
      <c r="K75" s="1083">
        <f t="shared" si="21"/>
        <v>0</v>
      </c>
      <c r="L75" s="1083">
        <f t="shared" si="25"/>
        <v>0</v>
      </c>
      <c r="M75" s="1091">
        <f t="shared" si="26"/>
        <v>0</v>
      </c>
      <c r="N75" s="1091">
        <f t="shared" si="27"/>
        <v>0</v>
      </c>
      <c r="O75" s="971"/>
    </row>
    <row r="76" spans="1:17" s="1019" customFormat="1" ht="13.5" thickBot="1">
      <c r="A76" s="1012"/>
      <c r="B76" s="1013" t="s">
        <v>160</v>
      </c>
      <c r="C76" s="1014">
        <f>SUM(C7:C75)</f>
        <v>114</v>
      </c>
      <c r="D76" s="1015"/>
      <c r="E76" s="1016">
        <f>SUM(E7:E75)</f>
        <v>426553.18396748049</v>
      </c>
      <c r="F76" s="1539">
        <f>'Table 4 Level 3'!N75</f>
        <v>703.90028204588873</v>
      </c>
      <c r="G76" s="1539">
        <f>SUM(G7:G75)</f>
        <v>85358.022426857191</v>
      </c>
      <c r="H76" s="1539">
        <f>SUM(H7:H75)</f>
        <v>511911.20639433758</v>
      </c>
      <c r="I76" s="1016">
        <f>SUM(I7:I75)</f>
        <v>42658</v>
      </c>
      <c r="J76" s="1015"/>
      <c r="K76" s="1084">
        <f>SUM(K7:K75)</f>
        <v>478542.97</v>
      </c>
      <c r="L76" s="1084">
        <f>SUM(L7:L75)</f>
        <v>39878</v>
      </c>
      <c r="M76" s="1092">
        <f>SUM(M7:M75)</f>
        <v>990454.17639433767</v>
      </c>
      <c r="N76" s="1092">
        <f t="shared" ref="N76" si="28">SUM(N7:N75)</f>
        <v>82536</v>
      </c>
    </row>
    <row r="77" spans="1:17" s="1019" customFormat="1" ht="13.5" thickTop="1">
      <c r="A77" s="1020"/>
      <c r="B77" s="1020"/>
      <c r="C77" s="1021"/>
      <c r="D77" s="1021"/>
      <c r="E77" s="1021"/>
      <c r="F77" s="1021"/>
      <c r="G77" s="1021"/>
      <c r="H77" s="1021"/>
      <c r="I77" s="1021"/>
      <c r="K77" s="1047"/>
      <c r="L77" s="1047"/>
      <c r="M77" s="1023"/>
      <c r="N77" s="1023"/>
      <c r="O77" s="1023"/>
    </row>
    <row r="78" spans="1:17" ht="12.75" customHeight="1">
      <c r="A78" s="1025"/>
      <c r="C78" s="1026"/>
      <c r="K78" s="1048"/>
      <c r="L78" s="1048"/>
      <c r="P78" s="1046"/>
      <c r="Q78" s="1046"/>
    </row>
    <row r="79" spans="1:17" ht="12.75" hidden="1" customHeight="1"/>
    <row r="80" spans="1:17" hidden="1"/>
    <row r="81" spans="3:12" hidden="1"/>
    <row r="82" spans="3:12" hidden="1"/>
    <row r="83" spans="3:12" hidden="1">
      <c r="J83" s="1027" t="s">
        <v>373</v>
      </c>
      <c r="K83" s="1027"/>
      <c r="L83" s="1027"/>
    </row>
    <row r="84" spans="3:12" ht="10.5" hidden="1" customHeight="1"/>
    <row r="85" spans="3:12" hidden="1"/>
    <row r="86" spans="3:12" hidden="1">
      <c r="C86" s="1029">
        <v>85661</v>
      </c>
      <c r="D86" s="1030" t="s">
        <v>374</v>
      </c>
      <c r="E86" s="1030"/>
      <c r="F86" s="1030"/>
      <c r="G86" s="1030"/>
      <c r="H86" s="1030"/>
      <c r="I86" s="1030"/>
    </row>
    <row r="87" spans="3:12" hidden="1">
      <c r="C87" s="1029">
        <v>650290</v>
      </c>
      <c r="D87" s="1030" t="s">
        <v>375</v>
      </c>
      <c r="E87" s="1030"/>
      <c r="F87" s="1030"/>
      <c r="G87" s="1030"/>
      <c r="H87" s="1030"/>
      <c r="I87" s="1030"/>
    </row>
    <row r="88" spans="3:12" hidden="1">
      <c r="C88" s="1031">
        <f>C86/C87</f>
        <v>0.13172738316750987</v>
      </c>
      <c r="D88" s="1030" t="s">
        <v>376</v>
      </c>
      <c r="E88" s="1030"/>
      <c r="F88" s="1030"/>
      <c r="G88" s="1030"/>
      <c r="H88" s="1030"/>
      <c r="I88" s="1030"/>
    </row>
    <row r="89" spans="3:12" hidden="1">
      <c r="C89" s="1029"/>
      <c r="D89" s="1030"/>
      <c r="E89" s="1030"/>
      <c r="F89" s="1030"/>
      <c r="G89" s="1030"/>
      <c r="H89" s="1030"/>
      <c r="I89" s="1030"/>
    </row>
    <row r="90" spans="3:12" hidden="1">
      <c r="C90" s="1029">
        <v>128510</v>
      </c>
      <c r="D90" s="1030" t="s">
        <v>377</v>
      </c>
      <c r="E90" s="1030"/>
      <c r="F90" s="1030"/>
      <c r="G90" s="1030"/>
      <c r="H90" s="1030"/>
      <c r="I90" s="1030"/>
    </row>
    <row r="91" spans="3:12" hidden="1">
      <c r="C91" s="1029">
        <v>911320</v>
      </c>
      <c r="D91" s="1030" t="s">
        <v>378</v>
      </c>
      <c r="E91" s="1030"/>
      <c r="F91" s="1030"/>
      <c r="G91" s="1030"/>
      <c r="H91" s="1030"/>
      <c r="I91" s="1030"/>
    </row>
    <row r="92" spans="3:12" hidden="1">
      <c r="C92" s="1031">
        <f>C90/C91</f>
        <v>0.14101523065443533</v>
      </c>
      <c r="D92" s="1030" t="s">
        <v>379</v>
      </c>
      <c r="E92" s="1030"/>
      <c r="F92" s="1030"/>
      <c r="G92" s="1030"/>
      <c r="H92" s="1030"/>
      <c r="I92" s="1030"/>
    </row>
    <row r="93" spans="3:12" hidden="1">
      <c r="C93" s="1029"/>
      <c r="D93" s="1030"/>
      <c r="E93" s="1030"/>
      <c r="F93" s="1030"/>
      <c r="G93" s="1030"/>
      <c r="H93" s="1030"/>
      <c r="I93" s="1030"/>
    </row>
    <row r="94" spans="3:12" hidden="1">
      <c r="C94" s="1032">
        <v>2663489616</v>
      </c>
      <c r="D94" s="1033" t="s">
        <v>380</v>
      </c>
      <c r="E94" s="1033"/>
      <c r="F94" s="1033"/>
      <c r="G94" s="1033"/>
      <c r="H94" s="1033"/>
      <c r="I94" s="1033"/>
    </row>
    <row r="95" spans="3:12" hidden="1">
      <c r="C95" s="1034">
        <f>C92</f>
        <v>0.14101523065443533</v>
      </c>
      <c r="D95" s="1033"/>
      <c r="E95" s="1033"/>
      <c r="F95" s="1033"/>
      <c r="G95" s="1033"/>
      <c r="H95" s="1033"/>
      <c r="I95" s="1033"/>
    </row>
    <row r="96" spans="3:12" hidden="1">
      <c r="C96" s="1035">
        <f>C94*C95</f>
        <v>375592602.54593337</v>
      </c>
      <c r="D96" s="1030" t="s">
        <v>381</v>
      </c>
      <c r="E96" s="1030"/>
      <c r="F96" s="1030"/>
      <c r="G96" s="1030"/>
      <c r="H96" s="1030"/>
      <c r="I96" s="1030"/>
    </row>
    <row r="97" spans="3:9" hidden="1">
      <c r="C97" s="1036">
        <f>50%/C92</f>
        <v>3.5457162866702978</v>
      </c>
      <c r="D97" s="1033" t="s">
        <v>382</v>
      </c>
      <c r="E97" s="1033"/>
      <c r="F97" s="1033"/>
      <c r="G97" s="1033"/>
      <c r="H97" s="1033"/>
      <c r="I97" s="1033"/>
    </row>
    <row r="98" spans="3:9" hidden="1">
      <c r="C98" s="1035">
        <f>C96*C97</f>
        <v>1331744808</v>
      </c>
      <c r="D98" s="1037" t="s">
        <v>383</v>
      </c>
      <c r="E98" s="1037"/>
      <c r="F98" s="1037"/>
      <c r="G98" s="1037"/>
      <c r="H98" s="1037"/>
      <c r="I98" s="1037"/>
    </row>
    <row r="99" spans="3:9" hidden="1">
      <c r="C99" s="1038">
        <f>C87</f>
        <v>650290</v>
      </c>
      <c r="D99" s="1033" t="s">
        <v>384</v>
      </c>
      <c r="E99" s="1033"/>
      <c r="F99" s="1033"/>
      <c r="G99" s="1033"/>
      <c r="H99" s="1033"/>
      <c r="I99" s="1033"/>
    </row>
    <row r="100" spans="3:9" hidden="1">
      <c r="C100" s="1035">
        <f>C98/C99</f>
        <v>2047.9244767719017</v>
      </c>
      <c r="D100" s="1033" t="s">
        <v>385</v>
      </c>
      <c r="E100" s="1033"/>
      <c r="F100" s="1033"/>
      <c r="G100" s="1033"/>
      <c r="H100" s="1033"/>
      <c r="I100" s="1033"/>
    </row>
    <row r="101" spans="3:9" hidden="1">
      <c r="C101" s="1039">
        <f>(C96/C99)*-1</f>
        <v>-577.57708490970697</v>
      </c>
      <c r="D101" s="1033" t="s">
        <v>386</v>
      </c>
      <c r="E101" s="1033"/>
      <c r="F101" s="1033"/>
      <c r="G101" s="1033"/>
      <c r="H101" s="1033"/>
      <c r="I101" s="1033"/>
    </row>
    <row r="102" spans="3:9" hidden="1">
      <c r="C102" s="1040">
        <f>SUM(C100:C101)</f>
        <v>1470.3473918621949</v>
      </c>
      <c r="D102" s="1033" t="s">
        <v>387</v>
      </c>
      <c r="E102" s="1033"/>
      <c r="F102" s="1033"/>
      <c r="G102" s="1033"/>
      <c r="H102" s="1033"/>
      <c r="I102" s="1033"/>
    </row>
    <row r="103" spans="3:9" hidden="1">
      <c r="C103" s="1040"/>
      <c r="D103" s="1033"/>
      <c r="E103" s="1033"/>
      <c r="F103" s="1033"/>
      <c r="G103" s="1033"/>
      <c r="H103" s="1033"/>
      <c r="I103" s="1033"/>
    </row>
    <row r="104" spans="3:9" hidden="1">
      <c r="C104" s="1040"/>
      <c r="D104" s="1033"/>
      <c r="E104" s="1033"/>
      <c r="F104" s="1033"/>
      <c r="G104" s="1033"/>
      <c r="H104" s="1033"/>
      <c r="I104" s="1033"/>
    </row>
    <row r="105" spans="3:9" hidden="1">
      <c r="D105" s="1033"/>
      <c r="E105" s="1033"/>
      <c r="F105" s="1033"/>
      <c r="G105" s="1033"/>
      <c r="H105" s="1033"/>
      <c r="I105" s="1033"/>
    </row>
    <row r="106" spans="3:9" hidden="1"/>
  </sheetData>
  <mergeCells count="15">
    <mergeCell ref="M2:M4"/>
    <mergeCell ref="N2:N4"/>
    <mergeCell ref="K3:K4"/>
    <mergeCell ref="C2:I2"/>
    <mergeCell ref="J2:L2"/>
    <mergeCell ref="I3:I4"/>
    <mergeCell ref="L3:L4"/>
    <mergeCell ref="A2:B4"/>
    <mergeCell ref="C3:C4"/>
    <mergeCell ref="D3:D4"/>
    <mergeCell ref="E3:E4"/>
    <mergeCell ref="J3:J4"/>
    <mergeCell ref="F3:F4"/>
    <mergeCell ref="G3:G4"/>
    <mergeCell ref="H3:H4"/>
  </mergeCells>
  <printOptions horizontalCentered="1"/>
  <pageMargins left="0.27" right="0.25" top="0.87" bottom="0.2" header="0.25" footer="0.2"/>
  <pageSetup paperSize="5" scale="83" firstPageNumber="47" fitToWidth="3" orientation="portrait" useFirstPageNumber="1" r:id="rId1"/>
  <headerFooter alignWithMargins="0">
    <oddHeader xml:space="preserve">&amp;L&amp;"Arial,Bold"&amp;16Table 5A3:  FY2013-14 MFP Budget Letter (Projection)
New Orleans Center for Creative Arts (&amp;14NOCCA) &amp;R&amp;"Arial,Bold"&amp;12&amp;KFF0000
</oddHeader>
    <oddFooter>&amp;R&amp;P</oddFooter>
  </headerFooter>
  <colBreaks count="1" manualBreakCount="1">
    <brk id="9" min="1" max="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FG106"/>
  <sheetViews>
    <sheetView view="pageBreakPreview" zoomScale="90" zoomScaleNormal="100" zoomScaleSheetLayoutView="90" workbookViewId="0">
      <pane xSplit="2" ySplit="6" topLeftCell="C7" activePane="bottomRight" state="frozen"/>
      <selection activeCell="B3" sqref="B3:B5"/>
      <selection pane="topRight" activeCell="B3" sqref="B3:B5"/>
      <selection pane="bottomLeft" activeCell="B3" sqref="B3:B5"/>
      <selection pane="bottomRight" activeCell="A2" sqref="A2:B4"/>
    </sheetView>
  </sheetViews>
  <sheetFormatPr defaultColWidth="12.5703125" defaultRowHeight="12.75"/>
  <cols>
    <col min="1" max="1" width="3.85546875" style="971" customWidth="1"/>
    <col min="2" max="2" width="17.5703125" style="971" customWidth="1"/>
    <col min="3" max="3" width="13.5703125" style="974" customWidth="1"/>
    <col min="4" max="4" width="15.5703125" style="974" customWidth="1"/>
    <col min="5" max="8" width="12.85546875" style="975" customWidth="1"/>
    <col min="9" max="9" width="10.42578125" style="974" customWidth="1"/>
    <col min="10" max="10" width="15.85546875" style="1049" customWidth="1"/>
    <col min="11" max="11" width="13.7109375" style="974" bestFit="1" customWidth="1"/>
    <col min="12" max="12" width="10.85546875" style="974" bestFit="1" customWidth="1"/>
    <col min="13" max="14" width="12.5703125" style="971" customWidth="1"/>
    <col min="15" max="16384" width="12.5703125" style="971"/>
  </cols>
  <sheetData>
    <row r="1" spans="1:163" ht="9" customHeight="1">
      <c r="B1" s="972"/>
      <c r="C1" s="973"/>
      <c r="D1" s="973"/>
    </row>
    <row r="2" spans="1:163" s="976" customFormat="1" ht="39.75" customHeight="1">
      <c r="A2" s="2000" t="s">
        <v>522</v>
      </c>
      <c r="B2" s="2001"/>
      <c r="C2" s="2017"/>
      <c r="D2" s="2017"/>
      <c r="E2" s="2017"/>
      <c r="F2" s="2017"/>
      <c r="G2" s="2017"/>
      <c r="H2" s="2017"/>
      <c r="I2" s="2018"/>
      <c r="J2" s="1992" t="s">
        <v>1357</v>
      </c>
      <c r="K2" s="1993"/>
      <c r="L2" s="1994"/>
      <c r="M2" s="1995" t="s">
        <v>1354</v>
      </c>
      <c r="N2" s="1995" t="s">
        <v>1355</v>
      </c>
    </row>
    <row r="3" spans="1:163" ht="81.75" customHeight="1">
      <c r="A3" s="2002"/>
      <c r="B3" s="2003"/>
      <c r="C3" s="2006" t="s">
        <v>1175</v>
      </c>
      <c r="D3" s="2008" t="s">
        <v>1358</v>
      </c>
      <c r="E3" s="2006" t="s">
        <v>1350</v>
      </c>
      <c r="F3" s="2006" t="s">
        <v>1215</v>
      </c>
      <c r="G3" s="2006" t="s">
        <v>521</v>
      </c>
      <c r="H3" s="2006" t="s">
        <v>1351</v>
      </c>
      <c r="I3" s="2008" t="s">
        <v>1356</v>
      </c>
      <c r="J3" s="2009" t="s">
        <v>1347</v>
      </c>
      <c r="K3" s="2019" t="s">
        <v>1353</v>
      </c>
      <c r="L3" s="2019" t="s">
        <v>1352</v>
      </c>
      <c r="M3" s="1996"/>
      <c r="N3" s="1996"/>
    </row>
    <row r="4" spans="1:163" ht="33" customHeight="1">
      <c r="A4" s="2004"/>
      <c r="B4" s="2005"/>
      <c r="C4" s="2007"/>
      <c r="D4" s="2008"/>
      <c r="E4" s="2007"/>
      <c r="F4" s="2007"/>
      <c r="G4" s="2007"/>
      <c r="H4" s="2007"/>
      <c r="I4" s="2008"/>
      <c r="J4" s="2010"/>
      <c r="K4" s="1999"/>
      <c r="L4" s="1999"/>
      <c r="M4" s="1997"/>
      <c r="N4" s="1997"/>
    </row>
    <row r="5" spans="1:163" s="981" customFormat="1" ht="14.25" customHeight="1">
      <c r="A5" s="978"/>
      <c r="B5" s="979"/>
      <c r="C5" s="980">
        <v>1</v>
      </c>
      <c r="D5" s="980">
        <f t="shared" ref="D5:N5" si="0">1+C5</f>
        <v>2</v>
      </c>
      <c r="E5" s="980">
        <f t="shared" si="0"/>
        <v>3</v>
      </c>
      <c r="F5" s="980">
        <f t="shared" si="0"/>
        <v>4</v>
      </c>
      <c r="G5" s="980">
        <f t="shared" si="0"/>
        <v>5</v>
      </c>
      <c r="H5" s="980">
        <f t="shared" si="0"/>
        <v>6</v>
      </c>
      <c r="I5" s="980">
        <f t="shared" si="0"/>
        <v>7</v>
      </c>
      <c r="J5" s="980">
        <f t="shared" si="0"/>
        <v>8</v>
      </c>
      <c r="K5" s="980">
        <f t="shared" si="0"/>
        <v>9</v>
      </c>
      <c r="L5" s="980">
        <f t="shared" si="0"/>
        <v>10</v>
      </c>
      <c r="M5" s="980">
        <f t="shared" si="0"/>
        <v>11</v>
      </c>
      <c r="N5" s="980">
        <f t="shared" si="0"/>
        <v>12</v>
      </c>
    </row>
    <row r="6" spans="1:163" s="986" customFormat="1" ht="27" customHeight="1">
      <c r="A6" s="982"/>
      <c r="B6" s="983"/>
      <c r="C6" s="984"/>
      <c r="D6" s="985" t="s">
        <v>363</v>
      </c>
      <c r="E6" s="985" t="s">
        <v>631</v>
      </c>
      <c r="F6" s="985" t="s">
        <v>367</v>
      </c>
      <c r="G6" s="985" t="s">
        <v>632</v>
      </c>
      <c r="H6" s="985" t="s">
        <v>633</v>
      </c>
      <c r="I6" s="984" t="s">
        <v>634</v>
      </c>
      <c r="J6" s="1050" t="s">
        <v>363</v>
      </c>
      <c r="K6" s="985" t="s">
        <v>635</v>
      </c>
      <c r="L6" s="985" t="s">
        <v>537</v>
      </c>
      <c r="M6" s="985" t="s">
        <v>506</v>
      </c>
      <c r="N6" s="985" t="s">
        <v>636</v>
      </c>
      <c r="O6" s="1801"/>
      <c r="P6" s="1802"/>
      <c r="Q6" s="1802"/>
      <c r="R6" s="1802"/>
      <c r="S6" s="1802"/>
      <c r="T6" s="1802"/>
      <c r="U6" s="1802"/>
      <c r="V6" s="1802"/>
      <c r="W6" s="1802"/>
      <c r="X6" s="1802"/>
      <c r="Y6" s="1802"/>
      <c r="Z6" s="1802"/>
      <c r="AA6" s="1802"/>
      <c r="AB6" s="1802"/>
      <c r="AC6" s="1802"/>
      <c r="AD6" s="1802"/>
      <c r="AE6" s="1802"/>
      <c r="AF6" s="1802"/>
      <c r="AG6" s="1802"/>
      <c r="AH6" s="1802"/>
      <c r="AI6" s="1802"/>
      <c r="AJ6" s="1802"/>
      <c r="AK6" s="1802"/>
      <c r="AL6" s="1802"/>
      <c r="AM6" s="1802"/>
      <c r="AN6" s="1802"/>
      <c r="AO6" s="1802"/>
      <c r="AP6" s="1802"/>
      <c r="AQ6" s="1802"/>
      <c r="AR6" s="1802"/>
      <c r="AS6" s="1802"/>
      <c r="AT6" s="1802"/>
      <c r="AU6" s="1802"/>
      <c r="AV6" s="1802"/>
      <c r="AW6" s="1802"/>
      <c r="AX6" s="1802"/>
      <c r="AY6" s="1802"/>
      <c r="AZ6" s="1802"/>
      <c r="BA6" s="1802"/>
      <c r="BB6" s="1802"/>
      <c r="BC6" s="1802"/>
      <c r="BD6" s="1802"/>
      <c r="BE6" s="1802"/>
      <c r="BF6" s="1802"/>
      <c r="BG6" s="1802"/>
      <c r="BH6" s="1802"/>
      <c r="BI6" s="1802"/>
      <c r="BJ6" s="1802"/>
      <c r="BK6" s="1802"/>
      <c r="BL6" s="1802"/>
      <c r="BM6" s="1802"/>
      <c r="BN6" s="1802"/>
      <c r="BO6" s="1802"/>
      <c r="BP6" s="1802"/>
      <c r="BQ6" s="1802"/>
      <c r="BR6" s="1802"/>
      <c r="BS6" s="1802"/>
      <c r="BT6" s="1802"/>
      <c r="BU6" s="1802"/>
      <c r="BV6" s="1802"/>
      <c r="BW6" s="1802"/>
      <c r="BX6" s="1802"/>
      <c r="BY6" s="1802"/>
      <c r="BZ6" s="1802"/>
      <c r="CA6" s="1802"/>
      <c r="CB6" s="1802"/>
      <c r="CC6" s="1802"/>
      <c r="CD6" s="1802"/>
      <c r="CE6" s="1802"/>
      <c r="CF6" s="1802"/>
      <c r="CG6" s="1802"/>
      <c r="CH6" s="1802"/>
      <c r="CI6" s="1802"/>
      <c r="CJ6" s="1802"/>
      <c r="CK6" s="1802"/>
      <c r="CL6" s="1802"/>
      <c r="CM6" s="1802"/>
      <c r="CN6" s="1802"/>
      <c r="CO6" s="1802"/>
      <c r="CP6" s="1802"/>
      <c r="CQ6" s="1802"/>
      <c r="CR6" s="1802"/>
      <c r="CS6" s="1802"/>
      <c r="CT6" s="1802"/>
      <c r="CU6" s="1802"/>
      <c r="CV6" s="1802"/>
      <c r="CW6" s="1802"/>
      <c r="CX6" s="1802"/>
      <c r="CY6" s="1802"/>
      <c r="CZ6" s="1802"/>
      <c r="DA6" s="1802"/>
      <c r="DB6" s="1802"/>
      <c r="DC6" s="1802"/>
      <c r="DD6" s="1802"/>
      <c r="DE6" s="1802"/>
      <c r="DF6" s="1802"/>
      <c r="DG6" s="1802"/>
      <c r="DH6" s="1802"/>
      <c r="DI6" s="1802"/>
      <c r="DJ6" s="1802"/>
      <c r="DK6" s="1802"/>
      <c r="DL6" s="1802"/>
      <c r="DM6" s="1802"/>
      <c r="DN6" s="1802"/>
      <c r="DO6" s="1802"/>
      <c r="DP6" s="1802"/>
      <c r="DQ6" s="1802"/>
      <c r="DR6" s="1802"/>
      <c r="DS6" s="1802"/>
      <c r="DT6" s="1802"/>
      <c r="DU6" s="1802"/>
      <c r="DV6" s="1802"/>
      <c r="DW6" s="1802"/>
      <c r="DX6" s="1802"/>
      <c r="DY6" s="1802"/>
      <c r="DZ6" s="1802"/>
      <c r="EA6" s="1802"/>
      <c r="EB6" s="1802"/>
      <c r="EC6" s="1802"/>
      <c r="ED6" s="1802"/>
      <c r="EE6" s="1802"/>
      <c r="EF6" s="1802"/>
      <c r="EG6" s="1802"/>
      <c r="EH6" s="1802"/>
      <c r="EI6" s="1802"/>
      <c r="EJ6" s="1802"/>
      <c r="EK6" s="1802"/>
      <c r="EL6" s="1802"/>
      <c r="EM6" s="1802"/>
      <c r="EN6" s="1802"/>
      <c r="EO6" s="1802"/>
      <c r="EP6" s="1802"/>
      <c r="EQ6" s="1802"/>
      <c r="ER6" s="1802"/>
      <c r="ES6" s="1802"/>
      <c r="ET6" s="1802"/>
      <c r="EU6" s="1802"/>
      <c r="EV6" s="1802"/>
      <c r="EW6" s="1802"/>
      <c r="EX6" s="1802"/>
      <c r="EY6" s="1802"/>
      <c r="EZ6" s="1802"/>
      <c r="FA6" s="1802"/>
      <c r="FB6" s="1802"/>
      <c r="FC6" s="1802"/>
      <c r="FD6" s="1802"/>
      <c r="FE6" s="1802"/>
      <c r="FF6" s="1802"/>
      <c r="FG6" s="1802"/>
    </row>
    <row r="7" spans="1:163">
      <c r="A7" s="987">
        <v>1</v>
      </c>
      <c r="B7" s="988" t="s">
        <v>95</v>
      </c>
      <c r="C7" s="1122">
        <f>'[2]ALL-Reformatted'!AA6</f>
        <v>2</v>
      </c>
      <c r="D7" s="990">
        <f>'Table 3 Levels 1&amp;2'!BN9+'Table 3 Levels 1&amp;2'!BV9</f>
        <v>4565.2108060165392</v>
      </c>
      <c r="E7" s="991">
        <f>C7*D7</f>
        <v>9130.4216120330784</v>
      </c>
      <c r="F7" s="991">
        <f>'Table 4 Level 3'!N6</f>
        <v>777.48</v>
      </c>
      <c r="G7" s="991">
        <f>F7*C7</f>
        <v>1554.96</v>
      </c>
      <c r="H7" s="991">
        <f>E7+G7</f>
        <v>10685.381612033078</v>
      </c>
      <c r="I7" s="991">
        <f>ROUND(H7/12,0)</f>
        <v>890</v>
      </c>
      <c r="J7" s="1051">
        <f>'Table 3 Levels 1&amp;2'!CB9</f>
        <v>2143.02</v>
      </c>
      <c r="K7" s="992">
        <f>C7*J7</f>
        <v>4286.04</v>
      </c>
      <c r="L7" s="992">
        <f>ROUND(K7/12,0)</f>
        <v>357</v>
      </c>
      <c r="M7" s="993">
        <f>H7+K7</f>
        <v>14971.421612033078</v>
      </c>
      <c r="N7" s="993">
        <f t="shared" ref="N7:N70" si="1">I7+L7</f>
        <v>1247</v>
      </c>
    </row>
    <row r="8" spans="1:163">
      <c r="A8" s="994">
        <v>2</v>
      </c>
      <c r="B8" s="995" t="s">
        <v>96</v>
      </c>
      <c r="C8" s="1123">
        <f>'[2]ALL-Reformatted'!AA7</f>
        <v>0</v>
      </c>
      <c r="D8" s="997">
        <f>'Table 3 Levels 1&amp;2'!BN10+'Table 3 Levels 1&amp;2'!BV10</f>
        <v>6132.0480322513831</v>
      </c>
      <c r="E8" s="1052">
        <f t="shared" ref="E8:E71" si="2">C8*D8</f>
        <v>0</v>
      </c>
      <c r="F8" s="1052">
        <f>'Table 4 Level 3'!N7</f>
        <v>842.32</v>
      </c>
      <c r="G8" s="1052">
        <f t="shared" ref="G8:G71" si="3">F8*C8</f>
        <v>0</v>
      </c>
      <c r="H8" s="1052">
        <f t="shared" ref="H8:H71" si="4">E8+G8</f>
        <v>0</v>
      </c>
      <c r="I8" s="1052">
        <f t="shared" ref="I8:I71" si="5">ROUND(H8/12,0)</f>
        <v>0</v>
      </c>
      <c r="J8" s="1051">
        <f>'Table 3 Levels 1&amp;2'!CB10</f>
        <v>2631.58</v>
      </c>
      <c r="K8" s="1053">
        <f t="shared" ref="K8:K71" si="6">C8*J8</f>
        <v>0</v>
      </c>
      <c r="L8" s="1053">
        <f t="shared" ref="L8:L71" si="7">ROUND(K8/12,0)</f>
        <v>0</v>
      </c>
      <c r="M8" s="1054">
        <f t="shared" ref="M8:M71" si="8">H8+K8</f>
        <v>0</v>
      </c>
      <c r="N8" s="1054">
        <f t="shared" si="1"/>
        <v>0</v>
      </c>
    </row>
    <row r="9" spans="1:163" ht="12.75" customHeight="1">
      <c r="A9" s="994">
        <v>3</v>
      </c>
      <c r="B9" s="995" t="s">
        <v>97</v>
      </c>
      <c r="C9" s="1123">
        <f>'[2]ALL-Reformatted'!AA8</f>
        <v>7</v>
      </c>
      <c r="D9" s="997">
        <f>'Table 3 Levels 1&amp;2'!BN11+'Table 3 Levels 1&amp;2'!BV11</f>
        <v>4186.9626187036429</v>
      </c>
      <c r="E9" s="1052">
        <f t="shared" si="2"/>
        <v>29308.738330925502</v>
      </c>
      <c r="F9" s="1052">
        <f>'Table 4 Level 3'!N8</f>
        <v>596.84</v>
      </c>
      <c r="G9" s="1052">
        <f t="shared" si="3"/>
        <v>4177.88</v>
      </c>
      <c r="H9" s="1052">
        <f t="shared" si="4"/>
        <v>33486.618330925499</v>
      </c>
      <c r="I9" s="1052">
        <f t="shared" si="5"/>
        <v>2791</v>
      </c>
      <c r="J9" s="1051">
        <f>'Table 3 Levels 1&amp;2'!CB11</f>
        <v>3447.08</v>
      </c>
      <c r="K9" s="1053">
        <f t="shared" si="6"/>
        <v>24129.559999999998</v>
      </c>
      <c r="L9" s="1053">
        <f t="shared" si="7"/>
        <v>2011</v>
      </c>
      <c r="M9" s="1054">
        <f t="shared" si="8"/>
        <v>57616.178330925497</v>
      </c>
      <c r="N9" s="1054">
        <f t="shared" si="1"/>
        <v>4802</v>
      </c>
    </row>
    <row r="10" spans="1:163" ht="12.75" customHeight="1">
      <c r="A10" s="994">
        <v>4</v>
      </c>
      <c r="B10" s="995" t="s">
        <v>98</v>
      </c>
      <c r="C10" s="1123">
        <f>'[2]ALL-Reformatted'!AA9</f>
        <v>1</v>
      </c>
      <c r="D10" s="997">
        <f>'Table 3 Levels 1&amp;2'!BN12+'Table 3 Levels 1&amp;2'!BV12</f>
        <v>5918.8798759182582</v>
      </c>
      <c r="E10" s="1052">
        <f t="shared" si="2"/>
        <v>5918.8798759182582</v>
      </c>
      <c r="F10" s="1052">
        <f>'Table 4 Level 3'!N9</f>
        <v>585.76</v>
      </c>
      <c r="G10" s="1052">
        <f t="shared" si="3"/>
        <v>585.76</v>
      </c>
      <c r="H10" s="1052">
        <f t="shared" si="4"/>
        <v>6504.6398759182584</v>
      </c>
      <c r="I10" s="1052">
        <f t="shared" si="5"/>
        <v>542</v>
      </c>
      <c r="J10" s="1051">
        <f>'Table 3 Levels 1&amp;2'!CB12</f>
        <v>3169.66</v>
      </c>
      <c r="K10" s="1053">
        <f t="shared" si="6"/>
        <v>3169.66</v>
      </c>
      <c r="L10" s="1053">
        <f t="shared" si="7"/>
        <v>264</v>
      </c>
      <c r="M10" s="1054">
        <f t="shared" si="8"/>
        <v>9674.2998759182592</v>
      </c>
      <c r="N10" s="1054">
        <f t="shared" si="1"/>
        <v>806</v>
      </c>
    </row>
    <row r="11" spans="1:163">
      <c r="A11" s="998">
        <v>5</v>
      </c>
      <c r="B11" s="999" t="s">
        <v>99</v>
      </c>
      <c r="C11" s="1124">
        <f>'[2]ALL-Reformatted'!AA10</f>
        <v>3</v>
      </c>
      <c r="D11" s="1001">
        <f>'Table 3 Levels 1&amp;2'!BN13+'Table 3 Levels 1&amp;2'!BV13</f>
        <v>4880.3484353147733</v>
      </c>
      <c r="E11" s="1055">
        <f t="shared" si="2"/>
        <v>14641.045305944321</v>
      </c>
      <c r="F11" s="1055">
        <f>'Table 4 Level 3'!N10</f>
        <v>555.91</v>
      </c>
      <c r="G11" s="1055">
        <f t="shared" si="3"/>
        <v>1667.73</v>
      </c>
      <c r="H11" s="1055">
        <f t="shared" si="4"/>
        <v>16308.77530594432</v>
      </c>
      <c r="I11" s="1055">
        <f t="shared" si="5"/>
        <v>1359</v>
      </c>
      <c r="J11" s="1056">
        <f>'Table 3 Levels 1&amp;2'!CB13</f>
        <v>1381.35</v>
      </c>
      <c r="K11" s="1057">
        <f t="shared" si="6"/>
        <v>4144.0499999999993</v>
      </c>
      <c r="L11" s="1057">
        <f t="shared" si="7"/>
        <v>345</v>
      </c>
      <c r="M11" s="1058">
        <f t="shared" si="8"/>
        <v>20452.82530594432</v>
      </c>
      <c r="N11" s="1058">
        <f t="shared" si="1"/>
        <v>1704</v>
      </c>
    </row>
    <row r="12" spans="1:163" ht="12.75" customHeight="1">
      <c r="A12" s="987">
        <v>6</v>
      </c>
      <c r="B12" s="988" t="s">
        <v>100</v>
      </c>
      <c r="C12" s="1122">
        <f>'[2]ALL-Reformatted'!AA11</f>
        <v>0</v>
      </c>
      <c r="D12" s="990">
        <f>'Table 3 Levels 1&amp;2'!BN14+'Table 3 Levels 1&amp;2'!BV14</f>
        <v>5379.7759718479856</v>
      </c>
      <c r="E12" s="991">
        <f t="shared" si="2"/>
        <v>0</v>
      </c>
      <c r="F12" s="991">
        <f>'Table 4 Level 3'!N11</f>
        <v>545.4799999999999</v>
      </c>
      <c r="G12" s="991">
        <f t="shared" si="3"/>
        <v>0</v>
      </c>
      <c r="H12" s="991">
        <f t="shared" si="4"/>
        <v>0</v>
      </c>
      <c r="I12" s="991">
        <f t="shared" si="5"/>
        <v>0</v>
      </c>
      <c r="J12" s="1051">
        <f>'Table 3 Levels 1&amp;2'!CB14</f>
        <v>3170.1</v>
      </c>
      <c r="K12" s="992">
        <f t="shared" si="6"/>
        <v>0</v>
      </c>
      <c r="L12" s="992">
        <f t="shared" si="7"/>
        <v>0</v>
      </c>
      <c r="M12" s="993">
        <f t="shared" si="8"/>
        <v>0</v>
      </c>
      <c r="N12" s="993">
        <f t="shared" si="1"/>
        <v>0</v>
      </c>
    </row>
    <row r="13" spans="1:163">
      <c r="A13" s="994">
        <v>7</v>
      </c>
      <c r="B13" s="995" t="s">
        <v>101</v>
      </c>
      <c r="C13" s="1123">
        <f>'[2]ALL-Reformatted'!AA12</f>
        <v>0</v>
      </c>
      <c r="D13" s="997">
        <f>'Table 3 Levels 1&amp;2'!BN15+'Table 3 Levels 1&amp;2'!BV15</f>
        <v>1698.1351763907733</v>
      </c>
      <c r="E13" s="1052">
        <f t="shared" si="2"/>
        <v>0</v>
      </c>
      <c r="F13" s="1052">
        <f>'Table 4 Level 3'!N12</f>
        <v>756.91999999999985</v>
      </c>
      <c r="G13" s="1052">
        <f t="shared" si="3"/>
        <v>0</v>
      </c>
      <c r="H13" s="1052">
        <f t="shared" si="4"/>
        <v>0</v>
      </c>
      <c r="I13" s="1052">
        <f t="shared" si="5"/>
        <v>0</v>
      </c>
      <c r="J13" s="1051">
        <f>'Table 3 Levels 1&amp;2'!CB15</f>
        <v>5999.02</v>
      </c>
      <c r="K13" s="1053">
        <f t="shared" si="6"/>
        <v>0</v>
      </c>
      <c r="L13" s="1053">
        <f t="shared" si="7"/>
        <v>0</v>
      </c>
      <c r="M13" s="1054">
        <f t="shared" si="8"/>
        <v>0</v>
      </c>
      <c r="N13" s="1054">
        <f t="shared" si="1"/>
        <v>0</v>
      </c>
    </row>
    <row r="14" spans="1:163">
      <c r="A14" s="994">
        <v>8</v>
      </c>
      <c r="B14" s="995" t="s">
        <v>102</v>
      </c>
      <c r="C14" s="1123">
        <f>'[2]ALL-Reformatted'!AA13</f>
        <v>1</v>
      </c>
      <c r="D14" s="997">
        <f>'Table 3 Levels 1&amp;2'!BN16+'Table 3 Levels 1&amp;2'!BV16</f>
        <v>4239.8578920718974</v>
      </c>
      <c r="E14" s="1052">
        <f t="shared" si="2"/>
        <v>4239.8578920718974</v>
      </c>
      <c r="F14" s="1052">
        <f>'Table 4 Level 3'!N13</f>
        <v>725.76</v>
      </c>
      <c r="G14" s="1052">
        <f t="shared" si="3"/>
        <v>725.76</v>
      </c>
      <c r="H14" s="1052">
        <f t="shared" si="4"/>
        <v>4965.6178920718976</v>
      </c>
      <c r="I14" s="1052">
        <f t="shared" si="5"/>
        <v>414</v>
      </c>
      <c r="J14" s="1051">
        <f>'Table 3 Levels 1&amp;2'!CB16</f>
        <v>3477.24</v>
      </c>
      <c r="K14" s="1053">
        <f t="shared" si="6"/>
        <v>3477.24</v>
      </c>
      <c r="L14" s="1053">
        <f t="shared" si="7"/>
        <v>290</v>
      </c>
      <c r="M14" s="1054">
        <f t="shared" si="8"/>
        <v>8442.8578920718974</v>
      </c>
      <c r="N14" s="1054">
        <f t="shared" si="1"/>
        <v>704</v>
      </c>
    </row>
    <row r="15" spans="1:163">
      <c r="A15" s="994">
        <v>9</v>
      </c>
      <c r="B15" s="995" t="s">
        <v>103</v>
      </c>
      <c r="C15" s="1123">
        <f>'[2]ALL-Reformatted'!AA14</f>
        <v>7</v>
      </c>
      <c r="D15" s="997">
        <f>'Table 3 Levels 1&amp;2'!BN17+'Table 3 Levels 1&amp;2'!BV17</f>
        <v>4361.2752875373017</v>
      </c>
      <c r="E15" s="1052">
        <f t="shared" si="2"/>
        <v>30528.927012761113</v>
      </c>
      <c r="F15" s="1052">
        <f>'Table 4 Level 3'!N14</f>
        <v>744.76</v>
      </c>
      <c r="G15" s="1052">
        <f t="shared" si="3"/>
        <v>5213.32</v>
      </c>
      <c r="H15" s="1052">
        <f t="shared" si="4"/>
        <v>35742.247012761116</v>
      </c>
      <c r="I15" s="1052">
        <f t="shared" si="5"/>
        <v>2979</v>
      </c>
      <c r="J15" s="1051">
        <f>'Table 3 Levels 1&amp;2'!CB17</f>
        <v>3453.29</v>
      </c>
      <c r="K15" s="1053">
        <f t="shared" si="6"/>
        <v>24173.03</v>
      </c>
      <c r="L15" s="1053">
        <f t="shared" si="7"/>
        <v>2014</v>
      </c>
      <c r="M15" s="1054">
        <f t="shared" si="8"/>
        <v>59915.277012761115</v>
      </c>
      <c r="N15" s="1054">
        <f t="shared" si="1"/>
        <v>4993</v>
      </c>
    </row>
    <row r="16" spans="1:163">
      <c r="A16" s="998">
        <v>10</v>
      </c>
      <c r="B16" s="999" t="s">
        <v>104</v>
      </c>
      <c r="C16" s="1124">
        <f>'[2]ALL-Reformatted'!AA15</f>
        <v>11</v>
      </c>
      <c r="D16" s="1001">
        <f>'Table 3 Levels 1&amp;2'!BN18+'Table 3 Levels 1&amp;2'!BV18</f>
        <v>4179.4641652904756</v>
      </c>
      <c r="E16" s="1055">
        <f t="shared" si="2"/>
        <v>45974.105818195232</v>
      </c>
      <c r="F16" s="1055">
        <f>'Table 4 Level 3'!N15</f>
        <v>608.04000000000008</v>
      </c>
      <c r="G16" s="1055">
        <f t="shared" si="3"/>
        <v>6688.4400000000005</v>
      </c>
      <c r="H16" s="1055">
        <f t="shared" si="4"/>
        <v>52662.545818195234</v>
      </c>
      <c r="I16" s="1055">
        <f t="shared" si="5"/>
        <v>4389</v>
      </c>
      <c r="J16" s="1056">
        <f>'Table 3 Levels 1&amp;2'!CB18</f>
        <v>3841.29</v>
      </c>
      <c r="K16" s="1057">
        <f t="shared" si="6"/>
        <v>42254.19</v>
      </c>
      <c r="L16" s="1057">
        <f t="shared" si="7"/>
        <v>3521</v>
      </c>
      <c r="M16" s="1058">
        <f t="shared" si="8"/>
        <v>94916.735818195244</v>
      </c>
      <c r="N16" s="1058">
        <f t="shared" si="1"/>
        <v>7910</v>
      </c>
    </row>
    <row r="17" spans="1:14">
      <c r="A17" s="987">
        <v>11</v>
      </c>
      <c r="B17" s="988" t="s">
        <v>105</v>
      </c>
      <c r="C17" s="1122">
        <f>'[2]ALL-Reformatted'!AA16</f>
        <v>0</v>
      </c>
      <c r="D17" s="990">
        <f>'Table 3 Levels 1&amp;2'!BN19+'Table 3 Levels 1&amp;2'!BV19</f>
        <v>6825.0221851487568</v>
      </c>
      <c r="E17" s="991">
        <f t="shared" si="2"/>
        <v>0</v>
      </c>
      <c r="F17" s="991">
        <f>'Table 4 Level 3'!N16</f>
        <v>706.55</v>
      </c>
      <c r="G17" s="991">
        <f t="shared" si="3"/>
        <v>0</v>
      </c>
      <c r="H17" s="991">
        <f t="shared" si="4"/>
        <v>0</v>
      </c>
      <c r="I17" s="991">
        <f t="shared" si="5"/>
        <v>0</v>
      </c>
      <c r="J17" s="1051">
        <f>'Table 3 Levels 1&amp;2'!CB19</f>
        <v>3271.76</v>
      </c>
      <c r="K17" s="992">
        <f t="shared" si="6"/>
        <v>0</v>
      </c>
      <c r="L17" s="992">
        <f t="shared" si="7"/>
        <v>0</v>
      </c>
      <c r="M17" s="993">
        <f t="shared" si="8"/>
        <v>0</v>
      </c>
      <c r="N17" s="993">
        <f t="shared" si="1"/>
        <v>0</v>
      </c>
    </row>
    <row r="18" spans="1:14">
      <c r="A18" s="994">
        <v>12</v>
      </c>
      <c r="B18" s="995" t="s">
        <v>106</v>
      </c>
      <c r="C18" s="1123">
        <f>'[2]ALL-Reformatted'!AA17</f>
        <v>1</v>
      </c>
      <c r="D18" s="997">
        <f>'Table 3 Levels 1&amp;2'!BN20+'Table 3 Levels 1&amp;2'!BV20</f>
        <v>1688.0492586490939</v>
      </c>
      <c r="E18" s="1052">
        <f t="shared" si="2"/>
        <v>1688.0492586490939</v>
      </c>
      <c r="F18" s="1052">
        <f>'Table 4 Level 3'!N17</f>
        <v>1063.31</v>
      </c>
      <c r="G18" s="1052">
        <f t="shared" si="3"/>
        <v>1063.31</v>
      </c>
      <c r="H18" s="1052">
        <f t="shared" si="4"/>
        <v>2751.359258649094</v>
      </c>
      <c r="I18" s="1052">
        <f t="shared" si="5"/>
        <v>229</v>
      </c>
      <c r="J18" s="1051">
        <f>'Table 3 Levels 1&amp;2'!CB20</f>
        <v>6440.56</v>
      </c>
      <c r="K18" s="1053">
        <f t="shared" si="6"/>
        <v>6440.56</v>
      </c>
      <c r="L18" s="1053">
        <f t="shared" si="7"/>
        <v>537</v>
      </c>
      <c r="M18" s="1054">
        <f t="shared" si="8"/>
        <v>9191.9192586490935</v>
      </c>
      <c r="N18" s="1054">
        <f t="shared" si="1"/>
        <v>766</v>
      </c>
    </row>
    <row r="19" spans="1:14">
      <c r="A19" s="994">
        <v>13</v>
      </c>
      <c r="B19" s="995" t="s">
        <v>107</v>
      </c>
      <c r="C19" s="1123">
        <f>'[2]ALL-Reformatted'!AA18</f>
        <v>0</v>
      </c>
      <c r="D19" s="997">
        <f>'Table 3 Levels 1&amp;2'!BN21+'Table 3 Levels 1&amp;2'!BV21</f>
        <v>6187.1651272387344</v>
      </c>
      <c r="E19" s="1052">
        <f t="shared" si="2"/>
        <v>0</v>
      </c>
      <c r="F19" s="1052">
        <f>'Table 4 Level 3'!N18</f>
        <v>749.43000000000006</v>
      </c>
      <c r="G19" s="1052">
        <f t="shared" si="3"/>
        <v>0</v>
      </c>
      <c r="H19" s="1052">
        <f t="shared" si="4"/>
        <v>0</v>
      </c>
      <c r="I19" s="1052">
        <f t="shared" si="5"/>
        <v>0</v>
      </c>
      <c r="J19" s="1051">
        <f>'Table 3 Levels 1&amp;2'!CB21</f>
        <v>2526.2199999999998</v>
      </c>
      <c r="K19" s="1053">
        <f t="shared" si="6"/>
        <v>0</v>
      </c>
      <c r="L19" s="1053">
        <f t="shared" si="7"/>
        <v>0</v>
      </c>
      <c r="M19" s="1054">
        <f t="shared" si="8"/>
        <v>0</v>
      </c>
      <c r="N19" s="1054">
        <f t="shared" si="1"/>
        <v>0</v>
      </c>
    </row>
    <row r="20" spans="1:14" ht="12.75" customHeight="1">
      <c r="A20" s="994">
        <v>14</v>
      </c>
      <c r="B20" s="995" t="s">
        <v>108</v>
      </c>
      <c r="C20" s="1123">
        <f>'[2]ALL-Reformatted'!AA19</f>
        <v>0</v>
      </c>
      <c r="D20" s="997">
        <f>'Table 3 Levels 1&amp;2'!BN22+'Table 3 Levels 1&amp;2'!BV22</f>
        <v>5339.1887414618923</v>
      </c>
      <c r="E20" s="1052">
        <f t="shared" si="2"/>
        <v>0</v>
      </c>
      <c r="F20" s="1052">
        <f>'Table 4 Level 3'!N19</f>
        <v>809.9799999999999</v>
      </c>
      <c r="G20" s="1052">
        <f t="shared" si="3"/>
        <v>0</v>
      </c>
      <c r="H20" s="1052">
        <f t="shared" si="4"/>
        <v>0</v>
      </c>
      <c r="I20" s="1052">
        <f t="shared" si="5"/>
        <v>0</v>
      </c>
      <c r="J20" s="1051">
        <f>'Table 3 Levels 1&amp;2'!CB22</f>
        <v>4046.06</v>
      </c>
      <c r="K20" s="1053">
        <f t="shared" si="6"/>
        <v>0</v>
      </c>
      <c r="L20" s="1053">
        <f t="shared" si="7"/>
        <v>0</v>
      </c>
      <c r="M20" s="1054">
        <f t="shared" si="8"/>
        <v>0</v>
      </c>
      <c r="N20" s="1054">
        <f t="shared" si="1"/>
        <v>0</v>
      </c>
    </row>
    <row r="21" spans="1:14">
      <c r="A21" s="998">
        <v>15</v>
      </c>
      <c r="B21" s="999" t="s">
        <v>109</v>
      </c>
      <c r="C21" s="1124">
        <f>'[2]ALL-Reformatted'!AA20</f>
        <v>0</v>
      </c>
      <c r="D21" s="1001">
        <f>'Table 3 Levels 1&amp;2'!BN23+'Table 3 Levels 1&amp;2'!BV23</f>
        <v>5492.5789412344011</v>
      </c>
      <c r="E21" s="1055">
        <f t="shared" si="2"/>
        <v>0</v>
      </c>
      <c r="F21" s="1055">
        <f>'Table 4 Level 3'!N20</f>
        <v>553.79999999999995</v>
      </c>
      <c r="G21" s="1055">
        <f t="shared" si="3"/>
        <v>0</v>
      </c>
      <c r="H21" s="1055">
        <f t="shared" si="4"/>
        <v>0</v>
      </c>
      <c r="I21" s="1055">
        <f t="shared" si="5"/>
        <v>0</v>
      </c>
      <c r="J21" s="1056">
        <f>'Table 3 Levels 1&amp;2'!CB23</f>
        <v>2811.01</v>
      </c>
      <c r="K21" s="1057">
        <f t="shared" si="6"/>
        <v>0</v>
      </c>
      <c r="L21" s="1057">
        <f t="shared" si="7"/>
        <v>0</v>
      </c>
      <c r="M21" s="1058">
        <f t="shared" si="8"/>
        <v>0</v>
      </c>
      <c r="N21" s="1058">
        <f t="shared" si="1"/>
        <v>0</v>
      </c>
    </row>
    <row r="22" spans="1:14">
      <c r="A22" s="987">
        <v>16</v>
      </c>
      <c r="B22" s="988" t="s">
        <v>110</v>
      </c>
      <c r="C22" s="1122">
        <f>'[2]ALL-Reformatted'!AA21</f>
        <v>0</v>
      </c>
      <c r="D22" s="990">
        <f>'Table 3 Levels 1&amp;2'!BN24+'Table 3 Levels 1&amp;2'!BV24</f>
        <v>1506.1153407945151</v>
      </c>
      <c r="E22" s="991">
        <f t="shared" si="2"/>
        <v>0</v>
      </c>
      <c r="F22" s="991">
        <f>'Table 4 Level 3'!N21</f>
        <v>686.73</v>
      </c>
      <c r="G22" s="991">
        <f t="shared" si="3"/>
        <v>0</v>
      </c>
      <c r="H22" s="991">
        <f t="shared" si="4"/>
        <v>0</v>
      </c>
      <c r="I22" s="991">
        <f t="shared" si="5"/>
        <v>0</v>
      </c>
      <c r="J22" s="1051">
        <f>'Table 3 Levels 1&amp;2'!CB24</f>
        <v>5977.04</v>
      </c>
      <c r="K22" s="992">
        <f t="shared" si="6"/>
        <v>0</v>
      </c>
      <c r="L22" s="992">
        <f t="shared" si="7"/>
        <v>0</v>
      </c>
      <c r="M22" s="993">
        <f t="shared" si="8"/>
        <v>0</v>
      </c>
      <c r="N22" s="993">
        <f t="shared" si="1"/>
        <v>0</v>
      </c>
    </row>
    <row r="23" spans="1:14">
      <c r="A23" s="994">
        <v>17</v>
      </c>
      <c r="B23" s="995" t="s">
        <v>111</v>
      </c>
      <c r="C23" s="1123">
        <f>'[2]ALL-Reformatted'!AA22</f>
        <v>53</v>
      </c>
      <c r="D23" s="997">
        <f>'Table 3 Levels 1&amp;2'!BN25+'Table 3 Levels 1&amp;2'!BV25</f>
        <v>3311.610845996096</v>
      </c>
      <c r="E23" s="1052">
        <f t="shared" si="2"/>
        <v>175515.37483779309</v>
      </c>
      <c r="F23" s="1052">
        <f>'Table 5B2_RSD_LA'!F7</f>
        <v>801.47762416806802</v>
      </c>
      <c r="G23" s="1052">
        <f t="shared" si="3"/>
        <v>42478.314080907607</v>
      </c>
      <c r="H23" s="1052">
        <f t="shared" si="4"/>
        <v>217993.6889187007</v>
      </c>
      <c r="I23" s="1052">
        <f t="shared" si="5"/>
        <v>18166</v>
      </c>
      <c r="J23" s="1051">
        <f>'Table 3 Levels 1&amp;2'!CB25</f>
        <v>4575.26</v>
      </c>
      <c r="K23" s="1053">
        <f t="shared" si="6"/>
        <v>242488.78</v>
      </c>
      <c r="L23" s="1053">
        <f t="shared" si="7"/>
        <v>20207</v>
      </c>
      <c r="M23" s="1054">
        <f t="shared" si="8"/>
        <v>460482.4689187007</v>
      </c>
      <c r="N23" s="1054">
        <f t="shared" si="1"/>
        <v>38373</v>
      </c>
    </row>
    <row r="24" spans="1:14">
      <c r="A24" s="994">
        <v>18</v>
      </c>
      <c r="B24" s="995" t="s">
        <v>112</v>
      </c>
      <c r="C24" s="1123">
        <f>'[2]ALL-Reformatted'!AA23</f>
        <v>0</v>
      </c>
      <c r="D24" s="997">
        <f>'Table 3 Levels 1&amp;2'!BN26+'Table 3 Levels 1&amp;2'!BV26</f>
        <v>5964.3490202032081</v>
      </c>
      <c r="E24" s="1052">
        <f t="shared" si="2"/>
        <v>0</v>
      </c>
      <c r="F24" s="1052">
        <f>'Table 4 Level 3'!N23</f>
        <v>845.94999999999993</v>
      </c>
      <c r="G24" s="1052">
        <f t="shared" si="3"/>
        <v>0</v>
      </c>
      <c r="H24" s="1052">
        <f t="shared" si="4"/>
        <v>0</v>
      </c>
      <c r="I24" s="1052">
        <f t="shared" si="5"/>
        <v>0</v>
      </c>
      <c r="J24" s="1051">
        <f>'Table 3 Levels 1&amp;2'!CB26</f>
        <v>2269.83</v>
      </c>
      <c r="K24" s="1053">
        <f t="shared" si="6"/>
        <v>0</v>
      </c>
      <c r="L24" s="1053">
        <f t="shared" si="7"/>
        <v>0</v>
      </c>
      <c r="M24" s="1054">
        <f t="shared" si="8"/>
        <v>0</v>
      </c>
      <c r="N24" s="1054">
        <f t="shared" si="1"/>
        <v>0</v>
      </c>
    </row>
    <row r="25" spans="1:14">
      <c r="A25" s="994">
        <v>19</v>
      </c>
      <c r="B25" s="995" t="s">
        <v>113</v>
      </c>
      <c r="C25" s="1123">
        <f>'[2]ALL-Reformatted'!AA24</f>
        <v>4</v>
      </c>
      <c r="D25" s="997">
        <f>'Table 3 Levels 1&amp;2'!BN27+'Table 3 Levels 1&amp;2'!BV27</f>
        <v>5283.1088158476596</v>
      </c>
      <c r="E25" s="1052">
        <f t="shared" si="2"/>
        <v>21132.435263390638</v>
      </c>
      <c r="F25" s="1052">
        <f>'Table 4 Level 3'!N24</f>
        <v>905.43</v>
      </c>
      <c r="G25" s="1052">
        <f t="shared" si="3"/>
        <v>3621.72</v>
      </c>
      <c r="H25" s="1052">
        <f t="shared" si="4"/>
        <v>24754.155263390639</v>
      </c>
      <c r="I25" s="1052">
        <f t="shared" si="5"/>
        <v>2063</v>
      </c>
      <c r="J25" s="1051">
        <f>'Table 3 Levels 1&amp;2'!CB27</f>
        <v>2756.32</v>
      </c>
      <c r="K25" s="1053">
        <f t="shared" si="6"/>
        <v>11025.28</v>
      </c>
      <c r="L25" s="1053">
        <f t="shared" si="7"/>
        <v>919</v>
      </c>
      <c r="M25" s="1054">
        <f t="shared" si="8"/>
        <v>35779.435263390638</v>
      </c>
      <c r="N25" s="1054">
        <f t="shared" si="1"/>
        <v>2982</v>
      </c>
    </row>
    <row r="26" spans="1:14">
      <c r="A26" s="998">
        <v>20</v>
      </c>
      <c r="B26" s="999" t="s">
        <v>114</v>
      </c>
      <c r="C26" s="1124">
        <f>'[2]ALL-Reformatted'!AA25</f>
        <v>4</v>
      </c>
      <c r="D26" s="1001">
        <f>'Table 3 Levels 1&amp;2'!BN28+'Table 3 Levels 1&amp;2'!BV28</f>
        <v>5389.6047094824808</v>
      </c>
      <c r="E26" s="1055">
        <f t="shared" si="2"/>
        <v>21558.418837929923</v>
      </c>
      <c r="F26" s="1055">
        <f>'Table 4 Level 3'!N25</f>
        <v>586.16999999999996</v>
      </c>
      <c r="G26" s="1055">
        <f t="shared" si="3"/>
        <v>2344.6799999999998</v>
      </c>
      <c r="H26" s="1055">
        <f t="shared" si="4"/>
        <v>23903.098837929923</v>
      </c>
      <c r="I26" s="1055">
        <f t="shared" si="5"/>
        <v>1992</v>
      </c>
      <c r="J26" s="1056">
        <f>'Table 3 Levels 1&amp;2'!CB28</f>
        <v>2439.08</v>
      </c>
      <c r="K26" s="1057">
        <f t="shared" si="6"/>
        <v>9756.32</v>
      </c>
      <c r="L26" s="1057">
        <f t="shared" si="7"/>
        <v>813</v>
      </c>
      <c r="M26" s="1058">
        <f t="shared" si="8"/>
        <v>33659.418837929923</v>
      </c>
      <c r="N26" s="1058">
        <f t="shared" si="1"/>
        <v>2805</v>
      </c>
    </row>
    <row r="27" spans="1:14">
      <c r="A27" s="987">
        <v>21</v>
      </c>
      <c r="B27" s="988" t="s">
        <v>115</v>
      </c>
      <c r="C27" s="1122">
        <f>'[2]ALL-Reformatted'!AA26</f>
        <v>0</v>
      </c>
      <c r="D27" s="990">
        <f>'Table 3 Levels 1&amp;2'!BN29+'Table 3 Levels 1&amp;2'!BV29</f>
        <v>5659.8229810652783</v>
      </c>
      <c r="E27" s="991">
        <f t="shared" si="2"/>
        <v>0</v>
      </c>
      <c r="F27" s="991">
        <f>'Table 4 Level 3'!N26</f>
        <v>610.35</v>
      </c>
      <c r="G27" s="991">
        <f t="shared" si="3"/>
        <v>0</v>
      </c>
      <c r="H27" s="991">
        <f t="shared" si="4"/>
        <v>0</v>
      </c>
      <c r="I27" s="991">
        <f t="shared" si="5"/>
        <v>0</v>
      </c>
      <c r="J27" s="1051">
        <f>'Table 3 Levels 1&amp;2'!CB29</f>
        <v>2194.34</v>
      </c>
      <c r="K27" s="992">
        <f t="shared" si="6"/>
        <v>0</v>
      </c>
      <c r="L27" s="992">
        <f t="shared" si="7"/>
        <v>0</v>
      </c>
      <c r="M27" s="993">
        <f t="shared" si="8"/>
        <v>0</v>
      </c>
      <c r="N27" s="993">
        <f t="shared" si="1"/>
        <v>0</v>
      </c>
    </row>
    <row r="28" spans="1:14">
      <c r="A28" s="994">
        <v>22</v>
      </c>
      <c r="B28" s="995" t="s">
        <v>116</v>
      </c>
      <c r="C28" s="1123">
        <f>'[2]ALL-Reformatted'!AA27</f>
        <v>1</v>
      </c>
      <c r="D28" s="997">
        <f>'Table 3 Levels 1&amp;2'!BN30+'Table 3 Levels 1&amp;2'!BV30</f>
        <v>6191.1997628958306</v>
      </c>
      <c r="E28" s="1052">
        <f t="shared" si="2"/>
        <v>6191.1997628958306</v>
      </c>
      <c r="F28" s="1052">
        <f>'Table 4 Level 3'!N27</f>
        <v>496.36</v>
      </c>
      <c r="G28" s="1052">
        <f t="shared" si="3"/>
        <v>496.36</v>
      </c>
      <c r="H28" s="1052">
        <f t="shared" si="4"/>
        <v>6687.5597628958303</v>
      </c>
      <c r="I28" s="1052">
        <f t="shared" si="5"/>
        <v>557</v>
      </c>
      <c r="J28" s="1051">
        <f>'Table 3 Levels 1&amp;2'!CB30</f>
        <v>1611.91</v>
      </c>
      <c r="K28" s="1053">
        <f t="shared" si="6"/>
        <v>1611.91</v>
      </c>
      <c r="L28" s="1053">
        <f t="shared" si="7"/>
        <v>134</v>
      </c>
      <c r="M28" s="1054">
        <f t="shared" si="8"/>
        <v>8299.4697628958311</v>
      </c>
      <c r="N28" s="1054">
        <f t="shared" si="1"/>
        <v>691</v>
      </c>
    </row>
    <row r="29" spans="1:14">
      <c r="A29" s="994">
        <v>23</v>
      </c>
      <c r="B29" s="995" t="s">
        <v>117</v>
      </c>
      <c r="C29" s="1123">
        <f>'[2]ALL-Reformatted'!AA28</f>
        <v>2</v>
      </c>
      <c r="D29" s="997">
        <f>'Table 3 Levels 1&amp;2'!BN31+'Table 3 Levels 1&amp;2'!BV31</f>
        <v>4788.2881021645453</v>
      </c>
      <c r="E29" s="1052">
        <f t="shared" si="2"/>
        <v>9576.5762043290906</v>
      </c>
      <c r="F29" s="1052">
        <f>'Table 4 Level 3'!N28</f>
        <v>688.58</v>
      </c>
      <c r="G29" s="1052">
        <f t="shared" si="3"/>
        <v>1377.16</v>
      </c>
      <c r="H29" s="1052">
        <f t="shared" si="4"/>
        <v>10953.73620432909</v>
      </c>
      <c r="I29" s="1052">
        <f t="shared" si="5"/>
        <v>913</v>
      </c>
      <c r="J29" s="1051">
        <f>'Table 3 Levels 1&amp;2'!CB31</f>
        <v>3318.13</v>
      </c>
      <c r="K29" s="1053">
        <f t="shared" si="6"/>
        <v>6636.26</v>
      </c>
      <c r="L29" s="1053">
        <f t="shared" si="7"/>
        <v>553</v>
      </c>
      <c r="M29" s="1054">
        <f t="shared" si="8"/>
        <v>17589.996204329091</v>
      </c>
      <c r="N29" s="1054">
        <f t="shared" si="1"/>
        <v>1466</v>
      </c>
    </row>
    <row r="30" spans="1:14">
      <c r="A30" s="994">
        <v>24</v>
      </c>
      <c r="B30" s="995" t="s">
        <v>118</v>
      </c>
      <c r="C30" s="1123">
        <f>'[2]ALL-Reformatted'!AA29</f>
        <v>4</v>
      </c>
      <c r="D30" s="997">
        <f>'Table 3 Levels 1&amp;2'!BN32+'Table 3 Levels 1&amp;2'!BV32</f>
        <v>2743.328175824176</v>
      </c>
      <c r="E30" s="1052">
        <f t="shared" si="2"/>
        <v>10973.312703296704</v>
      </c>
      <c r="F30" s="1052">
        <f>'Table 4 Level 3'!N29</f>
        <v>854.24999999999989</v>
      </c>
      <c r="G30" s="1052">
        <f t="shared" si="3"/>
        <v>3416.9999999999995</v>
      </c>
      <c r="H30" s="1052">
        <f t="shared" si="4"/>
        <v>14390.312703296704</v>
      </c>
      <c r="I30" s="1052">
        <f t="shared" si="5"/>
        <v>1199</v>
      </c>
      <c r="J30" s="1051">
        <f>'Table 3 Levels 1&amp;2'!CB32</f>
        <v>5176.3500000000004</v>
      </c>
      <c r="K30" s="1053">
        <f t="shared" si="6"/>
        <v>20705.400000000001</v>
      </c>
      <c r="L30" s="1053">
        <f t="shared" si="7"/>
        <v>1725</v>
      </c>
      <c r="M30" s="1054">
        <f t="shared" si="8"/>
        <v>35095.712703296704</v>
      </c>
      <c r="N30" s="1054">
        <f t="shared" si="1"/>
        <v>2924</v>
      </c>
    </row>
    <row r="31" spans="1:14">
      <c r="A31" s="998">
        <v>25</v>
      </c>
      <c r="B31" s="999" t="s">
        <v>119</v>
      </c>
      <c r="C31" s="1124">
        <f>'[2]ALL-Reformatted'!AA30</f>
        <v>0</v>
      </c>
      <c r="D31" s="1001">
        <f>'Table 3 Levels 1&amp;2'!BN33+'Table 3 Levels 1&amp;2'!BV33</f>
        <v>3799.3890273447178</v>
      </c>
      <c r="E31" s="1055">
        <f t="shared" si="2"/>
        <v>0</v>
      </c>
      <c r="F31" s="1055">
        <f>'Table 4 Level 3'!N30</f>
        <v>653.73</v>
      </c>
      <c r="G31" s="1055">
        <f t="shared" si="3"/>
        <v>0</v>
      </c>
      <c r="H31" s="1055">
        <f t="shared" si="4"/>
        <v>0</v>
      </c>
      <c r="I31" s="1055">
        <f t="shared" si="5"/>
        <v>0</v>
      </c>
      <c r="J31" s="1056">
        <f>'Table 3 Levels 1&amp;2'!CB33</f>
        <v>4459.46</v>
      </c>
      <c r="K31" s="1057">
        <f t="shared" si="6"/>
        <v>0</v>
      </c>
      <c r="L31" s="1057">
        <f t="shared" si="7"/>
        <v>0</v>
      </c>
      <c r="M31" s="1058">
        <f t="shared" si="8"/>
        <v>0</v>
      </c>
      <c r="N31" s="1058">
        <f t="shared" si="1"/>
        <v>0</v>
      </c>
    </row>
    <row r="32" spans="1:14">
      <c r="A32" s="987">
        <v>26</v>
      </c>
      <c r="B32" s="988" t="s">
        <v>120</v>
      </c>
      <c r="C32" s="1122">
        <f>'[2]ALL-Reformatted'!AA31</f>
        <v>6</v>
      </c>
      <c r="D32" s="990">
        <f>'Table 3 Levels 1&amp;2'!BN34+'Table 3 Levels 1&amp;2'!BV34</f>
        <v>3320.7842100822745</v>
      </c>
      <c r="E32" s="991">
        <f t="shared" si="2"/>
        <v>19924.705260493647</v>
      </c>
      <c r="F32" s="991">
        <f>'Table 4 Level 3'!N31</f>
        <v>836.83</v>
      </c>
      <c r="G32" s="991">
        <f t="shared" si="3"/>
        <v>5020.9800000000005</v>
      </c>
      <c r="H32" s="991">
        <f t="shared" si="4"/>
        <v>24945.685260493647</v>
      </c>
      <c r="I32" s="991">
        <f t="shared" si="5"/>
        <v>2079</v>
      </c>
      <c r="J32" s="1051">
        <f>'Table 3 Levels 1&amp;2'!CB34</f>
        <v>4706.3</v>
      </c>
      <c r="K32" s="992">
        <f t="shared" si="6"/>
        <v>28237.800000000003</v>
      </c>
      <c r="L32" s="992">
        <f t="shared" si="7"/>
        <v>2353</v>
      </c>
      <c r="M32" s="993">
        <f t="shared" si="8"/>
        <v>53183.485260493646</v>
      </c>
      <c r="N32" s="993">
        <f t="shared" si="1"/>
        <v>4432</v>
      </c>
    </row>
    <row r="33" spans="1:14">
      <c r="A33" s="994">
        <v>27</v>
      </c>
      <c r="B33" s="995" t="s">
        <v>121</v>
      </c>
      <c r="C33" s="1125">
        <f>'[2]ALL-Reformatted'!AA32</f>
        <v>2</v>
      </c>
      <c r="D33" s="1003">
        <f>'Table 3 Levels 1&amp;2'!BN35+'Table 3 Levels 1&amp;2'!BV35</f>
        <v>5636.5919457972805</v>
      </c>
      <c r="E33" s="1059">
        <f t="shared" si="2"/>
        <v>11273.183891594561</v>
      </c>
      <c r="F33" s="1059">
        <f>'Table 4 Level 3'!N32</f>
        <v>693.06</v>
      </c>
      <c r="G33" s="1059">
        <f t="shared" si="3"/>
        <v>1386.12</v>
      </c>
      <c r="H33" s="1059">
        <f t="shared" si="4"/>
        <v>12659.303891594562</v>
      </c>
      <c r="I33" s="1059">
        <f t="shared" si="5"/>
        <v>1055</v>
      </c>
      <c r="J33" s="1051">
        <f>'Table 3 Levels 1&amp;2'!CB35</f>
        <v>3073.92</v>
      </c>
      <c r="K33" s="1053">
        <f t="shared" si="6"/>
        <v>6147.84</v>
      </c>
      <c r="L33" s="1053">
        <f t="shared" si="7"/>
        <v>512</v>
      </c>
      <c r="M33" s="1054">
        <f t="shared" si="8"/>
        <v>18807.143891594562</v>
      </c>
      <c r="N33" s="1054">
        <f t="shared" si="1"/>
        <v>1567</v>
      </c>
    </row>
    <row r="34" spans="1:14">
      <c r="A34" s="994">
        <v>28</v>
      </c>
      <c r="B34" s="995" t="s">
        <v>122</v>
      </c>
      <c r="C34" s="1125">
        <f>'[2]ALL-Reformatted'!AA33</f>
        <v>1</v>
      </c>
      <c r="D34" s="1003">
        <f>'Table 3 Levels 1&amp;2'!BN36+'Table 3 Levels 1&amp;2'!BV36</f>
        <v>3106.8056522508969</v>
      </c>
      <c r="E34" s="1059">
        <f t="shared" si="2"/>
        <v>3106.8056522508969</v>
      </c>
      <c r="F34" s="1059">
        <f>'Table 4 Level 3'!N33</f>
        <v>694.4</v>
      </c>
      <c r="G34" s="1059">
        <f t="shared" si="3"/>
        <v>694.4</v>
      </c>
      <c r="H34" s="1059">
        <f t="shared" si="4"/>
        <v>3801.2056522508969</v>
      </c>
      <c r="I34" s="1059">
        <f t="shared" si="5"/>
        <v>317</v>
      </c>
      <c r="J34" s="1051">
        <f>'Table 3 Levels 1&amp;2'!CB36</f>
        <v>4168.67</v>
      </c>
      <c r="K34" s="1053">
        <f t="shared" si="6"/>
        <v>4168.67</v>
      </c>
      <c r="L34" s="1053">
        <f t="shared" si="7"/>
        <v>347</v>
      </c>
      <c r="M34" s="1054">
        <f t="shared" si="8"/>
        <v>7969.8756522508975</v>
      </c>
      <c r="N34" s="1054">
        <f t="shared" si="1"/>
        <v>664</v>
      </c>
    </row>
    <row r="35" spans="1:14">
      <c r="A35" s="994">
        <v>29</v>
      </c>
      <c r="B35" s="995" t="s">
        <v>123</v>
      </c>
      <c r="C35" s="1125">
        <f>'[2]ALL-Reformatted'!AA34</f>
        <v>1</v>
      </c>
      <c r="D35" s="1003">
        <f>'Table 3 Levels 1&amp;2'!BN37+'Table 3 Levels 1&amp;2'!BV37</f>
        <v>3912.1846976122315</v>
      </c>
      <c r="E35" s="1059">
        <f t="shared" si="2"/>
        <v>3912.1846976122315</v>
      </c>
      <c r="F35" s="1059">
        <f>'Table 4 Level 3'!N34</f>
        <v>754.94999999999993</v>
      </c>
      <c r="G35" s="1059">
        <f t="shared" si="3"/>
        <v>754.94999999999993</v>
      </c>
      <c r="H35" s="1059">
        <f t="shared" si="4"/>
        <v>4667.1346976122313</v>
      </c>
      <c r="I35" s="1059">
        <f t="shared" si="5"/>
        <v>389</v>
      </c>
      <c r="J35" s="1051">
        <f>'Table 3 Levels 1&amp;2'!CB37</f>
        <v>3536.5</v>
      </c>
      <c r="K35" s="1053">
        <f t="shared" si="6"/>
        <v>3536.5</v>
      </c>
      <c r="L35" s="1053">
        <f t="shared" si="7"/>
        <v>295</v>
      </c>
      <c r="M35" s="1054">
        <f t="shared" si="8"/>
        <v>8203.6346976122313</v>
      </c>
      <c r="N35" s="1054">
        <f t="shared" si="1"/>
        <v>684</v>
      </c>
    </row>
    <row r="36" spans="1:14">
      <c r="A36" s="998">
        <v>30</v>
      </c>
      <c r="B36" s="999" t="s">
        <v>124</v>
      </c>
      <c r="C36" s="1126">
        <f>'[2]ALL-Reformatted'!AA35</f>
        <v>0</v>
      </c>
      <c r="D36" s="1005">
        <f>'Table 3 Levels 1&amp;2'!BN38+'Table 3 Levels 1&amp;2'!BV38</f>
        <v>5594.0091640611508</v>
      </c>
      <c r="E36" s="1060">
        <f t="shared" si="2"/>
        <v>0</v>
      </c>
      <c r="F36" s="1060">
        <f>'Table 4 Level 3'!N35</f>
        <v>727.17</v>
      </c>
      <c r="G36" s="1060">
        <f t="shared" si="3"/>
        <v>0</v>
      </c>
      <c r="H36" s="1060">
        <f t="shared" si="4"/>
        <v>0</v>
      </c>
      <c r="I36" s="1060">
        <f t="shared" si="5"/>
        <v>0</v>
      </c>
      <c r="J36" s="1056">
        <f>'Table 3 Levels 1&amp;2'!CB38</f>
        <v>3056.24</v>
      </c>
      <c r="K36" s="1057">
        <f t="shared" si="6"/>
        <v>0</v>
      </c>
      <c r="L36" s="1057">
        <f t="shared" si="7"/>
        <v>0</v>
      </c>
      <c r="M36" s="1058">
        <f t="shared" si="8"/>
        <v>0</v>
      </c>
      <c r="N36" s="1058">
        <f t="shared" si="1"/>
        <v>0</v>
      </c>
    </row>
    <row r="37" spans="1:14">
      <c r="A37" s="987">
        <v>31</v>
      </c>
      <c r="B37" s="988" t="s">
        <v>125</v>
      </c>
      <c r="C37" s="1127">
        <f>'[2]ALL-Reformatted'!AA36</f>
        <v>3</v>
      </c>
      <c r="D37" s="1007">
        <f>'Table 3 Levels 1&amp;2'!BN39+'Table 3 Levels 1&amp;2'!BV39</f>
        <v>4320.114188911979</v>
      </c>
      <c r="E37" s="1061">
        <f t="shared" si="2"/>
        <v>12960.342566735937</v>
      </c>
      <c r="F37" s="1061">
        <f>'Table 4 Level 3'!N36</f>
        <v>620.83000000000004</v>
      </c>
      <c r="G37" s="1061">
        <f t="shared" si="3"/>
        <v>1862.4900000000002</v>
      </c>
      <c r="H37" s="1061">
        <f t="shared" si="4"/>
        <v>14822.832566735937</v>
      </c>
      <c r="I37" s="1061">
        <f t="shared" si="5"/>
        <v>1235</v>
      </c>
      <c r="J37" s="1051">
        <f>'Table 3 Levels 1&amp;2'!CB39</f>
        <v>3737.21</v>
      </c>
      <c r="K37" s="992">
        <f t="shared" si="6"/>
        <v>11211.630000000001</v>
      </c>
      <c r="L37" s="992">
        <f t="shared" si="7"/>
        <v>934</v>
      </c>
      <c r="M37" s="993">
        <f t="shared" si="8"/>
        <v>26034.462566735936</v>
      </c>
      <c r="N37" s="993">
        <f t="shared" si="1"/>
        <v>2169</v>
      </c>
    </row>
    <row r="38" spans="1:14">
      <c r="A38" s="994">
        <v>32</v>
      </c>
      <c r="B38" s="995" t="s">
        <v>126</v>
      </c>
      <c r="C38" s="1125">
        <f>'[2]ALL-Reformatted'!AA37</f>
        <v>15</v>
      </c>
      <c r="D38" s="1003">
        <f>'Table 3 Levels 1&amp;2'!BN40+'Table 3 Levels 1&amp;2'!BV40</f>
        <v>5504.4479209353676</v>
      </c>
      <c r="E38" s="1059">
        <f t="shared" si="2"/>
        <v>82566.718814030508</v>
      </c>
      <c r="F38" s="1059">
        <f>'Table 4 Level 3'!N37</f>
        <v>559.77</v>
      </c>
      <c r="G38" s="1059">
        <f t="shared" si="3"/>
        <v>8396.5499999999993</v>
      </c>
      <c r="H38" s="1059">
        <f t="shared" si="4"/>
        <v>90963.268814030511</v>
      </c>
      <c r="I38" s="1059">
        <f t="shared" si="5"/>
        <v>7580</v>
      </c>
      <c r="J38" s="1051">
        <f>'Table 3 Levels 1&amp;2'!CB40</f>
        <v>2004.53</v>
      </c>
      <c r="K38" s="1053">
        <f t="shared" si="6"/>
        <v>30067.95</v>
      </c>
      <c r="L38" s="1053">
        <f t="shared" si="7"/>
        <v>2506</v>
      </c>
      <c r="M38" s="1054">
        <f t="shared" si="8"/>
        <v>121031.21881403051</v>
      </c>
      <c r="N38" s="1054">
        <f t="shared" si="1"/>
        <v>10086</v>
      </c>
    </row>
    <row r="39" spans="1:14">
      <c r="A39" s="994">
        <v>33</v>
      </c>
      <c r="B39" s="995" t="s">
        <v>127</v>
      </c>
      <c r="C39" s="1125">
        <f>'[2]ALL-Reformatted'!AA38</f>
        <v>3</v>
      </c>
      <c r="D39" s="1003">
        <f>'Table 3 Levels 1&amp;2'!BN41+'Table 3 Levels 1&amp;2'!BV41</f>
        <v>5322.07272511876</v>
      </c>
      <c r="E39" s="1059">
        <f t="shared" si="2"/>
        <v>15966.21817535628</v>
      </c>
      <c r="F39" s="1059">
        <f>'Table 4 Level 3'!N38</f>
        <v>655.31000000000006</v>
      </c>
      <c r="G39" s="1059">
        <f t="shared" si="3"/>
        <v>1965.9300000000003</v>
      </c>
      <c r="H39" s="1059">
        <f t="shared" si="4"/>
        <v>17932.14817535628</v>
      </c>
      <c r="I39" s="1059">
        <f t="shared" si="5"/>
        <v>1494</v>
      </c>
      <c r="J39" s="1051">
        <f>'Table 3 Levels 1&amp;2'!CB41</f>
        <v>2749.51</v>
      </c>
      <c r="K39" s="1053">
        <f t="shared" si="6"/>
        <v>8248.5300000000007</v>
      </c>
      <c r="L39" s="1053">
        <f t="shared" si="7"/>
        <v>687</v>
      </c>
      <c r="M39" s="1054">
        <f t="shared" si="8"/>
        <v>26180.678175356283</v>
      </c>
      <c r="N39" s="1054">
        <f t="shared" si="1"/>
        <v>2181</v>
      </c>
    </row>
    <row r="40" spans="1:14">
      <c r="A40" s="994">
        <v>34</v>
      </c>
      <c r="B40" s="995" t="s">
        <v>128</v>
      </c>
      <c r="C40" s="1125">
        <f>'[2]ALL-Reformatted'!AA39</f>
        <v>0</v>
      </c>
      <c r="D40" s="1003">
        <f>'Table 3 Levels 1&amp;2'!BN42+'Table 3 Levels 1&amp;2'!BV42</f>
        <v>5959.062840731639</v>
      </c>
      <c r="E40" s="1059">
        <f t="shared" si="2"/>
        <v>0</v>
      </c>
      <c r="F40" s="1059">
        <f>'Table 4 Level 3'!N39</f>
        <v>644.11000000000013</v>
      </c>
      <c r="G40" s="1059">
        <f t="shared" si="3"/>
        <v>0</v>
      </c>
      <c r="H40" s="1059">
        <f t="shared" si="4"/>
        <v>0</v>
      </c>
      <c r="I40" s="1059">
        <f t="shared" si="5"/>
        <v>0</v>
      </c>
      <c r="J40" s="1051">
        <f>'Table 3 Levels 1&amp;2'!CB42</f>
        <v>2869.95</v>
      </c>
      <c r="K40" s="1053">
        <f t="shared" si="6"/>
        <v>0</v>
      </c>
      <c r="L40" s="1053">
        <f t="shared" si="7"/>
        <v>0</v>
      </c>
      <c r="M40" s="1054">
        <f t="shared" si="8"/>
        <v>0</v>
      </c>
      <c r="N40" s="1054">
        <f t="shared" si="1"/>
        <v>0</v>
      </c>
    </row>
    <row r="41" spans="1:14">
      <c r="A41" s="998">
        <v>35</v>
      </c>
      <c r="B41" s="999" t="s">
        <v>129</v>
      </c>
      <c r="C41" s="1126">
        <f>'[2]ALL-Reformatted'!AA40</f>
        <v>3</v>
      </c>
      <c r="D41" s="1005">
        <f>'Table 3 Levels 1&amp;2'!BN43+'Table 3 Levels 1&amp;2'!BV43</f>
        <v>4571.947611490059</v>
      </c>
      <c r="E41" s="1060">
        <f t="shared" si="2"/>
        <v>13715.842834470177</v>
      </c>
      <c r="F41" s="1060">
        <f>'Table 4 Level 3'!N40</f>
        <v>537.96</v>
      </c>
      <c r="G41" s="1060">
        <f t="shared" si="3"/>
        <v>1613.88</v>
      </c>
      <c r="H41" s="1060">
        <f t="shared" si="4"/>
        <v>15329.722834470176</v>
      </c>
      <c r="I41" s="1060">
        <f t="shared" si="5"/>
        <v>1277</v>
      </c>
      <c r="J41" s="1056">
        <f>'Table 3 Levels 1&amp;2'!CB43</f>
        <v>3599.19</v>
      </c>
      <c r="K41" s="1057">
        <f t="shared" si="6"/>
        <v>10797.57</v>
      </c>
      <c r="L41" s="1057">
        <f t="shared" si="7"/>
        <v>900</v>
      </c>
      <c r="M41" s="1058">
        <f t="shared" si="8"/>
        <v>26127.292834470176</v>
      </c>
      <c r="N41" s="1058">
        <f t="shared" si="1"/>
        <v>2177</v>
      </c>
    </row>
    <row r="42" spans="1:14">
      <c r="A42" s="987">
        <v>36</v>
      </c>
      <c r="B42" s="988" t="s">
        <v>130</v>
      </c>
      <c r="C42" s="1127">
        <f>'[2]ALL-Reformatted'!AA41</f>
        <v>11</v>
      </c>
      <c r="D42" s="1007">
        <f>'Table 3 Levels 1&amp;2'!BN44+'Table 3 Levels 1&amp;2'!BV44</f>
        <v>3666.4136012725312</v>
      </c>
      <c r="E42" s="1061">
        <f t="shared" si="2"/>
        <v>40330.549613997842</v>
      </c>
      <c r="F42" s="1061">
        <f>'Table 5B1_RSD_Orleans'!F78</f>
        <v>746.0335616438357</v>
      </c>
      <c r="G42" s="1061">
        <f t="shared" si="3"/>
        <v>8206.3691780821919</v>
      </c>
      <c r="H42" s="1061">
        <f t="shared" si="4"/>
        <v>48536.918792080032</v>
      </c>
      <c r="I42" s="1061">
        <f t="shared" si="5"/>
        <v>4045</v>
      </c>
      <c r="J42" s="1051">
        <f>'Table 3 Levels 1&amp;2'!CB44</f>
        <v>4149.93</v>
      </c>
      <c r="K42" s="992">
        <f t="shared" si="6"/>
        <v>45649.23</v>
      </c>
      <c r="L42" s="992">
        <f t="shared" si="7"/>
        <v>3804</v>
      </c>
      <c r="M42" s="993">
        <f t="shared" si="8"/>
        <v>94186.148792080028</v>
      </c>
      <c r="N42" s="993">
        <f t="shared" si="1"/>
        <v>7849</v>
      </c>
    </row>
    <row r="43" spans="1:14">
      <c r="A43" s="994">
        <v>37</v>
      </c>
      <c r="B43" s="995" t="s">
        <v>131</v>
      </c>
      <c r="C43" s="1125">
        <f>'[2]ALL-Reformatted'!AA42</f>
        <v>4</v>
      </c>
      <c r="D43" s="1003">
        <f>'Table 3 Levels 1&amp;2'!BN45+'Table 3 Levels 1&amp;2'!BV45</f>
        <v>5484.8089042263191</v>
      </c>
      <c r="E43" s="1059">
        <f t="shared" si="2"/>
        <v>21939.235616905276</v>
      </c>
      <c r="F43" s="1059">
        <f>'Table 4 Level 3'!N42</f>
        <v>653.61</v>
      </c>
      <c r="G43" s="1059">
        <f t="shared" si="3"/>
        <v>2614.44</v>
      </c>
      <c r="H43" s="1059">
        <f t="shared" si="4"/>
        <v>24553.675616905275</v>
      </c>
      <c r="I43" s="1059">
        <f t="shared" si="5"/>
        <v>2046</v>
      </c>
      <c r="J43" s="1051">
        <f>'Table 3 Levels 1&amp;2'!CB45</f>
        <v>2856.98</v>
      </c>
      <c r="K43" s="1053">
        <f t="shared" si="6"/>
        <v>11427.92</v>
      </c>
      <c r="L43" s="1053">
        <f t="shared" si="7"/>
        <v>952</v>
      </c>
      <c r="M43" s="1054">
        <f t="shared" si="8"/>
        <v>35981.595616905273</v>
      </c>
      <c r="N43" s="1054">
        <f t="shared" si="1"/>
        <v>2998</v>
      </c>
    </row>
    <row r="44" spans="1:14">
      <c r="A44" s="994">
        <v>38</v>
      </c>
      <c r="B44" s="995" t="s">
        <v>132</v>
      </c>
      <c r="C44" s="1125">
        <f>'[2]ALL-Reformatted'!AA43</f>
        <v>0</v>
      </c>
      <c r="D44" s="1003">
        <f>'Table 3 Levels 1&amp;2'!BN46+'Table 3 Levels 1&amp;2'!BV46</f>
        <v>2078.5917829727841</v>
      </c>
      <c r="E44" s="1059">
        <f t="shared" si="2"/>
        <v>0</v>
      </c>
      <c r="F44" s="1059">
        <f>'Table 4 Level 3'!N43</f>
        <v>829.92000000000007</v>
      </c>
      <c r="G44" s="1059">
        <f t="shared" si="3"/>
        <v>0</v>
      </c>
      <c r="H44" s="1059">
        <f t="shared" si="4"/>
        <v>0</v>
      </c>
      <c r="I44" s="1059">
        <f t="shared" si="5"/>
        <v>0</v>
      </c>
      <c r="J44" s="1051">
        <f>'Table 3 Levels 1&amp;2'!CB46</f>
        <v>6087.79</v>
      </c>
      <c r="K44" s="1053">
        <f t="shared" si="6"/>
        <v>0</v>
      </c>
      <c r="L44" s="1053">
        <f t="shared" si="7"/>
        <v>0</v>
      </c>
      <c r="M44" s="1054">
        <f t="shared" si="8"/>
        <v>0</v>
      </c>
      <c r="N44" s="1054">
        <f t="shared" si="1"/>
        <v>0</v>
      </c>
    </row>
    <row r="45" spans="1:14">
      <c r="A45" s="994">
        <v>39</v>
      </c>
      <c r="B45" s="995" t="s">
        <v>133</v>
      </c>
      <c r="C45" s="1125">
        <f>'[2]ALL-Reformatted'!AA44</f>
        <v>6</v>
      </c>
      <c r="D45" s="1003">
        <f>'Table 3 Levels 1&amp;2'!BN47+'Table 3 Levels 1&amp;2'!BV47</f>
        <v>3622.4878999042335</v>
      </c>
      <c r="E45" s="1059">
        <f t="shared" si="2"/>
        <v>21734.9273994254</v>
      </c>
      <c r="F45" s="1059">
        <f>'Table 5B2_RSD_LA'!F21</f>
        <v>779.65573042776441</v>
      </c>
      <c r="G45" s="1059">
        <f t="shared" si="3"/>
        <v>4677.9343825665865</v>
      </c>
      <c r="H45" s="1059">
        <f t="shared" si="4"/>
        <v>26412.861781991985</v>
      </c>
      <c r="I45" s="1059">
        <f t="shared" si="5"/>
        <v>2201</v>
      </c>
      <c r="J45" s="1051">
        <f>'Table 3 Levels 1&amp;2'!CB47</f>
        <v>4420.29</v>
      </c>
      <c r="K45" s="1053">
        <f t="shared" si="6"/>
        <v>26521.739999999998</v>
      </c>
      <c r="L45" s="1053">
        <f t="shared" si="7"/>
        <v>2210</v>
      </c>
      <c r="M45" s="1054">
        <f t="shared" si="8"/>
        <v>52934.60178199198</v>
      </c>
      <c r="N45" s="1054">
        <f t="shared" si="1"/>
        <v>4411</v>
      </c>
    </row>
    <row r="46" spans="1:14">
      <c r="A46" s="998">
        <v>40</v>
      </c>
      <c r="B46" s="999" t="s">
        <v>134</v>
      </c>
      <c r="C46" s="1126">
        <f>'[2]ALL-Reformatted'!AA45</f>
        <v>3</v>
      </c>
      <c r="D46" s="1005">
        <f>'Table 3 Levels 1&amp;2'!BN48+'Table 3 Levels 1&amp;2'!BV48</f>
        <v>4885.6387343180086</v>
      </c>
      <c r="E46" s="1060">
        <f t="shared" si="2"/>
        <v>14656.916202954026</v>
      </c>
      <c r="F46" s="1060">
        <f>'Table 4 Level 3'!N45</f>
        <v>700.2700000000001</v>
      </c>
      <c r="G46" s="1060">
        <f t="shared" si="3"/>
        <v>2100.8100000000004</v>
      </c>
      <c r="H46" s="1060">
        <f t="shared" si="4"/>
        <v>16757.726202954025</v>
      </c>
      <c r="I46" s="1060">
        <f t="shared" si="5"/>
        <v>1396</v>
      </c>
      <c r="J46" s="1056">
        <f>'Table 3 Levels 1&amp;2'!CB48</f>
        <v>2999.72</v>
      </c>
      <c r="K46" s="1057">
        <f t="shared" si="6"/>
        <v>8999.16</v>
      </c>
      <c r="L46" s="1057">
        <f t="shared" si="7"/>
        <v>750</v>
      </c>
      <c r="M46" s="1058">
        <f t="shared" si="8"/>
        <v>25756.886202954025</v>
      </c>
      <c r="N46" s="1058">
        <f t="shared" si="1"/>
        <v>2146</v>
      </c>
    </row>
    <row r="47" spans="1:14">
      <c r="A47" s="987">
        <v>41</v>
      </c>
      <c r="B47" s="988" t="s">
        <v>135</v>
      </c>
      <c r="C47" s="1127">
        <f>'[2]ALL-Reformatted'!AA46</f>
        <v>0</v>
      </c>
      <c r="D47" s="1007">
        <f>'Table 3 Levels 1&amp;2'!BN49+'Table 3 Levels 1&amp;2'!BV49</f>
        <v>1602.0398121899364</v>
      </c>
      <c r="E47" s="1061">
        <f t="shared" si="2"/>
        <v>0</v>
      </c>
      <c r="F47" s="1061">
        <f>'Table 4 Level 3'!N46</f>
        <v>886.22</v>
      </c>
      <c r="G47" s="1061">
        <f t="shared" si="3"/>
        <v>0</v>
      </c>
      <c r="H47" s="1061">
        <f t="shared" si="4"/>
        <v>0</v>
      </c>
      <c r="I47" s="1061">
        <f t="shared" si="5"/>
        <v>0</v>
      </c>
      <c r="J47" s="1051">
        <f>'Table 3 Levels 1&amp;2'!CB49</f>
        <v>6341.94</v>
      </c>
      <c r="K47" s="992">
        <f t="shared" si="6"/>
        <v>0</v>
      </c>
      <c r="L47" s="992">
        <f t="shared" si="7"/>
        <v>0</v>
      </c>
      <c r="M47" s="993">
        <f t="shared" si="8"/>
        <v>0</v>
      </c>
      <c r="N47" s="993">
        <f t="shared" si="1"/>
        <v>0</v>
      </c>
    </row>
    <row r="48" spans="1:14">
      <c r="A48" s="994">
        <v>42</v>
      </c>
      <c r="B48" s="995" t="s">
        <v>136</v>
      </c>
      <c r="C48" s="1125">
        <f>'[2]ALL-Reformatted'!AA47</f>
        <v>0</v>
      </c>
      <c r="D48" s="1003">
        <f>'Table 3 Levels 1&amp;2'!BN50+'Table 3 Levels 1&amp;2'!BV50</f>
        <v>5098.6172346404755</v>
      </c>
      <c r="E48" s="1059">
        <f t="shared" si="2"/>
        <v>0</v>
      </c>
      <c r="F48" s="1059">
        <f>'Table 4 Level 3'!N47</f>
        <v>534.28</v>
      </c>
      <c r="G48" s="1059">
        <f t="shared" si="3"/>
        <v>0</v>
      </c>
      <c r="H48" s="1059">
        <f t="shared" si="4"/>
        <v>0</v>
      </c>
      <c r="I48" s="1059">
        <f t="shared" si="5"/>
        <v>0</v>
      </c>
      <c r="J48" s="1051">
        <f>'Table 3 Levels 1&amp;2'!CB50</f>
        <v>2618.67</v>
      </c>
      <c r="K48" s="1053">
        <f t="shared" si="6"/>
        <v>0</v>
      </c>
      <c r="L48" s="1053">
        <f t="shared" si="7"/>
        <v>0</v>
      </c>
      <c r="M48" s="1054">
        <f t="shared" si="8"/>
        <v>0</v>
      </c>
      <c r="N48" s="1054">
        <f t="shared" si="1"/>
        <v>0</v>
      </c>
    </row>
    <row r="49" spans="1:14">
      <c r="A49" s="994">
        <v>43</v>
      </c>
      <c r="B49" s="995" t="s">
        <v>137</v>
      </c>
      <c r="C49" s="1125">
        <f>'[2]ALL-Reformatted'!AA48</f>
        <v>0</v>
      </c>
      <c r="D49" s="1003">
        <f>'Table 3 Levels 1&amp;2'!BN51+'Table 3 Levels 1&amp;2'!BV51</f>
        <v>4701.3362575004667</v>
      </c>
      <c r="E49" s="1059">
        <f t="shared" si="2"/>
        <v>0</v>
      </c>
      <c r="F49" s="1059">
        <f>'Table 4 Level 3'!N48</f>
        <v>574.6099999999999</v>
      </c>
      <c r="G49" s="1059">
        <f t="shared" si="3"/>
        <v>0</v>
      </c>
      <c r="H49" s="1059">
        <f t="shared" si="4"/>
        <v>0</v>
      </c>
      <c r="I49" s="1059">
        <f t="shared" si="5"/>
        <v>0</v>
      </c>
      <c r="J49" s="1051">
        <f>'Table 3 Levels 1&amp;2'!CB51</f>
        <v>3919.99</v>
      </c>
      <c r="K49" s="1053">
        <f t="shared" si="6"/>
        <v>0</v>
      </c>
      <c r="L49" s="1053">
        <f t="shared" si="7"/>
        <v>0</v>
      </c>
      <c r="M49" s="1054">
        <f t="shared" si="8"/>
        <v>0</v>
      </c>
      <c r="N49" s="1054">
        <f t="shared" si="1"/>
        <v>0</v>
      </c>
    </row>
    <row r="50" spans="1:14">
      <c r="A50" s="994">
        <v>44</v>
      </c>
      <c r="B50" s="995" t="s">
        <v>138</v>
      </c>
      <c r="C50" s="1125">
        <f>'[2]ALL-Reformatted'!AA49</f>
        <v>7</v>
      </c>
      <c r="D50" s="1003">
        <f>'Table 3 Levels 1&amp;2'!BN52+'Table 3 Levels 1&amp;2'!BV52</f>
        <v>4649.5559521248724</v>
      </c>
      <c r="E50" s="1059">
        <f t="shared" si="2"/>
        <v>32546.891664874107</v>
      </c>
      <c r="F50" s="1059">
        <f>'Table 4 Level 3'!N49</f>
        <v>663.16000000000008</v>
      </c>
      <c r="G50" s="1059">
        <f t="shared" si="3"/>
        <v>4642.1200000000008</v>
      </c>
      <c r="H50" s="1059">
        <f t="shared" si="4"/>
        <v>37189.01166487411</v>
      </c>
      <c r="I50" s="1059">
        <f t="shared" si="5"/>
        <v>3099</v>
      </c>
      <c r="J50" s="1051">
        <f>'Table 3 Levels 1&amp;2'!CB52</f>
        <v>3484.64</v>
      </c>
      <c r="K50" s="1053">
        <f t="shared" si="6"/>
        <v>24392.48</v>
      </c>
      <c r="L50" s="1053">
        <f t="shared" si="7"/>
        <v>2033</v>
      </c>
      <c r="M50" s="1054">
        <f t="shared" si="8"/>
        <v>61581.491664874105</v>
      </c>
      <c r="N50" s="1054">
        <f t="shared" si="1"/>
        <v>5132</v>
      </c>
    </row>
    <row r="51" spans="1:14">
      <c r="A51" s="998">
        <v>45</v>
      </c>
      <c r="B51" s="999" t="s">
        <v>139</v>
      </c>
      <c r="C51" s="1126">
        <f>'[2]ALL-Reformatted'!AA50</f>
        <v>1</v>
      </c>
      <c r="D51" s="1005">
        <f>'Table 3 Levels 1&amp;2'!BN53+'Table 3 Levels 1&amp;2'!BV53</f>
        <v>2159.257884231537</v>
      </c>
      <c r="E51" s="1060">
        <f t="shared" si="2"/>
        <v>2159.257884231537</v>
      </c>
      <c r="F51" s="1060">
        <f>'Table 4 Level 3'!N50</f>
        <v>753.96000000000015</v>
      </c>
      <c r="G51" s="1060">
        <f t="shared" si="3"/>
        <v>753.96000000000015</v>
      </c>
      <c r="H51" s="1060">
        <f t="shared" si="4"/>
        <v>2913.217884231537</v>
      </c>
      <c r="I51" s="1060">
        <f t="shared" si="5"/>
        <v>243</v>
      </c>
      <c r="J51" s="1056">
        <f>'Table 3 Levels 1&amp;2'!CB53</f>
        <v>5247.83</v>
      </c>
      <c r="K51" s="1057">
        <f t="shared" si="6"/>
        <v>5247.83</v>
      </c>
      <c r="L51" s="1057">
        <f t="shared" si="7"/>
        <v>437</v>
      </c>
      <c r="M51" s="1058">
        <f t="shared" si="8"/>
        <v>8161.047884231537</v>
      </c>
      <c r="N51" s="1058">
        <f t="shared" si="1"/>
        <v>680</v>
      </c>
    </row>
    <row r="52" spans="1:14">
      <c r="A52" s="987">
        <v>46</v>
      </c>
      <c r="B52" s="988" t="s">
        <v>140</v>
      </c>
      <c r="C52" s="1127">
        <f>'[2]ALL-Reformatted'!AA51</f>
        <v>0</v>
      </c>
      <c r="D52" s="1007">
        <f>'Table 3 Levels 1&amp;2'!BN54+'Table 3 Levels 1&amp;2'!BV54</f>
        <v>5578.7258135108641</v>
      </c>
      <c r="E52" s="1061">
        <f t="shared" si="2"/>
        <v>0</v>
      </c>
      <c r="F52" s="1061">
        <f>'Table 4 Level 3'!N51</f>
        <v>728.06</v>
      </c>
      <c r="G52" s="1061">
        <f t="shared" si="3"/>
        <v>0</v>
      </c>
      <c r="H52" s="1061">
        <f t="shared" si="4"/>
        <v>0</v>
      </c>
      <c r="I52" s="1061">
        <f t="shared" si="5"/>
        <v>0</v>
      </c>
      <c r="J52" s="1051">
        <f>'Table 3 Levels 1&amp;2'!CB54</f>
        <v>2002.88</v>
      </c>
      <c r="K52" s="992">
        <f t="shared" si="6"/>
        <v>0</v>
      </c>
      <c r="L52" s="992">
        <f t="shared" si="7"/>
        <v>0</v>
      </c>
      <c r="M52" s="993">
        <f t="shared" si="8"/>
        <v>0</v>
      </c>
      <c r="N52" s="993">
        <f t="shared" si="1"/>
        <v>0</v>
      </c>
    </row>
    <row r="53" spans="1:14">
      <c r="A53" s="994">
        <v>47</v>
      </c>
      <c r="B53" s="995" t="s">
        <v>141</v>
      </c>
      <c r="C53" s="1125">
        <f>'[2]ALL-Reformatted'!AA52</f>
        <v>1</v>
      </c>
      <c r="D53" s="1003">
        <f>'Table 3 Levels 1&amp;2'!BN55+'Table 3 Levels 1&amp;2'!BV55</f>
        <v>2709.058014721415</v>
      </c>
      <c r="E53" s="1059">
        <f t="shared" si="2"/>
        <v>2709.058014721415</v>
      </c>
      <c r="F53" s="1059">
        <f>'Table 4 Level 3'!N52</f>
        <v>910.76</v>
      </c>
      <c r="G53" s="1059">
        <f t="shared" si="3"/>
        <v>910.76</v>
      </c>
      <c r="H53" s="1059">
        <f t="shared" si="4"/>
        <v>3619.8180147214152</v>
      </c>
      <c r="I53" s="1059">
        <f t="shared" si="5"/>
        <v>302</v>
      </c>
      <c r="J53" s="1051">
        <f>'Table 3 Levels 1&amp;2'!CB55</f>
        <v>5508.89</v>
      </c>
      <c r="K53" s="1053">
        <f t="shared" si="6"/>
        <v>5508.89</v>
      </c>
      <c r="L53" s="1053">
        <f t="shared" si="7"/>
        <v>459</v>
      </c>
      <c r="M53" s="1054">
        <f t="shared" si="8"/>
        <v>9128.7080147214147</v>
      </c>
      <c r="N53" s="1054">
        <f t="shared" si="1"/>
        <v>761</v>
      </c>
    </row>
    <row r="54" spans="1:14">
      <c r="A54" s="994">
        <v>48</v>
      </c>
      <c r="B54" s="995" t="s">
        <v>202</v>
      </c>
      <c r="C54" s="1125">
        <f>'[2]ALL-Reformatted'!AA53</f>
        <v>2</v>
      </c>
      <c r="D54" s="1003">
        <f>'Table 3 Levels 1&amp;2'!BN56+'Table 3 Levels 1&amp;2'!BV56</f>
        <v>4259.4136153508553</v>
      </c>
      <c r="E54" s="1059">
        <f t="shared" si="2"/>
        <v>8518.8272307017105</v>
      </c>
      <c r="F54" s="1059">
        <f>'Table 4 Level 3'!N53</f>
        <v>871.07</v>
      </c>
      <c r="G54" s="1059">
        <f t="shared" si="3"/>
        <v>1742.14</v>
      </c>
      <c r="H54" s="1059">
        <f t="shared" si="4"/>
        <v>10260.96723070171</v>
      </c>
      <c r="I54" s="1059">
        <f t="shared" si="5"/>
        <v>855</v>
      </c>
      <c r="J54" s="1051">
        <f>'Table 3 Levels 1&amp;2'!CB56</f>
        <v>4119.8599999999997</v>
      </c>
      <c r="K54" s="1053">
        <f t="shared" si="6"/>
        <v>8239.7199999999993</v>
      </c>
      <c r="L54" s="1053">
        <f t="shared" si="7"/>
        <v>687</v>
      </c>
      <c r="M54" s="1054">
        <f t="shared" si="8"/>
        <v>18500.687230701711</v>
      </c>
      <c r="N54" s="1054">
        <f t="shared" si="1"/>
        <v>1542</v>
      </c>
    </row>
    <row r="55" spans="1:14">
      <c r="A55" s="994">
        <v>49</v>
      </c>
      <c r="B55" s="995" t="s">
        <v>142</v>
      </c>
      <c r="C55" s="1125">
        <f>'[2]ALL-Reformatted'!AA54</f>
        <v>4</v>
      </c>
      <c r="D55" s="1003">
        <f>'Table 3 Levels 1&amp;2'!BN57+'Table 3 Levels 1&amp;2'!BV57</f>
        <v>4790.0513947378495</v>
      </c>
      <c r="E55" s="1059">
        <f t="shared" si="2"/>
        <v>19160.205578951398</v>
      </c>
      <c r="F55" s="1059">
        <f>'Table 4 Level 3'!N54</f>
        <v>574.43999999999994</v>
      </c>
      <c r="G55" s="1059">
        <f t="shared" si="3"/>
        <v>2297.7599999999998</v>
      </c>
      <c r="H55" s="1059">
        <f t="shared" si="4"/>
        <v>21457.965578951396</v>
      </c>
      <c r="I55" s="1059">
        <f t="shared" si="5"/>
        <v>1788</v>
      </c>
      <c r="J55" s="1051">
        <f>'Table 3 Levels 1&amp;2'!CB57</f>
        <v>2384.88</v>
      </c>
      <c r="K55" s="1053">
        <f t="shared" si="6"/>
        <v>9539.52</v>
      </c>
      <c r="L55" s="1053">
        <f t="shared" si="7"/>
        <v>795</v>
      </c>
      <c r="M55" s="1054">
        <f t="shared" si="8"/>
        <v>30997.485578951397</v>
      </c>
      <c r="N55" s="1054">
        <f t="shared" si="1"/>
        <v>2583</v>
      </c>
    </row>
    <row r="56" spans="1:14">
      <c r="A56" s="998">
        <v>50</v>
      </c>
      <c r="B56" s="999" t="s">
        <v>143</v>
      </c>
      <c r="C56" s="1126">
        <f>'[2]ALL-Reformatted'!AA55</f>
        <v>2</v>
      </c>
      <c r="D56" s="1005">
        <f>'Table 3 Levels 1&amp;2'!BN58+'Table 3 Levels 1&amp;2'!BV58</f>
        <v>4954.3375045905796</v>
      </c>
      <c r="E56" s="1060">
        <f t="shared" si="2"/>
        <v>9908.6750091811591</v>
      </c>
      <c r="F56" s="1060">
        <f>'Table 4 Level 3'!N55</f>
        <v>634.46</v>
      </c>
      <c r="G56" s="1060">
        <f t="shared" si="3"/>
        <v>1268.92</v>
      </c>
      <c r="H56" s="1060">
        <f t="shared" si="4"/>
        <v>11177.595009181159</v>
      </c>
      <c r="I56" s="1060">
        <f t="shared" si="5"/>
        <v>931</v>
      </c>
      <c r="J56" s="1056">
        <f>'Table 3 Levels 1&amp;2'!CB58</f>
        <v>2872.14</v>
      </c>
      <c r="K56" s="1057">
        <f t="shared" si="6"/>
        <v>5744.28</v>
      </c>
      <c r="L56" s="1057">
        <f t="shared" si="7"/>
        <v>479</v>
      </c>
      <c r="M56" s="1058">
        <f t="shared" si="8"/>
        <v>16921.87500918116</v>
      </c>
      <c r="N56" s="1058">
        <f t="shared" si="1"/>
        <v>1410</v>
      </c>
    </row>
    <row r="57" spans="1:14">
      <c r="A57" s="987">
        <v>51</v>
      </c>
      <c r="B57" s="988" t="s">
        <v>144</v>
      </c>
      <c r="C57" s="1127">
        <f>'[2]ALL-Reformatted'!AA56</f>
        <v>3</v>
      </c>
      <c r="D57" s="1007">
        <f>'Table 3 Levels 1&amp;2'!BN59+'Table 3 Levels 1&amp;2'!BV59</f>
        <v>4290.3461727150461</v>
      </c>
      <c r="E57" s="1061">
        <f t="shared" si="2"/>
        <v>12871.038518145138</v>
      </c>
      <c r="F57" s="1061">
        <f>'Table 4 Level 3'!N56</f>
        <v>706.66</v>
      </c>
      <c r="G57" s="1061">
        <f t="shared" si="3"/>
        <v>2119.98</v>
      </c>
      <c r="H57" s="1061">
        <f t="shared" si="4"/>
        <v>14991.018518145138</v>
      </c>
      <c r="I57" s="1061">
        <f t="shared" si="5"/>
        <v>1249</v>
      </c>
      <c r="J57" s="1051">
        <f>'Table 3 Levels 1&amp;2'!CB59</f>
        <v>3938.13</v>
      </c>
      <c r="K57" s="992">
        <f t="shared" si="6"/>
        <v>11814.39</v>
      </c>
      <c r="L57" s="992">
        <f t="shared" si="7"/>
        <v>985</v>
      </c>
      <c r="M57" s="993">
        <f t="shared" si="8"/>
        <v>26805.408518145137</v>
      </c>
      <c r="N57" s="993">
        <f t="shared" si="1"/>
        <v>2234</v>
      </c>
    </row>
    <row r="58" spans="1:14">
      <c r="A58" s="994">
        <v>52</v>
      </c>
      <c r="B58" s="995" t="s">
        <v>145</v>
      </c>
      <c r="C58" s="1125">
        <f>'[2]ALL-Reformatted'!AA57</f>
        <v>7</v>
      </c>
      <c r="D58" s="1003">
        <f>'Table 3 Levels 1&amp;2'!BN60+'Table 3 Levels 1&amp;2'!BV60</f>
        <v>4988.6415961118701</v>
      </c>
      <c r="E58" s="1059">
        <f t="shared" si="2"/>
        <v>34920.491172783091</v>
      </c>
      <c r="F58" s="1059">
        <f>'Table 4 Level 3'!N57</f>
        <v>658.37</v>
      </c>
      <c r="G58" s="1059">
        <f t="shared" si="3"/>
        <v>4608.59</v>
      </c>
      <c r="H58" s="1059">
        <f t="shared" si="4"/>
        <v>39529.081172783088</v>
      </c>
      <c r="I58" s="1059">
        <f t="shared" si="5"/>
        <v>3294</v>
      </c>
      <c r="J58" s="1051">
        <f>'Table 3 Levels 1&amp;2'!CB60</f>
        <v>3543.17</v>
      </c>
      <c r="K58" s="1053">
        <f t="shared" si="6"/>
        <v>24802.190000000002</v>
      </c>
      <c r="L58" s="1053">
        <f t="shared" si="7"/>
        <v>2067</v>
      </c>
      <c r="M58" s="1054">
        <f t="shared" si="8"/>
        <v>64331.27117278309</v>
      </c>
      <c r="N58" s="1054">
        <f t="shared" si="1"/>
        <v>5361</v>
      </c>
    </row>
    <row r="59" spans="1:14">
      <c r="A59" s="994">
        <v>53</v>
      </c>
      <c r="B59" s="995" t="s">
        <v>146</v>
      </c>
      <c r="C59" s="1125">
        <f>'[2]ALL-Reformatted'!AA58</f>
        <v>8</v>
      </c>
      <c r="D59" s="1003">
        <f>'Table 3 Levels 1&amp;2'!BN61+'Table 3 Levels 1&amp;2'!BV61</f>
        <v>4739.7077057162423</v>
      </c>
      <c r="E59" s="1059">
        <f t="shared" si="2"/>
        <v>37917.661645729939</v>
      </c>
      <c r="F59" s="1059">
        <f>'Table 4 Level 3'!N58</f>
        <v>689.74</v>
      </c>
      <c r="G59" s="1059">
        <f t="shared" si="3"/>
        <v>5517.92</v>
      </c>
      <c r="H59" s="1059">
        <f t="shared" si="4"/>
        <v>43435.581645729937</v>
      </c>
      <c r="I59" s="1059">
        <f t="shared" si="5"/>
        <v>3620</v>
      </c>
      <c r="J59" s="1051">
        <f>'Table 3 Levels 1&amp;2'!CB61</f>
        <v>1941.1</v>
      </c>
      <c r="K59" s="1053">
        <f t="shared" si="6"/>
        <v>15528.8</v>
      </c>
      <c r="L59" s="1053">
        <f t="shared" si="7"/>
        <v>1294</v>
      </c>
      <c r="M59" s="1054">
        <f t="shared" si="8"/>
        <v>58964.38164572994</v>
      </c>
      <c r="N59" s="1054">
        <f t="shared" si="1"/>
        <v>4914</v>
      </c>
    </row>
    <row r="60" spans="1:14">
      <c r="A60" s="994">
        <v>54</v>
      </c>
      <c r="B60" s="995" t="s">
        <v>147</v>
      </c>
      <c r="C60" s="1125">
        <f>'[2]ALL-Reformatted'!AA59</f>
        <v>0</v>
      </c>
      <c r="D60" s="1003">
        <f>'Table 3 Levels 1&amp;2'!BN62+'Table 3 Levels 1&amp;2'!BV62</f>
        <v>5907.1276437932838</v>
      </c>
      <c r="E60" s="1059">
        <f t="shared" si="2"/>
        <v>0</v>
      </c>
      <c r="F60" s="1059">
        <f>'Table 4 Level 3'!N59</f>
        <v>951.45</v>
      </c>
      <c r="G60" s="1059">
        <f t="shared" si="3"/>
        <v>0</v>
      </c>
      <c r="H60" s="1059">
        <f t="shared" si="4"/>
        <v>0</v>
      </c>
      <c r="I60" s="1059">
        <f t="shared" si="5"/>
        <v>0</v>
      </c>
      <c r="J60" s="1051">
        <f>'Table 3 Levels 1&amp;2'!CB62</f>
        <v>3497.92</v>
      </c>
      <c r="K60" s="1053">
        <f t="shared" si="6"/>
        <v>0</v>
      </c>
      <c r="L60" s="1053">
        <f t="shared" si="7"/>
        <v>0</v>
      </c>
      <c r="M60" s="1054">
        <f t="shared" si="8"/>
        <v>0</v>
      </c>
      <c r="N60" s="1054">
        <f t="shared" si="1"/>
        <v>0</v>
      </c>
    </row>
    <row r="61" spans="1:14">
      <c r="A61" s="998">
        <v>55</v>
      </c>
      <c r="B61" s="999" t="s">
        <v>148</v>
      </c>
      <c r="C61" s="1126">
        <f>'[2]ALL-Reformatted'!AA60</f>
        <v>6</v>
      </c>
      <c r="D61" s="1005">
        <f>'Table 3 Levels 1&amp;2'!BN63+'Table 3 Levels 1&amp;2'!BV63</f>
        <v>4115.0954812679902</v>
      </c>
      <c r="E61" s="1060">
        <f t="shared" si="2"/>
        <v>24690.572887607941</v>
      </c>
      <c r="F61" s="1060">
        <f>'Table 4 Level 3'!N60</f>
        <v>795.14</v>
      </c>
      <c r="G61" s="1060">
        <f t="shared" si="3"/>
        <v>4770.84</v>
      </c>
      <c r="H61" s="1060">
        <f t="shared" si="4"/>
        <v>29461.412887607941</v>
      </c>
      <c r="I61" s="1060">
        <f t="shared" si="5"/>
        <v>2455</v>
      </c>
      <c r="J61" s="1056">
        <f>'Table 3 Levels 1&amp;2'!CB63</f>
        <v>3144.82</v>
      </c>
      <c r="K61" s="1057">
        <f t="shared" si="6"/>
        <v>18868.920000000002</v>
      </c>
      <c r="L61" s="1057">
        <f t="shared" si="7"/>
        <v>1572</v>
      </c>
      <c r="M61" s="1058">
        <f t="shared" si="8"/>
        <v>48330.332887607947</v>
      </c>
      <c r="N61" s="1058">
        <f t="shared" si="1"/>
        <v>4027</v>
      </c>
    </row>
    <row r="62" spans="1:14">
      <c r="A62" s="987">
        <v>56</v>
      </c>
      <c r="B62" s="988" t="s">
        <v>149</v>
      </c>
      <c r="C62" s="1127">
        <f>'[2]ALL-Reformatted'!AA61</f>
        <v>0</v>
      </c>
      <c r="D62" s="1007">
        <f>'Table 3 Levels 1&amp;2'!BN64+'Table 3 Levels 1&amp;2'!BV64</f>
        <v>4924.9032059941637</v>
      </c>
      <c r="E62" s="1061">
        <f t="shared" si="2"/>
        <v>0</v>
      </c>
      <c r="F62" s="1061">
        <f>'Table 4 Level 3'!N61</f>
        <v>614.66000000000008</v>
      </c>
      <c r="G62" s="1061">
        <f t="shared" si="3"/>
        <v>0</v>
      </c>
      <c r="H62" s="1061">
        <f t="shared" si="4"/>
        <v>0</v>
      </c>
      <c r="I62" s="1061">
        <f t="shared" si="5"/>
        <v>0</v>
      </c>
      <c r="J62" s="1051">
        <f>'Table 3 Levels 1&amp;2'!CB64</f>
        <v>2840.72</v>
      </c>
      <c r="K62" s="992">
        <f t="shared" si="6"/>
        <v>0</v>
      </c>
      <c r="L62" s="992">
        <f t="shared" si="7"/>
        <v>0</v>
      </c>
      <c r="M62" s="993">
        <f t="shared" si="8"/>
        <v>0</v>
      </c>
      <c r="N62" s="993">
        <f t="shared" si="1"/>
        <v>0</v>
      </c>
    </row>
    <row r="63" spans="1:14">
      <c r="A63" s="994">
        <v>57</v>
      </c>
      <c r="B63" s="995" t="s">
        <v>150</v>
      </c>
      <c r="C63" s="1125">
        <f>'[2]ALL-Reformatted'!AA62</f>
        <v>0</v>
      </c>
      <c r="D63" s="1003">
        <f>'Table 3 Levels 1&amp;2'!BN65+'Table 3 Levels 1&amp;2'!BV65</f>
        <v>4434.5516744018987</v>
      </c>
      <c r="E63" s="1059">
        <f t="shared" si="2"/>
        <v>0</v>
      </c>
      <c r="F63" s="1059">
        <f>'Table 4 Level 3'!N62</f>
        <v>764.51</v>
      </c>
      <c r="G63" s="1059">
        <f t="shared" si="3"/>
        <v>0</v>
      </c>
      <c r="H63" s="1059">
        <f t="shared" si="4"/>
        <v>0</v>
      </c>
      <c r="I63" s="1059">
        <f t="shared" si="5"/>
        <v>0</v>
      </c>
      <c r="J63" s="1051">
        <f>'Table 3 Levels 1&amp;2'!CB65</f>
        <v>2842.73</v>
      </c>
      <c r="K63" s="1053">
        <f t="shared" si="6"/>
        <v>0</v>
      </c>
      <c r="L63" s="1053">
        <f t="shared" si="7"/>
        <v>0</v>
      </c>
      <c r="M63" s="1054">
        <f t="shared" si="8"/>
        <v>0</v>
      </c>
      <c r="N63" s="1054">
        <f t="shared" si="1"/>
        <v>0</v>
      </c>
    </row>
    <row r="64" spans="1:14">
      <c r="A64" s="994">
        <v>58</v>
      </c>
      <c r="B64" s="995" t="s">
        <v>151</v>
      </c>
      <c r="C64" s="1125">
        <f>'[2]ALL-Reformatted'!AA63</f>
        <v>1</v>
      </c>
      <c r="D64" s="1003">
        <f>'Table 3 Levels 1&amp;2'!BN66+'Table 3 Levels 1&amp;2'!BV66</f>
        <v>5434.7170435013286</v>
      </c>
      <c r="E64" s="1059">
        <f t="shared" si="2"/>
        <v>5434.7170435013286</v>
      </c>
      <c r="F64" s="1059">
        <f>'Table 4 Level 3'!N63</f>
        <v>697.04</v>
      </c>
      <c r="G64" s="1059">
        <f t="shared" si="3"/>
        <v>697.04</v>
      </c>
      <c r="H64" s="1059">
        <f t="shared" si="4"/>
        <v>6131.7570435013286</v>
      </c>
      <c r="I64" s="1059">
        <f t="shared" si="5"/>
        <v>511</v>
      </c>
      <c r="J64" s="1051">
        <f>'Table 3 Levels 1&amp;2'!CB66</f>
        <v>2165.5100000000002</v>
      </c>
      <c r="K64" s="1053">
        <f t="shared" si="6"/>
        <v>2165.5100000000002</v>
      </c>
      <c r="L64" s="1053">
        <f t="shared" si="7"/>
        <v>180</v>
      </c>
      <c r="M64" s="1054">
        <f t="shared" si="8"/>
        <v>8297.2670435013279</v>
      </c>
      <c r="N64" s="1054">
        <f t="shared" si="1"/>
        <v>691</v>
      </c>
    </row>
    <row r="65" spans="1:14">
      <c r="A65" s="994">
        <v>59</v>
      </c>
      <c r="B65" s="995" t="s">
        <v>152</v>
      </c>
      <c r="C65" s="1125">
        <f>'[2]ALL-Reformatted'!AA64</f>
        <v>1</v>
      </c>
      <c r="D65" s="1003">
        <f>'Table 3 Levels 1&amp;2'!BN67+'Table 3 Levels 1&amp;2'!BV67</f>
        <v>6252.2385330184643</v>
      </c>
      <c r="E65" s="1059">
        <f t="shared" si="2"/>
        <v>6252.2385330184643</v>
      </c>
      <c r="F65" s="1059">
        <f>'Table 4 Level 3'!N64</f>
        <v>689.52</v>
      </c>
      <c r="G65" s="1059">
        <f t="shared" si="3"/>
        <v>689.52</v>
      </c>
      <c r="H65" s="1059">
        <f t="shared" si="4"/>
        <v>6941.7585330184647</v>
      </c>
      <c r="I65" s="1059">
        <f t="shared" si="5"/>
        <v>578</v>
      </c>
      <c r="J65" s="1051">
        <f>'Table 3 Levels 1&amp;2'!CB67</f>
        <v>1565.88</v>
      </c>
      <c r="K65" s="1053">
        <f t="shared" si="6"/>
        <v>1565.88</v>
      </c>
      <c r="L65" s="1053">
        <f t="shared" si="7"/>
        <v>130</v>
      </c>
      <c r="M65" s="1054">
        <f t="shared" si="8"/>
        <v>8507.6385330184639</v>
      </c>
      <c r="N65" s="1054">
        <f t="shared" si="1"/>
        <v>708</v>
      </c>
    </row>
    <row r="66" spans="1:14">
      <c r="A66" s="998">
        <v>60</v>
      </c>
      <c r="B66" s="999" t="s">
        <v>153</v>
      </c>
      <c r="C66" s="1126">
        <f>'[2]ALL-Reformatted'!AA65</f>
        <v>3</v>
      </c>
      <c r="D66" s="1005">
        <f>'Table 3 Levels 1&amp;2'!BN68+'Table 3 Levels 1&amp;2'!BV68</f>
        <v>4902.6575100268701</v>
      </c>
      <c r="E66" s="1060">
        <f t="shared" si="2"/>
        <v>14707.972530080609</v>
      </c>
      <c r="F66" s="1060">
        <f>'Table 4 Level 3'!N65</f>
        <v>594.04</v>
      </c>
      <c r="G66" s="1060">
        <f t="shared" si="3"/>
        <v>1782.12</v>
      </c>
      <c r="H66" s="1060">
        <f t="shared" si="4"/>
        <v>16490.092530080608</v>
      </c>
      <c r="I66" s="1060">
        <f t="shared" si="5"/>
        <v>1374</v>
      </c>
      <c r="J66" s="1056">
        <f>'Table 3 Levels 1&amp;2'!CB68</f>
        <v>3359.72</v>
      </c>
      <c r="K66" s="1057">
        <f t="shared" si="6"/>
        <v>10079.16</v>
      </c>
      <c r="L66" s="1057">
        <f t="shared" si="7"/>
        <v>840</v>
      </c>
      <c r="M66" s="1058">
        <f t="shared" si="8"/>
        <v>26569.252530080608</v>
      </c>
      <c r="N66" s="1058">
        <f t="shared" si="1"/>
        <v>2214</v>
      </c>
    </row>
    <row r="67" spans="1:14">
      <c r="A67" s="987">
        <v>61</v>
      </c>
      <c r="B67" s="988" t="s">
        <v>154</v>
      </c>
      <c r="C67" s="1127">
        <f>'[2]ALL-Reformatted'!AA66</f>
        <v>6</v>
      </c>
      <c r="D67" s="1007">
        <f>'Table 3 Levels 1&amp;2'!BN69+'Table 3 Levels 1&amp;2'!BV69</f>
        <v>2872.7719101339244</v>
      </c>
      <c r="E67" s="1061">
        <f t="shared" si="2"/>
        <v>17236.631460803546</v>
      </c>
      <c r="F67" s="1061">
        <f>'Table 4 Level 3'!N66</f>
        <v>833.70999999999992</v>
      </c>
      <c r="G67" s="1061">
        <f t="shared" si="3"/>
        <v>5002.2599999999993</v>
      </c>
      <c r="H67" s="1061">
        <f t="shared" si="4"/>
        <v>22238.891460803545</v>
      </c>
      <c r="I67" s="1061">
        <f t="shared" si="5"/>
        <v>1853</v>
      </c>
      <c r="J67" s="1051">
        <f>'Table 3 Levels 1&amp;2'!CB69</f>
        <v>4930.3500000000004</v>
      </c>
      <c r="K67" s="992">
        <f t="shared" si="6"/>
        <v>29582.100000000002</v>
      </c>
      <c r="L67" s="992">
        <f t="shared" si="7"/>
        <v>2465</v>
      </c>
      <c r="M67" s="993">
        <f t="shared" si="8"/>
        <v>51820.991460803547</v>
      </c>
      <c r="N67" s="993">
        <f t="shared" si="1"/>
        <v>4318</v>
      </c>
    </row>
    <row r="68" spans="1:14">
      <c r="A68" s="994">
        <v>62</v>
      </c>
      <c r="B68" s="995" t="s">
        <v>155</v>
      </c>
      <c r="C68" s="1125">
        <f>'[2]ALL-Reformatted'!AA67</f>
        <v>1</v>
      </c>
      <c r="D68" s="1003">
        <f>'Table 3 Levels 1&amp;2'!BN70+'Table 3 Levels 1&amp;2'!BV70</f>
        <v>5594.25143978908</v>
      </c>
      <c r="E68" s="1059">
        <f t="shared" si="2"/>
        <v>5594.25143978908</v>
      </c>
      <c r="F68" s="1059">
        <f>'Table 4 Level 3'!N67</f>
        <v>516.08000000000004</v>
      </c>
      <c r="G68" s="1059">
        <f t="shared" si="3"/>
        <v>516.08000000000004</v>
      </c>
      <c r="H68" s="1059">
        <f t="shared" si="4"/>
        <v>6110.3314397890799</v>
      </c>
      <c r="I68" s="1059">
        <f t="shared" si="5"/>
        <v>509</v>
      </c>
      <c r="J68" s="1051">
        <f>'Table 3 Levels 1&amp;2'!CB70</f>
        <v>1801.5</v>
      </c>
      <c r="K68" s="1053">
        <f t="shared" si="6"/>
        <v>1801.5</v>
      </c>
      <c r="L68" s="1053">
        <f t="shared" si="7"/>
        <v>150</v>
      </c>
      <c r="M68" s="1054">
        <f t="shared" si="8"/>
        <v>7911.8314397890799</v>
      </c>
      <c r="N68" s="1054">
        <f t="shared" si="1"/>
        <v>659</v>
      </c>
    </row>
    <row r="69" spans="1:14">
      <c r="A69" s="994">
        <v>63</v>
      </c>
      <c r="B69" s="995" t="s">
        <v>156</v>
      </c>
      <c r="C69" s="1125">
        <f>'[2]ALL-Reformatted'!AA68</f>
        <v>1</v>
      </c>
      <c r="D69" s="1003">
        <f>'Table 3 Levels 1&amp;2'!BN71+'Table 3 Levels 1&amp;2'!BV71</f>
        <v>4318.8609300898834</v>
      </c>
      <c r="E69" s="1059">
        <f t="shared" si="2"/>
        <v>4318.8609300898834</v>
      </c>
      <c r="F69" s="1059">
        <f>'Table 4 Level 3'!N68</f>
        <v>756.79</v>
      </c>
      <c r="G69" s="1059">
        <f t="shared" si="3"/>
        <v>756.79</v>
      </c>
      <c r="H69" s="1059">
        <f t="shared" si="4"/>
        <v>5075.6509300898833</v>
      </c>
      <c r="I69" s="1059">
        <f t="shared" si="5"/>
        <v>423</v>
      </c>
      <c r="J69" s="1051">
        <f>'Table 3 Levels 1&amp;2'!CB71</f>
        <v>4982.8599999999997</v>
      </c>
      <c r="K69" s="1053">
        <f t="shared" si="6"/>
        <v>4982.8599999999997</v>
      </c>
      <c r="L69" s="1053">
        <f t="shared" si="7"/>
        <v>415</v>
      </c>
      <c r="M69" s="1054">
        <f t="shared" si="8"/>
        <v>10058.510930089884</v>
      </c>
      <c r="N69" s="1054">
        <f t="shared" si="1"/>
        <v>838</v>
      </c>
    </row>
    <row r="70" spans="1:14">
      <c r="A70" s="994">
        <v>64</v>
      </c>
      <c r="B70" s="995" t="s">
        <v>157</v>
      </c>
      <c r="C70" s="1125">
        <f>'[2]ALL-Reformatted'!AA69</f>
        <v>1</v>
      </c>
      <c r="D70" s="1003">
        <f>'Table 3 Levels 1&amp;2'!BN72+'Table 3 Levels 1&amp;2'!BV72</f>
        <v>5921.7418933384488</v>
      </c>
      <c r="E70" s="1059">
        <f t="shared" si="2"/>
        <v>5921.7418933384488</v>
      </c>
      <c r="F70" s="1059">
        <f>'Table 4 Level 3'!N69</f>
        <v>592.66</v>
      </c>
      <c r="G70" s="1059">
        <f t="shared" si="3"/>
        <v>592.66</v>
      </c>
      <c r="H70" s="1059">
        <f t="shared" si="4"/>
        <v>6514.4018933384486</v>
      </c>
      <c r="I70" s="1059">
        <f t="shared" si="5"/>
        <v>543</v>
      </c>
      <c r="J70" s="1051">
        <f>'Table 3 Levels 1&amp;2'!CB72</f>
        <v>2874.09</v>
      </c>
      <c r="K70" s="1053">
        <f t="shared" si="6"/>
        <v>2874.09</v>
      </c>
      <c r="L70" s="1053">
        <f t="shared" si="7"/>
        <v>240</v>
      </c>
      <c r="M70" s="1054">
        <f t="shared" si="8"/>
        <v>9388.4918933384488</v>
      </c>
      <c r="N70" s="1054">
        <f t="shared" si="1"/>
        <v>783</v>
      </c>
    </row>
    <row r="71" spans="1:14">
      <c r="A71" s="998">
        <v>65</v>
      </c>
      <c r="B71" s="999" t="s">
        <v>158</v>
      </c>
      <c r="C71" s="1126">
        <f>'[2]ALL-Reformatted'!AA70</f>
        <v>2</v>
      </c>
      <c r="D71" s="1005">
        <f>'Table 3 Levels 1&amp;2'!BN73+'Table 3 Levels 1&amp;2'!BV73</f>
        <v>4578.9201269671275</v>
      </c>
      <c r="E71" s="1060">
        <f t="shared" si="2"/>
        <v>9157.8402539342551</v>
      </c>
      <c r="F71" s="1060">
        <f>'Table 4 Level 3'!N70</f>
        <v>829.12</v>
      </c>
      <c r="G71" s="1060">
        <f t="shared" si="3"/>
        <v>1658.24</v>
      </c>
      <c r="H71" s="1060">
        <f t="shared" si="4"/>
        <v>10816.080253934255</v>
      </c>
      <c r="I71" s="1060">
        <f t="shared" si="5"/>
        <v>901</v>
      </c>
      <c r="J71" s="1056">
        <f>'Table 3 Levels 1&amp;2'!CB73</f>
        <v>3892.27</v>
      </c>
      <c r="K71" s="1057">
        <f t="shared" si="6"/>
        <v>7784.54</v>
      </c>
      <c r="L71" s="1057">
        <f t="shared" si="7"/>
        <v>649</v>
      </c>
      <c r="M71" s="1058">
        <f t="shared" si="8"/>
        <v>18600.620253934256</v>
      </c>
      <c r="N71" s="1058">
        <f t="shared" ref="N71:N75" si="9">I71+L71</f>
        <v>1550</v>
      </c>
    </row>
    <row r="72" spans="1:14">
      <c r="A72" s="987">
        <v>66</v>
      </c>
      <c r="B72" s="988" t="s">
        <v>159</v>
      </c>
      <c r="C72" s="1127">
        <f>'[2]ALL-Reformatted'!AA71</f>
        <v>1</v>
      </c>
      <c r="D72" s="1007">
        <f>'Table 3 Levels 1&amp;2'!BN74+'Table 3 Levels 1&amp;2'!BV74</f>
        <v>6340.8763293271122</v>
      </c>
      <c r="E72" s="1061">
        <f t="shared" ref="E72:E75" si="10">C72*D72</f>
        <v>6340.8763293271122</v>
      </c>
      <c r="F72" s="1061">
        <f>'Table 4 Level 3'!N71</f>
        <v>730.06</v>
      </c>
      <c r="G72" s="1061">
        <f t="shared" ref="G72:G75" si="11">F72*C72</f>
        <v>730.06</v>
      </c>
      <c r="H72" s="1061">
        <f t="shared" ref="H72:H75" si="12">E72+G72</f>
        <v>7070.9363293271126</v>
      </c>
      <c r="I72" s="1061">
        <f t="shared" ref="I72:I75" si="13">ROUND(H72/12,0)</f>
        <v>589</v>
      </c>
      <c r="J72" s="1051">
        <f>'Table 3 Levels 1&amp;2'!CB74</f>
        <v>3657.95</v>
      </c>
      <c r="K72" s="992">
        <f t="shared" ref="K72:K75" si="14">C72*J72</f>
        <v>3657.95</v>
      </c>
      <c r="L72" s="992">
        <f>ROUND(K72/12,0)</f>
        <v>305</v>
      </c>
      <c r="M72" s="993">
        <f t="shared" ref="M72:M75" si="15">H72+K72</f>
        <v>10728.886329327113</v>
      </c>
      <c r="N72" s="993">
        <f t="shared" si="9"/>
        <v>894</v>
      </c>
    </row>
    <row r="73" spans="1:14">
      <c r="A73" s="994">
        <v>67</v>
      </c>
      <c r="B73" s="995" t="s">
        <v>32</v>
      </c>
      <c r="C73" s="1125">
        <f>'[2]ALL-Reformatted'!AA72</f>
        <v>3</v>
      </c>
      <c r="D73" s="1003">
        <f>'Table 3 Levels 1&amp;2'!BN75+'Table 3 Levels 1&amp;2'!BV75</f>
        <v>4984.1100297034172</v>
      </c>
      <c r="E73" s="1059">
        <f t="shared" si="10"/>
        <v>14952.330089110252</v>
      </c>
      <c r="F73" s="1059">
        <f>'Table 4 Level 3'!N72</f>
        <v>715.61</v>
      </c>
      <c r="G73" s="1059">
        <f t="shared" si="11"/>
        <v>2146.83</v>
      </c>
      <c r="H73" s="1059">
        <f t="shared" si="12"/>
        <v>17099.16008911025</v>
      </c>
      <c r="I73" s="1059">
        <f t="shared" si="13"/>
        <v>1425</v>
      </c>
      <c r="J73" s="1051">
        <f>'Table 3 Levels 1&amp;2'!CB75</f>
        <v>3236.92</v>
      </c>
      <c r="K73" s="1053">
        <f t="shared" si="14"/>
        <v>9710.76</v>
      </c>
      <c r="L73" s="1053">
        <f>ROUND(K73/12,0)</f>
        <v>809</v>
      </c>
      <c r="M73" s="1054">
        <f>H73+K73</f>
        <v>26809.920089110252</v>
      </c>
      <c r="N73" s="1054">
        <f t="shared" si="9"/>
        <v>2234</v>
      </c>
    </row>
    <row r="74" spans="1:14">
      <c r="A74" s="994">
        <v>68</v>
      </c>
      <c r="B74" s="995" t="s">
        <v>30</v>
      </c>
      <c r="C74" s="1125">
        <f>'[2]ALL-Reformatted'!AA73</f>
        <v>3</v>
      </c>
      <c r="D74" s="1003">
        <f>'Table 3 Levels 1&amp;2'!BN76+'Table 3 Levels 1&amp;2'!BV76</f>
        <v>6012.7854305239725</v>
      </c>
      <c r="E74" s="1059">
        <f t="shared" si="10"/>
        <v>18038.356291571916</v>
      </c>
      <c r="F74" s="1059">
        <f>'Table 4 Level 3'!N73</f>
        <v>798.7</v>
      </c>
      <c r="G74" s="1059">
        <f t="shared" si="11"/>
        <v>2396.1000000000004</v>
      </c>
      <c r="H74" s="1059">
        <f t="shared" si="12"/>
        <v>20434.456291571914</v>
      </c>
      <c r="I74" s="1059">
        <f t="shared" si="13"/>
        <v>1703</v>
      </c>
      <c r="J74" s="1051">
        <f>'Table 3 Levels 1&amp;2'!CB76</f>
        <v>2776.55</v>
      </c>
      <c r="K74" s="1053">
        <f t="shared" si="14"/>
        <v>8329.6500000000015</v>
      </c>
      <c r="L74" s="1053">
        <f>ROUND(K74/12,0)</f>
        <v>694</v>
      </c>
      <c r="M74" s="1054">
        <f t="shared" si="15"/>
        <v>28764.106291571916</v>
      </c>
      <c r="N74" s="1054">
        <f t="shared" si="9"/>
        <v>2397</v>
      </c>
    </row>
    <row r="75" spans="1:14">
      <c r="A75" s="1008">
        <v>69</v>
      </c>
      <c r="B75" s="1009" t="s">
        <v>213</v>
      </c>
      <c r="C75" s="1128">
        <f>'[2]ALL-Reformatted'!AA74</f>
        <v>2</v>
      </c>
      <c r="D75" s="1011">
        <f>'Table 3 Levels 1&amp;2'!BN77+'Table 3 Levels 1&amp;2'!BV77</f>
        <v>5559.7139008686299</v>
      </c>
      <c r="E75" s="1062">
        <f t="shared" si="10"/>
        <v>11119.42780173726</v>
      </c>
      <c r="F75" s="1062">
        <f>'Table 4 Level 3'!N74</f>
        <v>705.67</v>
      </c>
      <c r="G75" s="1062">
        <f t="shared" si="11"/>
        <v>1411.34</v>
      </c>
      <c r="H75" s="1062">
        <f t="shared" si="12"/>
        <v>12530.76780173726</v>
      </c>
      <c r="I75" s="1062">
        <f t="shared" si="13"/>
        <v>1044</v>
      </c>
      <c r="J75" s="1051">
        <f>'Table 3 Levels 1&amp;2'!CB77</f>
        <v>2845.27</v>
      </c>
      <c r="K75" s="1063">
        <f t="shared" si="14"/>
        <v>5690.54</v>
      </c>
      <c r="L75" s="1063">
        <f>ROUND(K75/12,0)</f>
        <v>474</v>
      </c>
      <c r="M75" s="1064">
        <f t="shared" si="15"/>
        <v>18221.307801737261</v>
      </c>
      <c r="N75" s="1064">
        <f t="shared" si="9"/>
        <v>1518</v>
      </c>
    </row>
    <row r="76" spans="1:14" s="1019" customFormat="1" ht="13.5" thickBot="1">
      <c r="A76" s="1012"/>
      <c r="B76" s="1013" t="s">
        <v>160</v>
      </c>
      <c r="C76" s="1014">
        <f>SUM(C7:C75)</f>
        <v>225</v>
      </c>
      <c r="D76" s="1015"/>
      <c r="E76" s="1016">
        <f t="shared" ref="E76:H76" si="16">SUM(E7:E75)</f>
        <v>952942.89764519001</v>
      </c>
      <c r="F76" s="1016"/>
      <c r="G76" s="1016">
        <f t="shared" si="16"/>
        <v>161719.27764155634</v>
      </c>
      <c r="H76" s="1016">
        <f t="shared" si="16"/>
        <v>1114662.1752867466</v>
      </c>
      <c r="I76" s="1016">
        <f>SUM(I7:I75)</f>
        <v>92886</v>
      </c>
      <c r="J76" s="1065">
        <f>'Table 3 Levels 1&amp;2'!CB78</f>
        <v>3536.28</v>
      </c>
      <c r="K76" s="1017">
        <f>SUM(K7:K75)</f>
        <v>817224.38000000024</v>
      </c>
      <c r="L76" s="1017">
        <f>SUM(L7:L75)</f>
        <v>68099</v>
      </c>
      <c r="M76" s="1018">
        <f>SUM(M7:M75)</f>
        <v>1931886.5552867469</v>
      </c>
      <c r="N76" s="1018">
        <f>SUM(N7:N75)</f>
        <v>160985</v>
      </c>
    </row>
    <row r="77" spans="1:14" s="1019" customFormat="1" ht="13.5" thickTop="1">
      <c r="A77" s="1020"/>
      <c r="B77" s="1020"/>
      <c r="C77" s="1021"/>
      <c r="D77" s="1021"/>
      <c r="E77" s="1024"/>
      <c r="F77" s="1024"/>
      <c r="G77" s="1024"/>
      <c r="H77" s="1024"/>
      <c r="J77" s="1023"/>
      <c r="K77" s="1023"/>
      <c r="L77" s="1023"/>
    </row>
    <row r="78" spans="1:14" ht="27" customHeight="1">
      <c r="A78" s="1025"/>
      <c r="C78" s="1129"/>
    </row>
    <row r="79" spans="1:14" ht="12.75" hidden="1" customHeight="1"/>
    <row r="80" spans="1:14" hidden="1"/>
    <row r="81" spans="3:9" hidden="1"/>
    <row r="82" spans="3:9" hidden="1"/>
    <row r="83" spans="3:9" hidden="1">
      <c r="E83" s="1028"/>
      <c r="F83" s="1028"/>
      <c r="G83" s="1028"/>
      <c r="H83" s="1028"/>
      <c r="I83" s="1027"/>
    </row>
    <row r="84" spans="3:9" ht="10.5" hidden="1" customHeight="1"/>
    <row r="85" spans="3:9" hidden="1"/>
    <row r="86" spans="3:9" hidden="1">
      <c r="C86" s="1029"/>
      <c r="D86" s="1030" t="s">
        <v>374</v>
      </c>
    </row>
    <row r="87" spans="3:9" hidden="1">
      <c r="C87" s="1029"/>
      <c r="D87" s="1030" t="s">
        <v>375</v>
      </c>
    </row>
    <row r="88" spans="3:9" hidden="1">
      <c r="C88" s="1031"/>
      <c r="D88" s="1030" t="s">
        <v>376</v>
      </c>
    </row>
    <row r="89" spans="3:9" hidden="1">
      <c r="C89" s="1029"/>
      <c r="D89" s="1030"/>
    </row>
    <row r="90" spans="3:9" hidden="1">
      <c r="C90" s="1029"/>
      <c r="D90" s="1030" t="s">
        <v>377</v>
      </c>
    </row>
    <row r="91" spans="3:9" hidden="1">
      <c r="C91" s="1029"/>
      <c r="D91" s="1030" t="s">
        <v>378</v>
      </c>
    </row>
    <row r="92" spans="3:9" hidden="1">
      <c r="C92" s="1031"/>
      <c r="D92" s="1030" t="s">
        <v>379</v>
      </c>
    </row>
    <row r="93" spans="3:9" hidden="1">
      <c r="C93" s="1029"/>
      <c r="D93" s="1030"/>
    </row>
    <row r="94" spans="3:9" hidden="1">
      <c r="C94" s="1032"/>
      <c r="D94" s="1033" t="s">
        <v>380</v>
      </c>
    </row>
    <row r="95" spans="3:9" hidden="1">
      <c r="C95" s="1130"/>
      <c r="D95" s="1033"/>
    </row>
    <row r="96" spans="3:9" hidden="1">
      <c r="C96" s="1035"/>
      <c r="D96" s="1030" t="s">
        <v>381</v>
      </c>
    </row>
    <row r="97" spans="3:4" hidden="1">
      <c r="C97" s="1131"/>
      <c r="D97" s="1033" t="s">
        <v>382</v>
      </c>
    </row>
    <row r="98" spans="3:4" hidden="1">
      <c r="C98" s="1035"/>
      <c r="D98" s="1037" t="s">
        <v>383</v>
      </c>
    </row>
    <row r="99" spans="3:4" hidden="1">
      <c r="C99" s="1132"/>
      <c r="D99" s="1033" t="s">
        <v>384</v>
      </c>
    </row>
    <row r="100" spans="3:4" hidden="1">
      <c r="C100" s="1035"/>
      <c r="D100" s="1033" t="s">
        <v>385</v>
      </c>
    </row>
    <row r="101" spans="3:4" hidden="1">
      <c r="C101" s="1133"/>
      <c r="D101" s="1033" t="s">
        <v>386</v>
      </c>
    </row>
    <row r="102" spans="3:4" hidden="1">
      <c r="C102" s="1040"/>
      <c r="D102" s="1033" t="s">
        <v>387</v>
      </c>
    </row>
    <row r="103" spans="3:4" hidden="1">
      <c r="C103" s="1040"/>
      <c r="D103" s="1033"/>
    </row>
    <row r="104" spans="3:4" hidden="1">
      <c r="C104" s="1040"/>
      <c r="D104" s="1033"/>
    </row>
    <row r="105" spans="3:4" hidden="1">
      <c r="D105" s="1033"/>
    </row>
    <row r="106" spans="3:4" hidden="1"/>
  </sheetData>
  <mergeCells count="15">
    <mergeCell ref="A2:B4"/>
    <mergeCell ref="C2:I2"/>
    <mergeCell ref="J2:L2"/>
    <mergeCell ref="M2:M4"/>
    <mergeCell ref="N2:N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rintOptions horizontalCentered="1"/>
  <pageMargins left="0.27" right="0.25" top="0.87" bottom="0.2" header="0.25" footer="0.2"/>
  <pageSetup paperSize="5" scale="70" firstPageNumber="49" fitToWidth="3" orientation="portrait" useFirstPageNumber="1" r:id="rId1"/>
  <headerFooter alignWithMargins="0">
    <oddHeader xml:space="preserve">&amp;L&amp;"Arial,Bold"&amp;16Table 5A4:  FY2013-14 MFP Budget Letter (Projection)
Louisiana School for the Deaf and Visually Impaired (&amp;14LSDVI)&amp;R&amp;"Arial,Bold"&amp;12&amp;KFF0000
</oddHeader>
    <oddFooter>&amp;R&amp;P</oddFooter>
  </headerFooter>
  <colBreaks count="1" manualBreakCount="1">
    <brk id="9" min="1" max="7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KE107"/>
  <sheetViews>
    <sheetView view="pageBreakPreview" zoomScale="90" zoomScaleNormal="100" zoomScaleSheetLayoutView="90" workbookViewId="0">
      <pane xSplit="2" ySplit="6" topLeftCell="C7" activePane="bottomRight" state="frozen"/>
      <selection activeCell="B3" sqref="B3:B5"/>
      <selection pane="topRight" activeCell="B3" sqref="B3:B5"/>
      <selection pane="bottomLeft" activeCell="B3" sqref="B3:B5"/>
      <selection pane="bottomRight" activeCell="A2" sqref="A2:B4"/>
    </sheetView>
  </sheetViews>
  <sheetFormatPr defaultColWidth="12.5703125" defaultRowHeight="12.75"/>
  <cols>
    <col min="1" max="1" width="3.85546875" style="971" customWidth="1"/>
    <col min="2" max="2" width="17.5703125" style="971" customWidth="1"/>
    <col min="3" max="3" width="15" style="974" customWidth="1"/>
    <col min="4" max="4" width="16.140625" style="974" customWidth="1"/>
    <col min="5" max="8" width="12.85546875" style="975" customWidth="1"/>
    <col min="9" max="9" width="10.42578125" style="974" customWidth="1"/>
    <col min="10" max="10" width="15.85546875" style="1049" customWidth="1"/>
    <col min="11" max="11" width="13.7109375" style="974" bestFit="1" customWidth="1"/>
    <col min="12" max="12" width="10.85546875" style="974" bestFit="1" customWidth="1"/>
    <col min="13" max="14" width="12.5703125" style="971" customWidth="1"/>
    <col min="15" max="16384" width="12.5703125" style="971"/>
  </cols>
  <sheetData>
    <row r="1" spans="1:291" ht="9" customHeight="1">
      <c r="B1" s="972"/>
      <c r="C1" s="973"/>
      <c r="D1" s="973"/>
    </row>
    <row r="2" spans="1:291" s="976" customFormat="1" ht="39.75" customHeight="1">
      <c r="A2" s="2000" t="s">
        <v>516</v>
      </c>
      <c r="B2" s="2001"/>
      <c r="C2" s="2017"/>
      <c r="D2" s="2017"/>
      <c r="E2" s="2017"/>
      <c r="F2" s="2017"/>
      <c r="G2" s="2017"/>
      <c r="H2" s="2017"/>
      <c r="I2" s="2018"/>
      <c r="J2" s="1992" t="s">
        <v>1357</v>
      </c>
      <c r="K2" s="1993"/>
      <c r="L2" s="1994"/>
      <c r="M2" s="1995" t="s">
        <v>1354</v>
      </c>
      <c r="N2" s="1995" t="s">
        <v>1355</v>
      </c>
    </row>
    <row r="3" spans="1:291" ht="76.5" customHeight="1">
      <c r="A3" s="2002"/>
      <c r="B3" s="2003"/>
      <c r="C3" s="2006" t="s">
        <v>1176</v>
      </c>
      <c r="D3" s="2008" t="s">
        <v>1358</v>
      </c>
      <c r="E3" s="2006" t="s">
        <v>1350</v>
      </c>
      <c r="F3" s="2006" t="s">
        <v>1215</v>
      </c>
      <c r="G3" s="2006" t="s">
        <v>521</v>
      </c>
      <c r="H3" s="2006" t="s">
        <v>1351</v>
      </c>
      <c r="I3" s="2008" t="s">
        <v>1356</v>
      </c>
      <c r="J3" s="2009" t="s">
        <v>1347</v>
      </c>
      <c r="K3" s="2019" t="s">
        <v>1359</v>
      </c>
      <c r="L3" s="2019" t="s">
        <v>1352</v>
      </c>
      <c r="M3" s="1996"/>
      <c r="N3" s="1996"/>
    </row>
    <row r="4" spans="1:291" ht="40.5" customHeight="1">
      <c r="A4" s="2004"/>
      <c r="B4" s="2005"/>
      <c r="C4" s="2007"/>
      <c r="D4" s="2008"/>
      <c r="E4" s="2007"/>
      <c r="F4" s="2007"/>
      <c r="G4" s="2007"/>
      <c r="H4" s="2007"/>
      <c r="I4" s="2008"/>
      <c r="J4" s="2010"/>
      <c r="K4" s="1999"/>
      <c r="L4" s="1999"/>
      <c r="M4" s="1997"/>
      <c r="N4" s="1997"/>
    </row>
    <row r="5" spans="1:291" s="981" customFormat="1" ht="14.25" customHeight="1">
      <c r="A5" s="978"/>
      <c r="B5" s="979"/>
      <c r="C5" s="980">
        <v>1</v>
      </c>
      <c r="D5" s="980">
        <f t="shared" ref="D5:N5" si="0">1+C5</f>
        <v>2</v>
      </c>
      <c r="E5" s="980">
        <f t="shared" si="0"/>
        <v>3</v>
      </c>
      <c r="F5" s="980">
        <f t="shared" ref="F5" si="1">1+E5</f>
        <v>4</v>
      </c>
      <c r="G5" s="980">
        <f t="shared" ref="G5" si="2">1+F5</f>
        <v>5</v>
      </c>
      <c r="H5" s="980">
        <f t="shared" ref="H5" si="3">1+G5</f>
        <v>6</v>
      </c>
      <c r="I5" s="980">
        <f t="shared" ref="I5" si="4">1+H5</f>
        <v>7</v>
      </c>
      <c r="J5" s="980">
        <f t="shared" si="0"/>
        <v>8</v>
      </c>
      <c r="K5" s="980">
        <f t="shared" si="0"/>
        <v>9</v>
      </c>
      <c r="L5" s="980">
        <f t="shared" si="0"/>
        <v>10</v>
      </c>
      <c r="M5" s="980">
        <f t="shared" si="0"/>
        <v>11</v>
      </c>
      <c r="N5" s="980">
        <f t="shared" si="0"/>
        <v>12</v>
      </c>
    </row>
    <row r="6" spans="1:291" s="986" customFormat="1" ht="27" customHeight="1">
      <c r="A6" s="982"/>
      <c r="B6" s="983"/>
      <c r="C6" s="984"/>
      <c r="D6" s="985" t="s">
        <v>363</v>
      </c>
      <c r="E6" s="985" t="s">
        <v>631</v>
      </c>
      <c r="F6" s="985" t="s">
        <v>367</v>
      </c>
      <c r="G6" s="985" t="s">
        <v>632</v>
      </c>
      <c r="H6" s="985" t="s">
        <v>633</v>
      </c>
      <c r="I6" s="984" t="s">
        <v>634</v>
      </c>
      <c r="J6" s="1050" t="s">
        <v>363</v>
      </c>
      <c r="K6" s="985" t="s">
        <v>635</v>
      </c>
      <c r="L6" s="985" t="s">
        <v>537</v>
      </c>
      <c r="M6" s="985" t="s">
        <v>506</v>
      </c>
      <c r="N6" s="985" t="s">
        <v>636</v>
      </c>
      <c r="O6" s="1801"/>
      <c r="P6" s="1802"/>
      <c r="Q6" s="1802"/>
      <c r="R6" s="1802"/>
      <c r="S6" s="1802"/>
      <c r="T6" s="1802"/>
      <c r="U6" s="1802"/>
      <c r="V6" s="1802"/>
      <c r="W6" s="1802"/>
      <c r="X6" s="1802"/>
      <c r="Y6" s="1802"/>
      <c r="Z6" s="1802"/>
      <c r="AA6" s="1802"/>
      <c r="AB6" s="1802"/>
      <c r="AC6" s="1802"/>
      <c r="AD6" s="1802"/>
      <c r="AE6" s="1802"/>
      <c r="AF6" s="1802"/>
      <c r="AG6" s="1802"/>
      <c r="AH6" s="1802"/>
      <c r="AI6" s="1802"/>
      <c r="AJ6" s="1802"/>
      <c r="AK6" s="1802"/>
      <c r="AL6" s="1802"/>
      <c r="AM6" s="1802"/>
      <c r="AN6" s="1802"/>
      <c r="AO6" s="1802"/>
      <c r="AP6" s="1802"/>
      <c r="AQ6" s="1802"/>
      <c r="AR6" s="1802"/>
      <c r="AS6" s="1802"/>
      <c r="AT6" s="1802"/>
      <c r="AU6" s="1802"/>
      <c r="AV6" s="1802"/>
      <c r="AW6" s="1802"/>
      <c r="AX6" s="1802"/>
      <c r="AY6" s="1802"/>
      <c r="AZ6" s="1802"/>
      <c r="BA6" s="1802"/>
      <c r="BB6" s="1802"/>
      <c r="BC6" s="1802"/>
      <c r="BD6" s="1802"/>
      <c r="BE6" s="1802"/>
      <c r="BF6" s="1802"/>
      <c r="BG6" s="1802"/>
      <c r="BH6" s="1802"/>
      <c r="BI6" s="1802"/>
      <c r="BJ6" s="1802"/>
      <c r="BK6" s="1802"/>
      <c r="BL6" s="1802"/>
      <c r="BM6" s="1802"/>
      <c r="BN6" s="1802"/>
      <c r="BO6" s="1802"/>
      <c r="BP6" s="1802"/>
      <c r="BQ6" s="1802"/>
      <c r="BR6" s="1802"/>
      <c r="BS6" s="1802"/>
      <c r="BT6" s="1802"/>
      <c r="BU6" s="1802"/>
      <c r="BV6" s="1802"/>
      <c r="BW6" s="1802"/>
      <c r="BX6" s="1802"/>
      <c r="BY6" s="1802"/>
      <c r="BZ6" s="1802"/>
      <c r="CA6" s="1802"/>
      <c r="CB6" s="1802"/>
      <c r="CC6" s="1802"/>
      <c r="CD6" s="1802"/>
      <c r="CE6" s="1802"/>
      <c r="CF6" s="1802"/>
      <c r="CG6" s="1802"/>
      <c r="CH6" s="1802"/>
      <c r="CI6" s="1802"/>
      <c r="CJ6" s="1802"/>
      <c r="CK6" s="1802"/>
      <c r="CL6" s="1802"/>
      <c r="CM6" s="1802"/>
      <c r="CN6" s="1802"/>
      <c r="CO6" s="1802"/>
      <c r="CP6" s="1802"/>
      <c r="CQ6" s="1802"/>
      <c r="CR6" s="1802"/>
      <c r="CS6" s="1802"/>
      <c r="CT6" s="1802"/>
      <c r="CU6" s="1802"/>
      <c r="CV6" s="1802"/>
      <c r="CW6" s="1802"/>
      <c r="CX6" s="1802"/>
      <c r="CY6" s="1802"/>
      <c r="CZ6" s="1802"/>
      <c r="DA6" s="1802"/>
      <c r="DB6" s="1802"/>
      <c r="DC6" s="1802"/>
      <c r="DD6" s="1802"/>
      <c r="DE6" s="1802"/>
      <c r="DF6" s="1802"/>
      <c r="DG6" s="1802"/>
      <c r="DH6" s="1802"/>
      <c r="DI6" s="1802"/>
      <c r="DJ6" s="1802"/>
      <c r="DK6" s="1802"/>
      <c r="DL6" s="1802"/>
      <c r="DM6" s="1802"/>
      <c r="DN6" s="1802"/>
      <c r="DO6" s="1802"/>
      <c r="DP6" s="1802"/>
      <c r="DQ6" s="1802"/>
      <c r="DR6" s="1802"/>
      <c r="DS6" s="1802"/>
      <c r="DT6" s="1802"/>
      <c r="DU6" s="1802"/>
      <c r="DV6" s="1802"/>
      <c r="DW6" s="1802"/>
      <c r="DX6" s="1802"/>
      <c r="DY6" s="1802"/>
      <c r="DZ6" s="1802"/>
      <c r="EA6" s="1802"/>
      <c r="EB6" s="1802"/>
      <c r="EC6" s="1802"/>
      <c r="ED6" s="1802"/>
      <c r="EE6" s="1802"/>
      <c r="EF6" s="1802"/>
      <c r="EG6" s="1802"/>
      <c r="EH6" s="1802"/>
      <c r="EI6" s="1802"/>
      <c r="EJ6" s="1802"/>
      <c r="EK6" s="1802"/>
      <c r="EL6" s="1802"/>
      <c r="EM6" s="1802"/>
      <c r="EN6" s="1802"/>
      <c r="EO6" s="1802"/>
      <c r="EP6" s="1802"/>
      <c r="EQ6" s="1802"/>
      <c r="ER6" s="1802"/>
      <c r="ES6" s="1802"/>
      <c r="ET6" s="1802"/>
      <c r="EU6" s="1802"/>
      <c r="EV6" s="1802"/>
      <c r="EW6" s="1802"/>
      <c r="EX6" s="1802"/>
      <c r="EY6" s="1802"/>
      <c r="EZ6" s="1802"/>
      <c r="FA6" s="1802"/>
      <c r="FB6" s="1802"/>
      <c r="FC6" s="1802"/>
      <c r="FD6" s="1802"/>
      <c r="FE6" s="1802"/>
      <c r="FF6" s="1802"/>
      <c r="FG6" s="1802"/>
      <c r="FH6" s="1802"/>
      <c r="FI6" s="1802"/>
      <c r="FJ6" s="1802"/>
      <c r="FK6" s="1802"/>
      <c r="FL6" s="1802"/>
      <c r="FM6" s="1802"/>
      <c r="FN6" s="1802"/>
      <c r="FO6" s="1802"/>
      <c r="FP6" s="1802"/>
      <c r="FQ6" s="1802"/>
      <c r="FR6" s="1802"/>
      <c r="FS6" s="1802"/>
      <c r="FT6" s="1802"/>
      <c r="FU6" s="1802"/>
      <c r="FV6" s="1802"/>
      <c r="FW6" s="1802"/>
      <c r="FX6" s="1802"/>
      <c r="FY6" s="1802"/>
      <c r="FZ6" s="1802"/>
      <c r="GA6" s="1802"/>
      <c r="GB6" s="1802"/>
      <c r="GC6" s="1802"/>
      <c r="GD6" s="1802"/>
      <c r="GE6" s="1802"/>
      <c r="GF6" s="1802"/>
      <c r="GG6" s="1802"/>
      <c r="GH6" s="1802"/>
      <c r="GI6" s="1802"/>
      <c r="GJ6" s="1802"/>
      <c r="GK6" s="1802"/>
      <c r="GL6" s="1802"/>
      <c r="GM6" s="1802"/>
      <c r="GN6" s="1802"/>
      <c r="GO6" s="1802"/>
      <c r="GP6" s="1802"/>
      <c r="GQ6" s="1802"/>
      <c r="GR6" s="1802"/>
      <c r="GS6" s="1802"/>
      <c r="GT6" s="1802"/>
      <c r="GU6" s="1802"/>
      <c r="GV6" s="1802"/>
      <c r="GW6" s="1802"/>
      <c r="GX6" s="1802"/>
      <c r="GY6" s="1802"/>
      <c r="GZ6" s="1802"/>
      <c r="HA6" s="1802"/>
      <c r="HB6" s="1802"/>
      <c r="HC6" s="1802"/>
      <c r="HD6" s="1802"/>
      <c r="HE6" s="1802"/>
      <c r="HF6" s="1802"/>
      <c r="HG6" s="1802"/>
      <c r="HH6" s="1802"/>
      <c r="HI6" s="1802"/>
      <c r="HJ6" s="1802"/>
      <c r="HK6" s="1802"/>
      <c r="HL6" s="1802"/>
      <c r="HM6" s="1802"/>
      <c r="HN6" s="1802"/>
      <c r="HO6" s="1802"/>
      <c r="HP6" s="1802"/>
      <c r="HQ6" s="1802"/>
      <c r="HR6" s="1802"/>
      <c r="HS6" s="1802"/>
      <c r="HT6" s="1802"/>
      <c r="HU6" s="1802"/>
      <c r="HV6" s="1802"/>
      <c r="HW6" s="1802"/>
      <c r="HX6" s="1802"/>
      <c r="HY6" s="1802"/>
      <c r="HZ6" s="1802"/>
      <c r="IA6" s="1802"/>
      <c r="IB6" s="1802"/>
      <c r="IC6" s="1802"/>
      <c r="ID6" s="1802"/>
      <c r="IE6" s="1802"/>
      <c r="IF6" s="1802"/>
      <c r="IG6" s="1802"/>
      <c r="IH6" s="1802"/>
      <c r="II6" s="1802"/>
      <c r="IJ6" s="1802"/>
      <c r="IK6" s="1802"/>
      <c r="IL6" s="1802"/>
      <c r="IM6" s="1802"/>
      <c r="IN6" s="1802"/>
      <c r="IO6" s="1802"/>
      <c r="IP6" s="1802"/>
      <c r="IQ6" s="1802"/>
      <c r="IR6" s="1802"/>
      <c r="IS6" s="1802"/>
      <c r="IT6" s="1802"/>
      <c r="IU6" s="1802"/>
      <c r="IV6" s="1802"/>
      <c r="IW6" s="1802"/>
      <c r="IX6" s="1802"/>
      <c r="IY6" s="1802"/>
      <c r="IZ6" s="1802"/>
      <c r="JA6" s="1802"/>
      <c r="JB6" s="1802"/>
      <c r="JC6" s="1802"/>
      <c r="JD6" s="1802"/>
      <c r="JE6" s="1802"/>
      <c r="JF6" s="1802"/>
      <c r="JG6" s="1802"/>
      <c r="JH6" s="1802"/>
      <c r="JI6" s="1802"/>
      <c r="JJ6" s="1802"/>
      <c r="JK6" s="1802"/>
      <c r="JL6" s="1802"/>
      <c r="JM6" s="1802"/>
      <c r="JN6" s="1802"/>
      <c r="JO6" s="1802"/>
      <c r="JP6" s="1802"/>
      <c r="JQ6" s="1802"/>
      <c r="JR6" s="1802"/>
      <c r="JS6" s="1802"/>
      <c r="JT6" s="1802"/>
      <c r="JU6" s="1802"/>
      <c r="JV6" s="1802"/>
      <c r="JW6" s="1802"/>
      <c r="JX6" s="1802"/>
      <c r="JY6" s="1802"/>
      <c r="JZ6" s="1802"/>
      <c r="KA6" s="1802"/>
      <c r="KB6" s="1802"/>
      <c r="KC6" s="1802"/>
      <c r="KD6" s="1802"/>
      <c r="KE6" s="1802"/>
    </row>
    <row r="7" spans="1:291">
      <c r="A7" s="987">
        <v>1</v>
      </c>
      <c r="B7" s="988" t="s">
        <v>95</v>
      </c>
      <c r="C7" s="1122">
        <f>'[2]ALL-Reformatted'!AB6</f>
        <v>5</v>
      </c>
      <c r="D7" s="990">
        <f>'Table 3 Levels 1&amp;2'!BN9+'Table 3 Levels 1&amp;2'!BV9</f>
        <v>4565.2108060165392</v>
      </c>
      <c r="E7" s="991">
        <f>C7*D7</f>
        <v>22826.054030082698</v>
      </c>
      <c r="F7" s="991">
        <f>'Table 4 Level 3'!N6</f>
        <v>777.48</v>
      </c>
      <c r="G7" s="991">
        <f>F7*C7</f>
        <v>3887.4</v>
      </c>
      <c r="H7" s="991">
        <f>E7+G7</f>
        <v>26713.454030082699</v>
      </c>
      <c r="I7" s="991">
        <f>ROUND(H7/12,0)</f>
        <v>2226</v>
      </c>
      <c r="J7" s="1051">
        <f>'Table 3 Levels 1&amp;2'!CB9</f>
        <v>2143.02</v>
      </c>
      <c r="K7" s="992">
        <f>C7*J7</f>
        <v>10715.1</v>
      </c>
      <c r="L7" s="992">
        <f>ROUND(K7/12,0)</f>
        <v>893</v>
      </c>
      <c r="M7" s="993">
        <f>H7+K7</f>
        <v>37428.554030082698</v>
      </c>
      <c r="N7" s="993">
        <f t="shared" ref="N7:N38" si="5">I7+L7</f>
        <v>3119</v>
      </c>
    </row>
    <row r="8" spans="1:291">
      <c r="A8" s="994">
        <v>2</v>
      </c>
      <c r="B8" s="995" t="s">
        <v>96</v>
      </c>
      <c r="C8" s="1123">
        <f>'[2]ALL-Reformatted'!AB7</f>
        <v>0</v>
      </c>
      <c r="D8" s="997">
        <f>'Table 3 Levels 1&amp;2'!BN10+'Table 3 Levels 1&amp;2'!BV10</f>
        <v>6132.0480322513831</v>
      </c>
      <c r="E8" s="1052">
        <f t="shared" ref="E8:E71" si="6">C8*D8</f>
        <v>0</v>
      </c>
      <c r="F8" s="1052">
        <f>'Table 4 Level 3'!N7</f>
        <v>842.32</v>
      </c>
      <c r="G8" s="1052">
        <f t="shared" ref="G8:G71" si="7">F8*C8</f>
        <v>0</v>
      </c>
      <c r="H8" s="1052">
        <f t="shared" ref="H8:H71" si="8">E8+G8</f>
        <v>0</v>
      </c>
      <c r="I8" s="1052">
        <f t="shared" ref="I8:I71" si="9">ROUND(H8/12,0)</f>
        <v>0</v>
      </c>
      <c r="J8" s="1051">
        <f>'Table 3 Levels 1&amp;2'!CB10</f>
        <v>2631.58</v>
      </c>
      <c r="K8" s="1053">
        <f t="shared" ref="K8:K71" si="10">C8*J8</f>
        <v>0</v>
      </c>
      <c r="L8" s="1053">
        <f t="shared" ref="L8:L71" si="11">ROUND(K8/12,0)</f>
        <v>0</v>
      </c>
      <c r="M8" s="1054">
        <f t="shared" ref="M8:M71" si="12">H8+K8</f>
        <v>0</v>
      </c>
      <c r="N8" s="1054">
        <f t="shared" si="5"/>
        <v>0</v>
      </c>
    </row>
    <row r="9" spans="1:291" ht="12.75" customHeight="1">
      <c r="A9" s="994">
        <v>3</v>
      </c>
      <c r="B9" s="995" t="s">
        <v>97</v>
      </c>
      <c r="C9" s="1123">
        <f>'[2]ALL-Reformatted'!AB8</f>
        <v>8</v>
      </c>
      <c r="D9" s="997">
        <f>'Table 3 Levels 1&amp;2'!BN11+'Table 3 Levels 1&amp;2'!BV11</f>
        <v>4186.9626187036429</v>
      </c>
      <c r="E9" s="1052">
        <f t="shared" si="6"/>
        <v>33495.700949629143</v>
      </c>
      <c r="F9" s="1052">
        <f>'Table 4 Level 3'!N8</f>
        <v>596.84</v>
      </c>
      <c r="G9" s="1052">
        <f t="shared" si="7"/>
        <v>4774.72</v>
      </c>
      <c r="H9" s="1052">
        <f t="shared" si="8"/>
        <v>38270.420949629144</v>
      </c>
      <c r="I9" s="1052">
        <f t="shared" si="9"/>
        <v>3189</v>
      </c>
      <c r="J9" s="1051">
        <f>'Table 3 Levels 1&amp;2'!CB11</f>
        <v>3447.08</v>
      </c>
      <c r="K9" s="1053">
        <f t="shared" si="10"/>
        <v>27576.639999999999</v>
      </c>
      <c r="L9" s="1053">
        <f t="shared" si="11"/>
        <v>2298</v>
      </c>
      <c r="M9" s="1054">
        <f t="shared" si="12"/>
        <v>65847.060949629144</v>
      </c>
      <c r="N9" s="1054">
        <f t="shared" si="5"/>
        <v>5487</v>
      </c>
    </row>
    <row r="10" spans="1:291" ht="12.75" customHeight="1">
      <c r="A10" s="994">
        <v>4</v>
      </c>
      <c r="B10" s="995" t="s">
        <v>98</v>
      </c>
      <c r="C10" s="1123">
        <f>'[2]ALL-Reformatted'!AB9</f>
        <v>0</v>
      </c>
      <c r="D10" s="997">
        <f>'Table 3 Levels 1&amp;2'!BN12+'Table 3 Levels 1&amp;2'!BV12</f>
        <v>5918.8798759182582</v>
      </c>
      <c r="E10" s="1052">
        <f t="shared" si="6"/>
        <v>0</v>
      </c>
      <c r="F10" s="1052">
        <f>'Table 4 Level 3'!N9</f>
        <v>585.76</v>
      </c>
      <c r="G10" s="1052">
        <f t="shared" si="7"/>
        <v>0</v>
      </c>
      <c r="H10" s="1052">
        <f t="shared" si="8"/>
        <v>0</v>
      </c>
      <c r="I10" s="1052">
        <f t="shared" si="9"/>
        <v>0</v>
      </c>
      <c r="J10" s="1051">
        <f>'Table 3 Levels 1&amp;2'!CB12</f>
        <v>3169.66</v>
      </c>
      <c r="K10" s="1053">
        <f t="shared" si="10"/>
        <v>0</v>
      </c>
      <c r="L10" s="1053">
        <f t="shared" si="11"/>
        <v>0</v>
      </c>
      <c r="M10" s="1054">
        <f t="shared" si="12"/>
        <v>0</v>
      </c>
      <c r="N10" s="1054">
        <f t="shared" si="5"/>
        <v>0</v>
      </c>
    </row>
    <row r="11" spans="1:291">
      <c r="A11" s="998">
        <v>5</v>
      </c>
      <c r="B11" s="999" t="s">
        <v>99</v>
      </c>
      <c r="C11" s="1124">
        <f>'[2]ALL-Reformatted'!AB10</f>
        <v>3</v>
      </c>
      <c r="D11" s="1001">
        <f>'Table 3 Levels 1&amp;2'!BN13+'Table 3 Levels 1&amp;2'!BV13</f>
        <v>4880.3484353147733</v>
      </c>
      <c r="E11" s="1055">
        <f t="shared" si="6"/>
        <v>14641.045305944321</v>
      </c>
      <c r="F11" s="1055">
        <f>'Table 4 Level 3'!N10</f>
        <v>555.91</v>
      </c>
      <c r="G11" s="1055">
        <f t="shared" si="7"/>
        <v>1667.73</v>
      </c>
      <c r="H11" s="1055">
        <f t="shared" si="8"/>
        <v>16308.77530594432</v>
      </c>
      <c r="I11" s="1055">
        <f t="shared" si="9"/>
        <v>1359</v>
      </c>
      <c r="J11" s="1056">
        <f>'Table 3 Levels 1&amp;2'!CB13</f>
        <v>1381.35</v>
      </c>
      <c r="K11" s="1057">
        <f t="shared" si="10"/>
        <v>4144.0499999999993</v>
      </c>
      <c r="L11" s="1057">
        <f t="shared" si="11"/>
        <v>345</v>
      </c>
      <c r="M11" s="1058">
        <f t="shared" si="12"/>
        <v>20452.82530594432</v>
      </c>
      <c r="N11" s="1058">
        <f t="shared" si="5"/>
        <v>1704</v>
      </c>
    </row>
    <row r="12" spans="1:291" ht="12.75" customHeight="1">
      <c r="A12" s="987">
        <v>6</v>
      </c>
      <c r="B12" s="988" t="s">
        <v>100</v>
      </c>
      <c r="C12" s="1122">
        <f>'[2]ALL-Reformatted'!AB11</f>
        <v>1</v>
      </c>
      <c r="D12" s="990">
        <f>'Table 3 Levels 1&amp;2'!BN14+'Table 3 Levels 1&amp;2'!BV14</f>
        <v>5379.7759718479856</v>
      </c>
      <c r="E12" s="991">
        <f t="shared" si="6"/>
        <v>5379.7759718479856</v>
      </c>
      <c r="F12" s="991">
        <f>'Table 4 Level 3'!N11</f>
        <v>545.4799999999999</v>
      </c>
      <c r="G12" s="991">
        <f t="shared" si="7"/>
        <v>545.4799999999999</v>
      </c>
      <c r="H12" s="991">
        <f t="shared" si="8"/>
        <v>5925.2559718479852</v>
      </c>
      <c r="I12" s="991">
        <f t="shared" si="9"/>
        <v>494</v>
      </c>
      <c r="J12" s="1051">
        <f>'Table 3 Levels 1&amp;2'!CB14</f>
        <v>3170.1</v>
      </c>
      <c r="K12" s="992">
        <f t="shared" si="10"/>
        <v>3170.1</v>
      </c>
      <c r="L12" s="992">
        <f t="shared" si="11"/>
        <v>264</v>
      </c>
      <c r="M12" s="993">
        <f t="shared" si="12"/>
        <v>9095.3559718479846</v>
      </c>
      <c r="N12" s="993">
        <f t="shared" si="5"/>
        <v>758</v>
      </c>
    </row>
    <row r="13" spans="1:291">
      <c r="A13" s="994">
        <v>7</v>
      </c>
      <c r="B13" s="995" t="s">
        <v>101</v>
      </c>
      <c r="C13" s="1123">
        <f>'[2]ALL-Reformatted'!AB12</f>
        <v>1</v>
      </c>
      <c r="D13" s="997">
        <f>'Table 3 Levels 1&amp;2'!BN15+'Table 3 Levels 1&amp;2'!BV15</f>
        <v>1698.1351763907733</v>
      </c>
      <c r="E13" s="1052">
        <f t="shared" si="6"/>
        <v>1698.1351763907733</v>
      </c>
      <c r="F13" s="1052">
        <f>'Table 4 Level 3'!N12</f>
        <v>756.91999999999985</v>
      </c>
      <c r="G13" s="1052">
        <f t="shared" si="7"/>
        <v>756.91999999999985</v>
      </c>
      <c r="H13" s="1052">
        <f t="shared" si="8"/>
        <v>2455.0551763907733</v>
      </c>
      <c r="I13" s="1052">
        <f t="shared" si="9"/>
        <v>205</v>
      </c>
      <c r="J13" s="1051">
        <f>'Table 3 Levels 1&amp;2'!CB15</f>
        <v>5999.02</v>
      </c>
      <c r="K13" s="1053">
        <f t="shared" si="10"/>
        <v>5999.02</v>
      </c>
      <c r="L13" s="1053">
        <f t="shared" si="11"/>
        <v>500</v>
      </c>
      <c r="M13" s="1054">
        <f t="shared" si="12"/>
        <v>8454.0751763907738</v>
      </c>
      <c r="N13" s="1054">
        <f t="shared" si="5"/>
        <v>705</v>
      </c>
    </row>
    <row r="14" spans="1:291">
      <c r="A14" s="994">
        <v>8</v>
      </c>
      <c r="B14" s="995" t="s">
        <v>102</v>
      </c>
      <c r="C14" s="1123">
        <f>'[2]ALL-Reformatted'!AB13</f>
        <v>8</v>
      </c>
      <c r="D14" s="997">
        <f>'Table 3 Levels 1&amp;2'!BN16+'Table 3 Levels 1&amp;2'!BV16</f>
        <v>4239.8578920718974</v>
      </c>
      <c r="E14" s="1052">
        <f t="shared" si="6"/>
        <v>33918.863136575179</v>
      </c>
      <c r="F14" s="1052">
        <f>'Table 4 Level 3'!N13</f>
        <v>725.76</v>
      </c>
      <c r="G14" s="1052">
        <f t="shared" si="7"/>
        <v>5806.08</v>
      </c>
      <c r="H14" s="1052">
        <f t="shared" si="8"/>
        <v>39724.943136575181</v>
      </c>
      <c r="I14" s="1052">
        <f t="shared" si="9"/>
        <v>3310</v>
      </c>
      <c r="J14" s="1051">
        <f>'Table 3 Levels 1&amp;2'!CB16</f>
        <v>3477.24</v>
      </c>
      <c r="K14" s="1053">
        <f t="shared" si="10"/>
        <v>27817.919999999998</v>
      </c>
      <c r="L14" s="1053">
        <f t="shared" si="11"/>
        <v>2318</v>
      </c>
      <c r="M14" s="1054">
        <f t="shared" si="12"/>
        <v>67542.863136575179</v>
      </c>
      <c r="N14" s="1054">
        <f t="shared" si="5"/>
        <v>5628</v>
      </c>
    </row>
    <row r="15" spans="1:291">
      <c r="A15" s="994">
        <v>9</v>
      </c>
      <c r="B15" s="995" t="s">
        <v>103</v>
      </c>
      <c r="C15" s="1123">
        <f>'[2]ALL-Reformatted'!AB14</f>
        <v>31</v>
      </c>
      <c r="D15" s="997">
        <f>'Table 3 Levels 1&amp;2'!BN17+'Table 3 Levels 1&amp;2'!BV17</f>
        <v>4361.2752875373017</v>
      </c>
      <c r="E15" s="1052">
        <f t="shared" si="6"/>
        <v>135199.53391365634</v>
      </c>
      <c r="F15" s="1052">
        <f>'Table 4 Level 3'!N14</f>
        <v>744.76</v>
      </c>
      <c r="G15" s="1052">
        <f t="shared" si="7"/>
        <v>23087.56</v>
      </c>
      <c r="H15" s="1052">
        <f t="shared" si="8"/>
        <v>158287.09391365634</v>
      </c>
      <c r="I15" s="1052">
        <f t="shared" si="9"/>
        <v>13191</v>
      </c>
      <c r="J15" s="1051">
        <f>'Table 3 Levels 1&amp;2'!CB17</f>
        <v>3453.29</v>
      </c>
      <c r="K15" s="1053">
        <f t="shared" si="10"/>
        <v>107051.99</v>
      </c>
      <c r="L15" s="1053">
        <f t="shared" si="11"/>
        <v>8921</v>
      </c>
      <c r="M15" s="1054">
        <f t="shared" si="12"/>
        <v>265339.08391365636</v>
      </c>
      <c r="N15" s="1054">
        <f t="shared" si="5"/>
        <v>22112</v>
      </c>
    </row>
    <row r="16" spans="1:291">
      <c r="A16" s="998">
        <v>10</v>
      </c>
      <c r="B16" s="999" t="s">
        <v>104</v>
      </c>
      <c r="C16" s="1124">
        <f>'[2]ALL-Reformatted'!AB15</f>
        <v>3</v>
      </c>
      <c r="D16" s="1001">
        <f>'Table 3 Levels 1&amp;2'!BN18+'Table 3 Levels 1&amp;2'!BV18</f>
        <v>4179.4641652904756</v>
      </c>
      <c r="E16" s="1055">
        <f t="shared" si="6"/>
        <v>12538.392495871427</v>
      </c>
      <c r="F16" s="1055">
        <f>'Table 4 Level 3'!N15</f>
        <v>608.04000000000008</v>
      </c>
      <c r="G16" s="1055">
        <f t="shared" si="7"/>
        <v>1824.1200000000003</v>
      </c>
      <c r="H16" s="1055">
        <f t="shared" si="8"/>
        <v>14362.512495871428</v>
      </c>
      <c r="I16" s="1055">
        <f t="shared" si="9"/>
        <v>1197</v>
      </c>
      <c r="J16" s="1056">
        <f>'Table 3 Levels 1&amp;2'!CB18</f>
        <v>3841.29</v>
      </c>
      <c r="K16" s="1057">
        <f t="shared" si="10"/>
        <v>11523.869999999999</v>
      </c>
      <c r="L16" s="1057">
        <f t="shared" si="11"/>
        <v>960</v>
      </c>
      <c r="M16" s="1058">
        <f t="shared" si="12"/>
        <v>25886.382495871425</v>
      </c>
      <c r="N16" s="1058">
        <f t="shared" si="5"/>
        <v>2157</v>
      </c>
    </row>
    <row r="17" spans="1:14">
      <c r="A17" s="987">
        <v>11</v>
      </c>
      <c r="B17" s="988" t="s">
        <v>105</v>
      </c>
      <c r="C17" s="1122">
        <f>'[2]ALL-Reformatted'!AB16</f>
        <v>1</v>
      </c>
      <c r="D17" s="990">
        <f>'Table 3 Levels 1&amp;2'!BN19+'Table 3 Levels 1&amp;2'!BV19</f>
        <v>6825.0221851487568</v>
      </c>
      <c r="E17" s="991">
        <f t="shared" si="6"/>
        <v>6825.0221851487568</v>
      </c>
      <c r="F17" s="991">
        <f>'Table 4 Level 3'!N16</f>
        <v>706.55</v>
      </c>
      <c r="G17" s="991">
        <f t="shared" si="7"/>
        <v>706.55</v>
      </c>
      <c r="H17" s="991">
        <f t="shared" si="8"/>
        <v>7531.5721851487569</v>
      </c>
      <c r="I17" s="991">
        <f t="shared" si="9"/>
        <v>628</v>
      </c>
      <c r="J17" s="1051">
        <f>'Table 3 Levels 1&amp;2'!CB19</f>
        <v>3271.76</v>
      </c>
      <c r="K17" s="992">
        <f t="shared" si="10"/>
        <v>3271.76</v>
      </c>
      <c r="L17" s="992">
        <f t="shared" si="11"/>
        <v>273</v>
      </c>
      <c r="M17" s="993">
        <f t="shared" si="12"/>
        <v>10803.332185148756</v>
      </c>
      <c r="N17" s="993">
        <f t="shared" si="5"/>
        <v>901</v>
      </c>
    </row>
    <row r="18" spans="1:14">
      <c r="A18" s="994">
        <v>12</v>
      </c>
      <c r="B18" s="995" t="s">
        <v>106</v>
      </c>
      <c r="C18" s="1123">
        <f>'[2]ALL-Reformatted'!AB17</f>
        <v>0</v>
      </c>
      <c r="D18" s="997">
        <f>'Table 3 Levels 1&amp;2'!BN20+'Table 3 Levels 1&amp;2'!BV20</f>
        <v>1688.0492586490939</v>
      </c>
      <c r="E18" s="1052">
        <f t="shared" si="6"/>
        <v>0</v>
      </c>
      <c r="F18" s="1052">
        <f>'Table 4 Level 3'!N17</f>
        <v>1063.31</v>
      </c>
      <c r="G18" s="1052">
        <f t="shared" si="7"/>
        <v>0</v>
      </c>
      <c r="H18" s="1052">
        <f t="shared" si="8"/>
        <v>0</v>
      </c>
      <c r="I18" s="1052">
        <f t="shared" si="9"/>
        <v>0</v>
      </c>
      <c r="J18" s="1051">
        <f>'Table 3 Levels 1&amp;2'!CB20</f>
        <v>6440.56</v>
      </c>
      <c r="K18" s="1053">
        <f t="shared" si="10"/>
        <v>0</v>
      </c>
      <c r="L18" s="1053">
        <f t="shared" si="11"/>
        <v>0</v>
      </c>
      <c r="M18" s="1054">
        <f t="shared" si="12"/>
        <v>0</v>
      </c>
      <c r="N18" s="1054">
        <f t="shared" si="5"/>
        <v>0</v>
      </c>
    </row>
    <row r="19" spans="1:14">
      <c r="A19" s="994">
        <v>13</v>
      </c>
      <c r="B19" s="995" t="s">
        <v>107</v>
      </c>
      <c r="C19" s="1123">
        <f>'[2]ALL-Reformatted'!AB18</f>
        <v>2</v>
      </c>
      <c r="D19" s="997">
        <f>'Table 3 Levels 1&amp;2'!BN21+'Table 3 Levels 1&amp;2'!BV21</f>
        <v>6187.1651272387344</v>
      </c>
      <c r="E19" s="1052">
        <f t="shared" si="6"/>
        <v>12374.330254477469</v>
      </c>
      <c r="F19" s="1052">
        <f>'Table 4 Level 3'!N18</f>
        <v>749.43000000000006</v>
      </c>
      <c r="G19" s="1052">
        <f t="shared" si="7"/>
        <v>1498.8600000000001</v>
      </c>
      <c r="H19" s="1052">
        <f t="shared" si="8"/>
        <v>13873.190254477469</v>
      </c>
      <c r="I19" s="1052">
        <f t="shared" si="9"/>
        <v>1156</v>
      </c>
      <c r="J19" s="1051">
        <f>'Table 3 Levels 1&amp;2'!CB21</f>
        <v>2526.2199999999998</v>
      </c>
      <c r="K19" s="1053">
        <f t="shared" si="10"/>
        <v>5052.4399999999996</v>
      </c>
      <c r="L19" s="1053">
        <f t="shared" si="11"/>
        <v>421</v>
      </c>
      <c r="M19" s="1054">
        <f t="shared" si="12"/>
        <v>18925.63025447747</v>
      </c>
      <c r="N19" s="1054">
        <f t="shared" si="5"/>
        <v>1577</v>
      </c>
    </row>
    <row r="20" spans="1:14" ht="12.75" customHeight="1">
      <c r="A20" s="994">
        <v>14</v>
      </c>
      <c r="B20" s="995" t="s">
        <v>108</v>
      </c>
      <c r="C20" s="1123">
        <f>'[2]ALL-Reformatted'!AB19</f>
        <v>0</v>
      </c>
      <c r="D20" s="997">
        <f>'Table 3 Levels 1&amp;2'!BN22+'Table 3 Levels 1&amp;2'!BV22</f>
        <v>5339.1887414618923</v>
      </c>
      <c r="E20" s="1052">
        <f t="shared" si="6"/>
        <v>0</v>
      </c>
      <c r="F20" s="1052">
        <f>'Table 4 Level 3'!N19</f>
        <v>809.9799999999999</v>
      </c>
      <c r="G20" s="1052">
        <f t="shared" si="7"/>
        <v>0</v>
      </c>
      <c r="H20" s="1052">
        <f t="shared" si="8"/>
        <v>0</v>
      </c>
      <c r="I20" s="1052">
        <f t="shared" si="9"/>
        <v>0</v>
      </c>
      <c r="J20" s="1051">
        <f>'Table 3 Levels 1&amp;2'!CB22</f>
        <v>4046.06</v>
      </c>
      <c r="K20" s="1053">
        <f t="shared" si="10"/>
        <v>0</v>
      </c>
      <c r="L20" s="1053">
        <f t="shared" si="11"/>
        <v>0</v>
      </c>
      <c r="M20" s="1054">
        <f t="shared" si="12"/>
        <v>0</v>
      </c>
      <c r="N20" s="1054">
        <f t="shared" si="5"/>
        <v>0</v>
      </c>
    </row>
    <row r="21" spans="1:14">
      <c r="A21" s="998">
        <v>15</v>
      </c>
      <c r="B21" s="999" t="s">
        <v>109</v>
      </c>
      <c r="C21" s="1124">
        <f>'[2]ALL-Reformatted'!AB20</f>
        <v>0</v>
      </c>
      <c r="D21" s="1001">
        <f>'Table 3 Levels 1&amp;2'!BN23+'Table 3 Levels 1&amp;2'!BV23</f>
        <v>5492.5789412344011</v>
      </c>
      <c r="E21" s="1055">
        <f t="shared" si="6"/>
        <v>0</v>
      </c>
      <c r="F21" s="1055">
        <f>'Table 4 Level 3'!N20</f>
        <v>553.79999999999995</v>
      </c>
      <c r="G21" s="1055">
        <f t="shared" si="7"/>
        <v>0</v>
      </c>
      <c r="H21" s="1055">
        <f t="shared" si="8"/>
        <v>0</v>
      </c>
      <c r="I21" s="1055">
        <f t="shared" si="9"/>
        <v>0</v>
      </c>
      <c r="J21" s="1056">
        <f>'Table 3 Levels 1&amp;2'!CB23</f>
        <v>2811.01</v>
      </c>
      <c r="K21" s="1057">
        <f t="shared" si="10"/>
        <v>0</v>
      </c>
      <c r="L21" s="1057">
        <f t="shared" si="11"/>
        <v>0</v>
      </c>
      <c r="M21" s="1058">
        <f t="shared" si="12"/>
        <v>0</v>
      </c>
      <c r="N21" s="1058">
        <f t="shared" si="5"/>
        <v>0</v>
      </c>
    </row>
    <row r="22" spans="1:14">
      <c r="A22" s="987">
        <v>16</v>
      </c>
      <c r="B22" s="988" t="s">
        <v>110</v>
      </c>
      <c r="C22" s="1122">
        <f>'[2]ALL-Reformatted'!AB21</f>
        <v>5</v>
      </c>
      <c r="D22" s="990">
        <f>'Table 3 Levels 1&amp;2'!BN24+'Table 3 Levels 1&amp;2'!BV24</f>
        <v>1506.1153407945151</v>
      </c>
      <c r="E22" s="991">
        <f t="shared" si="6"/>
        <v>7530.5767039725752</v>
      </c>
      <c r="F22" s="991">
        <f>'Table 4 Level 3'!N21</f>
        <v>686.73</v>
      </c>
      <c r="G22" s="991">
        <f t="shared" si="7"/>
        <v>3433.65</v>
      </c>
      <c r="H22" s="991">
        <f t="shared" si="8"/>
        <v>10964.226703972576</v>
      </c>
      <c r="I22" s="991">
        <f t="shared" si="9"/>
        <v>914</v>
      </c>
      <c r="J22" s="1051">
        <f>'Table 3 Levels 1&amp;2'!CB24</f>
        <v>5977.04</v>
      </c>
      <c r="K22" s="992">
        <f t="shared" si="10"/>
        <v>29885.200000000001</v>
      </c>
      <c r="L22" s="992">
        <f t="shared" si="11"/>
        <v>2490</v>
      </c>
      <c r="M22" s="993">
        <f t="shared" si="12"/>
        <v>40849.426703972575</v>
      </c>
      <c r="N22" s="993">
        <f t="shared" si="5"/>
        <v>3404</v>
      </c>
    </row>
    <row r="23" spans="1:14">
      <c r="A23" s="994">
        <v>17</v>
      </c>
      <c r="B23" s="995" t="s">
        <v>111</v>
      </c>
      <c r="C23" s="1123">
        <f>'[2]ALL-Reformatted'!AB22</f>
        <v>17</v>
      </c>
      <c r="D23" s="997">
        <f>'Table 3 Levels 1&amp;2'!BN25+'Table 3 Levels 1&amp;2'!BV25</f>
        <v>3311.610845996096</v>
      </c>
      <c r="E23" s="1052">
        <f t="shared" si="6"/>
        <v>56297.384381933633</v>
      </c>
      <c r="F23" s="1052">
        <f>'Table 5B2_RSD_LA'!F7</f>
        <v>801.47762416806802</v>
      </c>
      <c r="G23" s="1052">
        <f t="shared" si="7"/>
        <v>13625.119610857157</v>
      </c>
      <c r="H23" s="1052">
        <f t="shared" si="8"/>
        <v>69922.503992790793</v>
      </c>
      <c r="I23" s="1052">
        <f t="shared" si="9"/>
        <v>5827</v>
      </c>
      <c r="J23" s="1051">
        <f>'Table 3 Levels 1&amp;2'!CB25</f>
        <v>4575.26</v>
      </c>
      <c r="K23" s="1053">
        <f t="shared" si="10"/>
        <v>77779.42</v>
      </c>
      <c r="L23" s="1053">
        <f t="shared" si="11"/>
        <v>6482</v>
      </c>
      <c r="M23" s="1054">
        <f t="shared" si="12"/>
        <v>147701.92399279081</v>
      </c>
      <c r="N23" s="1054">
        <f t="shared" si="5"/>
        <v>12309</v>
      </c>
    </row>
    <row r="24" spans="1:14">
      <c r="A24" s="994">
        <v>18</v>
      </c>
      <c r="B24" s="995" t="s">
        <v>112</v>
      </c>
      <c r="C24" s="1123">
        <f>'[2]ALL-Reformatted'!AB23</f>
        <v>1</v>
      </c>
      <c r="D24" s="997">
        <f>'Table 3 Levels 1&amp;2'!BN26+'Table 3 Levels 1&amp;2'!BV26</f>
        <v>5964.3490202032081</v>
      </c>
      <c r="E24" s="1052">
        <f t="shared" si="6"/>
        <v>5964.3490202032081</v>
      </c>
      <c r="F24" s="1052">
        <f>'Table 4 Level 3'!N23</f>
        <v>845.94999999999993</v>
      </c>
      <c r="G24" s="1052">
        <f t="shared" si="7"/>
        <v>845.94999999999993</v>
      </c>
      <c r="H24" s="1052">
        <f t="shared" si="8"/>
        <v>6810.2990202032079</v>
      </c>
      <c r="I24" s="1052">
        <f t="shared" si="9"/>
        <v>568</v>
      </c>
      <c r="J24" s="1051">
        <f>'Table 3 Levels 1&amp;2'!CB26</f>
        <v>2269.83</v>
      </c>
      <c r="K24" s="1053">
        <f t="shared" si="10"/>
        <v>2269.83</v>
      </c>
      <c r="L24" s="1053">
        <f t="shared" si="11"/>
        <v>189</v>
      </c>
      <c r="M24" s="1054">
        <f t="shared" si="12"/>
        <v>9080.1290202032069</v>
      </c>
      <c r="N24" s="1054">
        <f t="shared" si="5"/>
        <v>757</v>
      </c>
    </row>
    <row r="25" spans="1:14">
      <c r="A25" s="994">
        <v>19</v>
      </c>
      <c r="B25" s="995" t="s">
        <v>113</v>
      </c>
      <c r="C25" s="1123">
        <f>'[2]ALL-Reformatted'!AB24</f>
        <v>0</v>
      </c>
      <c r="D25" s="997">
        <f>'Table 3 Levels 1&amp;2'!BN27+'Table 3 Levels 1&amp;2'!BV27</f>
        <v>5283.1088158476596</v>
      </c>
      <c r="E25" s="1052">
        <f t="shared" si="6"/>
        <v>0</v>
      </c>
      <c r="F25" s="1052">
        <f>'Table 4 Level 3'!N24</f>
        <v>905.43</v>
      </c>
      <c r="G25" s="1052">
        <f t="shared" si="7"/>
        <v>0</v>
      </c>
      <c r="H25" s="1052">
        <f t="shared" si="8"/>
        <v>0</v>
      </c>
      <c r="I25" s="1052">
        <f t="shared" si="9"/>
        <v>0</v>
      </c>
      <c r="J25" s="1051">
        <f>'Table 3 Levels 1&amp;2'!CB27</f>
        <v>2756.32</v>
      </c>
      <c r="K25" s="1053">
        <f t="shared" si="10"/>
        <v>0</v>
      </c>
      <c r="L25" s="1053">
        <f t="shared" si="11"/>
        <v>0</v>
      </c>
      <c r="M25" s="1054">
        <f t="shared" si="12"/>
        <v>0</v>
      </c>
      <c r="N25" s="1054">
        <f t="shared" si="5"/>
        <v>0</v>
      </c>
    </row>
    <row r="26" spans="1:14">
      <c r="A26" s="998">
        <v>20</v>
      </c>
      <c r="B26" s="999" t="s">
        <v>114</v>
      </c>
      <c r="C26" s="1124">
        <f>'[2]ALL-Reformatted'!AB25</f>
        <v>3</v>
      </c>
      <c r="D26" s="1001">
        <f>'Table 3 Levels 1&amp;2'!BN28+'Table 3 Levels 1&amp;2'!BV28</f>
        <v>5389.6047094824808</v>
      </c>
      <c r="E26" s="1055">
        <f t="shared" si="6"/>
        <v>16168.814128447442</v>
      </c>
      <c r="F26" s="1055">
        <f>'Table 4 Level 3'!N25</f>
        <v>586.16999999999996</v>
      </c>
      <c r="G26" s="1055">
        <f t="shared" si="7"/>
        <v>1758.5099999999998</v>
      </c>
      <c r="H26" s="1055">
        <f t="shared" si="8"/>
        <v>17927.324128447442</v>
      </c>
      <c r="I26" s="1055">
        <f t="shared" si="9"/>
        <v>1494</v>
      </c>
      <c r="J26" s="1056">
        <f>'Table 3 Levels 1&amp;2'!CB28</f>
        <v>2439.08</v>
      </c>
      <c r="K26" s="1057">
        <f t="shared" si="10"/>
        <v>7317.24</v>
      </c>
      <c r="L26" s="1057">
        <f t="shared" si="11"/>
        <v>610</v>
      </c>
      <c r="M26" s="1058">
        <f t="shared" si="12"/>
        <v>25244.56412844744</v>
      </c>
      <c r="N26" s="1058">
        <f t="shared" si="5"/>
        <v>2104</v>
      </c>
    </row>
    <row r="27" spans="1:14">
      <c r="A27" s="987">
        <v>21</v>
      </c>
      <c r="B27" s="988" t="s">
        <v>115</v>
      </c>
      <c r="C27" s="1122">
        <f>'[2]ALL-Reformatted'!AB26</f>
        <v>1</v>
      </c>
      <c r="D27" s="990">
        <f>'Table 3 Levels 1&amp;2'!BN29+'Table 3 Levels 1&amp;2'!BV29</f>
        <v>5659.8229810652783</v>
      </c>
      <c r="E27" s="991">
        <f t="shared" si="6"/>
        <v>5659.8229810652783</v>
      </c>
      <c r="F27" s="991">
        <f>'Table 4 Level 3'!N26</f>
        <v>610.35</v>
      </c>
      <c r="G27" s="991">
        <f t="shared" si="7"/>
        <v>610.35</v>
      </c>
      <c r="H27" s="991">
        <f t="shared" si="8"/>
        <v>6270.1729810652787</v>
      </c>
      <c r="I27" s="991">
        <f t="shared" si="9"/>
        <v>523</v>
      </c>
      <c r="J27" s="1051">
        <f>'Table 3 Levels 1&amp;2'!CB29</f>
        <v>2194.34</v>
      </c>
      <c r="K27" s="992">
        <f t="shared" si="10"/>
        <v>2194.34</v>
      </c>
      <c r="L27" s="992">
        <f t="shared" si="11"/>
        <v>183</v>
      </c>
      <c r="M27" s="993">
        <f t="shared" si="12"/>
        <v>8464.5129810652797</v>
      </c>
      <c r="N27" s="993">
        <f t="shared" si="5"/>
        <v>706</v>
      </c>
    </row>
    <row r="28" spans="1:14">
      <c r="A28" s="994">
        <v>22</v>
      </c>
      <c r="B28" s="995" t="s">
        <v>116</v>
      </c>
      <c r="C28" s="1123">
        <f>'[2]ALL-Reformatted'!AB27</f>
        <v>2</v>
      </c>
      <c r="D28" s="997">
        <f>'Table 3 Levels 1&amp;2'!BN30+'Table 3 Levels 1&amp;2'!BV30</f>
        <v>6191.1997628958306</v>
      </c>
      <c r="E28" s="1052">
        <f t="shared" si="6"/>
        <v>12382.399525791661</v>
      </c>
      <c r="F28" s="1052">
        <f>'Table 4 Level 3'!N27</f>
        <v>496.36</v>
      </c>
      <c r="G28" s="1052">
        <f t="shared" si="7"/>
        <v>992.72</v>
      </c>
      <c r="H28" s="1052">
        <f t="shared" si="8"/>
        <v>13375.119525791661</v>
      </c>
      <c r="I28" s="1052">
        <f t="shared" si="9"/>
        <v>1115</v>
      </c>
      <c r="J28" s="1051">
        <f>'Table 3 Levels 1&amp;2'!CB30</f>
        <v>1611.91</v>
      </c>
      <c r="K28" s="1053">
        <f t="shared" si="10"/>
        <v>3223.82</v>
      </c>
      <c r="L28" s="1053">
        <f t="shared" si="11"/>
        <v>269</v>
      </c>
      <c r="M28" s="1054">
        <f t="shared" si="12"/>
        <v>16598.939525791662</v>
      </c>
      <c r="N28" s="1054">
        <f t="shared" si="5"/>
        <v>1384</v>
      </c>
    </row>
    <row r="29" spans="1:14">
      <c r="A29" s="994">
        <v>23</v>
      </c>
      <c r="B29" s="995" t="s">
        <v>117</v>
      </c>
      <c r="C29" s="1123">
        <f>'[2]ALL-Reformatted'!AB28</f>
        <v>8</v>
      </c>
      <c r="D29" s="997">
        <f>'Table 3 Levels 1&amp;2'!BN31+'Table 3 Levels 1&amp;2'!BV31</f>
        <v>4788.2881021645453</v>
      </c>
      <c r="E29" s="1052">
        <f t="shared" si="6"/>
        <v>38306.304817316362</v>
      </c>
      <c r="F29" s="1052">
        <f>'Table 4 Level 3'!N28</f>
        <v>688.58</v>
      </c>
      <c r="G29" s="1052">
        <f t="shared" si="7"/>
        <v>5508.64</v>
      </c>
      <c r="H29" s="1052">
        <f t="shared" si="8"/>
        <v>43814.944817316362</v>
      </c>
      <c r="I29" s="1052">
        <f t="shared" si="9"/>
        <v>3651</v>
      </c>
      <c r="J29" s="1051">
        <f>'Table 3 Levels 1&amp;2'!CB31</f>
        <v>3318.13</v>
      </c>
      <c r="K29" s="1053">
        <f t="shared" si="10"/>
        <v>26545.040000000001</v>
      </c>
      <c r="L29" s="1053">
        <f t="shared" si="11"/>
        <v>2212</v>
      </c>
      <c r="M29" s="1054">
        <f t="shared" si="12"/>
        <v>70359.984817316363</v>
      </c>
      <c r="N29" s="1054">
        <f t="shared" si="5"/>
        <v>5863</v>
      </c>
    </row>
    <row r="30" spans="1:14">
      <c r="A30" s="994">
        <v>24</v>
      </c>
      <c r="B30" s="995" t="s">
        <v>118</v>
      </c>
      <c r="C30" s="1123">
        <f>'[2]ALL-Reformatted'!AB29</f>
        <v>2</v>
      </c>
      <c r="D30" s="997">
        <f>'Table 3 Levels 1&amp;2'!BN32+'Table 3 Levels 1&amp;2'!BV32</f>
        <v>2743.328175824176</v>
      </c>
      <c r="E30" s="1052">
        <f t="shared" si="6"/>
        <v>5486.656351648352</v>
      </c>
      <c r="F30" s="1052">
        <f>'Table 4 Level 3'!N29</f>
        <v>854.24999999999989</v>
      </c>
      <c r="G30" s="1052">
        <f t="shared" si="7"/>
        <v>1708.4999999999998</v>
      </c>
      <c r="H30" s="1052">
        <f t="shared" si="8"/>
        <v>7195.156351648352</v>
      </c>
      <c r="I30" s="1052">
        <f t="shared" si="9"/>
        <v>600</v>
      </c>
      <c r="J30" s="1051">
        <f>'Table 3 Levels 1&amp;2'!CB32</f>
        <v>5176.3500000000004</v>
      </c>
      <c r="K30" s="1053">
        <f t="shared" si="10"/>
        <v>10352.700000000001</v>
      </c>
      <c r="L30" s="1053">
        <f t="shared" si="11"/>
        <v>863</v>
      </c>
      <c r="M30" s="1054">
        <f t="shared" si="12"/>
        <v>17547.856351648352</v>
      </c>
      <c r="N30" s="1054">
        <f t="shared" si="5"/>
        <v>1463</v>
      </c>
    </row>
    <row r="31" spans="1:14">
      <c r="A31" s="998">
        <v>25</v>
      </c>
      <c r="B31" s="999" t="s">
        <v>119</v>
      </c>
      <c r="C31" s="1124">
        <f>'[2]ALL-Reformatted'!AB30</f>
        <v>0</v>
      </c>
      <c r="D31" s="1001">
        <f>'Table 3 Levels 1&amp;2'!BN33+'Table 3 Levels 1&amp;2'!BV33</f>
        <v>3799.3890273447178</v>
      </c>
      <c r="E31" s="1055">
        <f t="shared" si="6"/>
        <v>0</v>
      </c>
      <c r="F31" s="1055">
        <f>'Table 4 Level 3'!N30</f>
        <v>653.73</v>
      </c>
      <c r="G31" s="1055">
        <f t="shared" si="7"/>
        <v>0</v>
      </c>
      <c r="H31" s="1055">
        <f t="shared" si="8"/>
        <v>0</v>
      </c>
      <c r="I31" s="1055">
        <f t="shared" si="9"/>
        <v>0</v>
      </c>
      <c r="J31" s="1056">
        <f>'Table 3 Levels 1&amp;2'!CB33</f>
        <v>4459.46</v>
      </c>
      <c r="K31" s="1057">
        <f t="shared" si="10"/>
        <v>0</v>
      </c>
      <c r="L31" s="1057">
        <f t="shared" si="11"/>
        <v>0</v>
      </c>
      <c r="M31" s="1058">
        <f t="shared" si="12"/>
        <v>0</v>
      </c>
      <c r="N31" s="1058">
        <f t="shared" si="5"/>
        <v>0</v>
      </c>
    </row>
    <row r="32" spans="1:14">
      <c r="A32" s="987">
        <v>26</v>
      </c>
      <c r="B32" s="988" t="s">
        <v>120</v>
      </c>
      <c r="C32" s="1122">
        <f>'[2]ALL-Reformatted'!AB31</f>
        <v>28</v>
      </c>
      <c r="D32" s="990">
        <f>'Table 3 Levels 1&amp;2'!BN34+'Table 3 Levels 1&amp;2'!BV34</f>
        <v>3320.7842100822745</v>
      </c>
      <c r="E32" s="991">
        <f t="shared" si="6"/>
        <v>92981.957882303686</v>
      </c>
      <c r="F32" s="991">
        <f>'Table 4 Level 3'!N31</f>
        <v>836.83</v>
      </c>
      <c r="G32" s="991">
        <f t="shared" si="7"/>
        <v>23431.24</v>
      </c>
      <c r="H32" s="991">
        <f t="shared" si="8"/>
        <v>116413.19788230369</v>
      </c>
      <c r="I32" s="991">
        <f t="shared" si="9"/>
        <v>9701</v>
      </c>
      <c r="J32" s="1051">
        <f>'Table 3 Levels 1&amp;2'!CB34</f>
        <v>4706.3</v>
      </c>
      <c r="K32" s="992">
        <f t="shared" si="10"/>
        <v>131776.4</v>
      </c>
      <c r="L32" s="992">
        <f t="shared" si="11"/>
        <v>10981</v>
      </c>
      <c r="M32" s="993">
        <f t="shared" si="12"/>
        <v>248189.5978823037</v>
      </c>
      <c r="N32" s="993">
        <f t="shared" si="5"/>
        <v>20682</v>
      </c>
    </row>
    <row r="33" spans="1:14">
      <c r="A33" s="994">
        <v>27</v>
      </c>
      <c r="B33" s="995" t="s">
        <v>121</v>
      </c>
      <c r="C33" s="1125">
        <f>'[2]ALL-Reformatted'!AB32</f>
        <v>2</v>
      </c>
      <c r="D33" s="1003">
        <f>'Table 3 Levels 1&amp;2'!BN35+'Table 3 Levels 1&amp;2'!BV35</f>
        <v>5636.5919457972805</v>
      </c>
      <c r="E33" s="1059">
        <f t="shared" si="6"/>
        <v>11273.183891594561</v>
      </c>
      <c r="F33" s="1059">
        <f>'Table 4 Level 3'!N32</f>
        <v>693.06</v>
      </c>
      <c r="G33" s="1059">
        <f t="shared" si="7"/>
        <v>1386.12</v>
      </c>
      <c r="H33" s="1059">
        <f t="shared" si="8"/>
        <v>12659.303891594562</v>
      </c>
      <c r="I33" s="1059">
        <f t="shared" si="9"/>
        <v>1055</v>
      </c>
      <c r="J33" s="1051">
        <f>'Table 3 Levels 1&amp;2'!CB35</f>
        <v>3073.92</v>
      </c>
      <c r="K33" s="1053">
        <f t="shared" si="10"/>
        <v>6147.84</v>
      </c>
      <c r="L33" s="1053">
        <f t="shared" si="11"/>
        <v>512</v>
      </c>
      <c r="M33" s="1054">
        <f t="shared" si="12"/>
        <v>18807.143891594562</v>
      </c>
      <c r="N33" s="1054">
        <f t="shared" si="5"/>
        <v>1567</v>
      </c>
    </row>
    <row r="34" spans="1:14">
      <c r="A34" s="994">
        <v>28</v>
      </c>
      <c r="B34" s="995" t="s">
        <v>122</v>
      </c>
      <c r="C34" s="1125">
        <f>'[2]ALL-Reformatted'!AB33</f>
        <v>10</v>
      </c>
      <c r="D34" s="1003">
        <f>'Table 3 Levels 1&amp;2'!BN36+'Table 3 Levels 1&amp;2'!BV36</f>
        <v>3106.8056522508969</v>
      </c>
      <c r="E34" s="1059">
        <f t="shared" si="6"/>
        <v>31068.056522508967</v>
      </c>
      <c r="F34" s="1059">
        <f>'Table 4 Level 3'!N33</f>
        <v>694.4</v>
      </c>
      <c r="G34" s="1059">
        <f t="shared" si="7"/>
        <v>6944</v>
      </c>
      <c r="H34" s="1059">
        <f t="shared" si="8"/>
        <v>38012.056522508967</v>
      </c>
      <c r="I34" s="1059">
        <f t="shared" si="9"/>
        <v>3168</v>
      </c>
      <c r="J34" s="1051">
        <f>'Table 3 Levels 1&amp;2'!CB36</f>
        <v>4168.67</v>
      </c>
      <c r="K34" s="1053">
        <f t="shared" si="10"/>
        <v>41686.699999999997</v>
      </c>
      <c r="L34" s="1053">
        <f t="shared" si="11"/>
        <v>3474</v>
      </c>
      <c r="M34" s="1054">
        <f t="shared" si="12"/>
        <v>79698.756522508964</v>
      </c>
      <c r="N34" s="1054">
        <f t="shared" si="5"/>
        <v>6642</v>
      </c>
    </row>
    <row r="35" spans="1:14">
      <c r="A35" s="994">
        <v>29</v>
      </c>
      <c r="B35" s="995" t="s">
        <v>123</v>
      </c>
      <c r="C35" s="1125">
        <f>'[2]ALL-Reformatted'!AB34</f>
        <v>4</v>
      </c>
      <c r="D35" s="1003">
        <f>'Table 3 Levels 1&amp;2'!BN37+'Table 3 Levels 1&amp;2'!BV37</f>
        <v>3912.1846976122315</v>
      </c>
      <c r="E35" s="1059">
        <f t="shared" si="6"/>
        <v>15648.738790448926</v>
      </c>
      <c r="F35" s="1059">
        <f>'Table 4 Level 3'!N34</f>
        <v>754.94999999999993</v>
      </c>
      <c r="G35" s="1059">
        <f t="shared" si="7"/>
        <v>3019.7999999999997</v>
      </c>
      <c r="H35" s="1059">
        <f t="shared" si="8"/>
        <v>18668.538790448925</v>
      </c>
      <c r="I35" s="1059">
        <f t="shared" si="9"/>
        <v>1556</v>
      </c>
      <c r="J35" s="1051">
        <f>'Table 3 Levels 1&amp;2'!CB37</f>
        <v>3536.5</v>
      </c>
      <c r="K35" s="1053">
        <f t="shared" si="10"/>
        <v>14146</v>
      </c>
      <c r="L35" s="1053">
        <f t="shared" si="11"/>
        <v>1179</v>
      </c>
      <c r="M35" s="1054">
        <f t="shared" si="12"/>
        <v>32814.538790448925</v>
      </c>
      <c r="N35" s="1054">
        <f t="shared" si="5"/>
        <v>2735</v>
      </c>
    </row>
    <row r="36" spans="1:14">
      <c r="A36" s="998">
        <v>30</v>
      </c>
      <c r="B36" s="999" t="s">
        <v>124</v>
      </c>
      <c r="C36" s="1126">
        <f>'[2]ALL-Reformatted'!AB35</f>
        <v>0</v>
      </c>
      <c r="D36" s="1005">
        <f>'Table 3 Levels 1&amp;2'!BN38+'Table 3 Levels 1&amp;2'!BV38</f>
        <v>5594.0091640611508</v>
      </c>
      <c r="E36" s="1060">
        <f t="shared" si="6"/>
        <v>0</v>
      </c>
      <c r="F36" s="1060">
        <f>'Table 4 Level 3'!N35</f>
        <v>727.17</v>
      </c>
      <c r="G36" s="1060">
        <f t="shared" si="7"/>
        <v>0</v>
      </c>
      <c r="H36" s="1060">
        <f t="shared" si="8"/>
        <v>0</v>
      </c>
      <c r="I36" s="1060">
        <f t="shared" si="9"/>
        <v>0</v>
      </c>
      <c r="J36" s="1056">
        <f>'Table 3 Levels 1&amp;2'!CB38</f>
        <v>3056.24</v>
      </c>
      <c r="K36" s="1057">
        <f t="shared" si="10"/>
        <v>0</v>
      </c>
      <c r="L36" s="1057">
        <f t="shared" si="11"/>
        <v>0</v>
      </c>
      <c r="M36" s="1058">
        <f t="shared" si="12"/>
        <v>0</v>
      </c>
      <c r="N36" s="1058">
        <f t="shared" si="5"/>
        <v>0</v>
      </c>
    </row>
    <row r="37" spans="1:14">
      <c r="A37" s="987">
        <v>31</v>
      </c>
      <c r="B37" s="988" t="s">
        <v>125</v>
      </c>
      <c r="C37" s="1127">
        <f>'[2]ALL-Reformatted'!AB36</f>
        <v>4</v>
      </c>
      <c r="D37" s="1007">
        <f>'Table 3 Levels 1&amp;2'!BN39+'Table 3 Levels 1&amp;2'!BV39</f>
        <v>4320.114188911979</v>
      </c>
      <c r="E37" s="1061">
        <f t="shared" si="6"/>
        <v>17280.456755647916</v>
      </c>
      <c r="F37" s="1061">
        <f>'Table 4 Level 3'!N36</f>
        <v>620.83000000000004</v>
      </c>
      <c r="G37" s="1061">
        <f t="shared" si="7"/>
        <v>2483.3200000000002</v>
      </c>
      <c r="H37" s="1061">
        <f t="shared" si="8"/>
        <v>19763.776755647916</v>
      </c>
      <c r="I37" s="1061">
        <f t="shared" si="9"/>
        <v>1647</v>
      </c>
      <c r="J37" s="1051">
        <f>'Table 3 Levels 1&amp;2'!CB39</f>
        <v>3737.21</v>
      </c>
      <c r="K37" s="992">
        <f t="shared" si="10"/>
        <v>14948.84</v>
      </c>
      <c r="L37" s="992">
        <f t="shared" si="11"/>
        <v>1246</v>
      </c>
      <c r="M37" s="993">
        <f t="shared" si="12"/>
        <v>34712.616755647919</v>
      </c>
      <c r="N37" s="993">
        <f t="shared" si="5"/>
        <v>2893</v>
      </c>
    </row>
    <row r="38" spans="1:14">
      <c r="A38" s="994">
        <v>32</v>
      </c>
      <c r="B38" s="995" t="s">
        <v>126</v>
      </c>
      <c r="C38" s="1125">
        <f>'[2]ALL-Reformatted'!AB37</f>
        <v>8</v>
      </c>
      <c r="D38" s="1003">
        <f>'Table 3 Levels 1&amp;2'!BN40+'Table 3 Levels 1&amp;2'!BV40</f>
        <v>5504.4479209353676</v>
      </c>
      <c r="E38" s="1059">
        <f t="shared" si="6"/>
        <v>44035.583367482941</v>
      </c>
      <c r="F38" s="1059">
        <f>'Table 4 Level 3'!N37</f>
        <v>559.77</v>
      </c>
      <c r="G38" s="1059">
        <f t="shared" si="7"/>
        <v>4478.16</v>
      </c>
      <c r="H38" s="1059">
        <f t="shared" si="8"/>
        <v>48513.743367482937</v>
      </c>
      <c r="I38" s="1059">
        <f t="shared" si="9"/>
        <v>4043</v>
      </c>
      <c r="J38" s="1051">
        <f>'Table 3 Levels 1&amp;2'!CB40</f>
        <v>2004.53</v>
      </c>
      <c r="K38" s="1053">
        <f t="shared" si="10"/>
        <v>16036.24</v>
      </c>
      <c r="L38" s="1053">
        <f t="shared" si="11"/>
        <v>1336</v>
      </c>
      <c r="M38" s="1054">
        <f t="shared" si="12"/>
        <v>64549.983367482935</v>
      </c>
      <c r="N38" s="1054">
        <f t="shared" si="5"/>
        <v>5379</v>
      </c>
    </row>
    <row r="39" spans="1:14">
      <c r="A39" s="994">
        <v>33</v>
      </c>
      <c r="B39" s="995" t="s">
        <v>127</v>
      </c>
      <c r="C39" s="1125">
        <f>'[2]ALL-Reformatted'!AB38</f>
        <v>0</v>
      </c>
      <c r="D39" s="1003">
        <f>'Table 3 Levels 1&amp;2'!BN41+'Table 3 Levels 1&amp;2'!BV41</f>
        <v>5322.07272511876</v>
      </c>
      <c r="E39" s="1059">
        <f t="shared" si="6"/>
        <v>0</v>
      </c>
      <c r="F39" s="1059">
        <f>'Table 4 Level 3'!N38</f>
        <v>655.31000000000006</v>
      </c>
      <c r="G39" s="1059">
        <f t="shared" si="7"/>
        <v>0</v>
      </c>
      <c r="H39" s="1059">
        <f t="shared" si="8"/>
        <v>0</v>
      </c>
      <c r="I39" s="1059">
        <f t="shared" si="9"/>
        <v>0</v>
      </c>
      <c r="J39" s="1051">
        <f>'Table 3 Levels 1&amp;2'!CB41</f>
        <v>2749.51</v>
      </c>
      <c r="K39" s="1053">
        <f t="shared" si="10"/>
        <v>0</v>
      </c>
      <c r="L39" s="1053">
        <f t="shared" si="11"/>
        <v>0</v>
      </c>
      <c r="M39" s="1054">
        <f t="shared" si="12"/>
        <v>0</v>
      </c>
      <c r="N39" s="1054">
        <f t="shared" ref="N39:N76" si="13">I39+L39</f>
        <v>0</v>
      </c>
    </row>
    <row r="40" spans="1:14">
      <c r="A40" s="994">
        <v>34</v>
      </c>
      <c r="B40" s="995" t="s">
        <v>128</v>
      </c>
      <c r="C40" s="1125">
        <f>'[2]ALL-Reformatted'!AB39</f>
        <v>1</v>
      </c>
      <c r="D40" s="1003">
        <f>'Table 3 Levels 1&amp;2'!BN42+'Table 3 Levels 1&amp;2'!BV42</f>
        <v>5959.062840731639</v>
      </c>
      <c r="E40" s="1059">
        <f t="shared" si="6"/>
        <v>5959.062840731639</v>
      </c>
      <c r="F40" s="1059">
        <f>'Table 4 Level 3'!N39</f>
        <v>644.11000000000013</v>
      </c>
      <c r="G40" s="1059">
        <f t="shared" si="7"/>
        <v>644.11000000000013</v>
      </c>
      <c r="H40" s="1059">
        <f t="shared" si="8"/>
        <v>6603.1728407316386</v>
      </c>
      <c r="I40" s="1059">
        <f t="shared" si="9"/>
        <v>550</v>
      </c>
      <c r="J40" s="1051">
        <f>'Table 3 Levels 1&amp;2'!CB42</f>
        <v>2869.95</v>
      </c>
      <c r="K40" s="1053">
        <f t="shared" si="10"/>
        <v>2869.95</v>
      </c>
      <c r="L40" s="1053">
        <f t="shared" si="11"/>
        <v>239</v>
      </c>
      <c r="M40" s="1054">
        <f t="shared" si="12"/>
        <v>9473.1228407316376</v>
      </c>
      <c r="N40" s="1054">
        <f t="shared" si="13"/>
        <v>789</v>
      </c>
    </row>
    <row r="41" spans="1:14">
      <c r="A41" s="998">
        <v>35</v>
      </c>
      <c r="B41" s="999" t="s">
        <v>129</v>
      </c>
      <c r="C41" s="1126">
        <f>'[2]ALL-Reformatted'!AB40</f>
        <v>6</v>
      </c>
      <c r="D41" s="1005">
        <f>'Table 3 Levels 1&amp;2'!BN43+'Table 3 Levels 1&amp;2'!BV43</f>
        <v>4571.947611490059</v>
      </c>
      <c r="E41" s="1060">
        <f t="shared" si="6"/>
        <v>27431.685668940354</v>
      </c>
      <c r="F41" s="1060">
        <f>'Table 4 Level 3'!N40</f>
        <v>537.96</v>
      </c>
      <c r="G41" s="1060">
        <f t="shared" si="7"/>
        <v>3227.76</v>
      </c>
      <c r="H41" s="1060">
        <f t="shared" si="8"/>
        <v>30659.445668940352</v>
      </c>
      <c r="I41" s="1060">
        <f t="shared" si="9"/>
        <v>2555</v>
      </c>
      <c r="J41" s="1056">
        <f>'Table 3 Levels 1&amp;2'!CB43</f>
        <v>3599.19</v>
      </c>
      <c r="K41" s="1057">
        <f t="shared" si="10"/>
        <v>21595.14</v>
      </c>
      <c r="L41" s="1057">
        <f t="shared" si="11"/>
        <v>1800</v>
      </c>
      <c r="M41" s="1058">
        <f t="shared" si="12"/>
        <v>52254.585668940352</v>
      </c>
      <c r="N41" s="1058">
        <f t="shared" si="13"/>
        <v>4355</v>
      </c>
    </row>
    <row r="42" spans="1:14">
      <c r="A42" s="987">
        <v>36</v>
      </c>
      <c r="B42" s="988" t="s">
        <v>130</v>
      </c>
      <c r="C42" s="1127">
        <f>'[2]ALL-Reformatted'!AB41</f>
        <v>28</v>
      </c>
      <c r="D42" s="1007">
        <f>'Table 3 Levels 1&amp;2'!BN44+'Table 3 Levels 1&amp;2'!BV44</f>
        <v>3666.4136012725312</v>
      </c>
      <c r="E42" s="1061">
        <f t="shared" si="6"/>
        <v>102659.58083563087</v>
      </c>
      <c r="F42" s="1061">
        <f>'Table 5B1_RSD_Orleans'!F78</f>
        <v>746.0335616438357</v>
      </c>
      <c r="G42" s="1061">
        <f t="shared" si="7"/>
        <v>20888.939726027398</v>
      </c>
      <c r="H42" s="1061">
        <f t="shared" si="8"/>
        <v>123548.52056165827</v>
      </c>
      <c r="I42" s="1061">
        <f t="shared" si="9"/>
        <v>10296</v>
      </c>
      <c r="J42" s="1051">
        <f>'Table 3 Levels 1&amp;2'!CB44</f>
        <v>4149.93</v>
      </c>
      <c r="K42" s="992">
        <f t="shared" si="10"/>
        <v>116198.04000000001</v>
      </c>
      <c r="L42" s="992">
        <f t="shared" si="11"/>
        <v>9683</v>
      </c>
      <c r="M42" s="993">
        <f t="shared" si="12"/>
        <v>239746.56056165829</v>
      </c>
      <c r="N42" s="993">
        <f t="shared" si="13"/>
        <v>19979</v>
      </c>
    </row>
    <row r="43" spans="1:14">
      <c r="A43" s="994">
        <v>37</v>
      </c>
      <c r="B43" s="995" t="s">
        <v>131</v>
      </c>
      <c r="C43" s="1125">
        <f>'[2]ALL-Reformatted'!AB42</f>
        <v>10</v>
      </c>
      <c r="D43" s="1003">
        <f>'Table 3 Levels 1&amp;2'!BN45+'Table 3 Levels 1&amp;2'!BV45</f>
        <v>5484.8089042263191</v>
      </c>
      <c r="E43" s="1059">
        <f t="shared" si="6"/>
        <v>54848.089042263193</v>
      </c>
      <c r="F43" s="1059">
        <f>'Table 4 Level 3'!N42</f>
        <v>653.61</v>
      </c>
      <c r="G43" s="1059">
        <f t="shared" si="7"/>
        <v>6536.1</v>
      </c>
      <c r="H43" s="1059">
        <f t="shared" si="8"/>
        <v>61384.189042263191</v>
      </c>
      <c r="I43" s="1059">
        <f t="shared" si="9"/>
        <v>5115</v>
      </c>
      <c r="J43" s="1051">
        <f>'Table 3 Levels 1&amp;2'!CB45</f>
        <v>2856.98</v>
      </c>
      <c r="K43" s="1053">
        <f t="shared" si="10"/>
        <v>28569.8</v>
      </c>
      <c r="L43" s="1053">
        <f t="shared" si="11"/>
        <v>2381</v>
      </c>
      <c r="M43" s="1054">
        <f t="shared" si="12"/>
        <v>89953.989042263187</v>
      </c>
      <c r="N43" s="1054">
        <f t="shared" si="13"/>
        <v>7496</v>
      </c>
    </row>
    <row r="44" spans="1:14">
      <c r="A44" s="994">
        <v>38</v>
      </c>
      <c r="B44" s="995" t="s">
        <v>132</v>
      </c>
      <c r="C44" s="1125">
        <f>'[2]ALL-Reformatted'!AB43</f>
        <v>0</v>
      </c>
      <c r="D44" s="1003">
        <f>'Table 3 Levels 1&amp;2'!BN46+'Table 3 Levels 1&amp;2'!BV46</f>
        <v>2078.5917829727841</v>
      </c>
      <c r="E44" s="1059">
        <f t="shared" si="6"/>
        <v>0</v>
      </c>
      <c r="F44" s="1059">
        <f>'Table 4 Level 3'!N43</f>
        <v>829.92000000000007</v>
      </c>
      <c r="G44" s="1059">
        <f t="shared" si="7"/>
        <v>0</v>
      </c>
      <c r="H44" s="1059">
        <f t="shared" si="8"/>
        <v>0</v>
      </c>
      <c r="I44" s="1059">
        <f t="shared" si="9"/>
        <v>0</v>
      </c>
      <c r="J44" s="1051">
        <f>'Table 3 Levels 1&amp;2'!CB46</f>
        <v>6087.79</v>
      </c>
      <c r="K44" s="1053">
        <f t="shared" si="10"/>
        <v>0</v>
      </c>
      <c r="L44" s="1053">
        <f t="shared" si="11"/>
        <v>0</v>
      </c>
      <c r="M44" s="1054">
        <f t="shared" si="12"/>
        <v>0</v>
      </c>
      <c r="N44" s="1054">
        <f t="shared" si="13"/>
        <v>0</v>
      </c>
    </row>
    <row r="45" spans="1:14">
      <c r="A45" s="994">
        <v>39</v>
      </c>
      <c r="B45" s="995" t="s">
        <v>133</v>
      </c>
      <c r="C45" s="1125">
        <f>'[2]ALL-Reformatted'!AB44</f>
        <v>1</v>
      </c>
      <c r="D45" s="1003">
        <f>'Table 3 Levels 1&amp;2'!BN47+'Table 3 Levels 1&amp;2'!BV47</f>
        <v>3622.4878999042335</v>
      </c>
      <c r="E45" s="1059">
        <f t="shared" si="6"/>
        <v>3622.4878999042335</v>
      </c>
      <c r="F45" s="1059">
        <f>'Table 5B2_RSD_LA'!F21</f>
        <v>779.65573042776441</v>
      </c>
      <c r="G45" s="1059">
        <f t="shared" si="7"/>
        <v>779.65573042776441</v>
      </c>
      <c r="H45" s="1059">
        <f t="shared" si="8"/>
        <v>4402.1436303319979</v>
      </c>
      <c r="I45" s="1059">
        <f t="shared" si="9"/>
        <v>367</v>
      </c>
      <c r="J45" s="1051">
        <f>'Table 3 Levels 1&amp;2'!CB47</f>
        <v>4420.29</v>
      </c>
      <c r="K45" s="1053">
        <f t="shared" si="10"/>
        <v>4420.29</v>
      </c>
      <c r="L45" s="1053">
        <f t="shared" si="11"/>
        <v>368</v>
      </c>
      <c r="M45" s="1054">
        <f t="shared" si="12"/>
        <v>8822.4336303319978</v>
      </c>
      <c r="N45" s="1054">
        <f t="shared" si="13"/>
        <v>735</v>
      </c>
    </row>
    <row r="46" spans="1:14">
      <c r="A46" s="998">
        <v>40</v>
      </c>
      <c r="B46" s="999" t="s">
        <v>134</v>
      </c>
      <c r="C46" s="1126">
        <f>'[2]ALL-Reformatted'!AB45</f>
        <v>31</v>
      </c>
      <c r="D46" s="1005">
        <f>'Table 3 Levels 1&amp;2'!BN48+'Table 3 Levels 1&amp;2'!BV48</f>
        <v>4885.6387343180086</v>
      </c>
      <c r="E46" s="1060">
        <f t="shared" si="6"/>
        <v>151454.80076385828</v>
      </c>
      <c r="F46" s="1060">
        <f>'Table 4 Level 3'!N45</f>
        <v>700.2700000000001</v>
      </c>
      <c r="G46" s="1060">
        <f t="shared" si="7"/>
        <v>21708.370000000003</v>
      </c>
      <c r="H46" s="1060">
        <f t="shared" si="8"/>
        <v>173163.17076385827</v>
      </c>
      <c r="I46" s="1060">
        <f t="shared" si="9"/>
        <v>14430</v>
      </c>
      <c r="J46" s="1056">
        <f>'Table 3 Levels 1&amp;2'!CB48</f>
        <v>2999.72</v>
      </c>
      <c r="K46" s="1057">
        <f t="shared" si="10"/>
        <v>92991.319999999992</v>
      </c>
      <c r="L46" s="1057">
        <f t="shared" si="11"/>
        <v>7749</v>
      </c>
      <c r="M46" s="1058">
        <f t="shared" si="12"/>
        <v>266154.49076385825</v>
      </c>
      <c r="N46" s="1058">
        <f t="shared" si="13"/>
        <v>22179</v>
      </c>
    </row>
    <row r="47" spans="1:14">
      <c r="A47" s="987">
        <v>41</v>
      </c>
      <c r="B47" s="988" t="s">
        <v>135</v>
      </c>
      <c r="C47" s="1127">
        <f>'[2]ALL-Reformatted'!AB46</f>
        <v>0</v>
      </c>
      <c r="D47" s="1007">
        <f>'Table 3 Levels 1&amp;2'!BN49+'Table 3 Levels 1&amp;2'!BV49</f>
        <v>1602.0398121899364</v>
      </c>
      <c r="E47" s="1061">
        <f t="shared" si="6"/>
        <v>0</v>
      </c>
      <c r="F47" s="1061">
        <f>'Table 4 Level 3'!N46</f>
        <v>886.22</v>
      </c>
      <c r="G47" s="1061">
        <f t="shared" si="7"/>
        <v>0</v>
      </c>
      <c r="H47" s="1061">
        <f t="shared" si="8"/>
        <v>0</v>
      </c>
      <c r="I47" s="1061">
        <f t="shared" si="9"/>
        <v>0</v>
      </c>
      <c r="J47" s="1051">
        <f>'Table 3 Levels 1&amp;2'!CB49</f>
        <v>6341.94</v>
      </c>
      <c r="K47" s="992">
        <f t="shared" si="10"/>
        <v>0</v>
      </c>
      <c r="L47" s="992">
        <f t="shared" si="11"/>
        <v>0</v>
      </c>
      <c r="M47" s="993">
        <f t="shared" si="12"/>
        <v>0</v>
      </c>
      <c r="N47" s="993">
        <f t="shared" si="13"/>
        <v>0</v>
      </c>
    </row>
    <row r="48" spans="1:14">
      <c r="A48" s="994">
        <v>42</v>
      </c>
      <c r="B48" s="995" t="s">
        <v>136</v>
      </c>
      <c r="C48" s="1125">
        <f>'[2]ALL-Reformatted'!AB47</f>
        <v>1</v>
      </c>
      <c r="D48" s="1003">
        <f>'Table 3 Levels 1&amp;2'!BN50+'Table 3 Levels 1&amp;2'!BV50</f>
        <v>5098.6172346404755</v>
      </c>
      <c r="E48" s="1059">
        <f t="shared" si="6"/>
        <v>5098.6172346404755</v>
      </c>
      <c r="F48" s="1059">
        <f>'Table 4 Level 3'!N47</f>
        <v>534.28</v>
      </c>
      <c r="G48" s="1059">
        <f t="shared" si="7"/>
        <v>534.28</v>
      </c>
      <c r="H48" s="1059">
        <f t="shared" si="8"/>
        <v>5632.8972346404753</v>
      </c>
      <c r="I48" s="1059">
        <f t="shared" si="9"/>
        <v>469</v>
      </c>
      <c r="J48" s="1051">
        <f>'Table 3 Levels 1&amp;2'!CB50</f>
        <v>2618.67</v>
      </c>
      <c r="K48" s="1053">
        <f t="shared" si="10"/>
        <v>2618.67</v>
      </c>
      <c r="L48" s="1053">
        <f t="shared" si="11"/>
        <v>218</v>
      </c>
      <c r="M48" s="1054">
        <f t="shared" si="12"/>
        <v>8251.5672346404754</v>
      </c>
      <c r="N48" s="1054">
        <f t="shared" si="13"/>
        <v>687</v>
      </c>
    </row>
    <row r="49" spans="1:14">
      <c r="A49" s="994">
        <v>43</v>
      </c>
      <c r="B49" s="995" t="s">
        <v>137</v>
      </c>
      <c r="C49" s="1125">
        <f>'[2]ALL-Reformatted'!AB48</f>
        <v>2</v>
      </c>
      <c r="D49" s="1003">
        <f>'Table 3 Levels 1&amp;2'!BN51+'Table 3 Levels 1&amp;2'!BV51</f>
        <v>4701.3362575004667</v>
      </c>
      <c r="E49" s="1059">
        <f t="shared" si="6"/>
        <v>9402.6725150009333</v>
      </c>
      <c r="F49" s="1059">
        <f>'Table 4 Level 3'!N48</f>
        <v>574.6099999999999</v>
      </c>
      <c r="G49" s="1059">
        <f t="shared" si="7"/>
        <v>1149.2199999999998</v>
      </c>
      <c r="H49" s="1059">
        <f t="shared" si="8"/>
        <v>10551.892515000933</v>
      </c>
      <c r="I49" s="1059">
        <f t="shared" si="9"/>
        <v>879</v>
      </c>
      <c r="J49" s="1051">
        <f>'Table 3 Levels 1&amp;2'!CB51</f>
        <v>3919.99</v>
      </c>
      <c r="K49" s="1053">
        <f t="shared" si="10"/>
        <v>7839.98</v>
      </c>
      <c r="L49" s="1053">
        <f t="shared" si="11"/>
        <v>653</v>
      </c>
      <c r="M49" s="1054">
        <f t="shared" si="12"/>
        <v>18391.872515000934</v>
      </c>
      <c r="N49" s="1054">
        <f t="shared" si="13"/>
        <v>1532</v>
      </c>
    </row>
    <row r="50" spans="1:14">
      <c r="A50" s="994">
        <v>44</v>
      </c>
      <c r="B50" s="995" t="s">
        <v>138</v>
      </c>
      <c r="C50" s="1125">
        <f>'[2]ALL-Reformatted'!AB49</f>
        <v>2</v>
      </c>
      <c r="D50" s="1003">
        <f>'Table 3 Levels 1&amp;2'!BN52+'Table 3 Levels 1&amp;2'!BV52</f>
        <v>4649.5559521248724</v>
      </c>
      <c r="E50" s="1059">
        <f t="shared" si="6"/>
        <v>9299.1119042497448</v>
      </c>
      <c r="F50" s="1059">
        <f>'Table 4 Level 3'!N49</f>
        <v>663.16000000000008</v>
      </c>
      <c r="G50" s="1059">
        <f t="shared" si="7"/>
        <v>1326.3200000000002</v>
      </c>
      <c r="H50" s="1059">
        <f t="shared" si="8"/>
        <v>10625.431904249745</v>
      </c>
      <c r="I50" s="1059">
        <f t="shared" si="9"/>
        <v>885</v>
      </c>
      <c r="J50" s="1051">
        <f>'Table 3 Levels 1&amp;2'!CB52</f>
        <v>3484.64</v>
      </c>
      <c r="K50" s="1053">
        <f t="shared" si="10"/>
        <v>6969.28</v>
      </c>
      <c r="L50" s="1053">
        <f t="shared" si="11"/>
        <v>581</v>
      </c>
      <c r="M50" s="1054">
        <f t="shared" si="12"/>
        <v>17594.711904249743</v>
      </c>
      <c r="N50" s="1054">
        <f t="shared" si="13"/>
        <v>1466</v>
      </c>
    </row>
    <row r="51" spans="1:14">
      <c r="A51" s="998">
        <v>45</v>
      </c>
      <c r="B51" s="999" t="s">
        <v>139</v>
      </c>
      <c r="C51" s="1126">
        <f>'[2]ALL-Reformatted'!AB50</f>
        <v>2</v>
      </c>
      <c r="D51" s="1005">
        <f>'Table 3 Levels 1&amp;2'!BN53+'Table 3 Levels 1&amp;2'!BV53</f>
        <v>2159.257884231537</v>
      </c>
      <c r="E51" s="1060">
        <f t="shared" si="6"/>
        <v>4318.515768463074</v>
      </c>
      <c r="F51" s="1060">
        <f>'Table 4 Level 3'!N50</f>
        <v>753.96000000000015</v>
      </c>
      <c r="G51" s="1060">
        <f t="shared" si="7"/>
        <v>1507.9200000000003</v>
      </c>
      <c r="H51" s="1060">
        <f t="shared" si="8"/>
        <v>5826.4357684630741</v>
      </c>
      <c r="I51" s="1060">
        <f t="shared" si="9"/>
        <v>486</v>
      </c>
      <c r="J51" s="1056">
        <f>'Table 3 Levels 1&amp;2'!CB53</f>
        <v>5247.83</v>
      </c>
      <c r="K51" s="1057">
        <f t="shared" si="10"/>
        <v>10495.66</v>
      </c>
      <c r="L51" s="1057">
        <f t="shared" si="11"/>
        <v>875</v>
      </c>
      <c r="M51" s="1058">
        <f t="shared" si="12"/>
        <v>16322.095768463074</v>
      </c>
      <c r="N51" s="1058">
        <f t="shared" si="13"/>
        <v>1361</v>
      </c>
    </row>
    <row r="52" spans="1:14">
      <c r="A52" s="987">
        <v>46</v>
      </c>
      <c r="B52" s="988" t="s">
        <v>140</v>
      </c>
      <c r="C52" s="1127">
        <f>'[2]ALL-Reformatted'!AB51</f>
        <v>1</v>
      </c>
      <c r="D52" s="1007">
        <f>'Table 3 Levels 1&amp;2'!BN54+'Table 3 Levels 1&amp;2'!BV54</f>
        <v>5578.7258135108641</v>
      </c>
      <c r="E52" s="1061">
        <f t="shared" si="6"/>
        <v>5578.7258135108641</v>
      </c>
      <c r="F52" s="1061">
        <f>'Table 4 Level 3'!N51</f>
        <v>728.06</v>
      </c>
      <c r="G52" s="1061">
        <f t="shared" si="7"/>
        <v>728.06</v>
      </c>
      <c r="H52" s="1061">
        <f t="shared" si="8"/>
        <v>6306.7858135108636</v>
      </c>
      <c r="I52" s="1061">
        <f t="shared" si="9"/>
        <v>526</v>
      </c>
      <c r="J52" s="1051">
        <f>'Table 3 Levels 1&amp;2'!CB54</f>
        <v>2002.88</v>
      </c>
      <c r="K52" s="992">
        <f t="shared" si="10"/>
        <v>2002.88</v>
      </c>
      <c r="L52" s="992">
        <f t="shared" si="11"/>
        <v>167</v>
      </c>
      <c r="M52" s="993">
        <f t="shared" si="12"/>
        <v>8309.6658135108628</v>
      </c>
      <c r="N52" s="993">
        <f t="shared" si="13"/>
        <v>693</v>
      </c>
    </row>
    <row r="53" spans="1:14">
      <c r="A53" s="994">
        <v>47</v>
      </c>
      <c r="B53" s="995" t="s">
        <v>141</v>
      </c>
      <c r="C53" s="1125">
        <f>'[2]ALL-Reformatted'!AB52</f>
        <v>0</v>
      </c>
      <c r="D53" s="1003">
        <f>'Table 3 Levels 1&amp;2'!BN55+'Table 3 Levels 1&amp;2'!BV55</f>
        <v>2709.058014721415</v>
      </c>
      <c r="E53" s="1059">
        <f t="shared" si="6"/>
        <v>0</v>
      </c>
      <c r="F53" s="1059">
        <f>'Table 4 Level 3'!N52</f>
        <v>910.76</v>
      </c>
      <c r="G53" s="1059">
        <f t="shared" si="7"/>
        <v>0</v>
      </c>
      <c r="H53" s="1059">
        <f t="shared" si="8"/>
        <v>0</v>
      </c>
      <c r="I53" s="1059">
        <f t="shared" si="9"/>
        <v>0</v>
      </c>
      <c r="J53" s="1051">
        <f>'Table 3 Levels 1&amp;2'!CB55</f>
        <v>5508.89</v>
      </c>
      <c r="K53" s="1053">
        <f t="shared" si="10"/>
        <v>0</v>
      </c>
      <c r="L53" s="1053">
        <f t="shared" si="11"/>
        <v>0</v>
      </c>
      <c r="M53" s="1054">
        <f t="shared" si="12"/>
        <v>0</v>
      </c>
      <c r="N53" s="1054">
        <f t="shared" si="13"/>
        <v>0</v>
      </c>
    </row>
    <row r="54" spans="1:14">
      <c r="A54" s="994">
        <v>48</v>
      </c>
      <c r="B54" s="995" t="s">
        <v>202</v>
      </c>
      <c r="C54" s="1125">
        <f>'[2]ALL-Reformatted'!AB53</f>
        <v>0</v>
      </c>
      <c r="D54" s="1003">
        <f>'Table 3 Levels 1&amp;2'!BN56+'Table 3 Levels 1&amp;2'!BV56</f>
        <v>4259.4136153508553</v>
      </c>
      <c r="E54" s="1059">
        <f t="shared" si="6"/>
        <v>0</v>
      </c>
      <c r="F54" s="1059">
        <f>'Table 4 Level 3'!N53</f>
        <v>871.07</v>
      </c>
      <c r="G54" s="1059">
        <f t="shared" si="7"/>
        <v>0</v>
      </c>
      <c r="H54" s="1059">
        <f t="shared" si="8"/>
        <v>0</v>
      </c>
      <c r="I54" s="1059">
        <f t="shared" si="9"/>
        <v>0</v>
      </c>
      <c r="J54" s="1051">
        <f>'Table 3 Levels 1&amp;2'!CB56</f>
        <v>4119.8599999999997</v>
      </c>
      <c r="K54" s="1053">
        <f t="shared" si="10"/>
        <v>0</v>
      </c>
      <c r="L54" s="1053">
        <f t="shared" si="11"/>
        <v>0</v>
      </c>
      <c r="M54" s="1054">
        <f t="shared" si="12"/>
        <v>0</v>
      </c>
      <c r="N54" s="1054">
        <f t="shared" si="13"/>
        <v>0</v>
      </c>
    </row>
    <row r="55" spans="1:14">
      <c r="A55" s="994">
        <v>49</v>
      </c>
      <c r="B55" s="995" t="s">
        <v>142</v>
      </c>
      <c r="C55" s="1125">
        <f>'[2]ALL-Reformatted'!AB54</f>
        <v>3</v>
      </c>
      <c r="D55" s="1003">
        <f>'Table 3 Levels 1&amp;2'!BN57+'Table 3 Levels 1&amp;2'!BV57</f>
        <v>4790.0513947378495</v>
      </c>
      <c r="E55" s="1059">
        <f t="shared" si="6"/>
        <v>14370.154184213548</v>
      </c>
      <c r="F55" s="1059">
        <f>'Table 4 Level 3'!N54</f>
        <v>574.43999999999994</v>
      </c>
      <c r="G55" s="1059">
        <f t="shared" si="7"/>
        <v>1723.3199999999997</v>
      </c>
      <c r="H55" s="1059">
        <f t="shared" si="8"/>
        <v>16093.474184213548</v>
      </c>
      <c r="I55" s="1059">
        <f t="shared" si="9"/>
        <v>1341</v>
      </c>
      <c r="J55" s="1051">
        <f>'Table 3 Levels 1&amp;2'!CB57</f>
        <v>2384.88</v>
      </c>
      <c r="K55" s="1053">
        <f t="shared" si="10"/>
        <v>7154.64</v>
      </c>
      <c r="L55" s="1053">
        <f t="shared" si="11"/>
        <v>596</v>
      </c>
      <c r="M55" s="1054">
        <f t="shared" si="12"/>
        <v>23248.114184213548</v>
      </c>
      <c r="N55" s="1054">
        <f t="shared" si="13"/>
        <v>1937</v>
      </c>
    </row>
    <row r="56" spans="1:14">
      <c r="A56" s="998">
        <v>50</v>
      </c>
      <c r="B56" s="999" t="s">
        <v>143</v>
      </c>
      <c r="C56" s="1126">
        <f>'[2]ALL-Reformatted'!AB55</f>
        <v>1</v>
      </c>
      <c r="D56" s="1005">
        <f>'Table 3 Levels 1&amp;2'!BN58+'Table 3 Levels 1&amp;2'!BV58</f>
        <v>4954.3375045905796</v>
      </c>
      <c r="E56" s="1060">
        <f t="shared" si="6"/>
        <v>4954.3375045905796</v>
      </c>
      <c r="F56" s="1060">
        <f>'Table 4 Level 3'!N55</f>
        <v>634.46</v>
      </c>
      <c r="G56" s="1060">
        <f t="shared" si="7"/>
        <v>634.46</v>
      </c>
      <c r="H56" s="1060">
        <f t="shared" si="8"/>
        <v>5588.7975045905796</v>
      </c>
      <c r="I56" s="1060">
        <f t="shared" si="9"/>
        <v>466</v>
      </c>
      <c r="J56" s="1056">
        <f>'Table 3 Levels 1&amp;2'!CB58</f>
        <v>2872.14</v>
      </c>
      <c r="K56" s="1057">
        <f t="shared" si="10"/>
        <v>2872.14</v>
      </c>
      <c r="L56" s="1057">
        <f t="shared" si="11"/>
        <v>239</v>
      </c>
      <c r="M56" s="1058">
        <f t="shared" si="12"/>
        <v>8460.9375045905799</v>
      </c>
      <c r="N56" s="1058">
        <f t="shared" si="13"/>
        <v>705</v>
      </c>
    </row>
    <row r="57" spans="1:14">
      <c r="A57" s="987">
        <v>51</v>
      </c>
      <c r="B57" s="988" t="s">
        <v>144</v>
      </c>
      <c r="C57" s="1127">
        <f>'[2]ALL-Reformatted'!AB56</f>
        <v>2</v>
      </c>
      <c r="D57" s="1007">
        <f>'Table 3 Levels 1&amp;2'!BN59+'Table 3 Levels 1&amp;2'!BV59</f>
        <v>4290.3461727150461</v>
      </c>
      <c r="E57" s="1061">
        <f t="shared" si="6"/>
        <v>8580.6923454300922</v>
      </c>
      <c r="F57" s="1061">
        <f>'Table 4 Level 3'!N56</f>
        <v>706.66</v>
      </c>
      <c r="G57" s="1061">
        <f t="shared" si="7"/>
        <v>1413.32</v>
      </c>
      <c r="H57" s="1061">
        <f t="shared" si="8"/>
        <v>9994.012345430092</v>
      </c>
      <c r="I57" s="1061">
        <f t="shared" si="9"/>
        <v>833</v>
      </c>
      <c r="J57" s="1051">
        <f>'Table 3 Levels 1&amp;2'!CB59</f>
        <v>3938.13</v>
      </c>
      <c r="K57" s="992">
        <f t="shared" si="10"/>
        <v>7876.26</v>
      </c>
      <c r="L57" s="992">
        <f t="shared" si="11"/>
        <v>656</v>
      </c>
      <c r="M57" s="993">
        <f t="shared" si="12"/>
        <v>17870.272345430094</v>
      </c>
      <c r="N57" s="993">
        <f t="shared" si="13"/>
        <v>1489</v>
      </c>
    </row>
    <row r="58" spans="1:14">
      <c r="A58" s="994">
        <v>52</v>
      </c>
      <c r="B58" s="995" t="s">
        <v>145</v>
      </c>
      <c r="C58" s="1125">
        <f>'[2]ALL-Reformatted'!AB57</f>
        <v>10</v>
      </c>
      <c r="D58" s="1003">
        <f>'Table 3 Levels 1&amp;2'!BN60+'Table 3 Levels 1&amp;2'!BV60</f>
        <v>4988.6415961118701</v>
      </c>
      <c r="E58" s="1059">
        <f t="shared" si="6"/>
        <v>49886.415961118699</v>
      </c>
      <c r="F58" s="1059">
        <f>'Table 4 Level 3'!N57</f>
        <v>658.37</v>
      </c>
      <c r="G58" s="1059">
        <f t="shared" si="7"/>
        <v>6583.7</v>
      </c>
      <c r="H58" s="1059">
        <f t="shared" si="8"/>
        <v>56470.115961118696</v>
      </c>
      <c r="I58" s="1059">
        <f t="shared" si="9"/>
        <v>4706</v>
      </c>
      <c r="J58" s="1051">
        <f>'Table 3 Levels 1&amp;2'!CB60</f>
        <v>3543.17</v>
      </c>
      <c r="K58" s="1053">
        <f t="shared" si="10"/>
        <v>35431.699999999997</v>
      </c>
      <c r="L58" s="1053">
        <f t="shared" si="11"/>
        <v>2953</v>
      </c>
      <c r="M58" s="1054">
        <f t="shared" si="12"/>
        <v>91901.8159611187</v>
      </c>
      <c r="N58" s="1054">
        <f t="shared" si="13"/>
        <v>7659</v>
      </c>
    </row>
    <row r="59" spans="1:14">
      <c r="A59" s="994">
        <v>53</v>
      </c>
      <c r="B59" s="995" t="s">
        <v>146</v>
      </c>
      <c r="C59" s="1125">
        <f>'[2]ALL-Reformatted'!AB58</f>
        <v>5</v>
      </c>
      <c r="D59" s="1003">
        <f>'Table 3 Levels 1&amp;2'!BN61+'Table 3 Levels 1&amp;2'!BV61</f>
        <v>4739.7077057162423</v>
      </c>
      <c r="E59" s="1059">
        <f t="shared" si="6"/>
        <v>23698.538528581212</v>
      </c>
      <c r="F59" s="1059">
        <f>'Table 4 Level 3'!N58</f>
        <v>689.74</v>
      </c>
      <c r="G59" s="1059">
        <f t="shared" si="7"/>
        <v>3448.7</v>
      </c>
      <c r="H59" s="1059">
        <f t="shared" si="8"/>
        <v>27147.238528581212</v>
      </c>
      <c r="I59" s="1059">
        <f t="shared" si="9"/>
        <v>2262</v>
      </c>
      <c r="J59" s="1051">
        <f>'Table 3 Levels 1&amp;2'!CB61</f>
        <v>1941.1</v>
      </c>
      <c r="K59" s="1053">
        <f t="shared" si="10"/>
        <v>9705.5</v>
      </c>
      <c r="L59" s="1053">
        <f t="shared" si="11"/>
        <v>809</v>
      </c>
      <c r="M59" s="1054">
        <f t="shared" si="12"/>
        <v>36852.738528581212</v>
      </c>
      <c r="N59" s="1054">
        <f t="shared" si="13"/>
        <v>3071</v>
      </c>
    </row>
    <row r="60" spans="1:14">
      <c r="A60" s="994">
        <v>54</v>
      </c>
      <c r="B60" s="995" t="s">
        <v>147</v>
      </c>
      <c r="C60" s="1125">
        <f>'[2]ALL-Reformatted'!AB59</f>
        <v>0</v>
      </c>
      <c r="D60" s="1003">
        <f>'Table 3 Levels 1&amp;2'!BN62+'Table 3 Levels 1&amp;2'!BV62</f>
        <v>5907.1276437932838</v>
      </c>
      <c r="E60" s="1059">
        <f t="shared" si="6"/>
        <v>0</v>
      </c>
      <c r="F60" s="1059">
        <f>'Table 4 Level 3'!N59</f>
        <v>951.45</v>
      </c>
      <c r="G60" s="1059">
        <f t="shared" si="7"/>
        <v>0</v>
      </c>
      <c r="H60" s="1059">
        <f t="shared" si="8"/>
        <v>0</v>
      </c>
      <c r="I60" s="1059">
        <f t="shared" si="9"/>
        <v>0</v>
      </c>
      <c r="J60" s="1051">
        <f>'Table 3 Levels 1&amp;2'!CB62</f>
        <v>3497.92</v>
      </c>
      <c r="K60" s="1053">
        <f t="shared" si="10"/>
        <v>0</v>
      </c>
      <c r="L60" s="1053">
        <f t="shared" si="11"/>
        <v>0</v>
      </c>
      <c r="M60" s="1054">
        <f t="shared" si="12"/>
        <v>0</v>
      </c>
      <c r="N60" s="1054">
        <f t="shared" si="13"/>
        <v>0</v>
      </c>
    </row>
    <row r="61" spans="1:14">
      <c r="A61" s="998">
        <v>55</v>
      </c>
      <c r="B61" s="999" t="s">
        <v>148</v>
      </c>
      <c r="C61" s="1126">
        <f>'[2]ALL-Reformatted'!AB60</f>
        <v>7</v>
      </c>
      <c r="D61" s="1005">
        <f>'Table 3 Levels 1&amp;2'!BN63+'Table 3 Levels 1&amp;2'!BV63</f>
        <v>4115.0954812679902</v>
      </c>
      <c r="E61" s="1060">
        <f t="shared" si="6"/>
        <v>28805.668368875929</v>
      </c>
      <c r="F61" s="1060">
        <f>'Table 4 Level 3'!N60</f>
        <v>795.14</v>
      </c>
      <c r="G61" s="1060">
        <f t="shared" si="7"/>
        <v>5565.98</v>
      </c>
      <c r="H61" s="1060">
        <f t="shared" si="8"/>
        <v>34371.648368875933</v>
      </c>
      <c r="I61" s="1060">
        <f t="shared" si="9"/>
        <v>2864</v>
      </c>
      <c r="J61" s="1056">
        <f>'Table 3 Levels 1&amp;2'!CB63</f>
        <v>3144.82</v>
      </c>
      <c r="K61" s="1057">
        <f t="shared" si="10"/>
        <v>22013.74</v>
      </c>
      <c r="L61" s="1057">
        <f t="shared" si="11"/>
        <v>1834</v>
      </c>
      <c r="M61" s="1058">
        <f t="shared" si="12"/>
        <v>56385.388368875938</v>
      </c>
      <c r="N61" s="1058">
        <f t="shared" si="13"/>
        <v>4698</v>
      </c>
    </row>
    <row r="62" spans="1:14">
      <c r="A62" s="987">
        <v>56</v>
      </c>
      <c r="B62" s="988" t="s">
        <v>149</v>
      </c>
      <c r="C62" s="1127">
        <f>'[2]ALL-Reformatted'!AB61</f>
        <v>1</v>
      </c>
      <c r="D62" s="1007">
        <f>'Table 3 Levels 1&amp;2'!BN64+'Table 3 Levels 1&amp;2'!BV64</f>
        <v>4924.9032059941637</v>
      </c>
      <c r="E62" s="1061">
        <f t="shared" si="6"/>
        <v>4924.9032059941637</v>
      </c>
      <c r="F62" s="1061">
        <f>'Table 4 Level 3'!N61</f>
        <v>614.66000000000008</v>
      </c>
      <c r="G62" s="1061">
        <f t="shared" si="7"/>
        <v>614.66000000000008</v>
      </c>
      <c r="H62" s="1061">
        <f t="shared" si="8"/>
        <v>5539.5632059941636</v>
      </c>
      <c r="I62" s="1061">
        <f t="shared" si="9"/>
        <v>462</v>
      </c>
      <c r="J62" s="1051">
        <f>'Table 3 Levels 1&amp;2'!CB64</f>
        <v>2840.72</v>
      </c>
      <c r="K62" s="992">
        <f t="shared" si="10"/>
        <v>2840.72</v>
      </c>
      <c r="L62" s="992">
        <f t="shared" si="11"/>
        <v>237</v>
      </c>
      <c r="M62" s="993">
        <f t="shared" si="12"/>
        <v>8380.2832059941629</v>
      </c>
      <c r="N62" s="993">
        <f t="shared" si="13"/>
        <v>699</v>
      </c>
    </row>
    <row r="63" spans="1:14">
      <c r="A63" s="994">
        <v>57</v>
      </c>
      <c r="B63" s="995" t="s">
        <v>150</v>
      </c>
      <c r="C63" s="1125">
        <f>'[2]ALL-Reformatted'!AB62</f>
        <v>3</v>
      </c>
      <c r="D63" s="1003">
        <f>'Table 3 Levels 1&amp;2'!BN65+'Table 3 Levels 1&amp;2'!BV65</f>
        <v>4434.5516744018987</v>
      </c>
      <c r="E63" s="1059">
        <f t="shared" si="6"/>
        <v>13303.655023205696</v>
      </c>
      <c r="F63" s="1059">
        <f>'Table 4 Level 3'!N62</f>
        <v>764.51</v>
      </c>
      <c r="G63" s="1059">
        <f t="shared" si="7"/>
        <v>2293.5299999999997</v>
      </c>
      <c r="H63" s="1059">
        <f t="shared" si="8"/>
        <v>15597.185023205697</v>
      </c>
      <c r="I63" s="1059">
        <f t="shared" si="9"/>
        <v>1300</v>
      </c>
      <c r="J63" s="1051">
        <f>'Table 3 Levels 1&amp;2'!CB65</f>
        <v>2842.73</v>
      </c>
      <c r="K63" s="1053">
        <f t="shared" si="10"/>
        <v>8528.19</v>
      </c>
      <c r="L63" s="1053">
        <f t="shared" si="11"/>
        <v>711</v>
      </c>
      <c r="M63" s="1054">
        <f t="shared" si="12"/>
        <v>24125.375023205699</v>
      </c>
      <c r="N63" s="1054">
        <f t="shared" si="13"/>
        <v>2011</v>
      </c>
    </row>
    <row r="64" spans="1:14">
      <c r="A64" s="994">
        <v>58</v>
      </c>
      <c r="B64" s="995" t="s">
        <v>151</v>
      </c>
      <c r="C64" s="1125">
        <f>'[2]ALL-Reformatted'!AB63</f>
        <v>1</v>
      </c>
      <c r="D64" s="1003">
        <f>'Table 3 Levels 1&amp;2'!BN66+'Table 3 Levels 1&amp;2'!BV66</f>
        <v>5434.7170435013286</v>
      </c>
      <c r="E64" s="1059">
        <f t="shared" si="6"/>
        <v>5434.7170435013286</v>
      </c>
      <c r="F64" s="1059">
        <f>'Table 4 Level 3'!N63</f>
        <v>697.04</v>
      </c>
      <c r="G64" s="1059">
        <f t="shared" si="7"/>
        <v>697.04</v>
      </c>
      <c r="H64" s="1059">
        <f t="shared" si="8"/>
        <v>6131.7570435013286</v>
      </c>
      <c r="I64" s="1059">
        <f t="shared" si="9"/>
        <v>511</v>
      </c>
      <c r="J64" s="1051">
        <f>'Table 3 Levels 1&amp;2'!CB66</f>
        <v>2165.5100000000002</v>
      </c>
      <c r="K64" s="1053">
        <f t="shared" si="10"/>
        <v>2165.5100000000002</v>
      </c>
      <c r="L64" s="1053">
        <f t="shared" si="11"/>
        <v>180</v>
      </c>
      <c r="M64" s="1054">
        <f t="shared" si="12"/>
        <v>8297.2670435013279</v>
      </c>
      <c r="N64" s="1054">
        <f t="shared" si="13"/>
        <v>691</v>
      </c>
    </row>
    <row r="65" spans="1:14">
      <c r="A65" s="994">
        <v>59</v>
      </c>
      <c r="B65" s="995" t="s">
        <v>152</v>
      </c>
      <c r="C65" s="1125">
        <f>'[2]ALL-Reformatted'!AB64</f>
        <v>2</v>
      </c>
      <c r="D65" s="1003">
        <f>'Table 3 Levels 1&amp;2'!BN67+'Table 3 Levels 1&amp;2'!BV67</f>
        <v>6252.2385330184643</v>
      </c>
      <c r="E65" s="1059">
        <f t="shared" si="6"/>
        <v>12504.477066036929</v>
      </c>
      <c r="F65" s="1059">
        <f>'Table 4 Level 3'!N64</f>
        <v>689.52</v>
      </c>
      <c r="G65" s="1059">
        <f t="shared" si="7"/>
        <v>1379.04</v>
      </c>
      <c r="H65" s="1059">
        <f t="shared" si="8"/>
        <v>13883.517066036929</v>
      </c>
      <c r="I65" s="1059">
        <f t="shared" si="9"/>
        <v>1157</v>
      </c>
      <c r="J65" s="1051">
        <f>'Table 3 Levels 1&amp;2'!CB67</f>
        <v>1565.88</v>
      </c>
      <c r="K65" s="1053">
        <f t="shared" si="10"/>
        <v>3131.76</v>
      </c>
      <c r="L65" s="1053">
        <f t="shared" si="11"/>
        <v>261</v>
      </c>
      <c r="M65" s="1054">
        <f t="shared" si="12"/>
        <v>17015.277066036928</v>
      </c>
      <c r="N65" s="1054">
        <f t="shared" si="13"/>
        <v>1418</v>
      </c>
    </row>
    <row r="66" spans="1:14">
      <c r="A66" s="998">
        <v>60</v>
      </c>
      <c r="B66" s="999" t="s">
        <v>153</v>
      </c>
      <c r="C66" s="1126">
        <f>'[2]ALL-Reformatted'!AB65</f>
        <v>11</v>
      </c>
      <c r="D66" s="1005">
        <f>'Table 3 Levels 1&amp;2'!BN68+'Table 3 Levels 1&amp;2'!BV68</f>
        <v>4902.6575100268701</v>
      </c>
      <c r="E66" s="1060">
        <f t="shared" si="6"/>
        <v>53929.23261029557</v>
      </c>
      <c r="F66" s="1060">
        <f>'Table 4 Level 3'!N65</f>
        <v>594.04</v>
      </c>
      <c r="G66" s="1060">
        <f t="shared" si="7"/>
        <v>6534.44</v>
      </c>
      <c r="H66" s="1060">
        <f t="shared" si="8"/>
        <v>60463.672610295573</v>
      </c>
      <c r="I66" s="1060">
        <f t="shared" si="9"/>
        <v>5039</v>
      </c>
      <c r="J66" s="1056">
        <f>'Table 3 Levels 1&amp;2'!CB68</f>
        <v>3359.72</v>
      </c>
      <c r="K66" s="1057">
        <f t="shared" si="10"/>
        <v>36956.92</v>
      </c>
      <c r="L66" s="1057">
        <f t="shared" si="11"/>
        <v>3080</v>
      </c>
      <c r="M66" s="1058">
        <f t="shared" si="12"/>
        <v>97420.592610295571</v>
      </c>
      <c r="N66" s="1058">
        <f t="shared" si="13"/>
        <v>8119</v>
      </c>
    </row>
    <row r="67" spans="1:14">
      <c r="A67" s="987">
        <v>61</v>
      </c>
      <c r="B67" s="988" t="s">
        <v>154</v>
      </c>
      <c r="C67" s="1127">
        <f>'[2]ALL-Reformatted'!AB66</f>
        <v>0</v>
      </c>
      <c r="D67" s="1007">
        <f>'Table 3 Levels 1&amp;2'!BN69+'Table 3 Levels 1&amp;2'!BV69</f>
        <v>2872.7719101339244</v>
      </c>
      <c r="E67" s="1061">
        <f t="shared" si="6"/>
        <v>0</v>
      </c>
      <c r="F67" s="1061">
        <f>'Table 4 Level 3'!N66</f>
        <v>833.70999999999992</v>
      </c>
      <c r="G67" s="1061">
        <f t="shared" si="7"/>
        <v>0</v>
      </c>
      <c r="H67" s="1061">
        <f t="shared" si="8"/>
        <v>0</v>
      </c>
      <c r="I67" s="1061">
        <f t="shared" si="9"/>
        <v>0</v>
      </c>
      <c r="J67" s="1051">
        <f>'Table 3 Levels 1&amp;2'!CB69</f>
        <v>4930.3500000000004</v>
      </c>
      <c r="K67" s="992">
        <f t="shared" si="10"/>
        <v>0</v>
      </c>
      <c r="L67" s="992">
        <f t="shared" si="11"/>
        <v>0</v>
      </c>
      <c r="M67" s="993">
        <f t="shared" si="12"/>
        <v>0</v>
      </c>
      <c r="N67" s="993">
        <f t="shared" si="13"/>
        <v>0</v>
      </c>
    </row>
    <row r="68" spans="1:14">
      <c r="A68" s="994">
        <v>62</v>
      </c>
      <c r="B68" s="995" t="s">
        <v>155</v>
      </c>
      <c r="C68" s="1125">
        <f>'[2]ALL-Reformatted'!AB67</f>
        <v>1</v>
      </c>
      <c r="D68" s="1003">
        <f>'Table 3 Levels 1&amp;2'!BN70+'Table 3 Levels 1&amp;2'!BV70</f>
        <v>5594.25143978908</v>
      </c>
      <c r="E68" s="1059">
        <f t="shared" si="6"/>
        <v>5594.25143978908</v>
      </c>
      <c r="F68" s="1059">
        <f>'Table 4 Level 3'!N67</f>
        <v>516.08000000000004</v>
      </c>
      <c r="G68" s="1059">
        <f t="shared" si="7"/>
        <v>516.08000000000004</v>
      </c>
      <c r="H68" s="1059">
        <f t="shared" si="8"/>
        <v>6110.3314397890799</v>
      </c>
      <c r="I68" s="1059">
        <f t="shared" si="9"/>
        <v>509</v>
      </c>
      <c r="J68" s="1051">
        <f>'Table 3 Levels 1&amp;2'!CB70</f>
        <v>1801.5</v>
      </c>
      <c r="K68" s="1053">
        <f t="shared" si="10"/>
        <v>1801.5</v>
      </c>
      <c r="L68" s="1053">
        <f t="shared" si="11"/>
        <v>150</v>
      </c>
      <c r="M68" s="1054">
        <f t="shared" si="12"/>
        <v>7911.8314397890799</v>
      </c>
      <c r="N68" s="1054">
        <f t="shared" si="13"/>
        <v>659</v>
      </c>
    </row>
    <row r="69" spans="1:14">
      <c r="A69" s="994">
        <v>63</v>
      </c>
      <c r="B69" s="995" t="s">
        <v>156</v>
      </c>
      <c r="C69" s="1125">
        <f>'[2]ALL-Reformatted'!AB68</f>
        <v>1</v>
      </c>
      <c r="D69" s="1003">
        <f>'Table 3 Levels 1&amp;2'!BN71+'Table 3 Levels 1&amp;2'!BV71</f>
        <v>4318.8609300898834</v>
      </c>
      <c r="E69" s="1059">
        <f t="shared" si="6"/>
        <v>4318.8609300898834</v>
      </c>
      <c r="F69" s="1059">
        <f>'Table 4 Level 3'!N68</f>
        <v>756.79</v>
      </c>
      <c r="G69" s="1059">
        <f t="shared" si="7"/>
        <v>756.79</v>
      </c>
      <c r="H69" s="1059">
        <f t="shared" si="8"/>
        <v>5075.6509300898833</v>
      </c>
      <c r="I69" s="1059">
        <f t="shared" si="9"/>
        <v>423</v>
      </c>
      <c r="J69" s="1051">
        <f>'Table 3 Levels 1&amp;2'!CB71</f>
        <v>4982.8599999999997</v>
      </c>
      <c r="K69" s="1053">
        <f t="shared" si="10"/>
        <v>4982.8599999999997</v>
      </c>
      <c r="L69" s="1053">
        <f t="shared" si="11"/>
        <v>415</v>
      </c>
      <c r="M69" s="1054">
        <f t="shared" si="12"/>
        <v>10058.510930089884</v>
      </c>
      <c r="N69" s="1054">
        <f t="shared" si="13"/>
        <v>838</v>
      </c>
    </row>
    <row r="70" spans="1:14">
      <c r="A70" s="994">
        <v>64</v>
      </c>
      <c r="B70" s="995" t="s">
        <v>157</v>
      </c>
      <c r="C70" s="1125">
        <f>'[2]ALL-Reformatted'!AB69</f>
        <v>0</v>
      </c>
      <c r="D70" s="1003">
        <f>'Table 3 Levels 1&amp;2'!BN72+'Table 3 Levels 1&amp;2'!BV72</f>
        <v>5921.7418933384488</v>
      </c>
      <c r="E70" s="1059">
        <f t="shared" si="6"/>
        <v>0</v>
      </c>
      <c r="F70" s="1059">
        <f>'Table 4 Level 3'!N69</f>
        <v>592.66</v>
      </c>
      <c r="G70" s="1059">
        <f t="shared" si="7"/>
        <v>0</v>
      </c>
      <c r="H70" s="1059">
        <f t="shared" si="8"/>
        <v>0</v>
      </c>
      <c r="I70" s="1059">
        <f t="shared" si="9"/>
        <v>0</v>
      </c>
      <c r="J70" s="1051">
        <f>'Table 3 Levels 1&amp;2'!CB72</f>
        <v>2874.09</v>
      </c>
      <c r="K70" s="1053">
        <f t="shared" si="10"/>
        <v>0</v>
      </c>
      <c r="L70" s="1053">
        <f t="shared" si="11"/>
        <v>0</v>
      </c>
      <c r="M70" s="1054">
        <f t="shared" si="12"/>
        <v>0</v>
      </c>
      <c r="N70" s="1054">
        <f t="shared" si="13"/>
        <v>0</v>
      </c>
    </row>
    <row r="71" spans="1:14">
      <c r="A71" s="998">
        <v>65</v>
      </c>
      <c r="B71" s="999" t="s">
        <v>158</v>
      </c>
      <c r="C71" s="1126">
        <f>'[2]ALL-Reformatted'!AB70</f>
        <v>5</v>
      </c>
      <c r="D71" s="1005">
        <f>'Table 3 Levels 1&amp;2'!BN73+'Table 3 Levels 1&amp;2'!BV73</f>
        <v>4578.9201269671275</v>
      </c>
      <c r="E71" s="1060">
        <f t="shared" si="6"/>
        <v>22894.600634835639</v>
      </c>
      <c r="F71" s="1060">
        <f>'Table 4 Level 3'!N70</f>
        <v>829.12</v>
      </c>
      <c r="G71" s="1060">
        <f t="shared" si="7"/>
        <v>4145.6000000000004</v>
      </c>
      <c r="H71" s="1060">
        <f t="shared" si="8"/>
        <v>27040.200634835637</v>
      </c>
      <c r="I71" s="1060">
        <f t="shared" si="9"/>
        <v>2253</v>
      </c>
      <c r="J71" s="1056">
        <f>'Table 3 Levels 1&amp;2'!CB73</f>
        <v>3892.27</v>
      </c>
      <c r="K71" s="1057">
        <f t="shared" si="10"/>
        <v>19461.349999999999</v>
      </c>
      <c r="L71" s="1057">
        <f t="shared" si="11"/>
        <v>1622</v>
      </c>
      <c r="M71" s="1058">
        <f t="shared" si="12"/>
        <v>46501.550634835636</v>
      </c>
      <c r="N71" s="1058">
        <f t="shared" si="13"/>
        <v>3875</v>
      </c>
    </row>
    <row r="72" spans="1:14">
      <c r="A72" s="987">
        <v>66</v>
      </c>
      <c r="B72" s="988" t="s">
        <v>159</v>
      </c>
      <c r="C72" s="1127">
        <f>'[2]ALL-Reformatted'!AB71</f>
        <v>1</v>
      </c>
      <c r="D72" s="1007">
        <f>'Table 3 Levels 1&amp;2'!BN74+'Table 3 Levels 1&amp;2'!BV74</f>
        <v>6340.8763293271122</v>
      </c>
      <c r="E72" s="1061">
        <f t="shared" ref="E72:E76" si="14">C72*D72</f>
        <v>6340.8763293271122</v>
      </c>
      <c r="F72" s="1061">
        <f>'Table 4 Level 3'!N71</f>
        <v>730.06</v>
      </c>
      <c r="G72" s="1061">
        <f t="shared" ref="G72:G75" si="15">F72*C72</f>
        <v>730.06</v>
      </c>
      <c r="H72" s="1061">
        <f t="shared" ref="H72:H75" si="16">E72+G72</f>
        <v>7070.9363293271126</v>
      </c>
      <c r="I72" s="1061">
        <f t="shared" ref="I72:I75" si="17">ROUND(H72/12,0)</f>
        <v>589</v>
      </c>
      <c r="J72" s="1051">
        <f>'Table 3 Levels 1&amp;2'!CB74</f>
        <v>3657.95</v>
      </c>
      <c r="K72" s="992">
        <f t="shared" ref="K72:K75" si="18">C72*J72</f>
        <v>3657.95</v>
      </c>
      <c r="L72" s="992">
        <f>ROUND(K72/12,0)</f>
        <v>305</v>
      </c>
      <c r="M72" s="993">
        <f t="shared" ref="M72:M76" si="19">H72+K72</f>
        <v>10728.886329327113</v>
      </c>
      <c r="N72" s="993">
        <f t="shared" si="13"/>
        <v>894</v>
      </c>
    </row>
    <row r="73" spans="1:14">
      <c r="A73" s="994">
        <v>67</v>
      </c>
      <c r="B73" s="995" t="s">
        <v>32</v>
      </c>
      <c r="C73" s="1125">
        <f>'[2]ALL-Reformatted'!AB72</f>
        <v>3</v>
      </c>
      <c r="D73" s="1003">
        <f>'Table 3 Levels 1&amp;2'!BN75+'Table 3 Levels 1&amp;2'!BV75</f>
        <v>4984.1100297034172</v>
      </c>
      <c r="E73" s="1059">
        <f t="shared" si="14"/>
        <v>14952.330089110252</v>
      </c>
      <c r="F73" s="1059">
        <f>'Table 4 Level 3'!N72</f>
        <v>715.61</v>
      </c>
      <c r="G73" s="1059">
        <f t="shared" si="15"/>
        <v>2146.83</v>
      </c>
      <c r="H73" s="1059">
        <f t="shared" si="16"/>
        <v>17099.16008911025</v>
      </c>
      <c r="I73" s="1059">
        <f t="shared" si="17"/>
        <v>1425</v>
      </c>
      <c r="J73" s="1051">
        <f>'Table 3 Levels 1&amp;2'!CB75</f>
        <v>3236.92</v>
      </c>
      <c r="K73" s="1053">
        <f t="shared" si="18"/>
        <v>9710.76</v>
      </c>
      <c r="L73" s="1053">
        <f>ROUND(K73/12,0)</f>
        <v>809</v>
      </c>
      <c r="M73" s="1054">
        <f t="shared" si="19"/>
        <v>26809.920089110252</v>
      </c>
      <c r="N73" s="1054">
        <f t="shared" si="13"/>
        <v>2234</v>
      </c>
    </row>
    <row r="74" spans="1:14">
      <c r="A74" s="994">
        <v>68</v>
      </c>
      <c r="B74" s="995" t="s">
        <v>30</v>
      </c>
      <c r="C74" s="1125">
        <f>'[2]ALL-Reformatted'!AB73</f>
        <v>0</v>
      </c>
      <c r="D74" s="1003">
        <f>'Table 3 Levels 1&amp;2'!BN76+'Table 3 Levels 1&amp;2'!BV76</f>
        <v>6012.7854305239725</v>
      </c>
      <c r="E74" s="1059">
        <f t="shared" si="14"/>
        <v>0</v>
      </c>
      <c r="F74" s="1059">
        <f>'Table 4 Level 3'!N73</f>
        <v>798.7</v>
      </c>
      <c r="G74" s="1059">
        <f t="shared" si="15"/>
        <v>0</v>
      </c>
      <c r="H74" s="1059">
        <f t="shared" si="16"/>
        <v>0</v>
      </c>
      <c r="I74" s="1059">
        <f t="shared" si="17"/>
        <v>0</v>
      </c>
      <c r="J74" s="1051">
        <f>'Table 3 Levels 1&amp;2'!CB76</f>
        <v>2776.55</v>
      </c>
      <c r="K74" s="1053">
        <f t="shared" si="18"/>
        <v>0</v>
      </c>
      <c r="L74" s="1053">
        <f>ROUND(K74/12,0)</f>
        <v>0</v>
      </c>
      <c r="M74" s="1054">
        <f t="shared" si="19"/>
        <v>0</v>
      </c>
      <c r="N74" s="1054">
        <f t="shared" si="13"/>
        <v>0</v>
      </c>
    </row>
    <row r="75" spans="1:14">
      <c r="A75" s="1008">
        <v>69</v>
      </c>
      <c r="B75" s="1009" t="s">
        <v>213</v>
      </c>
      <c r="C75" s="1128">
        <f>'[2]ALL-Reformatted'!AB74</f>
        <v>0</v>
      </c>
      <c r="D75" s="1011">
        <f>'Table 3 Levels 1&amp;2'!BN77+'Table 3 Levels 1&amp;2'!BV77</f>
        <v>5559.7139008686299</v>
      </c>
      <c r="E75" s="1062">
        <f t="shared" si="14"/>
        <v>0</v>
      </c>
      <c r="F75" s="1062">
        <f>'Table 4 Level 3'!N74</f>
        <v>705.67</v>
      </c>
      <c r="G75" s="1062">
        <f t="shared" si="15"/>
        <v>0</v>
      </c>
      <c r="H75" s="1062">
        <f t="shared" si="16"/>
        <v>0</v>
      </c>
      <c r="I75" s="1062">
        <f t="shared" si="17"/>
        <v>0</v>
      </c>
      <c r="J75" s="1051">
        <f>'Table 3 Levels 1&amp;2'!CB77</f>
        <v>2845.27</v>
      </c>
      <c r="K75" s="1063">
        <f t="shared" si="18"/>
        <v>0</v>
      </c>
      <c r="L75" s="1063">
        <f>ROUND(K75/12,0)</f>
        <v>0</v>
      </c>
      <c r="M75" s="1064">
        <f t="shared" si="19"/>
        <v>0</v>
      </c>
      <c r="N75" s="1064">
        <f t="shared" si="13"/>
        <v>0</v>
      </c>
    </row>
    <row r="76" spans="1:14">
      <c r="A76" s="1540"/>
      <c r="B76" s="1221" t="s">
        <v>630</v>
      </c>
      <c r="C76" s="1541">
        <f>'[2]ALL-Reformatted'!AB75</f>
        <v>0</v>
      </c>
      <c r="D76" s="1542">
        <f>'Table 3 Levels 1&amp;2'!BN78+'Table 3 Levels 1&amp;2'!BV78</f>
        <v>4329.5530678488294</v>
      </c>
      <c r="E76" s="1543">
        <f t="shared" si="14"/>
        <v>0</v>
      </c>
      <c r="F76" s="1543">
        <f>'Table 4 Level 3'!N75</f>
        <v>703.90028204588873</v>
      </c>
      <c r="G76" s="1543">
        <f t="shared" ref="G76" si="20">F76*C76</f>
        <v>0</v>
      </c>
      <c r="H76" s="1543">
        <f t="shared" ref="H76" si="21">E76+G76</f>
        <v>0</v>
      </c>
      <c r="I76" s="1543">
        <f t="shared" ref="I76" si="22">ROUND(H76/12,0)</f>
        <v>0</v>
      </c>
      <c r="J76" s="1544"/>
      <c r="K76" s="1545"/>
      <c r="L76" s="1545"/>
      <c r="M76" s="1064">
        <f t="shared" si="19"/>
        <v>0</v>
      </c>
      <c r="N76" s="1064">
        <f t="shared" si="13"/>
        <v>0</v>
      </c>
    </row>
    <row r="77" spans="1:14" s="1019" customFormat="1" ht="13.5" thickBot="1">
      <c r="A77" s="1012"/>
      <c r="B77" s="1013" t="s">
        <v>160</v>
      </c>
      <c r="C77" s="1014">
        <f>SUM(C7:C76)</f>
        <v>300</v>
      </c>
      <c r="D77" s="1015"/>
      <c r="E77" s="1016">
        <f>SUM(E7:E76)</f>
        <v>1293148.2000921785</v>
      </c>
      <c r="F77" s="1016"/>
      <c r="G77" s="1016">
        <f>SUM(G7:G76)</f>
        <v>212995.78506731242</v>
      </c>
      <c r="H77" s="1016">
        <f>SUM(H7:H76)</f>
        <v>1506143.985159491</v>
      </c>
      <c r="I77" s="1016">
        <f>SUM(I7:I76)</f>
        <v>125515</v>
      </c>
      <c r="J77" s="1065">
        <f>'Table 3 Levels 1&amp;2'!CB78</f>
        <v>3536.28</v>
      </c>
      <c r="K77" s="1017">
        <f>SUM(K7:K75)</f>
        <v>1065495.01</v>
      </c>
      <c r="L77" s="1017">
        <f>SUM(L7:L75)</f>
        <v>88790</v>
      </c>
      <c r="M77" s="1018">
        <f>SUM(M7:M76)</f>
        <v>2571638.995159491</v>
      </c>
      <c r="N77" s="1018">
        <f>SUM(N7:N76)</f>
        <v>214305</v>
      </c>
    </row>
    <row r="78" spans="1:14" s="1019" customFormat="1" ht="13.5" thickTop="1">
      <c r="A78" s="1020"/>
      <c r="B78" s="1020"/>
      <c r="C78" s="1021"/>
      <c r="D78" s="1021"/>
      <c r="E78" s="1024"/>
      <c r="F78" s="1024"/>
      <c r="G78" s="1024"/>
      <c r="H78" s="1024"/>
      <c r="J78" s="1023"/>
      <c r="K78" s="1023"/>
      <c r="L78" s="1023"/>
    </row>
    <row r="79" spans="1:14" ht="27" customHeight="1">
      <c r="A79" s="1025"/>
      <c r="C79" s="1129"/>
    </row>
    <row r="80" spans="1:14" ht="12.75" hidden="1" customHeight="1"/>
    <row r="81" spans="3:9" hidden="1"/>
    <row r="82" spans="3:9" hidden="1"/>
    <row r="83" spans="3:9" hidden="1"/>
    <row r="84" spans="3:9" hidden="1">
      <c r="E84" s="1028"/>
      <c r="F84" s="1028"/>
      <c r="G84" s="1028"/>
      <c r="H84" s="1028"/>
      <c r="I84" s="1027"/>
    </row>
    <row r="85" spans="3:9" ht="10.5" hidden="1" customHeight="1"/>
    <row r="86" spans="3:9" hidden="1"/>
    <row r="87" spans="3:9" hidden="1">
      <c r="C87" s="1029"/>
      <c r="D87" s="1030" t="s">
        <v>374</v>
      </c>
    </row>
    <row r="88" spans="3:9" hidden="1">
      <c r="C88" s="1029"/>
      <c r="D88" s="1030" t="s">
        <v>375</v>
      </c>
    </row>
    <row r="89" spans="3:9" hidden="1">
      <c r="C89" s="1031"/>
      <c r="D89" s="1030" t="s">
        <v>376</v>
      </c>
    </row>
    <row r="90" spans="3:9" hidden="1">
      <c r="C90" s="1029"/>
      <c r="D90" s="1030"/>
    </row>
    <row r="91" spans="3:9" hidden="1">
      <c r="C91" s="1029"/>
      <c r="D91" s="1030" t="s">
        <v>377</v>
      </c>
    </row>
    <row r="92" spans="3:9" hidden="1">
      <c r="C92" s="1029"/>
      <c r="D92" s="1030" t="s">
        <v>378</v>
      </c>
    </row>
    <row r="93" spans="3:9" hidden="1">
      <c r="C93" s="1031"/>
      <c r="D93" s="1030" t="s">
        <v>379</v>
      </c>
    </row>
    <row r="94" spans="3:9" hidden="1">
      <c r="C94" s="1029"/>
      <c r="D94" s="1030"/>
    </row>
    <row r="95" spans="3:9" hidden="1">
      <c r="C95" s="1032"/>
      <c r="D95" s="1033" t="s">
        <v>380</v>
      </c>
    </row>
    <row r="96" spans="3:9" hidden="1">
      <c r="C96" s="1130"/>
      <c r="D96" s="1033"/>
    </row>
    <row r="97" spans="3:4" hidden="1">
      <c r="C97" s="1035"/>
      <c r="D97" s="1030" t="s">
        <v>381</v>
      </c>
    </row>
    <row r="98" spans="3:4" hidden="1">
      <c r="C98" s="1131"/>
      <c r="D98" s="1033" t="s">
        <v>382</v>
      </c>
    </row>
    <row r="99" spans="3:4" hidden="1">
      <c r="C99" s="1035"/>
      <c r="D99" s="1037" t="s">
        <v>383</v>
      </c>
    </row>
    <row r="100" spans="3:4" hidden="1">
      <c r="C100" s="1132"/>
      <c r="D100" s="1033" t="s">
        <v>384</v>
      </c>
    </row>
    <row r="101" spans="3:4" hidden="1">
      <c r="C101" s="1035"/>
      <c r="D101" s="1033" t="s">
        <v>385</v>
      </c>
    </row>
    <row r="102" spans="3:4" hidden="1">
      <c r="C102" s="1133"/>
      <c r="D102" s="1033" t="s">
        <v>386</v>
      </c>
    </row>
    <row r="103" spans="3:4" hidden="1">
      <c r="C103" s="1040"/>
      <c r="D103" s="1033" t="s">
        <v>387</v>
      </c>
    </row>
    <row r="104" spans="3:4" hidden="1">
      <c r="C104" s="1040"/>
      <c r="D104" s="1033"/>
    </row>
    <row r="105" spans="3:4" hidden="1">
      <c r="C105" s="1040"/>
      <c r="D105" s="1033"/>
    </row>
    <row r="106" spans="3:4" hidden="1">
      <c r="D106" s="1033"/>
    </row>
    <row r="107" spans="3:4" hidden="1"/>
  </sheetData>
  <mergeCells count="15">
    <mergeCell ref="A2:B4"/>
    <mergeCell ref="C2:I2"/>
    <mergeCell ref="J2:L2"/>
    <mergeCell ref="M2:M4"/>
    <mergeCell ref="N2:N4"/>
    <mergeCell ref="D3:D4"/>
    <mergeCell ref="E3:E4"/>
    <mergeCell ref="C3:C4"/>
    <mergeCell ref="F3:F4"/>
    <mergeCell ref="G3:G4"/>
    <mergeCell ref="H3:H4"/>
    <mergeCell ref="I3:I4"/>
    <mergeCell ref="J3:J4"/>
    <mergeCell ref="K3:K4"/>
    <mergeCell ref="L3:L4"/>
  </mergeCells>
  <printOptions horizontalCentered="1"/>
  <pageMargins left="0.27" right="0.25" top="0.87" bottom="0.2" header="0.25" footer="0.2"/>
  <pageSetup paperSize="5" scale="70" firstPageNumber="51" fitToWidth="3" orientation="portrait" useFirstPageNumber="1" r:id="rId1"/>
  <headerFooter alignWithMargins="0">
    <oddHeader xml:space="preserve">&amp;L&amp;"Arial,Bold"&amp;16Table 5A5:  FY2013-14 MFP Budget Letter (Projection)
Special School District (SSD)&amp;R&amp;"Arial,Bold"&amp;12&amp;KFF0000
</oddHeader>
    <oddFooter>&amp;R&amp;P</oddFooter>
  </headerFooter>
  <colBreaks count="1" manualBreakCount="1">
    <brk id="9" min="1" max="7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2"/>
  <sheetViews>
    <sheetView view="pageBreakPreview" zoomScale="80" zoomScaleNormal="75" zoomScaleSheetLayoutView="80" workbookViewId="0">
      <pane xSplit="2" ySplit="6" topLeftCell="C7" activePane="bottomRight" state="frozen"/>
      <selection activeCell="B3" sqref="B3:B5"/>
      <selection pane="topRight" activeCell="B3" sqref="B3:B5"/>
      <selection pane="bottomLeft" activeCell="B3" sqref="B3:B5"/>
      <selection pane="bottomRight" activeCell="B4" sqref="B4:B5"/>
    </sheetView>
  </sheetViews>
  <sheetFormatPr defaultColWidth="9.140625" defaultRowHeight="12.75"/>
  <cols>
    <col min="1" max="1" width="8.7109375" style="1262" customWidth="1"/>
    <col min="2" max="2" width="36.85546875" style="1262" customWidth="1"/>
    <col min="3" max="3" width="12" style="1262" customWidth="1"/>
    <col min="4" max="4" width="14.5703125" style="1262" bestFit="1" customWidth="1"/>
    <col min="5" max="5" width="17.5703125" style="1262" bestFit="1" customWidth="1"/>
    <col min="6" max="6" width="19.42578125" style="1262" customWidth="1"/>
    <col min="7" max="7" width="17" style="1262" bestFit="1" customWidth="1"/>
    <col min="8" max="8" width="18.42578125" style="1262" bestFit="1" customWidth="1"/>
    <col min="9" max="9" width="15.85546875" style="1262" customWidth="1"/>
    <col min="10" max="10" width="18.85546875" style="1262" customWidth="1"/>
    <col min="11" max="11" width="12.140625" style="1262" hidden="1" customWidth="1"/>
    <col min="12" max="12" width="18.42578125" style="1262" hidden="1" customWidth="1"/>
    <col min="13" max="13" width="16.42578125" style="1262" hidden="1" customWidth="1"/>
    <col min="14" max="14" width="13.85546875" style="1262" hidden="1" customWidth="1"/>
    <col min="15" max="15" width="16.42578125" style="1262" hidden="1" customWidth="1"/>
    <col min="16" max="16" width="18.42578125" style="1262" hidden="1" customWidth="1"/>
    <col min="17" max="17" width="13.85546875" style="1262" hidden="1" customWidth="1"/>
    <col min="18" max="18" width="18.42578125" style="1262" hidden="1" customWidth="1"/>
    <col min="19" max="19" width="16.7109375" style="1262" hidden="1" customWidth="1"/>
    <col min="20" max="20" width="11.5703125" style="549" bestFit="1" customWidth="1"/>
    <col min="21" max="21" width="17.5703125" style="549" customWidth="1"/>
    <col min="22" max="26" width="9.140625" style="549"/>
    <col min="27" max="16384" width="9.140625" style="1262"/>
  </cols>
  <sheetData>
    <row r="1" spans="1:24" ht="43.5" customHeight="1">
      <c r="A1" s="2032" t="s">
        <v>713</v>
      </c>
      <c r="B1" s="2033"/>
      <c r="C1" s="2033"/>
      <c r="D1" s="2033"/>
      <c r="E1" s="2033"/>
      <c r="F1" s="2033"/>
      <c r="G1" s="2033"/>
      <c r="H1" s="2033"/>
      <c r="I1" s="2033"/>
      <c r="J1" s="2034"/>
    </row>
    <row r="2" spans="1:24" ht="10.5" customHeight="1">
      <c r="A2" s="1338"/>
      <c r="B2" s="1338"/>
      <c r="C2" s="1338"/>
      <c r="D2" s="1338"/>
      <c r="E2" s="1338"/>
      <c r="F2" s="1339"/>
      <c r="G2" s="1339"/>
      <c r="H2" s="1338"/>
      <c r="I2" s="1338"/>
      <c r="J2" s="1338"/>
    </row>
    <row r="3" spans="1:24" ht="39.75" customHeight="1" thickBot="1">
      <c r="C3" s="1263"/>
      <c r="D3" s="1336">
        <f>'Table 3 Levels 1&amp;2'!BN44+'Table 3 Levels 1&amp;2'!BV44</f>
        <v>3666.4136012725312</v>
      </c>
      <c r="E3" s="1264"/>
      <c r="F3" s="2043" t="s">
        <v>394</v>
      </c>
      <c r="G3" s="2044"/>
      <c r="H3" s="1264"/>
      <c r="I3" s="1265"/>
      <c r="J3" s="1266"/>
      <c r="K3" s="1266"/>
      <c r="L3" s="1266"/>
      <c r="M3" s="1266"/>
      <c r="N3" s="1266"/>
      <c r="O3" s="1266"/>
      <c r="P3" s="1266"/>
      <c r="Q3" s="1266"/>
      <c r="R3" s="1266"/>
      <c r="S3" s="1266"/>
    </row>
    <row r="4" spans="1:24" ht="112.5" customHeight="1">
      <c r="A4" s="2028" t="s">
        <v>446</v>
      </c>
      <c r="B4" s="2028" t="s">
        <v>190</v>
      </c>
      <c r="C4" s="2028" t="s">
        <v>1178</v>
      </c>
      <c r="D4" s="1744" t="s">
        <v>1366</v>
      </c>
      <c r="E4" s="2026" t="s">
        <v>1360</v>
      </c>
      <c r="F4" s="2028" t="s">
        <v>396</v>
      </c>
      <c r="G4" s="2028" t="s">
        <v>393</v>
      </c>
      <c r="H4" s="2026" t="s">
        <v>1361</v>
      </c>
      <c r="I4" s="2030" t="s">
        <v>1231</v>
      </c>
      <c r="J4" s="2026" t="s">
        <v>1362</v>
      </c>
      <c r="K4" s="2026" t="s">
        <v>697</v>
      </c>
      <c r="L4" s="2039" t="s">
        <v>1363</v>
      </c>
      <c r="M4" s="1267" t="s">
        <v>503</v>
      </c>
      <c r="N4" s="1267" t="s">
        <v>503</v>
      </c>
      <c r="O4" s="2041" t="s">
        <v>503</v>
      </c>
      <c r="P4" s="2039" t="s">
        <v>1364</v>
      </c>
      <c r="Q4" s="2030" t="s">
        <v>1229</v>
      </c>
      <c r="R4" s="2035" t="s">
        <v>1365</v>
      </c>
      <c r="S4" s="2039" t="s">
        <v>708</v>
      </c>
    </row>
    <row r="5" spans="1:24" ht="57.75" customHeight="1">
      <c r="A5" s="2029" t="s">
        <v>80</v>
      </c>
      <c r="B5" s="2029"/>
      <c r="C5" s="2029"/>
      <c r="D5" s="1268" t="s">
        <v>1214</v>
      </c>
      <c r="E5" s="2027"/>
      <c r="F5" s="2029"/>
      <c r="G5" s="2029"/>
      <c r="H5" s="2027"/>
      <c r="I5" s="2031"/>
      <c r="J5" s="2027"/>
      <c r="K5" s="2027"/>
      <c r="L5" s="2040"/>
      <c r="M5" s="1269">
        <v>1.7500000000000002E-2</v>
      </c>
      <c r="N5" s="1269">
        <v>2.5000000000000001E-3</v>
      </c>
      <c r="O5" s="2042"/>
      <c r="P5" s="2040"/>
      <c r="Q5" s="2031"/>
      <c r="R5" s="2036"/>
      <c r="S5" s="2040"/>
      <c r="U5" s="1337"/>
    </row>
    <row r="6" spans="1:24">
      <c r="A6" s="1270"/>
      <c r="B6" s="1270"/>
      <c r="C6" s="1271">
        <v>1</v>
      </c>
      <c r="D6" s="1271">
        <f t="shared" ref="D6:J6" si="0">C6+1</f>
        <v>2</v>
      </c>
      <c r="E6" s="1271">
        <f t="shared" si="0"/>
        <v>3</v>
      </c>
      <c r="F6" s="1271">
        <f t="shared" si="0"/>
        <v>4</v>
      </c>
      <c r="G6" s="1271">
        <f t="shared" si="0"/>
        <v>5</v>
      </c>
      <c r="H6" s="1271">
        <f t="shared" si="0"/>
        <v>6</v>
      </c>
      <c r="I6" s="1271">
        <f t="shared" si="0"/>
        <v>7</v>
      </c>
      <c r="J6" s="1271">
        <f t="shared" si="0"/>
        <v>8</v>
      </c>
      <c r="K6" s="1271"/>
      <c r="L6" s="1271">
        <f t="shared" ref="L6" si="1">J6+1</f>
        <v>9</v>
      </c>
      <c r="M6" s="1271">
        <f t="shared" ref="M6" si="2">L6+1</f>
        <v>10</v>
      </c>
      <c r="N6" s="1271">
        <f t="shared" ref="N6" si="3">M6+1</f>
        <v>11</v>
      </c>
      <c r="O6" s="1271">
        <f t="shared" ref="O6" si="4">N6+1</f>
        <v>12</v>
      </c>
      <c r="P6" s="1271">
        <f t="shared" ref="P6" si="5">O6+1</f>
        <v>13</v>
      </c>
      <c r="Q6" s="1271">
        <f t="shared" ref="Q6" si="6">P6+1</f>
        <v>14</v>
      </c>
      <c r="R6" s="1271">
        <f t="shared" ref="R6" si="7">Q6+1</f>
        <v>15</v>
      </c>
      <c r="S6" s="1271">
        <f t="shared" ref="S6" si="8">R6+1</f>
        <v>16</v>
      </c>
    </row>
    <row r="7" spans="1:24" ht="30.75">
      <c r="A7" s="1252" t="s">
        <v>439</v>
      </c>
      <c r="B7" s="1253" t="s">
        <v>685</v>
      </c>
      <c r="C7" s="1254">
        <f>'[2]ALL-Reformatted'!$C$41</f>
        <v>13385</v>
      </c>
      <c r="D7" s="1255">
        <f>$D$3</f>
        <v>3666.4136012725312</v>
      </c>
      <c r="E7" s="1255">
        <f>ROUND(C7*D7,0)</f>
        <v>49074946</v>
      </c>
      <c r="F7" s="1255">
        <v>727.23177743956114</v>
      </c>
      <c r="G7" s="1255">
        <f>F7*C7</f>
        <v>9733997.3410285264</v>
      </c>
      <c r="H7" s="1256">
        <f>E7+G7</f>
        <v>58808943.341028526</v>
      </c>
      <c r="I7" s="1257" t="s">
        <v>65</v>
      </c>
      <c r="J7" s="1258" t="s">
        <v>89</v>
      </c>
      <c r="K7" s="1272"/>
      <c r="L7" s="1803"/>
      <c r="M7" s="1804"/>
      <c r="N7" s="1804"/>
      <c r="O7" s="1804"/>
      <c r="P7" s="1804"/>
      <c r="Q7" s="1804"/>
      <c r="R7" s="1803"/>
      <c r="S7" s="1803"/>
    </row>
    <row r="8" spans="1:24" ht="8.25" customHeight="1">
      <c r="A8" s="1259"/>
      <c r="B8" s="2024"/>
      <c r="C8" s="2025"/>
      <c r="D8" s="2025"/>
      <c r="E8" s="2025"/>
      <c r="F8" s="2025"/>
      <c r="G8" s="2025"/>
      <c r="H8" s="2025"/>
      <c r="I8" s="2025"/>
      <c r="J8" s="2025"/>
      <c r="K8" s="1273"/>
      <c r="L8" s="2037"/>
      <c r="M8" s="2038"/>
      <c r="N8" s="2038"/>
      <c r="O8" s="2038"/>
      <c r="P8" s="2038"/>
      <c r="Q8" s="2038"/>
      <c r="R8" s="2038"/>
      <c r="S8" s="2038"/>
      <c r="T8" s="2038"/>
      <c r="U8" s="2038"/>
      <c r="V8" s="2038"/>
      <c r="W8" s="2038"/>
      <c r="X8" s="2038"/>
    </row>
    <row r="9" spans="1:24" ht="24.75" customHeight="1">
      <c r="A9" s="1260" t="s">
        <v>438</v>
      </c>
      <c r="B9" s="1261" t="s">
        <v>448</v>
      </c>
      <c r="C9" s="1251">
        <f>'[2]ALL-Reformatted'!$F$41-C29-C31-C40-C67-C68+317+253+346+384</f>
        <v>2200</v>
      </c>
      <c r="D9" s="1255">
        <f>$D$3</f>
        <v>3666.4136012725312</v>
      </c>
      <c r="E9" s="1255">
        <f>ROUND(C9*D9,0)</f>
        <v>8066110</v>
      </c>
      <c r="F9" s="1255">
        <v>797.0524448632965</v>
      </c>
      <c r="G9" s="1255">
        <f>F9*C9</f>
        <v>1753515.3786992524</v>
      </c>
      <c r="H9" s="1256">
        <f>E9+G9</f>
        <v>9819625.3786992524</v>
      </c>
      <c r="I9" s="1255">
        <f>'[1]Adjusted Amounts'!$C$146+'[1]Adjusted Amounts'!$H$146</f>
        <v>-328253.8802856222</v>
      </c>
      <c r="J9" s="1256">
        <f>H9+I9</f>
        <v>9491371.4984136298</v>
      </c>
      <c r="K9" s="1274">
        <f>'[18]FY2012-13 Final'!$D$43</f>
        <v>3929</v>
      </c>
      <c r="L9" s="1805">
        <f>C9*K9</f>
        <v>8643800</v>
      </c>
      <c r="M9" s="1806">
        <f>-M69</f>
        <v>1854480.7400000002</v>
      </c>
      <c r="N9" s="1806"/>
      <c r="O9" s="1806">
        <f>M9+N9</f>
        <v>1854480.7400000002</v>
      </c>
      <c r="P9" s="1806">
        <f>L9+O9</f>
        <v>10498280.74</v>
      </c>
      <c r="Q9" s="1806">
        <f>'[1]Adjusted Amounts'!$K$146+'[1]Adjusted Amounts'!$P$146</f>
        <v>-66428.5</v>
      </c>
      <c r="R9" s="1807">
        <f>SUM(P9:Q9)</f>
        <v>10431852.24</v>
      </c>
      <c r="S9" s="1808">
        <f>R9/12</f>
        <v>869321.02</v>
      </c>
    </row>
    <row r="10" spans="1:24" ht="8.25" customHeight="1">
      <c r="A10" s="1275"/>
      <c r="B10" s="2024"/>
      <c r="C10" s="2025"/>
      <c r="D10" s="2025"/>
      <c r="E10" s="2025"/>
      <c r="F10" s="2025"/>
      <c r="G10" s="2025"/>
      <c r="H10" s="2025"/>
      <c r="I10" s="2025"/>
      <c r="J10" s="2025"/>
      <c r="K10" s="1273"/>
      <c r="L10" s="2037"/>
      <c r="M10" s="2038"/>
      <c r="N10" s="2038"/>
      <c r="O10" s="2038"/>
      <c r="P10" s="2038"/>
      <c r="Q10" s="2038"/>
      <c r="R10" s="2038"/>
      <c r="S10" s="2038"/>
      <c r="T10" s="2038"/>
      <c r="U10" s="2038"/>
      <c r="V10" s="2038"/>
      <c r="W10" s="2038"/>
      <c r="X10" s="2038"/>
    </row>
    <row r="11" spans="1:24" ht="21" customHeight="1">
      <c r="A11" s="1276"/>
      <c r="B11" s="1277" t="s">
        <v>81</v>
      </c>
      <c r="C11" s="1254"/>
      <c r="D11" s="1255"/>
      <c r="E11" s="1255"/>
      <c r="F11" s="1255"/>
      <c r="G11" s="1255"/>
      <c r="H11" s="1256"/>
      <c r="I11" s="1274"/>
      <c r="J11" s="1256"/>
      <c r="K11" s="1274"/>
      <c r="L11" s="1256"/>
      <c r="M11" s="1274"/>
      <c r="N11" s="1274"/>
      <c r="O11" s="1274"/>
      <c r="P11" s="1274"/>
      <c r="Q11" s="1274"/>
      <c r="R11" s="1256"/>
      <c r="S11" s="1256"/>
    </row>
    <row r="12" spans="1:24" ht="30.75" customHeight="1">
      <c r="A12" s="786">
        <v>300001</v>
      </c>
      <c r="B12" s="440" t="s">
        <v>286</v>
      </c>
      <c r="C12" s="791">
        <f>'[19]RSD-NO by Site'!D5</f>
        <v>398</v>
      </c>
      <c r="D12" s="1278">
        <f t="shared" ref="D12:D68" si="9">$D$3</f>
        <v>3666.4136012725312</v>
      </c>
      <c r="E12" s="1278">
        <f t="shared" ref="E12:E60" si="10">ROUND(C12*D12,0)</f>
        <v>1459233</v>
      </c>
      <c r="F12" s="1255">
        <v>767.72184717013943</v>
      </c>
      <c r="G12" s="1255">
        <f t="shared" ref="G12:G60" si="11">F12*C12</f>
        <v>305553.29517371551</v>
      </c>
      <c r="H12" s="1256">
        <f>E12+G12</f>
        <v>1764786.2951737156</v>
      </c>
      <c r="I12" s="1279">
        <f>'[1]Adjusted Amounts'!C159+'[1]Adjusted Amounts'!H159</f>
        <v>0</v>
      </c>
      <c r="J12" s="1280">
        <f t="shared" ref="J12:J60" si="12">H12+I12</f>
        <v>1764786.2951737156</v>
      </c>
      <c r="K12" s="1274">
        <f>'[18]FY2012-13 Final'!$D$43</f>
        <v>3929</v>
      </c>
      <c r="L12" s="1280">
        <f t="shared" ref="L12:L62" si="13">C12*K12</f>
        <v>1563742</v>
      </c>
      <c r="M12" s="1281">
        <f>-$M$5*L12</f>
        <v>-27365.485000000004</v>
      </c>
      <c r="N12" s="1281">
        <f>-$N$5*L12</f>
        <v>-3909.355</v>
      </c>
      <c r="O12" s="1279">
        <f>M12+N12</f>
        <v>-31274.840000000004</v>
      </c>
      <c r="P12" s="1279">
        <f t="shared" ref="P12:P62" si="14">L12+O12</f>
        <v>1532467.16</v>
      </c>
      <c r="Q12" s="1279">
        <f>'[1]Adjusted Amounts'!K159+'[1]Adjusted Amounts'!P159</f>
        <v>0</v>
      </c>
      <c r="R12" s="1280">
        <f t="shared" ref="R12:R62" si="15">SUM(P12:Q12)</f>
        <v>1532467.16</v>
      </c>
      <c r="S12" s="1280">
        <f t="shared" ref="S12:S62" si="16">R12/12</f>
        <v>127705.59666666666</v>
      </c>
    </row>
    <row r="13" spans="1:24" ht="30.75" customHeight="1">
      <c r="A13" s="786">
        <v>300002</v>
      </c>
      <c r="B13" s="440" t="s">
        <v>285</v>
      </c>
      <c r="C13" s="791">
        <f>'[19]RSD-NO by Site'!D6</f>
        <v>456</v>
      </c>
      <c r="D13" s="1278">
        <f t="shared" si="9"/>
        <v>3666.4136012725312</v>
      </c>
      <c r="E13" s="1278">
        <f t="shared" si="10"/>
        <v>1671885</v>
      </c>
      <c r="F13" s="1255">
        <v>730.66950653120466</v>
      </c>
      <c r="G13" s="1255">
        <f t="shared" si="11"/>
        <v>333185.29497822933</v>
      </c>
      <c r="H13" s="1256">
        <f t="shared" ref="H13:H60" si="17">E13+G13</f>
        <v>2005070.2949782293</v>
      </c>
      <c r="I13" s="1279">
        <f>'[1]Adjusted Amounts'!C160+'[1]Adjusted Amounts'!H160</f>
        <v>-14334.174920697558</v>
      </c>
      <c r="J13" s="1280">
        <f t="shared" si="12"/>
        <v>1990736.1200575319</v>
      </c>
      <c r="K13" s="1274">
        <f>'[18]FY2012-13 Final'!$D$43</f>
        <v>3929</v>
      </c>
      <c r="L13" s="1280">
        <f t="shared" si="13"/>
        <v>1791624</v>
      </c>
      <c r="M13" s="1281">
        <f t="shared" ref="M13:M62" si="18">-$M$5*L13</f>
        <v>-31353.420000000002</v>
      </c>
      <c r="N13" s="1281">
        <f t="shared" ref="N13:N62" si="19">-$N$5*L13</f>
        <v>-4479.0600000000004</v>
      </c>
      <c r="O13" s="1279">
        <f t="shared" ref="O13:O62" si="20">M13+N13</f>
        <v>-35832.480000000003</v>
      </c>
      <c r="P13" s="1279">
        <f t="shared" si="14"/>
        <v>1755791.52</v>
      </c>
      <c r="Q13" s="1279">
        <f>'[1]Adjusted Amounts'!K160+'[1]Adjusted Amounts'!P160</f>
        <v>0</v>
      </c>
      <c r="R13" s="1280">
        <f t="shared" si="15"/>
        <v>1755791.52</v>
      </c>
      <c r="S13" s="1280">
        <f t="shared" si="16"/>
        <v>146315.96</v>
      </c>
    </row>
    <row r="14" spans="1:24" ht="30.75" customHeight="1">
      <c r="A14" s="787">
        <v>300003</v>
      </c>
      <c r="B14" s="502" t="s">
        <v>346</v>
      </c>
      <c r="C14" s="791">
        <f>'[19]RSD-NO by Site'!D7</f>
        <v>658</v>
      </c>
      <c r="D14" s="1278">
        <f t="shared" si="9"/>
        <v>3666.4136012725312</v>
      </c>
      <c r="E14" s="1278">
        <f t="shared" si="10"/>
        <v>2412500</v>
      </c>
      <c r="F14" s="1255">
        <v>767.72184717013943</v>
      </c>
      <c r="G14" s="1255">
        <f t="shared" si="11"/>
        <v>505160.97543795174</v>
      </c>
      <c r="H14" s="1256">
        <f t="shared" si="17"/>
        <v>2917660.9754379517</v>
      </c>
      <c r="I14" s="1279">
        <f>'[1]Adjusted Amounts'!C161+'[1]Adjusted Amounts'!H161</f>
        <v>-15068.125484406863</v>
      </c>
      <c r="J14" s="1280">
        <f t="shared" si="12"/>
        <v>2902592.8499535448</v>
      </c>
      <c r="K14" s="1274">
        <f>'[18]FY2012-13 Final'!$D$43</f>
        <v>3929</v>
      </c>
      <c r="L14" s="1280">
        <f t="shared" si="13"/>
        <v>2585282</v>
      </c>
      <c r="M14" s="1281">
        <f t="shared" si="18"/>
        <v>-45242.435000000005</v>
      </c>
      <c r="N14" s="1281">
        <f t="shared" si="19"/>
        <v>-6463.2049999999999</v>
      </c>
      <c r="O14" s="1279">
        <f t="shared" si="20"/>
        <v>-51705.640000000007</v>
      </c>
      <c r="P14" s="1279">
        <f t="shared" si="14"/>
        <v>2533576.36</v>
      </c>
      <c r="Q14" s="1279">
        <f>'[1]Adjusted Amounts'!K161+'[1]Adjusted Amounts'!P161</f>
        <v>-12335</v>
      </c>
      <c r="R14" s="1280">
        <f t="shared" si="15"/>
        <v>2521241.36</v>
      </c>
      <c r="S14" s="1280">
        <f t="shared" si="16"/>
        <v>210103.44666666666</v>
      </c>
    </row>
    <row r="15" spans="1:24" ht="30.75" customHeight="1">
      <c r="A15" s="788">
        <v>300004</v>
      </c>
      <c r="B15" s="772" t="s">
        <v>399</v>
      </c>
      <c r="C15" s="791">
        <f>'[19]RSD-NO by Site'!D8</f>
        <v>412</v>
      </c>
      <c r="D15" s="1278">
        <f t="shared" si="9"/>
        <v>3666.4136012725312</v>
      </c>
      <c r="E15" s="1278">
        <f t="shared" si="10"/>
        <v>1510562</v>
      </c>
      <c r="F15" s="1274">
        <v>746.0335616438357</v>
      </c>
      <c r="G15" s="1255">
        <f t="shared" si="11"/>
        <v>307365.82739726029</v>
      </c>
      <c r="H15" s="1256">
        <f t="shared" si="17"/>
        <v>1817927.8273972603</v>
      </c>
      <c r="I15" s="1279">
        <f>'[1]Adjusted Amounts'!C162+'[1]Adjusted Amounts'!H162</f>
        <v>-9521.5138075996947</v>
      </c>
      <c r="J15" s="1280">
        <f t="shared" si="12"/>
        <v>1808406.3135896607</v>
      </c>
      <c r="K15" s="1274">
        <f>'[18]FY2012-13 Final'!$D$43</f>
        <v>3929</v>
      </c>
      <c r="L15" s="1280">
        <f t="shared" si="13"/>
        <v>1618748</v>
      </c>
      <c r="M15" s="1281">
        <f t="shared" si="18"/>
        <v>-28328.090000000004</v>
      </c>
      <c r="N15" s="1281">
        <f t="shared" si="19"/>
        <v>-4046.87</v>
      </c>
      <c r="O15" s="1279">
        <f t="shared" si="20"/>
        <v>-32374.960000000003</v>
      </c>
      <c r="P15" s="1279">
        <f t="shared" si="14"/>
        <v>1586373.04</v>
      </c>
      <c r="Q15" s="1279">
        <f>'[1]Adjusted Amounts'!K162+'[1]Adjusted Amounts'!P162</f>
        <v>-9959.5</v>
      </c>
      <c r="R15" s="1280">
        <f t="shared" si="15"/>
        <v>1576413.54</v>
      </c>
      <c r="S15" s="1280">
        <f t="shared" si="16"/>
        <v>131367.79500000001</v>
      </c>
    </row>
    <row r="16" spans="1:24" ht="34.5" customHeight="1">
      <c r="A16" s="787">
        <v>360001</v>
      </c>
      <c r="B16" s="502" t="s">
        <v>663</v>
      </c>
      <c r="C16" s="1311">
        <f>'[19]RSD-NO by Site'!D9</f>
        <v>156</v>
      </c>
      <c r="D16" s="1278">
        <f t="shared" si="9"/>
        <v>3666.4136012725312</v>
      </c>
      <c r="E16" s="1278">
        <f t="shared" si="10"/>
        <v>571961</v>
      </c>
      <c r="F16" s="1274">
        <v>746.0335616438357</v>
      </c>
      <c r="G16" s="1255">
        <f t="shared" si="11"/>
        <v>116381.23561643837</v>
      </c>
      <c r="H16" s="1256">
        <f t="shared" si="17"/>
        <v>688342.23561643832</v>
      </c>
      <c r="I16" s="1279">
        <f>'[1]Adjusted Amounts'!C163+'[1]Adjusted Amounts'!H163</f>
        <v>0</v>
      </c>
      <c r="J16" s="1280">
        <f t="shared" si="12"/>
        <v>688342.23561643832</v>
      </c>
      <c r="K16" s="1274">
        <f>'[18]FY2012-13 Final'!$D$43</f>
        <v>3929</v>
      </c>
      <c r="L16" s="1280">
        <f t="shared" si="13"/>
        <v>612924</v>
      </c>
      <c r="M16" s="1281">
        <f t="shared" si="18"/>
        <v>-10726.170000000002</v>
      </c>
      <c r="N16" s="1281">
        <f t="shared" si="19"/>
        <v>-1532.31</v>
      </c>
      <c r="O16" s="1279">
        <f t="shared" si="20"/>
        <v>-12258.480000000001</v>
      </c>
      <c r="P16" s="1279">
        <f t="shared" si="14"/>
        <v>600665.52</v>
      </c>
      <c r="Q16" s="1279">
        <f>'[1]Adjusted Amounts'!K163+'[1]Adjusted Amounts'!P163</f>
        <v>0</v>
      </c>
      <c r="R16" s="1280">
        <f t="shared" si="15"/>
        <v>600665.52</v>
      </c>
      <c r="S16" s="1280">
        <f t="shared" si="16"/>
        <v>50055.46</v>
      </c>
    </row>
    <row r="17" spans="1:19" ht="40.5">
      <c r="A17" s="787">
        <v>361001</v>
      </c>
      <c r="B17" s="502" t="s">
        <v>686</v>
      </c>
      <c r="C17" s="1254">
        <f>'[19]RSD-NO by Site'!D10</f>
        <v>163</v>
      </c>
      <c r="D17" s="1278">
        <f t="shared" si="9"/>
        <v>3666.4136012725312</v>
      </c>
      <c r="E17" s="1278">
        <f>ROUND(C17*D17,0)</f>
        <v>597625</v>
      </c>
      <c r="F17" s="1255">
        <v>746.0335616438357</v>
      </c>
      <c r="G17" s="1255">
        <f>F17*C17</f>
        <v>121603.47054794522</v>
      </c>
      <c r="H17" s="1256">
        <f>E17+G17</f>
        <v>719228.47054794524</v>
      </c>
      <c r="I17" s="1278">
        <f>'[1]Adjusted Amounts'!C164+'[1]Adjusted Amounts'!H164</f>
        <v>0</v>
      </c>
      <c r="J17" s="1280">
        <f>H17+I17</f>
        <v>719228.47054794524</v>
      </c>
      <c r="K17" s="1279">
        <f>'[18]FY2012-13 Final'!$K$43</f>
        <v>4601</v>
      </c>
      <c r="L17" s="1280">
        <f>C17*K17</f>
        <v>749963</v>
      </c>
      <c r="M17" s="1281">
        <f>-$M$5*L17</f>
        <v>-13124.352500000001</v>
      </c>
      <c r="N17" s="1281">
        <f>-$N$5*L17</f>
        <v>-1874.9075</v>
      </c>
      <c r="O17" s="1279">
        <f>M17+N17</f>
        <v>-14999.26</v>
      </c>
      <c r="P17" s="1279">
        <f>L17+O17</f>
        <v>734963.74</v>
      </c>
      <c r="Q17" s="1279">
        <f>'[1]Adjusted Amounts'!K164+'[1]Adjusted Amounts'!P164</f>
        <v>0</v>
      </c>
      <c r="R17" s="1280">
        <f>SUM(P17:Q17)</f>
        <v>734963.74</v>
      </c>
      <c r="S17" s="1280">
        <f>R17/12</f>
        <v>61246.978333333333</v>
      </c>
    </row>
    <row r="18" spans="1:19" ht="34.5" customHeight="1">
      <c r="A18" s="787">
        <v>362001</v>
      </c>
      <c r="B18" s="502" t="s">
        <v>497</v>
      </c>
      <c r="C18" s="1254">
        <f>'[19]RSD-NO by Site'!D11</f>
        <v>377</v>
      </c>
      <c r="D18" s="1278">
        <f t="shared" si="9"/>
        <v>3666.4136012725312</v>
      </c>
      <c r="E18" s="1278">
        <f>ROUND(C18*D18,0)</f>
        <v>1382238</v>
      </c>
      <c r="F18" s="1255">
        <v>746.0335616438357</v>
      </c>
      <c r="G18" s="1255">
        <f>F18*C18</f>
        <v>281254.65273972607</v>
      </c>
      <c r="H18" s="1256">
        <f>E18+G18</f>
        <v>1663492.652739726</v>
      </c>
      <c r="I18" s="1278">
        <f>'[1]Adjusted Amounts'!C165+'[1]Adjusted Amounts'!H165</f>
        <v>-114466.36799604597</v>
      </c>
      <c r="J18" s="1280">
        <f>H18+I18</f>
        <v>1549026.2847436802</v>
      </c>
      <c r="K18" s="1274">
        <f>'[18]FY2012-13 Final'!$D$43</f>
        <v>3929</v>
      </c>
      <c r="L18" s="1280">
        <f>C18*K18</f>
        <v>1481233</v>
      </c>
      <c r="M18" s="1281">
        <f>-$M$5*L18</f>
        <v>-25921.577500000003</v>
      </c>
      <c r="N18" s="1281">
        <f>-$N$5*L18</f>
        <v>-3703.0825</v>
      </c>
      <c r="O18" s="1279">
        <f>M18+N18</f>
        <v>-29624.660000000003</v>
      </c>
      <c r="P18" s="1279">
        <f>L18+O18</f>
        <v>1451608.34</v>
      </c>
      <c r="Q18" s="1279">
        <f>'[1]Adjusted Amounts'!K165+'[1]Adjusted Amounts'!P165</f>
        <v>-106083</v>
      </c>
      <c r="R18" s="1280">
        <f>SUM(P18:Q18)</f>
        <v>1345525.34</v>
      </c>
      <c r="S18" s="1280">
        <f>R18/12</f>
        <v>112127.11166666668</v>
      </c>
    </row>
    <row r="19" spans="1:19" ht="30.75" customHeight="1">
      <c r="A19" s="1068">
        <v>363001</v>
      </c>
      <c r="B19" s="1069" t="s">
        <v>495</v>
      </c>
      <c r="C19" s="791">
        <f>'[19]RSD-NO by Site'!D12</f>
        <v>530</v>
      </c>
      <c r="D19" s="1278">
        <f t="shared" si="9"/>
        <v>3666.4136012725312</v>
      </c>
      <c r="E19" s="1278">
        <f t="shared" ref="E19:E28" si="21">ROUND(C19*D19,0)</f>
        <v>1943199</v>
      </c>
      <c r="F19" s="1255">
        <v>746.0335616438357</v>
      </c>
      <c r="G19" s="1255">
        <f t="shared" ref="G19:G28" si="22">F19*C19</f>
        <v>395397.78767123295</v>
      </c>
      <c r="H19" s="1256">
        <f t="shared" ref="H19:H28" si="23">E19+G19</f>
        <v>2338596.7876712331</v>
      </c>
      <c r="I19" s="1278">
        <f>'[1]Adjusted Amounts'!C166+'[1]Adjusted Amounts'!H166</f>
        <v>-31338.901687889957</v>
      </c>
      <c r="J19" s="1280">
        <f t="shared" ref="J19:J28" si="24">H19+I19</f>
        <v>2307257.8859833432</v>
      </c>
      <c r="K19" s="1274">
        <f>'[18]FY2012-13 Final'!$D$43</f>
        <v>3929</v>
      </c>
      <c r="L19" s="1280">
        <f t="shared" si="13"/>
        <v>2082370</v>
      </c>
      <c r="M19" s="1281">
        <f t="shared" si="18"/>
        <v>-36441.475000000006</v>
      </c>
      <c r="N19" s="1281">
        <f t="shared" si="19"/>
        <v>-5205.9250000000002</v>
      </c>
      <c r="O19" s="1279">
        <f t="shared" si="20"/>
        <v>-41647.400000000009</v>
      </c>
      <c r="P19" s="1279">
        <f t="shared" si="14"/>
        <v>2040722.6</v>
      </c>
      <c r="Q19" s="1279">
        <f>'[1]Adjusted Amounts'!K166+'[1]Adjusted Amounts'!P166</f>
        <v>-26497.5</v>
      </c>
      <c r="R19" s="1280">
        <f t="shared" si="15"/>
        <v>2014225.1</v>
      </c>
      <c r="S19" s="1280">
        <f t="shared" si="16"/>
        <v>167852.09166666667</v>
      </c>
    </row>
    <row r="20" spans="1:19" ht="30.75" customHeight="1">
      <c r="A20" s="1068">
        <v>364001</v>
      </c>
      <c r="B20" s="1069" t="s">
        <v>496</v>
      </c>
      <c r="C20" s="791">
        <f>'[19]RSD-NO by Site'!D13</f>
        <v>523</v>
      </c>
      <c r="D20" s="1278">
        <f t="shared" si="9"/>
        <v>3666.4136012725312</v>
      </c>
      <c r="E20" s="1278">
        <f t="shared" si="21"/>
        <v>1917534</v>
      </c>
      <c r="F20" s="1255">
        <v>746.0335616438357</v>
      </c>
      <c r="G20" s="1255">
        <f t="shared" si="22"/>
        <v>390175.55273972609</v>
      </c>
      <c r="H20" s="1256">
        <f t="shared" si="23"/>
        <v>2307709.5527397259</v>
      </c>
      <c r="I20" s="1278">
        <f>'[1]Adjusted Amounts'!C167+'[1]Adjusted Amounts'!H167</f>
        <v>0</v>
      </c>
      <c r="J20" s="1280">
        <f t="shared" si="24"/>
        <v>2307709.5527397259</v>
      </c>
      <c r="K20" s="1274">
        <f>'[18]FY2012-13 Final'!$D$43</f>
        <v>3929</v>
      </c>
      <c r="L20" s="1280">
        <f t="shared" si="13"/>
        <v>2054867</v>
      </c>
      <c r="M20" s="1281">
        <f t="shared" si="18"/>
        <v>-35960.172500000001</v>
      </c>
      <c r="N20" s="1281">
        <f t="shared" si="19"/>
        <v>-5137.1675000000005</v>
      </c>
      <c r="O20" s="1279">
        <f t="shared" si="20"/>
        <v>-41097.340000000004</v>
      </c>
      <c r="P20" s="1279">
        <f t="shared" si="14"/>
        <v>2013769.66</v>
      </c>
      <c r="Q20" s="1279">
        <f>'[1]Adjusted Amounts'!K167+'[1]Adjusted Amounts'!P167</f>
        <v>0</v>
      </c>
      <c r="R20" s="1280">
        <f t="shared" si="15"/>
        <v>2013769.66</v>
      </c>
      <c r="S20" s="1280">
        <f t="shared" si="16"/>
        <v>167814.13833333334</v>
      </c>
    </row>
    <row r="21" spans="1:19" ht="47.25" customHeight="1">
      <c r="A21" s="788">
        <v>366001</v>
      </c>
      <c r="B21" s="772" t="s">
        <v>626</v>
      </c>
      <c r="C21" s="791">
        <f>'[19]RSD-NO by Site'!D14</f>
        <v>121</v>
      </c>
      <c r="D21" s="1278">
        <f t="shared" si="9"/>
        <v>3666.4136012725312</v>
      </c>
      <c r="E21" s="1278">
        <f t="shared" si="21"/>
        <v>443636</v>
      </c>
      <c r="F21" s="1255">
        <v>746.0335616438357</v>
      </c>
      <c r="G21" s="1255">
        <f t="shared" si="22"/>
        <v>90270.060958904112</v>
      </c>
      <c r="H21" s="1256">
        <f t="shared" si="23"/>
        <v>533906.0609589041</v>
      </c>
      <c r="I21" s="1278">
        <f>'[1]Adjusted Amounts'!C168+'[1]Adjusted Amounts'!H168</f>
        <v>-1042.523585670363</v>
      </c>
      <c r="J21" s="1280">
        <f t="shared" si="24"/>
        <v>532863.5373732337</v>
      </c>
      <c r="K21" s="1279">
        <f>'[18]FY2012-13 Final'!$K$43</f>
        <v>4601</v>
      </c>
      <c r="L21" s="1280">
        <f t="shared" si="13"/>
        <v>556721</v>
      </c>
      <c r="M21" s="1281">
        <f t="shared" si="18"/>
        <v>-9742.6175000000003</v>
      </c>
      <c r="N21" s="1281">
        <f t="shared" si="19"/>
        <v>-1391.8025</v>
      </c>
      <c r="O21" s="1279">
        <f t="shared" si="20"/>
        <v>-11134.42</v>
      </c>
      <c r="P21" s="1279">
        <f t="shared" si="14"/>
        <v>545586.57999999996</v>
      </c>
      <c r="Q21" s="1279">
        <f>'[1]Adjusted Amounts'!K168+'[1]Adjusted Amounts'!P168</f>
        <v>-2101.5</v>
      </c>
      <c r="R21" s="1280">
        <f t="shared" si="15"/>
        <v>543485.07999999996</v>
      </c>
      <c r="S21" s="1280">
        <f t="shared" si="16"/>
        <v>45290.423333333332</v>
      </c>
    </row>
    <row r="22" spans="1:19" ht="30.75" customHeight="1">
      <c r="A22" s="788">
        <v>367001</v>
      </c>
      <c r="B22" s="772" t="s">
        <v>420</v>
      </c>
      <c r="C22" s="791">
        <f>'[19]RSD-NO by Site'!D15</f>
        <v>393</v>
      </c>
      <c r="D22" s="1278">
        <f t="shared" si="9"/>
        <v>3666.4136012725312</v>
      </c>
      <c r="E22" s="1278">
        <f t="shared" si="21"/>
        <v>1440901</v>
      </c>
      <c r="F22" s="1255">
        <v>746.0335616438357</v>
      </c>
      <c r="G22" s="1255">
        <f t="shared" si="22"/>
        <v>293191.18972602743</v>
      </c>
      <c r="H22" s="1256">
        <f t="shared" si="23"/>
        <v>1734092.1897260274</v>
      </c>
      <c r="I22" s="1278">
        <f>'[1]Adjusted Amounts'!C169+'[1]Adjusted Amounts'!H169</f>
        <v>0</v>
      </c>
      <c r="J22" s="1280">
        <f t="shared" si="24"/>
        <v>1734092.1897260274</v>
      </c>
      <c r="K22" s="1274">
        <f>'[18]FY2012-13 Final'!$D$43</f>
        <v>3929</v>
      </c>
      <c r="L22" s="1280">
        <f t="shared" si="13"/>
        <v>1544097</v>
      </c>
      <c r="M22" s="1281">
        <f t="shared" si="18"/>
        <v>-27021.697500000002</v>
      </c>
      <c r="N22" s="1281">
        <f t="shared" si="19"/>
        <v>-3860.2425000000003</v>
      </c>
      <c r="O22" s="1279">
        <f t="shared" si="20"/>
        <v>-30881.940000000002</v>
      </c>
      <c r="P22" s="1279">
        <f t="shared" si="14"/>
        <v>1513215.06</v>
      </c>
      <c r="Q22" s="1279">
        <f>'[1]Adjusted Amounts'!K169+'[1]Adjusted Amounts'!P169</f>
        <v>0</v>
      </c>
      <c r="R22" s="1280">
        <f t="shared" si="15"/>
        <v>1513215.06</v>
      </c>
      <c r="S22" s="1280">
        <f t="shared" si="16"/>
        <v>126101.255</v>
      </c>
    </row>
    <row r="23" spans="1:19" ht="48.75" customHeight="1">
      <c r="A23" s="788">
        <v>368001</v>
      </c>
      <c r="B23" s="772" t="s">
        <v>1199</v>
      </c>
      <c r="C23" s="791">
        <f>'[19]RSD-NO by Site'!D16</f>
        <v>262</v>
      </c>
      <c r="D23" s="1278">
        <f t="shared" si="9"/>
        <v>3666.4136012725312</v>
      </c>
      <c r="E23" s="1278">
        <f t="shared" si="21"/>
        <v>960600</v>
      </c>
      <c r="F23" s="1255">
        <v>746.0335616438357</v>
      </c>
      <c r="G23" s="1255">
        <f t="shared" si="22"/>
        <v>195460.79315068494</v>
      </c>
      <c r="H23" s="1256">
        <f t="shared" si="23"/>
        <v>1156060.793150685</v>
      </c>
      <c r="I23" s="1278">
        <f>'[1]Adjusted Amounts'!C170+'[1]Adjusted Amounts'!H170</f>
        <v>-5566.1450168069714</v>
      </c>
      <c r="J23" s="1280">
        <f t="shared" si="24"/>
        <v>1150494.6481338781</v>
      </c>
      <c r="K23" s="1279">
        <f>'[18]FY2012-13 Final'!$K$43</f>
        <v>4601</v>
      </c>
      <c r="L23" s="1280">
        <f t="shared" si="13"/>
        <v>1205462</v>
      </c>
      <c r="M23" s="1281">
        <f t="shared" si="18"/>
        <v>-21095.585000000003</v>
      </c>
      <c r="N23" s="1281">
        <f t="shared" si="19"/>
        <v>-3013.6550000000002</v>
      </c>
      <c r="O23" s="1279">
        <f t="shared" si="20"/>
        <v>-24109.24</v>
      </c>
      <c r="P23" s="1279">
        <f t="shared" si="14"/>
        <v>1181352.76</v>
      </c>
      <c r="Q23" s="1279">
        <f>'[1]Adjusted Amounts'!K170+'[1]Adjusted Amounts'!P170</f>
        <v>-6304.5</v>
      </c>
      <c r="R23" s="1280">
        <f t="shared" si="15"/>
        <v>1175048.26</v>
      </c>
      <c r="S23" s="1280">
        <f t="shared" si="16"/>
        <v>97920.688333333339</v>
      </c>
    </row>
    <row r="24" spans="1:19" ht="29.25">
      <c r="A24" s="788">
        <v>369001</v>
      </c>
      <c r="B24" s="772" t="s">
        <v>354</v>
      </c>
      <c r="C24" s="791">
        <f>'[19]RSD-NO by Site'!D17+15</f>
        <v>651</v>
      </c>
      <c r="D24" s="1278">
        <f t="shared" si="9"/>
        <v>3666.4136012725312</v>
      </c>
      <c r="E24" s="1278">
        <f t="shared" si="21"/>
        <v>2386835</v>
      </c>
      <c r="F24" s="1255">
        <v>746.0335616438357</v>
      </c>
      <c r="G24" s="1255">
        <f t="shared" si="22"/>
        <v>485667.84863013704</v>
      </c>
      <c r="H24" s="1256">
        <f t="shared" si="23"/>
        <v>2872502.8486301368</v>
      </c>
      <c r="I24" s="1278">
        <f>'[1]Adjusted Amounts'!C171+'[1]Adjusted Amounts'!H171</f>
        <v>2844.4932258650124</v>
      </c>
      <c r="J24" s="1280">
        <f t="shared" si="24"/>
        <v>2875347.3418560019</v>
      </c>
      <c r="K24" s="1274">
        <f>'[18]FY2012-13 Final'!$D$43</f>
        <v>3929</v>
      </c>
      <c r="L24" s="1280">
        <f t="shared" si="13"/>
        <v>2557779</v>
      </c>
      <c r="M24" s="1281">
        <f t="shared" si="18"/>
        <v>-44761.132500000007</v>
      </c>
      <c r="N24" s="1281">
        <f t="shared" si="19"/>
        <v>-6394.4475000000002</v>
      </c>
      <c r="O24" s="1279">
        <f t="shared" si="20"/>
        <v>-51155.580000000009</v>
      </c>
      <c r="P24" s="1279">
        <f t="shared" si="14"/>
        <v>2506623.42</v>
      </c>
      <c r="Q24" s="1279">
        <f>'[1]Adjusted Amounts'!K171+'[1]Adjusted Amounts'!P171</f>
        <v>6304.5</v>
      </c>
      <c r="R24" s="1280">
        <f t="shared" si="15"/>
        <v>2512927.92</v>
      </c>
      <c r="S24" s="1280">
        <f t="shared" si="16"/>
        <v>209410.66</v>
      </c>
    </row>
    <row r="25" spans="1:19" ht="30.75" customHeight="1">
      <c r="A25" s="788">
        <v>369002</v>
      </c>
      <c r="B25" s="772" t="s">
        <v>355</v>
      </c>
      <c r="C25" s="791">
        <f>'[19]RSD-NO by Site'!D18</f>
        <v>655</v>
      </c>
      <c r="D25" s="1278">
        <f t="shared" si="9"/>
        <v>3666.4136012725312</v>
      </c>
      <c r="E25" s="1278">
        <f t="shared" si="21"/>
        <v>2401501</v>
      </c>
      <c r="F25" s="1255">
        <v>746.0335616438357</v>
      </c>
      <c r="G25" s="1255">
        <f t="shared" si="22"/>
        <v>488651.9828767124</v>
      </c>
      <c r="H25" s="1256">
        <f t="shared" si="23"/>
        <v>2890152.9828767125</v>
      </c>
      <c r="I25" s="1278">
        <f>'[1]Adjusted Amounts'!C172+'[1]Adjusted Amounts'!H172</f>
        <v>-1584.5134013666629</v>
      </c>
      <c r="J25" s="1280">
        <f t="shared" si="24"/>
        <v>2888568.4694753457</v>
      </c>
      <c r="K25" s="1274">
        <f>'[18]FY2012-13 Final'!$D$43</f>
        <v>3929</v>
      </c>
      <c r="L25" s="1280">
        <f t="shared" si="13"/>
        <v>2573495</v>
      </c>
      <c r="M25" s="1281">
        <f t="shared" si="18"/>
        <v>-45036.162500000006</v>
      </c>
      <c r="N25" s="1281">
        <f t="shared" si="19"/>
        <v>-6433.7375000000002</v>
      </c>
      <c r="O25" s="1279">
        <f t="shared" si="20"/>
        <v>-51469.900000000009</v>
      </c>
      <c r="P25" s="1279">
        <f t="shared" si="14"/>
        <v>2522025.1</v>
      </c>
      <c r="Q25" s="1279">
        <f>'[1]Adjusted Amounts'!K172+'[1]Adjusted Amounts'!P172</f>
        <v>2101.5</v>
      </c>
      <c r="R25" s="1280">
        <f t="shared" si="15"/>
        <v>2524126.6</v>
      </c>
      <c r="S25" s="1280">
        <f t="shared" si="16"/>
        <v>210343.88333333333</v>
      </c>
    </row>
    <row r="26" spans="1:19" ht="30.75" customHeight="1">
      <c r="A26" s="1068">
        <v>369003</v>
      </c>
      <c r="B26" s="1069" t="s">
        <v>458</v>
      </c>
      <c r="C26" s="791">
        <f>'[19]RSD-NO by Site'!D19</f>
        <v>639</v>
      </c>
      <c r="D26" s="1278">
        <f t="shared" si="9"/>
        <v>3666.4136012725312</v>
      </c>
      <c r="E26" s="1278">
        <f t="shared" si="21"/>
        <v>2342838</v>
      </c>
      <c r="F26" s="1255">
        <v>746.0335616438357</v>
      </c>
      <c r="G26" s="1255">
        <f t="shared" si="22"/>
        <v>476715.44589041104</v>
      </c>
      <c r="H26" s="1256">
        <f t="shared" si="23"/>
        <v>2819553.4458904108</v>
      </c>
      <c r="I26" s="1278">
        <f>'[1]Adjusted Amounts'!C173+'[1]Adjusted Amounts'!H173</f>
        <v>0</v>
      </c>
      <c r="J26" s="1280">
        <f t="shared" si="24"/>
        <v>2819553.4458904108</v>
      </c>
      <c r="K26" s="1274">
        <f>'[18]FY2012-13 Final'!$D$43</f>
        <v>3929</v>
      </c>
      <c r="L26" s="1280">
        <f t="shared" si="13"/>
        <v>2510631</v>
      </c>
      <c r="M26" s="1281">
        <f t="shared" si="18"/>
        <v>-43936.042500000003</v>
      </c>
      <c r="N26" s="1281">
        <f t="shared" si="19"/>
        <v>-6276.5775000000003</v>
      </c>
      <c r="O26" s="1279">
        <f t="shared" si="20"/>
        <v>-50212.62</v>
      </c>
      <c r="P26" s="1279">
        <f t="shared" si="14"/>
        <v>2460418.38</v>
      </c>
      <c r="Q26" s="1279">
        <f>'[1]Adjusted Amounts'!K173+'[1]Adjusted Amounts'!P173</f>
        <v>0</v>
      </c>
      <c r="R26" s="1280">
        <f t="shared" si="15"/>
        <v>2460418.38</v>
      </c>
      <c r="S26" s="1280">
        <f t="shared" si="16"/>
        <v>205034.86499999999</v>
      </c>
    </row>
    <row r="27" spans="1:19" ht="30.75" customHeight="1">
      <c r="A27" s="1068">
        <v>369004</v>
      </c>
      <c r="B27" s="1069" t="s">
        <v>478</v>
      </c>
      <c r="C27" s="791">
        <f>'[19]RSD-NO by Site'!D20</f>
        <v>188</v>
      </c>
      <c r="D27" s="1278">
        <f t="shared" si="9"/>
        <v>3666.4136012725312</v>
      </c>
      <c r="E27" s="1278">
        <f t="shared" si="21"/>
        <v>689286</v>
      </c>
      <c r="F27" s="1255">
        <v>746.0335616438357</v>
      </c>
      <c r="G27" s="1255">
        <f t="shared" si="22"/>
        <v>140254.30958904111</v>
      </c>
      <c r="H27" s="1256">
        <f t="shared" si="23"/>
        <v>829540.30958904116</v>
      </c>
      <c r="I27" s="1278">
        <f>'[1]Adjusted Amounts'!C174+'[1]Adjusted Amounts'!H174</f>
        <v>82.916298665350041</v>
      </c>
      <c r="J27" s="1280">
        <f t="shared" si="24"/>
        <v>829623.2258877065</v>
      </c>
      <c r="K27" s="1274">
        <f>'[18]FY2012-13 Final'!$D$43</f>
        <v>3929</v>
      </c>
      <c r="L27" s="1280">
        <f t="shared" si="13"/>
        <v>738652</v>
      </c>
      <c r="M27" s="1281">
        <f t="shared" si="18"/>
        <v>-12926.410000000002</v>
      </c>
      <c r="N27" s="1281">
        <f t="shared" si="19"/>
        <v>-1846.63</v>
      </c>
      <c r="O27" s="1279">
        <f t="shared" si="20"/>
        <v>-14773.04</v>
      </c>
      <c r="P27" s="1279">
        <f t="shared" si="14"/>
        <v>723878.96</v>
      </c>
      <c r="Q27" s="1279">
        <f>'[1]Adjusted Amounts'!K174+'[1]Adjusted Amounts'!P174</f>
        <v>2649.5</v>
      </c>
      <c r="R27" s="1280">
        <f t="shared" si="15"/>
        <v>726528.46</v>
      </c>
      <c r="S27" s="1280">
        <f t="shared" si="16"/>
        <v>60544.03833333333</v>
      </c>
    </row>
    <row r="28" spans="1:19" ht="30.75" customHeight="1">
      <c r="A28" s="1068">
        <v>369005</v>
      </c>
      <c r="B28" s="1069" t="s">
        <v>479</v>
      </c>
      <c r="C28" s="791">
        <f>'[19]RSD-NO by Site'!D21</f>
        <v>180</v>
      </c>
      <c r="D28" s="1278">
        <f t="shared" si="9"/>
        <v>3666.4136012725312</v>
      </c>
      <c r="E28" s="1278">
        <f t="shared" si="21"/>
        <v>659954</v>
      </c>
      <c r="F28" s="1255">
        <v>746.0335616438357</v>
      </c>
      <c r="G28" s="1255">
        <f t="shared" si="22"/>
        <v>134286.04109589042</v>
      </c>
      <c r="H28" s="1256">
        <f t="shared" si="23"/>
        <v>794240.04109589045</v>
      </c>
      <c r="I28" s="1278">
        <f>'[1]Adjusted Amounts'!C175+'[1]Adjusted Amounts'!H175</f>
        <v>-4178.6923040533939</v>
      </c>
      <c r="J28" s="1280">
        <f t="shared" si="24"/>
        <v>790061.34879183711</v>
      </c>
      <c r="K28" s="1274">
        <f>'[18]FY2012-13 Final'!$D$43</f>
        <v>3929</v>
      </c>
      <c r="L28" s="1280">
        <f t="shared" si="13"/>
        <v>707220</v>
      </c>
      <c r="M28" s="1281">
        <f t="shared" si="18"/>
        <v>-12376.35</v>
      </c>
      <c r="N28" s="1281">
        <f t="shared" si="19"/>
        <v>-1768.05</v>
      </c>
      <c r="O28" s="1279">
        <f t="shared" si="20"/>
        <v>-14144.4</v>
      </c>
      <c r="P28" s="1279">
        <f t="shared" si="14"/>
        <v>693075.6</v>
      </c>
      <c r="Q28" s="1279">
        <f>'[1]Adjusted Amounts'!K175+'[1]Adjusted Amounts'!P175</f>
        <v>-6304.5</v>
      </c>
      <c r="R28" s="1280">
        <f t="shared" si="15"/>
        <v>686771.1</v>
      </c>
      <c r="S28" s="1280">
        <f t="shared" si="16"/>
        <v>57230.924999999996</v>
      </c>
    </row>
    <row r="29" spans="1:19" ht="30.75" customHeight="1">
      <c r="A29" s="1073"/>
      <c r="B29" s="1074" t="s">
        <v>756</v>
      </c>
      <c r="C29" s="1072">
        <v>650</v>
      </c>
      <c r="D29" s="1278">
        <f t="shared" si="9"/>
        <v>3666.4136012725312</v>
      </c>
      <c r="E29" s="1278">
        <f t="shared" si="10"/>
        <v>2383169</v>
      </c>
      <c r="F29" s="1255">
        <v>746.0335616438357</v>
      </c>
      <c r="G29" s="1255">
        <f t="shared" si="11"/>
        <v>484921.81506849319</v>
      </c>
      <c r="H29" s="1256">
        <f t="shared" si="17"/>
        <v>2868090.8150684931</v>
      </c>
      <c r="I29" s="1279">
        <v>0</v>
      </c>
      <c r="J29" s="1280">
        <f t="shared" si="12"/>
        <v>2868090.8150684931</v>
      </c>
      <c r="K29" s="1274">
        <f>'[18]FY2012-13 Final'!$D$43</f>
        <v>3929</v>
      </c>
      <c r="L29" s="1280">
        <f t="shared" si="13"/>
        <v>2553850</v>
      </c>
      <c r="M29" s="1281">
        <f t="shared" si="18"/>
        <v>-44692.375000000007</v>
      </c>
      <c r="N29" s="1281">
        <f t="shared" si="19"/>
        <v>-6384.625</v>
      </c>
      <c r="O29" s="1279">
        <f t="shared" si="20"/>
        <v>-51077.000000000007</v>
      </c>
      <c r="P29" s="1279">
        <f t="shared" si="14"/>
        <v>2502773</v>
      </c>
      <c r="Q29" s="1279">
        <v>0</v>
      </c>
      <c r="R29" s="1280">
        <f t="shared" si="15"/>
        <v>2502773</v>
      </c>
      <c r="S29" s="1280">
        <f t="shared" si="16"/>
        <v>208564.41666666666</v>
      </c>
    </row>
    <row r="30" spans="1:19" ht="30.75" customHeight="1">
      <c r="A30" s="1068">
        <v>373001</v>
      </c>
      <c r="B30" s="1069" t="s">
        <v>434</v>
      </c>
      <c r="C30" s="791">
        <f>'[19]RSD-NO by Site'!$D$23</f>
        <v>399</v>
      </c>
      <c r="D30" s="1278">
        <f t="shared" si="9"/>
        <v>3666.4136012725312</v>
      </c>
      <c r="E30" s="1278">
        <f t="shared" si="10"/>
        <v>1462899</v>
      </c>
      <c r="F30" s="1255">
        <v>746.0335616438357</v>
      </c>
      <c r="G30" s="1255">
        <f t="shared" si="11"/>
        <v>297667.39109589043</v>
      </c>
      <c r="H30" s="1256">
        <f t="shared" si="17"/>
        <v>1760566.3910958904</v>
      </c>
      <c r="I30" s="1278">
        <f>'[1]Adjusted Amounts'!$C$176+'[1]Adjusted Amounts'!$H$176</f>
        <v>0</v>
      </c>
      <c r="J30" s="1280">
        <f t="shared" si="12"/>
        <v>1760566.3910958904</v>
      </c>
      <c r="K30" s="1274">
        <f>'[18]FY2012-13 Final'!$D$43</f>
        <v>3929</v>
      </c>
      <c r="L30" s="1280">
        <f t="shared" si="13"/>
        <v>1567671</v>
      </c>
      <c r="M30" s="1281">
        <f t="shared" si="18"/>
        <v>-27434.242500000004</v>
      </c>
      <c r="N30" s="1281">
        <f t="shared" si="19"/>
        <v>-3919.1775000000002</v>
      </c>
      <c r="O30" s="1279">
        <f t="shared" si="20"/>
        <v>-31353.420000000006</v>
      </c>
      <c r="P30" s="1279">
        <f t="shared" si="14"/>
        <v>1536317.58</v>
      </c>
      <c r="Q30" s="1279">
        <f>'[1]Adjusted Amounts'!$K$176+'[1]Adjusted Amounts'!$P$176</f>
        <v>0</v>
      </c>
      <c r="R30" s="1280">
        <f t="shared" si="15"/>
        <v>1536317.58</v>
      </c>
      <c r="S30" s="1280">
        <f t="shared" si="16"/>
        <v>128026.46500000001</v>
      </c>
    </row>
    <row r="31" spans="1:19" ht="30.75" customHeight="1">
      <c r="A31" s="1073"/>
      <c r="B31" s="1074" t="s">
        <v>757</v>
      </c>
      <c r="C31" s="1072">
        <v>384</v>
      </c>
      <c r="D31" s="1278">
        <f t="shared" si="9"/>
        <v>3666.4136012725312</v>
      </c>
      <c r="E31" s="1278">
        <f t="shared" si="10"/>
        <v>1407903</v>
      </c>
      <c r="F31" s="1255">
        <v>746.0335616438357</v>
      </c>
      <c r="G31" s="1255">
        <f t="shared" si="11"/>
        <v>286476.88767123292</v>
      </c>
      <c r="H31" s="1256">
        <f t="shared" si="17"/>
        <v>1694379.8876712329</v>
      </c>
      <c r="I31" s="1278">
        <v>0</v>
      </c>
      <c r="J31" s="1280">
        <f t="shared" si="12"/>
        <v>1694379.8876712329</v>
      </c>
      <c r="K31" s="1274">
        <f>'[18]FY2012-13 Final'!$D$43</f>
        <v>3929</v>
      </c>
      <c r="L31" s="1280">
        <f t="shared" si="13"/>
        <v>1508736</v>
      </c>
      <c r="M31" s="1281">
        <f t="shared" si="18"/>
        <v>-26402.880000000001</v>
      </c>
      <c r="N31" s="1281">
        <f t="shared" si="19"/>
        <v>-3771.84</v>
      </c>
      <c r="O31" s="1279">
        <f t="shared" si="20"/>
        <v>-30174.720000000001</v>
      </c>
      <c r="P31" s="1279">
        <f t="shared" si="14"/>
        <v>1478561.28</v>
      </c>
      <c r="Q31" s="1279">
        <v>0</v>
      </c>
      <c r="R31" s="1280">
        <f t="shared" si="15"/>
        <v>1478561.28</v>
      </c>
      <c r="S31" s="1280">
        <f t="shared" si="16"/>
        <v>123213.44</v>
      </c>
    </row>
    <row r="32" spans="1:19" ht="30.75" customHeight="1">
      <c r="A32" s="1068">
        <v>374001</v>
      </c>
      <c r="B32" s="1069" t="s">
        <v>435</v>
      </c>
      <c r="C32" s="791">
        <f>'[19]RSD-NO by Site'!D24</f>
        <v>402</v>
      </c>
      <c r="D32" s="1278">
        <f t="shared" si="9"/>
        <v>3666.4136012725312</v>
      </c>
      <c r="E32" s="1278">
        <f t="shared" si="10"/>
        <v>1473898</v>
      </c>
      <c r="F32" s="1255">
        <v>746.0335616438357</v>
      </c>
      <c r="G32" s="1255">
        <f t="shared" si="11"/>
        <v>299905.49178082193</v>
      </c>
      <c r="H32" s="1256">
        <f t="shared" si="17"/>
        <v>1773803.4917808219</v>
      </c>
      <c r="I32" s="1278">
        <f>'[1]Adjusted Amounts'!C177+'[1]Adjusted Amounts'!H177</f>
        <v>0</v>
      </c>
      <c r="J32" s="1280">
        <f t="shared" si="12"/>
        <v>1773803.4917808219</v>
      </c>
      <c r="K32" s="1274">
        <f>'[18]FY2012-13 Final'!$D$43</f>
        <v>3929</v>
      </c>
      <c r="L32" s="1280">
        <f t="shared" si="13"/>
        <v>1579458</v>
      </c>
      <c r="M32" s="1281">
        <f t="shared" si="18"/>
        <v>-27640.515000000003</v>
      </c>
      <c r="N32" s="1281">
        <f t="shared" si="19"/>
        <v>-3948.645</v>
      </c>
      <c r="O32" s="1279">
        <f t="shared" si="20"/>
        <v>-31589.160000000003</v>
      </c>
      <c r="P32" s="1279">
        <f t="shared" si="14"/>
        <v>1547868.84</v>
      </c>
      <c r="Q32" s="1279">
        <f>'[1]Adjusted Amounts'!K177+'[1]Adjusted Amounts'!P177</f>
        <v>0</v>
      </c>
      <c r="R32" s="1280">
        <f t="shared" si="15"/>
        <v>1547868.84</v>
      </c>
      <c r="S32" s="1280">
        <f t="shared" si="16"/>
        <v>128989.07</v>
      </c>
    </row>
    <row r="33" spans="1:26" ht="33" customHeight="1">
      <c r="A33" s="786">
        <v>381001</v>
      </c>
      <c r="B33" s="440" t="s">
        <v>688</v>
      </c>
      <c r="C33" s="1311">
        <f>'[19]RSD-NO by Site'!D29</f>
        <v>381</v>
      </c>
      <c r="D33" s="1278">
        <f t="shared" si="9"/>
        <v>3666.4136012725312</v>
      </c>
      <c r="E33" s="1278">
        <f t="shared" ref="E33:E34" si="25">ROUND(C33*D33,0)</f>
        <v>1396904</v>
      </c>
      <c r="F33" s="1312">
        <v>743.65689655172423</v>
      </c>
      <c r="G33" s="1255">
        <f t="shared" ref="G33:G34" si="26">F33*C33</f>
        <v>283333.27758620691</v>
      </c>
      <c r="H33" s="1256">
        <f t="shared" ref="H33:H34" si="27">E33+G33</f>
        <v>1680237.2775862068</v>
      </c>
      <c r="I33" s="1278">
        <f>'[1]Adjusted Amounts'!C182+'[1]Adjusted Amounts'!H182</f>
        <v>0</v>
      </c>
      <c r="J33" s="1280">
        <f t="shared" ref="J33:J34" si="28">H33+I33</f>
        <v>1680237.2775862068</v>
      </c>
      <c r="K33" s="1274">
        <f>'[18]FY2012-13 Final'!$D$43</f>
        <v>3929</v>
      </c>
      <c r="L33" s="1280">
        <f>C33*K33</f>
        <v>1496949</v>
      </c>
      <c r="M33" s="1281">
        <f>-$M$5*L33</f>
        <v>-26196.607500000002</v>
      </c>
      <c r="N33" s="1281">
        <f>-$N$5*L33</f>
        <v>-3742.3724999999999</v>
      </c>
      <c r="O33" s="1279">
        <f>M33+N33</f>
        <v>-29938.980000000003</v>
      </c>
      <c r="P33" s="1279">
        <f>L33+O33</f>
        <v>1467010.02</v>
      </c>
      <c r="Q33" s="1279">
        <f>'[1]Adjusted Amounts'!K182+'[1]Adjusted Amounts'!P182</f>
        <v>0</v>
      </c>
      <c r="R33" s="1280">
        <f>SUM(P33:Q33)</f>
        <v>1467010.02</v>
      </c>
      <c r="S33" s="1280">
        <f>R33/12</f>
        <v>122250.83500000001</v>
      </c>
    </row>
    <row r="34" spans="1:26" ht="33" customHeight="1">
      <c r="A34" s="788">
        <v>382001</v>
      </c>
      <c r="B34" s="772" t="s">
        <v>699</v>
      </c>
      <c r="C34" s="791">
        <f>'[19]RSD-NO by Site'!D30</f>
        <v>401</v>
      </c>
      <c r="D34" s="1278">
        <f t="shared" si="9"/>
        <v>3666.4136012725312</v>
      </c>
      <c r="E34" s="1278">
        <f t="shared" si="25"/>
        <v>1470232</v>
      </c>
      <c r="F34" s="1255">
        <v>783.54939759036142</v>
      </c>
      <c r="G34" s="1255">
        <f t="shared" si="26"/>
        <v>314203.30843373493</v>
      </c>
      <c r="H34" s="1256">
        <f t="shared" si="27"/>
        <v>1784435.3084337348</v>
      </c>
      <c r="I34" s="1278">
        <f>'[1]Adjusted Amounts'!C183+'[1]Adjusted Amounts'!H183</f>
        <v>-24508.120428451035</v>
      </c>
      <c r="J34" s="1280">
        <f t="shared" si="28"/>
        <v>1759927.1880052837</v>
      </c>
      <c r="K34" s="1274">
        <f>'[18]FY2012-13 Final'!$D$43</f>
        <v>3929</v>
      </c>
      <c r="L34" s="1280">
        <f>C34*K34</f>
        <v>1575529</v>
      </c>
      <c r="M34" s="1281">
        <f>-$M$5*L34</f>
        <v>-27571.757500000003</v>
      </c>
      <c r="N34" s="1281">
        <f>-$N$5*L34</f>
        <v>-3938.8225000000002</v>
      </c>
      <c r="O34" s="1279">
        <f>M34+N34</f>
        <v>-31510.58</v>
      </c>
      <c r="P34" s="1279">
        <f>L34+O34</f>
        <v>1544018.42</v>
      </c>
      <c r="Q34" s="1279">
        <f>'[1]Adjusted Amounts'!K183+'[1]Adjusted Amounts'!P183</f>
        <v>-8132</v>
      </c>
      <c r="R34" s="1280">
        <f>SUM(P34:Q34)</f>
        <v>1535886.42</v>
      </c>
      <c r="S34" s="1280">
        <f>R34/12</f>
        <v>127990.53499999999</v>
      </c>
    </row>
    <row r="35" spans="1:26" ht="30.75" customHeight="1">
      <c r="A35" s="787">
        <v>382002</v>
      </c>
      <c r="B35" s="502" t="s">
        <v>499</v>
      </c>
      <c r="C35" s="1254">
        <f>'[19]RSD-NO by Site'!D31</f>
        <v>105</v>
      </c>
      <c r="D35" s="1278">
        <f t="shared" si="9"/>
        <v>3666.4136012725312</v>
      </c>
      <c r="E35" s="1278">
        <f t="shared" si="10"/>
        <v>384973</v>
      </c>
      <c r="F35" s="1255">
        <v>746.0335616438357</v>
      </c>
      <c r="G35" s="1255">
        <f t="shared" si="11"/>
        <v>78333.52397260275</v>
      </c>
      <c r="H35" s="1256">
        <f t="shared" si="17"/>
        <v>463306.52397260274</v>
      </c>
      <c r="I35" s="1278">
        <v>0</v>
      </c>
      <c r="J35" s="1280">
        <f t="shared" si="12"/>
        <v>463306.52397260274</v>
      </c>
      <c r="K35" s="1274">
        <f>'[18]FY2012-13 Final'!$D$43</f>
        <v>3929</v>
      </c>
      <c r="L35" s="1280">
        <f t="shared" si="13"/>
        <v>412545</v>
      </c>
      <c r="M35" s="1281">
        <f t="shared" si="18"/>
        <v>-7219.5375000000004</v>
      </c>
      <c r="N35" s="1281">
        <f t="shared" si="19"/>
        <v>-1031.3625</v>
      </c>
      <c r="O35" s="1279">
        <f t="shared" si="20"/>
        <v>-8250.9</v>
      </c>
      <c r="P35" s="1279">
        <f t="shared" si="14"/>
        <v>404294.1</v>
      </c>
      <c r="Q35" s="1279">
        <f>'[1]Adjusted Amounts'!K184+'[1]Adjusted Amounts'!P184</f>
        <v>0</v>
      </c>
      <c r="R35" s="1280">
        <f t="shared" si="15"/>
        <v>404294.1</v>
      </c>
      <c r="S35" s="1280">
        <f t="shared" si="16"/>
        <v>33691.174999999996</v>
      </c>
    </row>
    <row r="36" spans="1:26" ht="30.75" customHeight="1">
      <c r="A36" s="787">
        <v>382003</v>
      </c>
      <c r="B36" s="502" t="s">
        <v>664</v>
      </c>
      <c r="C36" s="1254">
        <f>'[19]RSD-NO by Site'!D32</f>
        <v>100</v>
      </c>
      <c r="D36" s="1278">
        <f t="shared" si="9"/>
        <v>3666.4136012725312</v>
      </c>
      <c r="E36" s="1278">
        <f t="shared" si="10"/>
        <v>366641</v>
      </c>
      <c r="F36" s="1255">
        <v>746.0335616438357</v>
      </c>
      <c r="G36" s="1255">
        <f t="shared" si="11"/>
        <v>74603.356164383571</v>
      </c>
      <c r="H36" s="1256">
        <f t="shared" si="17"/>
        <v>441244.35616438359</v>
      </c>
      <c r="I36" s="1278">
        <v>0</v>
      </c>
      <c r="J36" s="1280">
        <f t="shared" si="12"/>
        <v>441244.35616438359</v>
      </c>
      <c r="K36" s="1274">
        <f>'[18]FY2012-13 Final'!$D$43</f>
        <v>3929</v>
      </c>
      <c r="L36" s="1280">
        <f t="shared" si="13"/>
        <v>392900</v>
      </c>
      <c r="M36" s="1281">
        <f t="shared" si="18"/>
        <v>-6875.7500000000009</v>
      </c>
      <c r="N36" s="1281">
        <f t="shared" si="19"/>
        <v>-982.25</v>
      </c>
      <c r="O36" s="1279">
        <f t="shared" si="20"/>
        <v>-7858.0000000000009</v>
      </c>
      <c r="P36" s="1279">
        <f t="shared" si="14"/>
        <v>385042</v>
      </c>
      <c r="Q36" s="1279">
        <f>'[1]Adjusted Amounts'!K185+'[1]Adjusted Amounts'!P185</f>
        <v>0</v>
      </c>
      <c r="R36" s="1280">
        <f t="shared" si="15"/>
        <v>385042</v>
      </c>
      <c r="S36" s="1280">
        <f t="shared" si="16"/>
        <v>32086.833333333332</v>
      </c>
    </row>
    <row r="37" spans="1:26" ht="30.75" customHeight="1">
      <c r="A37" s="788">
        <v>384001</v>
      </c>
      <c r="B37" s="772" t="s">
        <v>347</v>
      </c>
      <c r="C37" s="791">
        <f>'[19]RSD-NO by Site'!D33</f>
        <v>400</v>
      </c>
      <c r="D37" s="1278">
        <f t="shared" si="9"/>
        <v>3666.4136012725312</v>
      </c>
      <c r="E37" s="1278">
        <f t="shared" si="10"/>
        <v>1466565</v>
      </c>
      <c r="F37" s="1255">
        <v>735.82244897959185</v>
      </c>
      <c r="G37" s="1255">
        <f t="shared" si="11"/>
        <v>294328.97959183675</v>
      </c>
      <c r="H37" s="1256">
        <f t="shared" si="17"/>
        <v>1760893.9795918367</v>
      </c>
      <c r="I37" s="1278">
        <f>'[1]Adjusted Amounts'!C187+'[1]Adjusted Amounts'!H187</f>
        <v>-13982.782864685694</v>
      </c>
      <c r="J37" s="1280">
        <f t="shared" si="12"/>
        <v>1746911.1967271511</v>
      </c>
      <c r="K37" s="1274">
        <f>'[18]FY2012-13 Final'!$D$43</f>
        <v>3929</v>
      </c>
      <c r="L37" s="1280">
        <f t="shared" si="13"/>
        <v>1571600</v>
      </c>
      <c r="M37" s="1281">
        <f t="shared" si="18"/>
        <v>-27503.000000000004</v>
      </c>
      <c r="N37" s="1281">
        <f t="shared" si="19"/>
        <v>-3929</v>
      </c>
      <c r="O37" s="1279">
        <f t="shared" si="20"/>
        <v>-31432.000000000004</v>
      </c>
      <c r="P37" s="1279">
        <f t="shared" si="14"/>
        <v>1540168</v>
      </c>
      <c r="Q37" s="1279">
        <f>'[1]Adjusted Amounts'!K187+'[1]Adjusted Amounts'!P187</f>
        <v>-9959.5</v>
      </c>
      <c r="R37" s="1280">
        <f t="shared" si="15"/>
        <v>1530208.5</v>
      </c>
      <c r="S37" s="1280">
        <f t="shared" si="16"/>
        <v>127517.375</v>
      </c>
    </row>
    <row r="38" spans="1:26" ht="30.75" customHeight="1">
      <c r="A38" s="788">
        <v>385001</v>
      </c>
      <c r="B38" s="772" t="s">
        <v>270</v>
      </c>
      <c r="C38" s="1311">
        <f>'[19]RSD-NO by Site'!D34</f>
        <v>352</v>
      </c>
      <c r="D38" s="1278">
        <f t="shared" si="9"/>
        <v>3666.4136012725312</v>
      </c>
      <c r="E38" s="1278">
        <f t="shared" si="10"/>
        <v>1290578</v>
      </c>
      <c r="F38" s="1255">
        <v>618.75651162790689</v>
      </c>
      <c r="G38" s="1255">
        <f t="shared" si="11"/>
        <v>217802.29209302322</v>
      </c>
      <c r="H38" s="1256">
        <f t="shared" si="17"/>
        <v>1508380.2920930232</v>
      </c>
      <c r="I38" s="1278">
        <f>'[1]Adjusted Amounts'!C188+'[1]Adjusted Amounts'!H188</f>
        <v>-3583.5437301743896</v>
      </c>
      <c r="J38" s="1280">
        <f t="shared" si="12"/>
        <v>1504796.7483628488</v>
      </c>
      <c r="K38" s="1274">
        <f>'[18]FY2012-13 Final'!$D$43</f>
        <v>3929</v>
      </c>
      <c r="L38" s="1280">
        <f t="shared" si="13"/>
        <v>1383008</v>
      </c>
      <c r="M38" s="1281">
        <f t="shared" si="18"/>
        <v>-24202.640000000003</v>
      </c>
      <c r="N38" s="1281">
        <f t="shared" si="19"/>
        <v>-3457.52</v>
      </c>
      <c r="O38" s="1279">
        <f t="shared" si="20"/>
        <v>-27660.160000000003</v>
      </c>
      <c r="P38" s="1279">
        <f t="shared" si="14"/>
        <v>1355347.84</v>
      </c>
      <c r="Q38" s="1279">
        <f>'[1]Adjusted Amounts'!K188+'[1]Adjusted Amounts'!P188</f>
        <v>0</v>
      </c>
      <c r="R38" s="1280">
        <f t="shared" si="15"/>
        <v>1355347.84</v>
      </c>
      <c r="S38" s="1280">
        <f t="shared" si="16"/>
        <v>112945.65333333334</v>
      </c>
    </row>
    <row r="39" spans="1:26" ht="30">
      <c r="A39" s="786">
        <v>385002</v>
      </c>
      <c r="B39" s="440" t="s">
        <v>500</v>
      </c>
      <c r="C39" s="1311">
        <f>'[19]RSD-NO by Site'!D35</f>
        <v>493</v>
      </c>
      <c r="D39" s="1278">
        <f t="shared" si="9"/>
        <v>3666.4136012725312</v>
      </c>
      <c r="E39" s="1278">
        <f t="shared" si="10"/>
        <v>1807542</v>
      </c>
      <c r="F39" s="1255">
        <v>746.0335616438357</v>
      </c>
      <c r="G39" s="1255">
        <f t="shared" si="11"/>
        <v>367794.54589041101</v>
      </c>
      <c r="H39" s="1256">
        <f t="shared" si="17"/>
        <v>2175336.5458904109</v>
      </c>
      <c r="I39" s="1278">
        <f>'[1]Adjusted Amounts'!C189+'[1]Adjusted Amounts'!H189</f>
        <v>0</v>
      </c>
      <c r="J39" s="1280">
        <f t="shared" si="12"/>
        <v>2175336.5458904109</v>
      </c>
      <c r="K39" s="1274">
        <f>'[18]FY2012-13 Final'!$D$43</f>
        <v>3929</v>
      </c>
      <c r="L39" s="1280">
        <f t="shared" si="13"/>
        <v>1936997</v>
      </c>
      <c r="M39" s="1281">
        <f t="shared" si="18"/>
        <v>-33897.447500000002</v>
      </c>
      <c r="N39" s="1281">
        <f t="shared" si="19"/>
        <v>-4842.4925000000003</v>
      </c>
      <c r="O39" s="1279">
        <f t="shared" si="20"/>
        <v>-38739.94</v>
      </c>
      <c r="P39" s="1279">
        <f t="shared" si="14"/>
        <v>1898257.06</v>
      </c>
      <c r="Q39" s="1279">
        <f>'[1]Adjusted Amounts'!K189+'[1]Adjusted Amounts'!P189</f>
        <v>0</v>
      </c>
      <c r="R39" s="1280">
        <f t="shared" si="15"/>
        <v>1898257.06</v>
      </c>
      <c r="S39" s="1280">
        <f t="shared" si="16"/>
        <v>158188.08833333335</v>
      </c>
    </row>
    <row r="40" spans="1:26" ht="30.75" customHeight="1">
      <c r="A40" s="1070"/>
      <c r="B40" s="1071" t="s">
        <v>758</v>
      </c>
      <c r="C40" s="1072">
        <v>765</v>
      </c>
      <c r="D40" s="1278">
        <f t="shared" si="9"/>
        <v>3666.4136012725312</v>
      </c>
      <c r="E40" s="1278">
        <f t="shared" si="10"/>
        <v>2804806</v>
      </c>
      <c r="F40" s="1255">
        <v>746.0335616438357</v>
      </c>
      <c r="G40" s="1255">
        <f t="shared" si="11"/>
        <v>570715.67465753434</v>
      </c>
      <c r="H40" s="1256">
        <f t="shared" si="17"/>
        <v>3375521.6746575343</v>
      </c>
      <c r="I40" s="1278">
        <v>0</v>
      </c>
      <c r="J40" s="1280">
        <f t="shared" si="12"/>
        <v>3375521.6746575343</v>
      </c>
      <c r="K40" s="1274">
        <f>'[18]FY2012-13 Final'!$D$43</f>
        <v>3929</v>
      </c>
      <c r="L40" s="1280">
        <f t="shared" si="13"/>
        <v>3005685</v>
      </c>
      <c r="M40" s="1281">
        <f t="shared" si="18"/>
        <v>-52599.487500000003</v>
      </c>
      <c r="N40" s="1281">
        <f t="shared" si="19"/>
        <v>-7514.2125000000005</v>
      </c>
      <c r="O40" s="1279">
        <f t="shared" si="20"/>
        <v>-60113.700000000004</v>
      </c>
      <c r="P40" s="1279">
        <f t="shared" si="14"/>
        <v>2945571.3</v>
      </c>
      <c r="Q40" s="1279">
        <v>0</v>
      </c>
      <c r="R40" s="1280">
        <f t="shared" si="15"/>
        <v>2945571.3</v>
      </c>
      <c r="S40" s="1280">
        <f t="shared" si="16"/>
        <v>245464.27499999999</v>
      </c>
    </row>
    <row r="41" spans="1:26" ht="30.75" customHeight="1">
      <c r="A41" s="788">
        <v>388001</v>
      </c>
      <c r="B41" s="772" t="s">
        <v>271</v>
      </c>
      <c r="C41" s="791">
        <f>'[19]RSD-NO by Site'!D36</f>
        <v>608</v>
      </c>
      <c r="D41" s="1278">
        <f t="shared" si="9"/>
        <v>3666.4136012725312</v>
      </c>
      <c r="E41" s="1278">
        <f t="shared" si="10"/>
        <v>2229179</v>
      </c>
      <c r="F41" s="1255">
        <v>708.2132751810401</v>
      </c>
      <c r="G41" s="1255">
        <f t="shared" ref="G41" si="29">F41*C41</f>
        <v>430593.67131007236</v>
      </c>
      <c r="H41" s="1256">
        <f t="shared" ref="H41" si="30">E41+G41</f>
        <v>2659772.6713100723</v>
      </c>
      <c r="I41" s="1278">
        <f>'[1]Adjusted Amounts'!C190+'[1]Adjusted Amounts'!H190</f>
        <v>3960.2403711526622</v>
      </c>
      <c r="J41" s="1280">
        <f t="shared" si="12"/>
        <v>2663732.9116812251</v>
      </c>
      <c r="K41" s="1274">
        <f>'[18]FY2012-13 Final'!$D$43</f>
        <v>3929</v>
      </c>
      <c r="L41" s="1280">
        <f t="shared" si="13"/>
        <v>2388832</v>
      </c>
      <c r="M41" s="1281">
        <f t="shared" si="18"/>
        <v>-41804.560000000005</v>
      </c>
      <c r="N41" s="1281">
        <f t="shared" si="19"/>
        <v>-5972.08</v>
      </c>
      <c r="O41" s="1279">
        <f t="shared" si="20"/>
        <v>-47776.640000000007</v>
      </c>
      <c r="P41" s="1279">
        <f t="shared" si="14"/>
        <v>2341055.36</v>
      </c>
      <c r="Q41" s="1279">
        <f>'[1]Adjusted Amounts'!K190+'[1]Adjusted Amounts'!P190</f>
        <v>4203</v>
      </c>
      <c r="R41" s="1280">
        <f t="shared" si="15"/>
        <v>2345258.36</v>
      </c>
      <c r="S41" s="1280">
        <f t="shared" si="16"/>
        <v>195438.19666666666</v>
      </c>
    </row>
    <row r="42" spans="1:26" ht="47.25" customHeight="1">
      <c r="A42" s="788">
        <v>390001</v>
      </c>
      <c r="B42" s="772" t="s">
        <v>627</v>
      </c>
      <c r="C42" s="791">
        <f>'[19]RSD-NO by Site'!D37</f>
        <v>596</v>
      </c>
      <c r="D42" s="1278">
        <f t="shared" si="9"/>
        <v>3666.4136012725312</v>
      </c>
      <c r="E42" s="1278">
        <f t="shared" si="10"/>
        <v>2185183</v>
      </c>
      <c r="F42" s="1255">
        <v>650.55234865477053</v>
      </c>
      <c r="G42" s="1255">
        <f t="shared" si="11"/>
        <v>387729.19979824324</v>
      </c>
      <c r="H42" s="1256">
        <f t="shared" si="17"/>
        <v>2572912.1997982431</v>
      </c>
      <c r="I42" s="1278">
        <f>'[1]Adjusted Amounts'!C191+'[1]Adjusted Amounts'!H191</f>
        <v>0</v>
      </c>
      <c r="J42" s="1280">
        <f t="shared" si="12"/>
        <v>2572912.1997982431</v>
      </c>
      <c r="K42" s="1279">
        <f>'[18]FY2012-13 Final'!$K$43</f>
        <v>4601</v>
      </c>
      <c r="L42" s="1280">
        <f t="shared" si="13"/>
        <v>2742196</v>
      </c>
      <c r="M42" s="1281">
        <f t="shared" si="18"/>
        <v>-47988.430000000008</v>
      </c>
      <c r="N42" s="1281">
        <f t="shared" si="19"/>
        <v>-6855.49</v>
      </c>
      <c r="O42" s="1279">
        <f t="shared" si="20"/>
        <v>-54843.920000000006</v>
      </c>
      <c r="P42" s="1279">
        <f t="shared" si="14"/>
        <v>2687352.08</v>
      </c>
      <c r="Q42" s="1279">
        <f>'[1]Adjusted Amounts'!K191+'[1]Adjusted Amounts'!P191</f>
        <v>0</v>
      </c>
      <c r="R42" s="1280">
        <f t="shared" si="15"/>
        <v>2687352.08</v>
      </c>
      <c r="S42" s="1280">
        <f t="shared" si="16"/>
        <v>223946.00666666668</v>
      </c>
    </row>
    <row r="43" spans="1:26" ht="30.75" customHeight="1">
      <c r="A43" s="788">
        <v>391001</v>
      </c>
      <c r="B43" s="772" t="s">
        <v>284</v>
      </c>
      <c r="C43" s="791">
        <f>'[19]RSD-NO by Site'!D38</f>
        <v>694</v>
      </c>
      <c r="D43" s="1278">
        <f t="shared" si="9"/>
        <v>3666.4136012725312</v>
      </c>
      <c r="E43" s="1278">
        <f t="shared" si="10"/>
        <v>2544491</v>
      </c>
      <c r="F43" s="1255">
        <v>721.28337970262919</v>
      </c>
      <c r="G43" s="1255">
        <f t="shared" si="11"/>
        <v>500570.66551362467</v>
      </c>
      <c r="H43" s="1256">
        <f t="shared" si="17"/>
        <v>3045061.6655136244</v>
      </c>
      <c r="I43" s="1278">
        <f>'[1]Adjusted Amounts'!C192+'[1]Adjusted Amounts'!H192</f>
        <v>0</v>
      </c>
      <c r="J43" s="1280">
        <f t="shared" si="12"/>
        <v>3045061.6655136244</v>
      </c>
      <c r="K43" s="1274">
        <f>'[18]FY2012-13 Final'!$D$43</f>
        <v>3929</v>
      </c>
      <c r="L43" s="1280">
        <f t="shared" si="13"/>
        <v>2726726</v>
      </c>
      <c r="M43" s="1281">
        <f t="shared" si="18"/>
        <v>-47717.705000000002</v>
      </c>
      <c r="N43" s="1281">
        <f t="shared" si="19"/>
        <v>-6816.8150000000005</v>
      </c>
      <c r="O43" s="1279">
        <f t="shared" si="20"/>
        <v>-54534.520000000004</v>
      </c>
      <c r="P43" s="1279">
        <f t="shared" si="14"/>
        <v>2672191.48</v>
      </c>
      <c r="Q43" s="1279">
        <f>'[1]Adjusted Amounts'!K192+'[1]Adjusted Amounts'!P192</f>
        <v>0</v>
      </c>
      <c r="R43" s="1280">
        <f t="shared" si="15"/>
        <v>2672191.48</v>
      </c>
      <c r="S43" s="1280">
        <f t="shared" si="16"/>
        <v>222682.62333333332</v>
      </c>
    </row>
    <row r="44" spans="1:26" ht="30.75" customHeight="1">
      <c r="A44" s="786">
        <v>391002</v>
      </c>
      <c r="B44" s="440" t="s">
        <v>498</v>
      </c>
      <c r="C44" s="1311">
        <f>'[19]RSD-NO by Site'!D39</f>
        <v>347</v>
      </c>
      <c r="D44" s="1278">
        <f t="shared" si="9"/>
        <v>3666.4136012725312</v>
      </c>
      <c r="E44" s="1278">
        <f>ROUND(C44*D44,0)</f>
        <v>1272246</v>
      </c>
      <c r="F44" s="1255">
        <v>746.0335616438357</v>
      </c>
      <c r="G44" s="1255">
        <f>F44*C44</f>
        <v>258873.64589041099</v>
      </c>
      <c r="H44" s="1256">
        <f>E44+G44</f>
        <v>1531119.645890411</v>
      </c>
      <c r="I44" s="1278">
        <f>'[1]Adjusted Amounts'!C193+'[1]Adjusted Amounts'!H193</f>
        <v>0</v>
      </c>
      <c r="J44" s="1280">
        <f>H44+I44</f>
        <v>1531119.645890411</v>
      </c>
      <c r="K44" s="1274">
        <f>'[18]FY2012-13 Final'!$D$43</f>
        <v>3929</v>
      </c>
      <c r="L44" s="1280">
        <f t="shared" si="13"/>
        <v>1363363</v>
      </c>
      <c r="M44" s="1281">
        <f t="shared" si="18"/>
        <v>-23858.852500000001</v>
      </c>
      <c r="N44" s="1281">
        <f t="shared" si="19"/>
        <v>-3408.4075000000003</v>
      </c>
      <c r="O44" s="1279">
        <f t="shared" si="20"/>
        <v>-27267.260000000002</v>
      </c>
      <c r="P44" s="1279">
        <f t="shared" si="14"/>
        <v>1336095.74</v>
      </c>
      <c r="Q44" s="1279">
        <f>'[1]Adjusted Amounts'!K193+'[1]Adjusted Amounts'!P193</f>
        <v>0</v>
      </c>
      <c r="R44" s="1280">
        <f t="shared" si="15"/>
        <v>1336095.74</v>
      </c>
      <c r="S44" s="1280">
        <f t="shared" si="16"/>
        <v>111341.31166666666</v>
      </c>
    </row>
    <row r="45" spans="1:26" s="1282" customFormat="1" ht="30.75" customHeight="1">
      <c r="A45" s="788">
        <v>392001</v>
      </c>
      <c r="B45" s="772" t="s">
        <v>283</v>
      </c>
      <c r="C45" s="791">
        <f>'[19]RSD-NO by Site'!D40</f>
        <v>425</v>
      </c>
      <c r="D45" s="1278">
        <f t="shared" si="9"/>
        <v>3666.4136012725312</v>
      </c>
      <c r="E45" s="1278">
        <f t="shared" si="10"/>
        <v>1558226</v>
      </c>
      <c r="F45" s="1255">
        <v>600.21655982905986</v>
      </c>
      <c r="G45" s="1255">
        <f t="shared" si="11"/>
        <v>255092.03792735044</v>
      </c>
      <c r="H45" s="1256">
        <f t="shared" si="17"/>
        <v>1813318.0379273505</v>
      </c>
      <c r="I45" s="1278">
        <f>'[1]Adjusted Amounts'!C194+'[1]Adjusted Amounts'!H194</f>
        <v>-13348.421511784807</v>
      </c>
      <c r="J45" s="1280">
        <f t="shared" si="12"/>
        <v>1799969.6164155656</v>
      </c>
      <c r="K45" s="1274">
        <f>'[18]FY2012-13 Final'!$D$43</f>
        <v>3929</v>
      </c>
      <c r="L45" s="1280">
        <f t="shared" si="13"/>
        <v>1669825</v>
      </c>
      <c r="M45" s="1281">
        <f t="shared" si="18"/>
        <v>-29221.937500000004</v>
      </c>
      <c r="N45" s="1281">
        <f t="shared" si="19"/>
        <v>-4174.5625</v>
      </c>
      <c r="O45" s="1279">
        <f t="shared" si="20"/>
        <v>-33396.5</v>
      </c>
      <c r="P45" s="1279">
        <f t="shared" si="14"/>
        <v>1636428.5</v>
      </c>
      <c r="Q45" s="1279">
        <f>'[1]Adjusted Amounts'!K194+'[1]Adjusted Amounts'!P194</f>
        <v>4203</v>
      </c>
      <c r="R45" s="1280">
        <f t="shared" si="15"/>
        <v>1640631.5</v>
      </c>
      <c r="S45" s="1280">
        <f t="shared" si="16"/>
        <v>136719.29166666666</v>
      </c>
      <c r="T45" s="1334"/>
      <c r="U45" s="1334"/>
      <c r="V45" s="1334"/>
      <c r="W45" s="1334"/>
      <c r="X45" s="1334"/>
      <c r="Y45" s="1334"/>
      <c r="Z45" s="1334"/>
    </row>
    <row r="46" spans="1:26" ht="30.75" customHeight="1">
      <c r="A46" s="788">
        <v>393001</v>
      </c>
      <c r="B46" s="772" t="s">
        <v>282</v>
      </c>
      <c r="C46" s="791">
        <f>'[19]RSD-NO by Site'!D41</f>
        <v>886</v>
      </c>
      <c r="D46" s="1278">
        <f t="shared" si="9"/>
        <v>3666.4136012725312</v>
      </c>
      <c r="E46" s="1278">
        <f t="shared" si="10"/>
        <v>3248442</v>
      </c>
      <c r="F46" s="1255">
        <v>776.90344307346322</v>
      </c>
      <c r="G46" s="1255">
        <f t="shared" si="11"/>
        <v>688336.45056308841</v>
      </c>
      <c r="H46" s="1256">
        <f t="shared" si="17"/>
        <v>3936778.4505630885</v>
      </c>
      <c r="I46" s="1278">
        <f>'[1]Adjusted Amounts'!C195+'[1]Adjusted Amounts'!H195</f>
        <v>2014.4652695225413</v>
      </c>
      <c r="J46" s="1280">
        <f t="shared" si="12"/>
        <v>3938792.9158326113</v>
      </c>
      <c r="K46" s="1274">
        <f>'[18]FY2012-13 Final'!$D$43</f>
        <v>3929</v>
      </c>
      <c r="L46" s="1280">
        <f t="shared" si="13"/>
        <v>3481094</v>
      </c>
      <c r="M46" s="1281">
        <f t="shared" si="18"/>
        <v>-60919.145000000004</v>
      </c>
      <c r="N46" s="1281">
        <f t="shared" si="19"/>
        <v>-8702.7350000000006</v>
      </c>
      <c r="O46" s="1279">
        <f t="shared" si="20"/>
        <v>-69621.88</v>
      </c>
      <c r="P46" s="1279">
        <f t="shared" si="14"/>
        <v>3411472.12</v>
      </c>
      <c r="Q46" s="1279">
        <f>'[1]Adjusted Amounts'!K195+'[1]Adjusted Amounts'!P195</f>
        <v>2101.5</v>
      </c>
      <c r="R46" s="1280">
        <f t="shared" si="15"/>
        <v>3413573.62</v>
      </c>
      <c r="S46" s="1280">
        <f t="shared" si="16"/>
        <v>284464.46833333332</v>
      </c>
    </row>
    <row r="47" spans="1:26" ht="30.75" customHeight="1">
      <c r="A47" s="788">
        <v>393002</v>
      </c>
      <c r="B47" s="772" t="s">
        <v>436</v>
      </c>
      <c r="C47" s="791">
        <f>'[19]RSD-NO by Site'!D42</f>
        <v>466</v>
      </c>
      <c r="D47" s="1278">
        <f t="shared" si="9"/>
        <v>3666.4136012725312</v>
      </c>
      <c r="E47" s="1278">
        <f t="shared" si="10"/>
        <v>1708549</v>
      </c>
      <c r="F47" s="1255">
        <v>642.89065513553726</v>
      </c>
      <c r="G47" s="1255">
        <f t="shared" si="11"/>
        <v>299587.04529316036</v>
      </c>
      <c r="H47" s="1256">
        <f t="shared" si="17"/>
        <v>2008136.0452931602</v>
      </c>
      <c r="I47" s="1278">
        <f>'[1]Adjusted Amounts'!C196+'[1]Adjusted Amounts'!H196</f>
        <v>1947.4588755535794</v>
      </c>
      <c r="J47" s="1280">
        <f t="shared" si="12"/>
        <v>2010083.5041687139</v>
      </c>
      <c r="K47" s="1274">
        <f>'[18]FY2012-13 Final'!$D$43</f>
        <v>3929</v>
      </c>
      <c r="L47" s="1280">
        <f t="shared" si="13"/>
        <v>1830914</v>
      </c>
      <c r="M47" s="1281">
        <f t="shared" si="18"/>
        <v>-32040.995000000003</v>
      </c>
      <c r="N47" s="1281">
        <f t="shared" si="19"/>
        <v>-4577.2849999999999</v>
      </c>
      <c r="O47" s="1279">
        <f t="shared" si="20"/>
        <v>-36618.28</v>
      </c>
      <c r="P47" s="1279">
        <f t="shared" si="14"/>
        <v>1794295.72</v>
      </c>
      <c r="Q47" s="1279">
        <f>'[1]Adjusted Amounts'!K196+'[1]Adjusted Amounts'!P196</f>
        <v>2101.5</v>
      </c>
      <c r="R47" s="1280">
        <f t="shared" si="15"/>
        <v>1796397.22</v>
      </c>
      <c r="S47" s="1280">
        <f t="shared" si="16"/>
        <v>149699.76833333334</v>
      </c>
    </row>
    <row r="48" spans="1:26" ht="30.75" customHeight="1">
      <c r="A48" s="786">
        <v>393003</v>
      </c>
      <c r="B48" s="440" t="s">
        <v>501</v>
      </c>
      <c r="C48" s="1311">
        <f>'[19]RSD-NO by Site'!D43</f>
        <v>444</v>
      </c>
      <c r="D48" s="1278">
        <f t="shared" si="9"/>
        <v>3666.4136012725312</v>
      </c>
      <c r="E48" s="1278">
        <f t="shared" si="10"/>
        <v>1627888</v>
      </c>
      <c r="F48" s="1255">
        <v>746.0335616438357</v>
      </c>
      <c r="G48" s="1255">
        <f t="shared" si="11"/>
        <v>331238.90136986307</v>
      </c>
      <c r="H48" s="1256">
        <f t="shared" si="17"/>
        <v>1959126.9013698632</v>
      </c>
      <c r="I48" s="1278">
        <f>'[1]Adjusted Amounts'!C197+'[1]Adjusted Amounts'!H197</f>
        <v>0</v>
      </c>
      <c r="J48" s="1280">
        <f t="shared" si="12"/>
        <v>1959126.9013698632</v>
      </c>
      <c r="K48" s="1274">
        <f>'[18]FY2012-13 Final'!$D$43</f>
        <v>3929</v>
      </c>
      <c r="L48" s="1280">
        <f t="shared" si="13"/>
        <v>1744476</v>
      </c>
      <c r="M48" s="1281">
        <f t="shared" si="18"/>
        <v>-30528.33</v>
      </c>
      <c r="N48" s="1281">
        <f t="shared" si="19"/>
        <v>-4361.1900000000005</v>
      </c>
      <c r="O48" s="1279">
        <f t="shared" si="20"/>
        <v>-34889.520000000004</v>
      </c>
      <c r="P48" s="1279">
        <f t="shared" si="14"/>
        <v>1709586.48</v>
      </c>
      <c r="Q48" s="1279">
        <f>'[1]Adjusted Amounts'!K197+'[1]Adjusted Amounts'!P197</f>
        <v>0</v>
      </c>
      <c r="R48" s="1280">
        <f t="shared" si="15"/>
        <v>1709586.48</v>
      </c>
      <c r="S48" s="1280">
        <f t="shared" si="16"/>
        <v>142465.54</v>
      </c>
    </row>
    <row r="49" spans="1:21" ht="30.75" customHeight="1">
      <c r="A49" s="788">
        <v>395001</v>
      </c>
      <c r="B49" s="772" t="s">
        <v>277</v>
      </c>
      <c r="C49" s="791">
        <f>'[19]RSD-NO by Site'!D44</f>
        <v>673</v>
      </c>
      <c r="D49" s="1278">
        <f t="shared" si="9"/>
        <v>3666.4136012725312</v>
      </c>
      <c r="E49" s="1278">
        <f t="shared" si="10"/>
        <v>2467496</v>
      </c>
      <c r="F49" s="1255">
        <v>678.38194087511556</v>
      </c>
      <c r="G49" s="1255">
        <f t="shared" si="11"/>
        <v>456551.04620895279</v>
      </c>
      <c r="H49" s="1256">
        <f t="shared" si="17"/>
        <v>2924047.0462089526</v>
      </c>
      <c r="I49" s="1278">
        <f>'[1]Adjusted Amounts'!C198+'[1]Adjusted Amounts'!H198</f>
        <v>-19514.716186179507</v>
      </c>
      <c r="J49" s="1280">
        <f t="shared" si="12"/>
        <v>2904532.3300227732</v>
      </c>
      <c r="K49" s="1274">
        <f>'[18]FY2012-13 Final'!$D$43</f>
        <v>3929</v>
      </c>
      <c r="L49" s="1280">
        <f t="shared" si="13"/>
        <v>2644217</v>
      </c>
      <c r="M49" s="1281">
        <f t="shared" si="18"/>
        <v>-46273.797500000008</v>
      </c>
      <c r="N49" s="1281">
        <f t="shared" si="19"/>
        <v>-6610.5425000000005</v>
      </c>
      <c r="O49" s="1279">
        <f t="shared" si="20"/>
        <v>-52884.340000000011</v>
      </c>
      <c r="P49" s="1279">
        <f t="shared" si="14"/>
        <v>2591332.66</v>
      </c>
      <c r="Q49" s="1279">
        <f>'[1]Adjusted Amounts'!K198+'[1]Adjusted Amounts'!P198</f>
        <v>-6030.5</v>
      </c>
      <c r="R49" s="1280">
        <f t="shared" si="15"/>
        <v>2585302.16</v>
      </c>
      <c r="S49" s="1280">
        <f t="shared" si="16"/>
        <v>215441.84666666668</v>
      </c>
    </row>
    <row r="50" spans="1:21" ht="30.75" customHeight="1">
      <c r="A50" s="788">
        <v>395002</v>
      </c>
      <c r="B50" s="772" t="s">
        <v>278</v>
      </c>
      <c r="C50" s="791">
        <f>'[19]RSD-NO by Site'!D45</f>
        <v>606</v>
      </c>
      <c r="D50" s="1278">
        <f t="shared" si="9"/>
        <v>3666.4136012725312</v>
      </c>
      <c r="E50" s="1278">
        <f t="shared" si="10"/>
        <v>2221847</v>
      </c>
      <c r="F50" s="1255">
        <v>686.92241021135874</v>
      </c>
      <c r="G50" s="1255">
        <f t="shared" si="11"/>
        <v>416274.98058808339</v>
      </c>
      <c r="H50" s="1256">
        <f t="shared" si="17"/>
        <v>2638121.9805880832</v>
      </c>
      <c r="I50" s="1278">
        <f>'[1]Adjusted Amounts'!C199+'[1]Adjusted Amounts'!H199</f>
        <v>-3990.8724432651807</v>
      </c>
      <c r="J50" s="1280">
        <f t="shared" si="12"/>
        <v>2634131.1081448179</v>
      </c>
      <c r="K50" s="1274">
        <f>'[18]FY2012-13 Final'!$D$43</f>
        <v>3929</v>
      </c>
      <c r="L50" s="1280">
        <f t="shared" si="13"/>
        <v>2380974</v>
      </c>
      <c r="M50" s="1281">
        <f t="shared" si="18"/>
        <v>-41667.045000000006</v>
      </c>
      <c r="N50" s="1281">
        <f t="shared" si="19"/>
        <v>-5952.4350000000004</v>
      </c>
      <c r="O50" s="1279">
        <f t="shared" si="20"/>
        <v>-47619.48</v>
      </c>
      <c r="P50" s="1279">
        <f t="shared" si="14"/>
        <v>2333354.52</v>
      </c>
      <c r="Q50" s="1279">
        <f>'[1]Adjusted Amounts'!K199+'[1]Adjusted Amounts'!P199</f>
        <v>-3655</v>
      </c>
      <c r="R50" s="1280">
        <f t="shared" si="15"/>
        <v>2329699.52</v>
      </c>
      <c r="S50" s="1280">
        <f t="shared" si="16"/>
        <v>194141.62666666668</v>
      </c>
    </row>
    <row r="51" spans="1:21" ht="30.75" customHeight="1">
      <c r="A51" s="788">
        <v>395003</v>
      </c>
      <c r="B51" s="772" t="s">
        <v>279</v>
      </c>
      <c r="C51" s="791">
        <f>'[19]RSD-NO by Site'!D46</f>
        <v>634</v>
      </c>
      <c r="D51" s="1278">
        <f t="shared" si="9"/>
        <v>3666.4136012725312</v>
      </c>
      <c r="E51" s="1278">
        <f t="shared" si="10"/>
        <v>2324506</v>
      </c>
      <c r="F51" s="1255">
        <v>761.3587570202327</v>
      </c>
      <c r="G51" s="1255">
        <f t="shared" si="11"/>
        <v>482701.45195082756</v>
      </c>
      <c r="H51" s="1256">
        <f t="shared" si="17"/>
        <v>2807207.4519508276</v>
      </c>
      <c r="I51" s="1278">
        <f>'[1]Adjusted Amounts'!C200+'[1]Adjusted Amounts'!H200</f>
        <v>-39017.686117117177</v>
      </c>
      <c r="J51" s="1280">
        <f t="shared" si="12"/>
        <v>2768189.7658337103</v>
      </c>
      <c r="K51" s="1274">
        <f>'[18]FY2012-13 Final'!$D$43</f>
        <v>3929</v>
      </c>
      <c r="L51" s="1280">
        <f t="shared" si="13"/>
        <v>2490986</v>
      </c>
      <c r="M51" s="1281">
        <f t="shared" si="18"/>
        <v>-43592.255000000005</v>
      </c>
      <c r="N51" s="1281">
        <f t="shared" si="19"/>
        <v>-6227.4650000000001</v>
      </c>
      <c r="O51" s="1279">
        <f t="shared" si="20"/>
        <v>-49819.72</v>
      </c>
      <c r="P51" s="1279">
        <f t="shared" si="14"/>
        <v>2441166.2799999998</v>
      </c>
      <c r="Q51" s="1279">
        <f>'[1]Adjusted Amounts'!K200+'[1]Adjusted Amounts'!P200</f>
        <v>-34539</v>
      </c>
      <c r="R51" s="1280">
        <f t="shared" si="15"/>
        <v>2406627.2799999998</v>
      </c>
      <c r="S51" s="1280">
        <f t="shared" si="16"/>
        <v>200552.27333333332</v>
      </c>
    </row>
    <row r="52" spans="1:21" ht="30.75" customHeight="1">
      <c r="A52" s="788">
        <v>395004</v>
      </c>
      <c r="B52" s="772" t="s">
        <v>280</v>
      </c>
      <c r="C52" s="791">
        <f>'[19]RSD-NO by Site'!D47</f>
        <v>475</v>
      </c>
      <c r="D52" s="1278">
        <f t="shared" si="9"/>
        <v>3666.4136012725312</v>
      </c>
      <c r="E52" s="1278">
        <f t="shared" si="10"/>
        <v>1741546</v>
      </c>
      <c r="F52" s="1255">
        <v>1003.4698393033485</v>
      </c>
      <c r="G52" s="1255">
        <f t="shared" si="11"/>
        <v>476648.17366909055</v>
      </c>
      <c r="H52" s="1256">
        <f t="shared" si="17"/>
        <v>2218194.1736690905</v>
      </c>
      <c r="I52" s="1278">
        <f>'[1]Adjusted Amounts'!C201+'[1]Adjusted Amounts'!H201</f>
        <v>-24401.251252894021</v>
      </c>
      <c r="J52" s="1280">
        <f t="shared" si="12"/>
        <v>2193792.9224161967</v>
      </c>
      <c r="K52" s="1274">
        <f>'[18]FY2012-13 Final'!$D$43</f>
        <v>3929</v>
      </c>
      <c r="L52" s="1280">
        <f t="shared" si="13"/>
        <v>1866275</v>
      </c>
      <c r="M52" s="1281">
        <f t="shared" si="18"/>
        <v>-32659.812500000004</v>
      </c>
      <c r="N52" s="1281">
        <f t="shared" si="19"/>
        <v>-4665.6875</v>
      </c>
      <c r="O52" s="1279">
        <f t="shared" si="20"/>
        <v>-37325.5</v>
      </c>
      <c r="P52" s="1279">
        <f t="shared" si="14"/>
        <v>1828949.5</v>
      </c>
      <c r="Q52" s="1279">
        <f>'[20]Adjusted Amounts'!$Q$201</f>
        <v>-19097</v>
      </c>
      <c r="R52" s="1280">
        <f t="shared" si="15"/>
        <v>1809852.5</v>
      </c>
      <c r="S52" s="1280">
        <f t="shared" si="16"/>
        <v>150821.04166666666</v>
      </c>
    </row>
    <row r="53" spans="1:21" ht="30.75" customHeight="1">
      <c r="A53" s="788">
        <v>395005</v>
      </c>
      <c r="B53" s="772" t="s">
        <v>281</v>
      </c>
      <c r="C53" s="791">
        <f>'[19]RSD-NO by Site'!D48</f>
        <v>879</v>
      </c>
      <c r="D53" s="1278">
        <f t="shared" si="9"/>
        <v>3666.4136012725312</v>
      </c>
      <c r="E53" s="1278">
        <f t="shared" si="10"/>
        <v>3222778</v>
      </c>
      <c r="F53" s="1255">
        <v>592.05529010815155</v>
      </c>
      <c r="G53" s="1255">
        <f t="shared" si="11"/>
        <v>520416.60000506521</v>
      </c>
      <c r="H53" s="1256">
        <f t="shared" si="17"/>
        <v>3743194.6000050651</v>
      </c>
      <c r="I53" s="1278">
        <f>'[1]Adjusted Amounts'!C202+'[1]Adjusted Amounts'!H202</f>
        <v>-105023.88782771552</v>
      </c>
      <c r="J53" s="1280">
        <f t="shared" si="12"/>
        <v>3638170.7121773497</v>
      </c>
      <c r="K53" s="1274">
        <f>'[18]FY2012-13 Final'!$D$43</f>
        <v>3929</v>
      </c>
      <c r="L53" s="1280">
        <f t="shared" si="13"/>
        <v>3453591</v>
      </c>
      <c r="M53" s="1281">
        <f t="shared" si="18"/>
        <v>-60437.842500000006</v>
      </c>
      <c r="N53" s="1281">
        <f t="shared" si="19"/>
        <v>-8633.9775000000009</v>
      </c>
      <c r="O53" s="1279">
        <f t="shared" si="20"/>
        <v>-69071.820000000007</v>
      </c>
      <c r="P53" s="1279">
        <f t="shared" si="14"/>
        <v>3384519.18</v>
      </c>
      <c r="Q53" s="1279">
        <f>'[1]Adjusted Amounts'!K202+'[1]Adjusted Amounts'!P202</f>
        <v>-89087.5</v>
      </c>
      <c r="R53" s="1280">
        <f t="shared" si="15"/>
        <v>3295431.68</v>
      </c>
      <c r="S53" s="1280">
        <f t="shared" si="16"/>
        <v>274619.3066666667</v>
      </c>
    </row>
    <row r="54" spans="1:21" ht="30.75" customHeight="1">
      <c r="A54" s="788">
        <v>395007</v>
      </c>
      <c r="B54" s="772" t="s">
        <v>276</v>
      </c>
      <c r="C54" s="791">
        <f>'[19]RSD-NO by Site'!D49</f>
        <v>261</v>
      </c>
      <c r="D54" s="1278">
        <f t="shared" si="9"/>
        <v>3666.4136012725312</v>
      </c>
      <c r="E54" s="1278">
        <f t="shared" si="10"/>
        <v>956934</v>
      </c>
      <c r="F54" s="1255">
        <v>907.69666061705993</v>
      </c>
      <c r="G54" s="1255">
        <f t="shared" si="11"/>
        <v>236908.82842105263</v>
      </c>
      <c r="H54" s="1256">
        <f t="shared" si="17"/>
        <v>1193842.8284210525</v>
      </c>
      <c r="I54" s="1278">
        <f>'[1]Adjusted Amounts'!C203+'[1]Adjusted Amounts'!H203</f>
        <v>-18442.231164419365</v>
      </c>
      <c r="J54" s="1280">
        <f t="shared" si="12"/>
        <v>1175400.5972566332</v>
      </c>
      <c r="K54" s="1274">
        <f>'[18]FY2012-13 Final'!$D$43</f>
        <v>3929</v>
      </c>
      <c r="L54" s="1280">
        <f t="shared" si="13"/>
        <v>1025469</v>
      </c>
      <c r="M54" s="1281">
        <f t="shared" si="18"/>
        <v>-17945.7075</v>
      </c>
      <c r="N54" s="1281">
        <f t="shared" si="19"/>
        <v>-2563.6725000000001</v>
      </c>
      <c r="O54" s="1279">
        <f t="shared" si="20"/>
        <v>-20509.38</v>
      </c>
      <c r="P54" s="1279">
        <f t="shared" si="14"/>
        <v>1004959.62</v>
      </c>
      <c r="Q54" s="1279">
        <f>'[20]Adjusted Amounts'!$Q$203</f>
        <v>822</v>
      </c>
      <c r="R54" s="1280">
        <f t="shared" si="15"/>
        <v>1005781.62</v>
      </c>
      <c r="S54" s="1280">
        <f t="shared" si="16"/>
        <v>83815.134999999995</v>
      </c>
    </row>
    <row r="55" spans="1:21" ht="30.75" customHeight="1">
      <c r="A55" s="788">
        <v>397001</v>
      </c>
      <c r="B55" s="772" t="s">
        <v>275</v>
      </c>
      <c r="C55" s="791">
        <f>'[19]RSD-NO by Site'!D50</f>
        <v>483</v>
      </c>
      <c r="D55" s="1278">
        <f t="shared" si="9"/>
        <v>3666.4136012725312</v>
      </c>
      <c r="E55" s="1278">
        <f t="shared" si="10"/>
        <v>1770878</v>
      </c>
      <c r="F55" s="1255">
        <v>741.72363820787723</v>
      </c>
      <c r="G55" s="1255">
        <f t="shared" si="11"/>
        <v>358252.51725440472</v>
      </c>
      <c r="H55" s="1256">
        <f t="shared" si="17"/>
        <v>2129130.5172544047</v>
      </c>
      <c r="I55" s="1278">
        <f>'[1]Adjusted Amounts'!C204+'[1]Adjusted Amounts'!H204</f>
        <v>0</v>
      </c>
      <c r="J55" s="1280">
        <f t="shared" si="12"/>
        <v>2129130.5172544047</v>
      </c>
      <c r="K55" s="1274">
        <f>'[18]FY2012-13 Final'!$D$43</f>
        <v>3929</v>
      </c>
      <c r="L55" s="1280">
        <f t="shared" si="13"/>
        <v>1897707</v>
      </c>
      <c r="M55" s="1281">
        <f t="shared" si="18"/>
        <v>-33209.872500000005</v>
      </c>
      <c r="N55" s="1281">
        <f t="shared" si="19"/>
        <v>-4744.2674999999999</v>
      </c>
      <c r="O55" s="1279">
        <f t="shared" si="20"/>
        <v>-37954.140000000007</v>
      </c>
      <c r="P55" s="1279">
        <f t="shared" si="14"/>
        <v>1859752.86</v>
      </c>
      <c r="Q55" s="1279">
        <f>'[1]Adjusted Amounts'!K204+'[1]Adjusted Amounts'!P204</f>
        <v>0</v>
      </c>
      <c r="R55" s="1280">
        <f t="shared" si="15"/>
        <v>1859752.86</v>
      </c>
      <c r="S55" s="1280">
        <f t="shared" si="16"/>
        <v>154979.405</v>
      </c>
    </row>
    <row r="56" spans="1:21" ht="30.75" customHeight="1">
      <c r="A56" s="788">
        <v>398001</v>
      </c>
      <c r="B56" s="772" t="s">
        <v>273</v>
      </c>
      <c r="C56" s="791">
        <f>'[19]RSD-NO by Site'!D51</f>
        <v>603</v>
      </c>
      <c r="D56" s="1278">
        <f t="shared" si="9"/>
        <v>3666.4136012725312</v>
      </c>
      <c r="E56" s="1278">
        <f t="shared" si="10"/>
        <v>2210847</v>
      </c>
      <c r="F56" s="1255">
        <v>643.94778836855926</v>
      </c>
      <c r="G56" s="1255">
        <f t="shared" si="11"/>
        <v>388300.51638624124</v>
      </c>
      <c r="H56" s="1256">
        <f t="shared" si="17"/>
        <v>2599147.5163862412</v>
      </c>
      <c r="I56" s="1278">
        <f>'[1]Adjusted Amounts'!C205+'[1]Adjusted Amounts'!H205</f>
        <v>-8600.3325837927441</v>
      </c>
      <c r="J56" s="1280">
        <f t="shared" si="12"/>
        <v>2590547.1838024482</v>
      </c>
      <c r="K56" s="1274">
        <f>'[18]FY2012-13 Final'!$D$43</f>
        <v>3929</v>
      </c>
      <c r="L56" s="1280">
        <f t="shared" si="13"/>
        <v>2369187</v>
      </c>
      <c r="M56" s="1281">
        <f t="shared" si="18"/>
        <v>-41460.772500000006</v>
      </c>
      <c r="N56" s="1281">
        <f t="shared" si="19"/>
        <v>-5922.9674999999997</v>
      </c>
      <c r="O56" s="1279">
        <f t="shared" si="20"/>
        <v>-47383.740000000005</v>
      </c>
      <c r="P56" s="1279">
        <f t="shared" si="14"/>
        <v>2321803.2599999998</v>
      </c>
      <c r="Q56" s="1279">
        <f>'[1]Adjusted Amounts'!K205+'[1]Adjusted Amounts'!P205</f>
        <v>0</v>
      </c>
      <c r="R56" s="1280">
        <f t="shared" si="15"/>
        <v>2321803.2599999998</v>
      </c>
      <c r="S56" s="1280">
        <f t="shared" si="16"/>
        <v>193483.60499999998</v>
      </c>
      <c r="T56" s="1335" t="s">
        <v>628</v>
      </c>
      <c r="U56" s="1335" t="s">
        <v>629</v>
      </c>
    </row>
    <row r="57" spans="1:21" ht="29.25">
      <c r="A57" s="788">
        <v>398002</v>
      </c>
      <c r="B57" s="772" t="s">
        <v>274</v>
      </c>
      <c r="C57" s="791">
        <f>'[19]RSD-NO by Site'!D52</f>
        <v>763</v>
      </c>
      <c r="D57" s="1278">
        <f t="shared" si="9"/>
        <v>3666.4136012725312</v>
      </c>
      <c r="E57" s="1278">
        <f t="shared" si="10"/>
        <v>2797474</v>
      </c>
      <c r="F57" s="1255">
        <v>724.79250196607131</v>
      </c>
      <c r="G57" s="1255">
        <f t="shared" si="11"/>
        <v>553016.67900011246</v>
      </c>
      <c r="H57" s="1256">
        <f t="shared" si="17"/>
        <v>3350490.6790001122</v>
      </c>
      <c r="I57" s="1278">
        <f>'[1]Adjusted Amounts'!C206+'[1]Adjusted Amounts'!H206</f>
        <v>5965.2293969065395</v>
      </c>
      <c r="J57" s="1280">
        <f t="shared" si="12"/>
        <v>3356455.9083970189</v>
      </c>
      <c r="K57" s="1274">
        <f>'[18]FY2012-13 Final'!$D$43</f>
        <v>3929</v>
      </c>
      <c r="L57" s="1280">
        <f t="shared" si="13"/>
        <v>2997827</v>
      </c>
      <c r="M57" s="1281">
        <f t="shared" si="18"/>
        <v>-52461.972500000003</v>
      </c>
      <c r="N57" s="1281">
        <f t="shared" si="19"/>
        <v>-7494.5675000000001</v>
      </c>
      <c r="O57" s="1279">
        <f t="shared" si="20"/>
        <v>-59956.54</v>
      </c>
      <c r="P57" s="1279">
        <f t="shared" si="14"/>
        <v>2937870.46</v>
      </c>
      <c r="Q57" s="1279">
        <f>'[1]Adjusted Amounts'!K206+'[1]Adjusted Amounts'!P206</f>
        <v>6304.5</v>
      </c>
      <c r="R57" s="1280">
        <f t="shared" si="15"/>
        <v>2944174.96</v>
      </c>
      <c r="S57" s="1280">
        <f t="shared" si="16"/>
        <v>245347.91333333333</v>
      </c>
      <c r="T57" s="562">
        <f>SUM(R56:R57)</f>
        <v>5265978.22</v>
      </c>
      <c r="U57" s="562">
        <f>SUM(S56:S57)</f>
        <v>438831.51833333331</v>
      </c>
    </row>
    <row r="58" spans="1:21" ht="30.75" customHeight="1">
      <c r="A58" s="788">
        <v>398003</v>
      </c>
      <c r="B58" s="772" t="s">
        <v>272</v>
      </c>
      <c r="C58" s="791">
        <f>'[19]RSD-NO by Site'!D53</f>
        <v>405</v>
      </c>
      <c r="D58" s="1278">
        <f t="shared" si="9"/>
        <v>3666.4136012725312</v>
      </c>
      <c r="E58" s="1278">
        <f t="shared" si="10"/>
        <v>1484898</v>
      </c>
      <c r="F58" s="1255">
        <v>592.5310423197493</v>
      </c>
      <c r="G58" s="1255">
        <f t="shared" si="11"/>
        <v>239975.07213949846</v>
      </c>
      <c r="H58" s="1256">
        <f t="shared" si="17"/>
        <v>1724873.0721394985</v>
      </c>
      <c r="I58" s="1278">
        <f>'[1]Adjusted Amounts'!C207+'[1]Adjusted Amounts'!H207</f>
        <v>-1400.2502529117228</v>
      </c>
      <c r="J58" s="1280">
        <f t="shared" si="12"/>
        <v>1723472.8218865867</v>
      </c>
      <c r="K58" s="1274">
        <f>'[18]FY2012-13 Final'!$D$43</f>
        <v>3929</v>
      </c>
      <c r="L58" s="1280">
        <f t="shared" si="13"/>
        <v>1591245</v>
      </c>
      <c r="M58" s="1281">
        <f t="shared" si="18"/>
        <v>-27846.787500000002</v>
      </c>
      <c r="N58" s="1281">
        <f t="shared" si="19"/>
        <v>-3978.1125000000002</v>
      </c>
      <c r="O58" s="1279">
        <f t="shared" si="20"/>
        <v>-31824.9</v>
      </c>
      <c r="P58" s="1279">
        <f t="shared" si="14"/>
        <v>1559420.1</v>
      </c>
      <c r="Q58" s="1279">
        <f>'[1]Adjusted Amounts'!K207+'[1]Adjusted Amounts'!P207</f>
        <v>6304.5</v>
      </c>
      <c r="R58" s="1280">
        <f t="shared" si="15"/>
        <v>1565724.6</v>
      </c>
      <c r="S58" s="1280">
        <f t="shared" si="16"/>
        <v>130477.05</v>
      </c>
    </row>
    <row r="59" spans="1:21" ht="30.75" customHeight="1">
      <c r="A59" s="1738">
        <v>398004</v>
      </c>
      <c r="B59" s="772" t="s">
        <v>350</v>
      </c>
      <c r="C59" s="791">
        <f>'[21]KIPP by Site &amp; Grade'!$R$7</f>
        <v>513</v>
      </c>
      <c r="D59" s="1278">
        <f t="shared" si="9"/>
        <v>3666.4136012725312</v>
      </c>
      <c r="E59" s="1278">
        <f t="shared" si="10"/>
        <v>1880870</v>
      </c>
      <c r="F59" s="1255">
        <v>741.31578947368428</v>
      </c>
      <c r="G59" s="1255">
        <f t="shared" si="11"/>
        <v>380295.00000000006</v>
      </c>
      <c r="H59" s="1256">
        <f t="shared" si="17"/>
        <v>2261165</v>
      </c>
      <c r="I59" s="1278">
        <f>'[1]Adjusted Amounts'!C208+'[1]Adjusted Amounts'!H208</f>
        <v>0</v>
      </c>
      <c r="J59" s="1280">
        <f t="shared" si="12"/>
        <v>2261165</v>
      </c>
      <c r="K59" s="1274">
        <f>'[18]FY2012-13 Final'!$D$43</f>
        <v>3929</v>
      </c>
      <c r="L59" s="1280">
        <f t="shared" si="13"/>
        <v>2015577</v>
      </c>
      <c r="M59" s="1281">
        <f t="shared" si="18"/>
        <v>-35272.597500000003</v>
      </c>
      <c r="N59" s="1281">
        <f t="shared" si="19"/>
        <v>-5038.9425000000001</v>
      </c>
      <c r="O59" s="1279">
        <f t="shared" si="20"/>
        <v>-40311.54</v>
      </c>
      <c r="P59" s="1279">
        <f t="shared" si="14"/>
        <v>1975265.46</v>
      </c>
      <c r="Q59" s="1279">
        <f>'[1]Adjusted Amounts'!K208+'[1]Adjusted Amounts'!P208</f>
        <v>67200</v>
      </c>
      <c r="R59" s="1280">
        <f t="shared" si="15"/>
        <v>2042465.46</v>
      </c>
      <c r="S59" s="1280">
        <f t="shared" si="16"/>
        <v>170205.45499999999</v>
      </c>
    </row>
    <row r="60" spans="1:21" ht="30.75" customHeight="1">
      <c r="A60" s="788">
        <v>398005</v>
      </c>
      <c r="B60" s="772" t="s">
        <v>348</v>
      </c>
      <c r="C60" s="791">
        <f>'[19]RSD-NO by Site'!D55</f>
        <v>343</v>
      </c>
      <c r="D60" s="1278">
        <f t="shared" si="9"/>
        <v>3666.4136012725312</v>
      </c>
      <c r="E60" s="1278">
        <f t="shared" si="10"/>
        <v>1257580</v>
      </c>
      <c r="F60" s="1255">
        <v>746.0335616438357</v>
      </c>
      <c r="G60" s="1255">
        <f t="shared" si="11"/>
        <v>255889.51164383563</v>
      </c>
      <c r="H60" s="1256">
        <f t="shared" si="17"/>
        <v>1513469.5116438356</v>
      </c>
      <c r="I60" s="1278">
        <f>'[1]Adjusted Amounts'!C209+'[1]Adjusted Amounts'!H209</f>
        <v>248.89713724418834</v>
      </c>
      <c r="J60" s="1280">
        <f t="shared" si="12"/>
        <v>1513718.4087810798</v>
      </c>
      <c r="K60" s="1274">
        <f>'[18]FY2012-13 Final'!$D$43</f>
        <v>3929</v>
      </c>
      <c r="L60" s="1280">
        <f t="shared" si="13"/>
        <v>1347647</v>
      </c>
      <c r="M60" s="1281">
        <f t="shared" si="18"/>
        <v>-23583.822500000002</v>
      </c>
      <c r="N60" s="1281">
        <f t="shared" si="19"/>
        <v>-3369.1175000000003</v>
      </c>
      <c r="O60" s="1279">
        <f t="shared" si="20"/>
        <v>-26952.940000000002</v>
      </c>
      <c r="P60" s="1279">
        <f t="shared" si="14"/>
        <v>1320694.06</v>
      </c>
      <c r="Q60" s="1279">
        <f>'[1]Adjusted Amounts'!K209+'[1]Adjusted Amounts'!P209</f>
        <v>10507.5</v>
      </c>
      <c r="R60" s="1280">
        <f t="shared" si="15"/>
        <v>1331201.56</v>
      </c>
      <c r="S60" s="1280">
        <f t="shared" si="16"/>
        <v>110933.46333333333</v>
      </c>
    </row>
    <row r="61" spans="1:21" ht="30.75" customHeight="1">
      <c r="A61" s="788">
        <v>398006</v>
      </c>
      <c r="B61" s="772" t="s">
        <v>349</v>
      </c>
      <c r="C61" s="791">
        <f>'[19]RSD-NO by Site'!D56</f>
        <v>514</v>
      </c>
      <c r="D61" s="1278">
        <f t="shared" si="9"/>
        <v>3666.4136012725312</v>
      </c>
      <c r="E61" s="1278">
        <f>ROUND(C61*D61,0)</f>
        <v>1884537</v>
      </c>
      <c r="F61" s="1255">
        <v>746.0335616438357</v>
      </c>
      <c r="G61" s="1255">
        <f>F61*C61</f>
        <v>383461.25068493153</v>
      </c>
      <c r="H61" s="1256">
        <f>E61+G61</f>
        <v>2267998.2506849314</v>
      </c>
      <c r="I61" s="1278">
        <f>'[1]Adjusted Amounts'!C210+'[1]Adjusted Amounts'!H210</f>
        <v>3998.0606576154573</v>
      </c>
      <c r="J61" s="1280">
        <f t="shared" ref="J61:J68" si="31">H61+I61</f>
        <v>2271996.3113425467</v>
      </c>
      <c r="K61" s="1274">
        <f>'[18]FY2012-13 Final'!$D$43</f>
        <v>3929</v>
      </c>
      <c r="L61" s="1280">
        <f t="shared" si="13"/>
        <v>2019506</v>
      </c>
      <c r="M61" s="1281">
        <f t="shared" si="18"/>
        <v>-35341.355000000003</v>
      </c>
      <c r="N61" s="1281">
        <f t="shared" si="19"/>
        <v>-5048.7650000000003</v>
      </c>
      <c r="O61" s="1279">
        <f t="shared" si="20"/>
        <v>-40390.120000000003</v>
      </c>
      <c r="P61" s="1279">
        <f t="shared" si="14"/>
        <v>1979115.88</v>
      </c>
      <c r="Q61" s="1279">
        <f>'[1]Adjusted Amounts'!K210+'[1]Adjusted Amounts'!P210</f>
        <v>4203</v>
      </c>
      <c r="R61" s="1280">
        <f t="shared" si="15"/>
        <v>1983318.88</v>
      </c>
      <c r="S61" s="1280">
        <f t="shared" si="16"/>
        <v>165276.57333333333</v>
      </c>
    </row>
    <row r="62" spans="1:21" ht="30.75" customHeight="1">
      <c r="A62" s="788">
        <v>399001</v>
      </c>
      <c r="B62" s="772" t="s">
        <v>351</v>
      </c>
      <c r="C62" s="791">
        <f>'[19]RSD-NO by Site'!D57</f>
        <v>508</v>
      </c>
      <c r="D62" s="1278">
        <f t="shared" si="9"/>
        <v>3666.4136012725312</v>
      </c>
      <c r="E62" s="1278">
        <f>ROUND(C62*D62,0)</f>
        <v>1862538</v>
      </c>
      <c r="F62" s="1255">
        <v>752.85062142702634</v>
      </c>
      <c r="G62" s="1255">
        <f>F62*C62</f>
        <v>382448.11568492936</v>
      </c>
      <c r="H62" s="1256">
        <f>E62+G62</f>
        <v>2244986.1156849293</v>
      </c>
      <c r="I62" s="1278">
        <f>'[1]Adjusted Amounts'!C211+'[1]Adjusted Amounts'!H211</f>
        <v>-3583.5437301743896</v>
      </c>
      <c r="J62" s="1280">
        <f t="shared" si="31"/>
        <v>2241402.5719547551</v>
      </c>
      <c r="K62" s="1274">
        <f>'[18]FY2012-13 Final'!$D$43</f>
        <v>3929</v>
      </c>
      <c r="L62" s="1280">
        <f t="shared" si="13"/>
        <v>1995932</v>
      </c>
      <c r="M62" s="1281">
        <f t="shared" si="18"/>
        <v>-34928.810000000005</v>
      </c>
      <c r="N62" s="1281">
        <f t="shared" si="19"/>
        <v>-4989.83</v>
      </c>
      <c r="O62" s="1279">
        <f t="shared" si="20"/>
        <v>-39918.640000000007</v>
      </c>
      <c r="P62" s="1279">
        <f t="shared" si="14"/>
        <v>1956013.36</v>
      </c>
      <c r="Q62" s="1279">
        <f>'[1]Adjusted Amounts'!K211+'[1]Adjusted Amounts'!P211</f>
        <v>0</v>
      </c>
      <c r="R62" s="1280">
        <f t="shared" si="15"/>
        <v>1956013.36</v>
      </c>
      <c r="S62" s="1280">
        <f t="shared" si="16"/>
        <v>163001.11333333334</v>
      </c>
    </row>
    <row r="63" spans="1:21" ht="30.75" customHeight="1">
      <c r="A63" s="788">
        <v>399002</v>
      </c>
      <c r="B63" s="772" t="s">
        <v>352</v>
      </c>
      <c r="C63" s="1250">
        <f>'[19]RSD-NO by Site'!D58</f>
        <v>485</v>
      </c>
      <c r="D63" s="1278">
        <f t="shared" si="9"/>
        <v>3666.4136012725312</v>
      </c>
      <c r="E63" s="1278">
        <f>ROUND(C63*D63,0)</f>
        <v>1778211</v>
      </c>
      <c r="F63" s="1255">
        <v>803.97152919927748</v>
      </c>
      <c r="G63" s="1255">
        <f>F63*C63</f>
        <v>389926.19166164956</v>
      </c>
      <c r="H63" s="1256">
        <f>E63+G63</f>
        <v>2168137.1916616494</v>
      </c>
      <c r="I63" s="1278">
        <f>'[1]Adjusted Amounts'!C212+'[1]Adjusted Amounts'!H212</f>
        <v>-15931.228263666784</v>
      </c>
      <c r="J63" s="1280">
        <f t="shared" si="31"/>
        <v>2152205.9633979825</v>
      </c>
      <c r="K63" s="1274">
        <f>'[18]FY2012-13 Final'!$D$43</f>
        <v>3929</v>
      </c>
      <c r="L63" s="1280">
        <f>C63*K63</f>
        <v>1905565</v>
      </c>
      <c r="M63" s="1281">
        <f>-$M$5*L63</f>
        <v>-33347.387500000004</v>
      </c>
      <c r="N63" s="1281">
        <f>-$N$5*L63</f>
        <v>-4763.9125000000004</v>
      </c>
      <c r="O63" s="1279">
        <f>M63+N63</f>
        <v>-38111.300000000003</v>
      </c>
      <c r="P63" s="1279">
        <f>L63+O63</f>
        <v>1867453.7</v>
      </c>
      <c r="Q63" s="1279">
        <f>'[1]Adjusted Amounts'!K212+'[1]Adjusted Amounts'!P212</f>
        <v>-2101.5</v>
      </c>
      <c r="R63" s="1280">
        <f t="shared" ref="R63:R68" si="32">SUM(P63:Q63)</f>
        <v>1865352.2</v>
      </c>
      <c r="S63" s="1280">
        <f t="shared" ref="S63:S68" si="33">R63/12</f>
        <v>155446.01666666666</v>
      </c>
    </row>
    <row r="64" spans="1:21" ht="30.75" customHeight="1">
      <c r="A64" s="1068">
        <v>399003</v>
      </c>
      <c r="B64" s="1069" t="s">
        <v>465</v>
      </c>
      <c r="C64" s="1251">
        <f>'[19]RSD-NO by Site'!D59</f>
        <v>394</v>
      </c>
      <c r="D64" s="1278">
        <f t="shared" si="9"/>
        <v>3666.4136012725312</v>
      </c>
      <c r="E64" s="1278">
        <f t="shared" ref="E64:E68" si="34">ROUND(C64*D64,0)</f>
        <v>1444567</v>
      </c>
      <c r="F64" s="1255">
        <v>746.0335616438357</v>
      </c>
      <c r="G64" s="1255">
        <f t="shared" ref="G64:G68" si="35">F64*C64</f>
        <v>293937.22328767128</v>
      </c>
      <c r="H64" s="1256">
        <f t="shared" ref="H64:H68" si="36">E64+G64</f>
        <v>1738504.2232876713</v>
      </c>
      <c r="I64" s="1278">
        <f>'[1]Adjusted Amounts'!C213+'[1]Adjusted Amounts'!H213</f>
        <v>-1485.1680605261736</v>
      </c>
      <c r="J64" s="1256">
        <f t="shared" si="31"/>
        <v>1737019.0552271451</v>
      </c>
      <c r="K64" s="1274">
        <f>'[18]FY2012-13 Final'!$D$43</f>
        <v>3929</v>
      </c>
      <c r="L64" s="1280">
        <f t="shared" ref="L64:L68" si="37">C64*K64</f>
        <v>1548026</v>
      </c>
      <c r="M64" s="1281">
        <f t="shared" ref="M64:M68" si="38">-$M$5*L64</f>
        <v>-27090.455000000002</v>
      </c>
      <c r="N64" s="1281">
        <f t="shared" ref="N64:N68" si="39">-$N$5*L64</f>
        <v>-3870.0650000000001</v>
      </c>
      <c r="O64" s="1279">
        <f t="shared" ref="O64:O68" si="40">M64+N64</f>
        <v>-30960.52</v>
      </c>
      <c r="P64" s="1279">
        <f t="shared" ref="P64:P68" si="41">L64+O64</f>
        <v>1517065.48</v>
      </c>
      <c r="Q64" s="1279">
        <f>'[1]Adjusted Amounts'!K213+'[1]Adjusted Amounts'!P213</f>
        <v>548</v>
      </c>
      <c r="R64" s="1280">
        <f t="shared" si="32"/>
        <v>1517613.48</v>
      </c>
      <c r="S64" s="1280">
        <f t="shared" si="33"/>
        <v>126467.79</v>
      </c>
    </row>
    <row r="65" spans="1:26" ht="30.75" customHeight="1">
      <c r="A65" s="788">
        <v>399004</v>
      </c>
      <c r="B65" s="772" t="s">
        <v>353</v>
      </c>
      <c r="C65" s="1250">
        <f>'[19]RSD-NO by Site'!D60</f>
        <v>472</v>
      </c>
      <c r="D65" s="1278">
        <f t="shared" si="9"/>
        <v>3666.4136012725312</v>
      </c>
      <c r="E65" s="1278">
        <f t="shared" si="34"/>
        <v>1730547</v>
      </c>
      <c r="F65" s="1255">
        <v>746.0335616438357</v>
      </c>
      <c r="G65" s="1255">
        <f t="shared" si="35"/>
        <v>352127.84109589044</v>
      </c>
      <c r="H65" s="1256">
        <f t="shared" si="36"/>
        <v>2082674.8410958904</v>
      </c>
      <c r="I65" s="1278">
        <f>'[1]Adjusted Amounts'!C214+'[1]Adjusted Amounts'!H214</f>
        <v>-3583.5437301743896</v>
      </c>
      <c r="J65" s="1256">
        <f t="shared" si="31"/>
        <v>2079091.297365716</v>
      </c>
      <c r="K65" s="1274">
        <f>'[18]FY2012-13 Final'!$D$43</f>
        <v>3929</v>
      </c>
      <c r="L65" s="1280">
        <f t="shared" si="37"/>
        <v>1854488</v>
      </c>
      <c r="M65" s="1281">
        <f t="shared" si="38"/>
        <v>-32453.540000000005</v>
      </c>
      <c r="N65" s="1281">
        <f t="shared" si="39"/>
        <v>-4636.22</v>
      </c>
      <c r="O65" s="1279">
        <f t="shared" si="40"/>
        <v>-37089.760000000002</v>
      </c>
      <c r="P65" s="1279">
        <f t="shared" si="41"/>
        <v>1817398.24</v>
      </c>
      <c r="Q65" s="1279">
        <f>'[1]Adjusted Amounts'!K214+'[1]Adjusted Amounts'!P214</f>
        <v>0</v>
      </c>
      <c r="R65" s="1280">
        <f t="shared" si="32"/>
        <v>1817398.24</v>
      </c>
      <c r="S65" s="1280">
        <f t="shared" si="33"/>
        <v>151449.85333333333</v>
      </c>
    </row>
    <row r="66" spans="1:26" ht="30.75" customHeight="1">
      <c r="A66" s="786">
        <v>399005</v>
      </c>
      <c r="B66" s="440" t="s">
        <v>665</v>
      </c>
      <c r="C66" s="1311">
        <f>'[19]RSD-NO by Site'!D61</f>
        <v>645</v>
      </c>
      <c r="D66" s="1278">
        <f t="shared" si="9"/>
        <v>3666.4136012725312</v>
      </c>
      <c r="E66" s="1278">
        <f t="shared" si="34"/>
        <v>2364837</v>
      </c>
      <c r="F66" s="1255">
        <v>746.0335616438357</v>
      </c>
      <c r="G66" s="1255">
        <f t="shared" si="35"/>
        <v>481191.64726027404</v>
      </c>
      <c r="H66" s="1256">
        <f t="shared" si="36"/>
        <v>2846028.6472602738</v>
      </c>
      <c r="I66" s="1278">
        <f>'[1]Adjusted Amounts'!C215+'[1]Adjusted Amounts'!H215</f>
        <v>0</v>
      </c>
      <c r="J66" s="1256">
        <f t="shared" si="31"/>
        <v>2846028.6472602738</v>
      </c>
      <c r="K66" s="1274">
        <f>'[18]FY2012-13 Final'!$D$43</f>
        <v>3929</v>
      </c>
      <c r="L66" s="1280">
        <f t="shared" si="37"/>
        <v>2534205</v>
      </c>
      <c r="M66" s="1281">
        <f t="shared" si="38"/>
        <v>-44348.587500000001</v>
      </c>
      <c r="N66" s="1281">
        <f t="shared" si="39"/>
        <v>-6335.5124999999998</v>
      </c>
      <c r="O66" s="1279">
        <f t="shared" si="40"/>
        <v>-50684.1</v>
      </c>
      <c r="P66" s="1279">
        <f t="shared" si="41"/>
        <v>2483520.9</v>
      </c>
      <c r="Q66" s="1279">
        <f>'[1]Adjusted Amounts'!K215+'[1]Adjusted Amounts'!P215</f>
        <v>0</v>
      </c>
      <c r="R66" s="1280">
        <f t="shared" si="32"/>
        <v>2483520.9</v>
      </c>
      <c r="S66" s="1280">
        <f t="shared" si="33"/>
        <v>206960.07499999998</v>
      </c>
    </row>
    <row r="67" spans="1:26" ht="32.25" customHeight="1">
      <c r="A67" s="1073"/>
      <c r="B67" s="1074" t="s">
        <v>759</v>
      </c>
      <c r="C67" s="1713">
        <v>600</v>
      </c>
      <c r="D67" s="1278">
        <f t="shared" si="9"/>
        <v>3666.4136012725312</v>
      </c>
      <c r="E67" s="1278">
        <f t="shared" si="34"/>
        <v>2199848</v>
      </c>
      <c r="F67" s="1255">
        <v>747.03356164383604</v>
      </c>
      <c r="G67" s="1255">
        <f t="shared" si="35"/>
        <v>448220.13698630163</v>
      </c>
      <c r="H67" s="1256">
        <f t="shared" si="36"/>
        <v>2648068.1369863017</v>
      </c>
      <c r="I67" s="1278">
        <v>0</v>
      </c>
      <c r="J67" s="1256">
        <f t="shared" si="31"/>
        <v>2648068.1369863017</v>
      </c>
      <c r="K67" s="1274">
        <f>'[18]FY2012-13 Final'!$D$43</f>
        <v>3929</v>
      </c>
      <c r="L67" s="1280">
        <f t="shared" si="37"/>
        <v>2357400</v>
      </c>
      <c r="M67" s="1281">
        <f t="shared" si="38"/>
        <v>-41254.500000000007</v>
      </c>
      <c r="N67" s="1281">
        <f t="shared" si="39"/>
        <v>-5893.5</v>
      </c>
      <c r="O67" s="1279">
        <f t="shared" si="40"/>
        <v>-47148.000000000007</v>
      </c>
      <c r="P67" s="1279">
        <f t="shared" si="41"/>
        <v>2310252</v>
      </c>
      <c r="Q67" s="1279">
        <v>0</v>
      </c>
      <c r="R67" s="1280">
        <f t="shared" si="32"/>
        <v>2310252</v>
      </c>
      <c r="S67" s="1280">
        <f t="shared" si="33"/>
        <v>192521</v>
      </c>
    </row>
    <row r="68" spans="1:26" ht="30.75" customHeight="1">
      <c r="A68" s="1073"/>
      <c r="B68" s="1074" t="s">
        <v>760</v>
      </c>
      <c r="C68" s="1713">
        <v>460</v>
      </c>
      <c r="D68" s="1278">
        <f t="shared" si="9"/>
        <v>3666.4136012725312</v>
      </c>
      <c r="E68" s="1278">
        <f t="shared" si="34"/>
        <v>1686550</v>
      </c>
      <c r="F68" s="1255">
        <v>748.03356164383604</v>
      </c>
      <c r="G68" s="1255">
        <f t="shared" si="35"/>
        <v>344095.43835616455</v>
      </c>
      <c r="H68" s="1256">
        <f t="shared" si="36"/>
        <v>2030645.4383561646</v>
      </c>
      <c r="I68" s="1278">
        <f>'[1]Adjusted Amounts'!C217+'[1]Adjusted Amounts'!H217</f>
        <v>0</v>
      </c>
      <c r="J68" s="1256">
        <f t="shared" si="31"/>
        <v>2030645.4383561646</v>
      </c>
      <c r="K68" s="1274">
        <f>'[18]FY2012-13 Final'!$D$43</f>
        <v>3929</v>
      </c>
      <c r="L68" s="1280">
        <f t="shared" si="37"/>
        <v>1807340</v>
      </c>
      <c r="M68" s="1281">
        <f t="shared" si="38"/>
        <v>-31628.450000000004</v>
      </c>
      <c r="N68" s="1281">
        <f t="shared" si="39"/>
        <v>-4518.3500000000004</v>
      </c>
      <c r="O68" s="1279">
        <f t="shared" si="40"/>
        <v>-36146.800000000003</v>
      </c>
      <c r="P68" s="1279">
        <f t="shared" si="41"/>
        <v>1771193.2</v>
      </c>
      <c r="Q68" s="1279">
        <v>0</v>
      </c>
      <c r="R68" s="1280">
        <f t="shared" si="32"/>
        <v>1771193.2</v>
      </c>
      <c r="S68" s="1280">
        <f t="shared" si="33"/>
        <v>147599.43333333332</v>
      </c>
    </row>
    <row r="69" spans="1:26" s="1288" customFormat="1" ht="15.75">
      <c r="A69" s="1276"/>
      <c r="B69" s="1277" t="s">
        <v>82</v>
      </c>
      <c r="C69" s="1283">
        <f>SUM(C12:C68)</f>
        <v>26776</v>
      </c>
      <c r="D69" s="1284"/>
      <c r="E69" s="1283">
        <f>SUM(E12:E68)</f>
        <v>98171891</v>
      </c>
      <c r="F69" s="1283"/>
      <c r="G69" s="1285">
        <f>SUM(G12:G68)</f>
        <v>19623322.148176998</v>
      </c>
      <c r="H69" s="1285">
        <f t="shared" ref="H69:J69" si="42">SUM(H12:H68)</f>
        <v>117795213.14817701</v>
      </c>
      <c r="I69" s="1285">
        <f t="shared" si="42"/>
        <v>-476436.77711994498</v>
      </c>
      <c r="J69" s="1285">
        <f t="shared" si="42"/>
        <v>117318776.37105705</v>
      </c>
      <c r="K69" s="1286"/>
      <c r="L69" s="1287">
        <f>SUM(L12:L68)</f>
        <v>105970328</v>
      </c>
      <c r="M69" s="1287">
        <f t="shared" ref="M69" si="43">SUM(M12:M68)</f>
        <v>-1854480.7400000002</v>
      </c>
      <c r="N69" s="1287">
        <f t="shared" ref="N69" si="44">SUM(N12:N68)</f>
        <v>-264925.82</v>
      </c>
      <c r="O69" s="1287">
        <f t="shared" ref="O69" si="45">SUM(O12:O68)</f>
        <v>-2119406.56</v>
      </c>
      <c r="P69" s="1287">
        <f t="shared" ref="P69" si="46">SUM(P12:P68)</f>
        <v>103850921.44</v>
      </c>
      <c r="Q69" s="1287">
        <f t="shared" ref="Q69" si="47">SUM(Q12:Q68)</f>
        <v>-222633.5</v>
      </c>
      <c r="R69" s="1287">
        <f t="shared" ref="R69" si="48">SUM(R12:R68)</f>
        <v>103628287.94</v>
      </c>
      <c r="S69" s="1287">
        <f t="shared" ref="S69" si="49">SUM(S12:S68)</f>
        <v>8635690.6616666671</v>
      </c>
      <c r="T69" s="564"/>
      <c r="U69" s="564"/>
      <c r="V69" s="564"/>
      <c r="W69" s="564"/>
      <c r="X69" s="564"/>
      <c r="Y69" s="564"/>
      <c r="Z69" s="564"/>
    </row>
    <row r="70" spans="1:26" s="1288" customFormat="1" ht="31.5">
      <c r="A70" s="1276"/>
      <c r="B70" s="1277" t="s">
        <v>83</v>
      </c>
      <c r="C70" s="1283">
        <f>C69+C9</f>
        <v>28976</v>
      </c>
      <c r="D70" s="1284"/>
      <c r="E70" s="1283">
        <f>E69+E9</f>
        <v>106238001</v>
      </c>
      <c r="F70" s="1283"/>
      <c r="G70" s="1285">
        <f>G69+G9</f>
        <v>21376837.526876248</v>
      </c>
      <c r="H70" s="1289">
        <f>H69+H9</f>
        <v>127614838.52687627</v>
      </c>
      <c r="I70" s="1290">
        <f>I69+I9</f>
        <v>-804690.65740556712</v>
      </c>
      <c r="J70" s="1287">
        <f>J69+J9</f>
        <v>126810147.86947069</v>
      </c>
      <c r="K70" s="1286"/>
      <c r="L70" s="1287">
        <f t="shared" ref="L70:S70" si="50">L69+L9</f>
        <v>114614128</v>
      </c>
      <c r="M70" s="1286">
        <f t="shared" si="50"/>
        <v>0</v>
      </c>
      <c r="N70" s="1286">
        <f t="shared" si="50"/>
        <v>-264925.82</v>
      </c>
      <c r="O70" s="1286">
        <f t="shared" si="50"/>
        <v>-264925.81999999983</v>
      </c>
      <c r="P70" s="1286">
        <f t="shared" si="50"/>
        <v>114349202.17999999</v>
      </c>
      <c r="Q70" s="1286">
        <f t="shared" si="50"/>
        <v>-289062</v>
      </c>
      <c r="R70" s="1287">
        <f t="shared" si="50"/>
        <v>114060140.17999999</v>
      </c>
      <c r="S70" s="1287">
        <f t="shared" si="50"/>
        <v>9505011.6816666666</v>
      </c>
      <c r="T70" s="564"/>
      <c r="U70" s="564"/>
      <c r="V70" s="564"/>
      <c r="W70" s="564"/>
      <c r="X70" s="564"/>
      <c r="Y70" s="564"/>
      <c r="Z70" s="564"/>
    </row>
    <row r="71" spans="1:26" ht="8.25" customHeight="1">
      <c r="A71" s="789"/>
      <c r="B71" s="571"/>
      <c r="C71" s="1291"/>
      <c r="D71" s="1292"/>
      <c r="E71" s="1293"/>
      <c r="F71" s="1293"/>
      <c r="G71" s="1293"/>
      <c r="H71" s="1293"/>
      <c r="I71" s="1293"/>
      <c r="J71" s="1294"/>
      <c r="K71" s="1294"/>
      <c r="L71" s="1294"/>
      <c r="M71" s="1294"/>
      <c r="N71" s="1294"/>
      <c r="O71" s="1294"/>
      <c r="P71" s="1294"/>
      <c r="Q71" s="1294"/>
      <c r="R71" s="1294"/>
      <c r="S71" s="1294"/>
    </row>
    <row r="72" spans="1:26" ht="16.5" thickBot="1">
      <c r="A72" s="1295"/>
      <c r="B72" s="1296" t="s">
        <v>291</v>
      </c>
      <c r="C72" s="1297">
        <f>C70+C7</f>
        <v>42361</v>
      </c>
      <c r="D72" s="1298"/>
      <c r="E72" s="1299">
        <f>E70+E7</f>
        <v>155312947</v>
      </c>
      <c r="F72" s="1299"/>
      <c r="G72" s="1299">
        <f>G70+G7</f>
        <v>31110834.867904775</v>
      </c>
      <c r="H72" s="1300">
        <f>H70+H7</f>
        <v>186423781.86790478</v>
      </c>
      <c r="I72" s="1301"/>
      <c r="J72" s="1302"/>
      <c r="K72" s="1302"/>
      <c r="L72" s="1302"/>
      <c r="M72" s="1302"/>
      <c r="N72" s="1302"/>
      <c r="O72" s="1302"/>
      <c r="P72" s="1302"/>
      <c r="Q72" s="1302"/>
      <c r="R72" s="1302"/>
      <c r="S72" s="1302"/>
    </row>
    <row r="73" spans="1:26" ht="13.5" thickTop="1">
      <c r="A73" s="1303"/>
      <c r="B73" s="1303"/>
      <c r="C73" s="1304"/>
      <c r="D73" s="1305"/>
      <c r="E73" s="562"/>
      <c r="F73" s="562"/>
      <c r="G73" s="562"/>
      <c r="H73" s="562"/>
      <c r="I73" s="1306"/>
      <c r="J73" s="562"/>
      <c r="K73" s="562"/>
      <c r="L73" s="562"/>
      <c r="M73" s="562"/>
      <c r="N73" s="562"/>
      <c r="O73" s="562"/>
      <c r="P73" s="562"/>
      <c r="Q73" s="562"/>
      <c r="R73" s="562"/>
      <c r="S73" s="562"/>
    </row>
    <row r="74" spans="1:26" ht="22.5" customHeight="1">
      <c r="A74" s="1303"/>
      <c r="B74" s="1303"/>
      <c r="C74" s="2023" t="s">
        <v>531</v>
      </c>
      <c r="D74" s="2023"/>
      <c r="E74" s="2023"/>
      <c r="F74" s="2023"/>
      <c r="G74" s="2023"/>
      <c r="H74" s="2023"/>
      <c r="I74" s="2023"/>
      <c r="J74" s="2023"/>
      <c r="K74" s="1307"/>
      <c r="L74" s="2023"/>
      <c r="M74" s="2023"/>
      <c r="N74" s="2023"/>
      <c r="O74" s="2023"/>
      <c r="P74" s="2023"/>
      <c r="Q74" s="2023"/>
      <c r="R74" s="2023"/>
      <c r="S74" s="2023"/>
      <c r="T74" s="2023"/>
      <c r="U74" s="2023"/>
    </row>
    <row r="75" spans="1:26" ht="22.5" customHeight="1">
      <c r="B75" s="1308"/>
      <c r="C75" s="2020" t="s">
        <v>1137</v>
      </c>
      <c r="D75" s="2020"/>
      <c r="E75" s="2020"/>
      <c r="F75" s="2020"/>
      <c r="G75" s="2020"/>
      <c r="H75" s="2020"/>
      <c r="I75" s="2020"/>
      <c r="J75" s="2020"/>
      <c r="K75" s="1309"/>
      <c r="L75" s="2020" t="s">
        <v>1137</v>
      </c>
      <c r="M75" s="2020"/>
      <c r="N75" s="2020"/>
      <c r="O75" s="2020"/>
      <c r="P75" s="2020"/>
      <c r="Q75" s="2020"/>
      <c r="R75" s="2020"/>
      <c r="S75" s="2020"/>
      <c r="T75" s="1308"/>
      <c r="U75" s="1308"/>
    </row>
    <row r="76" spans="1:26" ht="18.75" customHeight="1">
      <c r="C76" s="2021"/>
      <c r="D76" s="2022"/>
      <c r="E76" s="2022"/>
      <c r="F76" s="2022"/>
      <c r="G76" s="2022"/>
      <c r="H76" s="2022"/>
      <c r="I76" s="2022"/>
      <c r="J76" s="2022"/>
      <c r="K76" s="1310"/>
      <c r="L76" s="2021"/>
      <c r="M76" s="2022"/>
      <c r="N76" s="2022"/>
      <c r="O76" s="2022"/>
      <c r="P76" s="2022"/>
      <c r="Q76" s="2022"/>
      <c r="R76" s="2022"/>
      <c r="S76" s="2022"/>
    </row>
    <row r="77" spans="1:26" hidden="1"/>
    <row r="78" spans="1:26" ht="17.25" hidden="1" customHeight="1">
      <c r="B78" s="1262" t="s">
        <v>462</v>
      </c>
      <c r="F78" s="1255">
        <v>746.0335616438357</v>
      </c>
    </row>
    <row r="79" spans="1:26" hidden="1"/>
    <row r="80" spans="1:26" hidden="1"/>
    <row r="81" spans="2:3" hidden="1">
      <c r="B81" s="1262" t="s">
        <v>467</v>
      </c>
      <c r="C81" s="1262">
        <v>258</v>
      </c>
    </row>
    <row r="82" spans="2:3" hidden="1"/>
  </sheetData>
  <mergeCells count="28">
    <mergeCell ref="A1:J1"/>
    <mergeCell ref="B10:J10"/>
    <mergeCell ref="C74:J74"/>
    <mergeCell ref="Q4:Q5"/>
    <mergeCell ref="R4:R5"/>
    <mergeCell ref="L10:X10"/>
    <mergeCell ref="S4:S5"/>
    <mergeCell ref="P4:P5"/>
    <mergeCell ref="O4:O5"/>
    <mergeCell ref="L8:X8"/>
    <mergeCell ref="L4:L5"/>
    <mergeCell ref="K4:K5"/>
    <mergeCell ref="F3:G3"/>
    <mergeCell ref="G4:G5"/>
    <mergeCell ref="A4:A5"/>
    <mergeCell ref="J4:J5"/>
    <mergeCell ref="B8:J8"/>
    <mergeCell ref="H4:H5"/>
    <mergeCell ref="C4:C5"/>
    <mergeCell ref="B4:B5"/>
    <mergeCell ref="E4:E5"/>
    <mergeCell ref="I4:I5"/>
    <mergeCell ref="F4:F5"/>
    <mergeCell ref="C75:J75"/>
    <mergeCell ref="L75:S75"/>
    <mergeCell ref="C76:J76"/>
    <mergeCell ref="L76:S76"/>
    <mergeCell ref="L74:U74"/>
  </mergeCells>
  <phoneticPr fontId="0" type="noConversion"/>
  <printOptions horizontalCentered="1"/>
  <pageMargins left="0.2" right="0.2" top="1.0900000000000001" bottom="0.77" header="0.32" footer="0.19"/>
  <pageSetup paperSize="5" scale="56" firstPageNumber="53" fitToHeight="2" orientation="portrait" useFirstPageNumber="1" r:id="rId1"/>
  <headerFooter alignWithMargins="0">
    <oddHeader xml:space="preserve">&amp;L&amp;"Arial,Bold"&amp;22Table 5B-1:  FY2013-14 MFP Budget Letter (Projection)
Recovery School District (Orleans Parish) 
&amp;R
</oddHeader>
    <oddFooter>&amp;L&amp;14*FY2010-11 is the first year of operation
&amp;R&amp;16&amp;P</oddFooter>
  </headerFooter>
  <colBreaks count="1" manualBreakCount="1">
    <brk id="10" min="2" max="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view="pageBreakPreview" zoomScale="70" zoomScaleNormal="75" zoomScaleSheetLayoutView="70" workbookViewId="0">
      <pane xSplit="2" ySplit="6" topLeftCell="C7" activePane="bottomRight" state="frozen"/>
      <selection activeCell="B3" sqref="B3:B5"/>
      <selection pane="topRight" activeCell="B3" sqref="B3:B5"/>
      <selection pane="bottomLeft" activeCell="B3" sqref="B3:B5"/>
      <selection pane="bottomRight" activeCell="B4" sqref="B4:B5"/>
    </sheetView>
  </sheetViews>
  <sheetFormatPr defaultRowHeight="12.75"/>
  <cols>
    <col min="1" max="1" width="9" customWidth="1"/>
    <col min="2" max="2" width="33.28515625" customWidth="1"/>
    <col min="3" max="3" width="12.140625" bestFit="1" customWidth="1"/>
    <col min="4" max="4" width="13.5703125" customWidth="1"/>
    <col min="5" max="5" width="20.7109375" customWidth="1"/>
    <col min="6" max="6" width="18.42578125" customWidth="1"/>
    <col min="7" max="7" width="19.7109375" customWidth="1"/>
    <col min="8" max="8" width="21.42578125" customWidth="1"/>
    <col min="9" max="11" width="18.28515625" customWidth="1"/>
    <col min="12" max="12" width="19.42578125" customWidth="1"/>
    <col min="13" max="13" width="17.7109375" customWidth="1"/>
    <col min="14" max="24" width="20.85546875" customWidth="1"/>
    <col min="25" max="25" width="19.28515625" bestFit="1" customWidth="1"/>
    <col min="26" max="26" width="17.7109375" customWidth="1"/>
  </cols>
  <sheetData>
    <row r="1" spans="1:26" ht="15.75">
      <c r="A1" s="268"/>
      <c r="B1" s="268"/>
    </row>
    <row r="2" spans="1:26" ht="22.5" customHeight="1">
      <c r="B2" s="2052"/>
      <c r="C2" s="2052"/>
      <c r="D2" s="2052"/>
      <c r="E2" s="2052"/>
      <c r="F2" s="2052"/>
      <c r="G2" s="2052"/>
      <c r="H2" s="2052"/>
      <c r="I2" s="2052"/>
      <c r="J2" s="2052"/>
      <c r="K2" s="2052"/>
      <c r="L2" s="2052"/>
      <c r="M2" s="2052"/>
      <c r="N2" s="2052"/>
      <c r="O2" s="346"/>
      <c r="P2" s="346"/>
      <c r="Q2" s="346"/>
    </row>
    <row r="3" spans="1:26" ht="41.25" customHeight="1">
      <c r="C3" s="73"/>
      <c r="D3" s="445"/>
      <c r="E3" s="75"/>
      <c r="F3" s="2053" t="s">
        <v>390</v>
      </c>
      <c r="G3" s="2054"/>
      <c r="H3" s="75"/>
      <c r="I3" s="2048" t="s">
        <v>442</v>
      </c>
      <c r="J3" s="2048"/>
      <c r="K3" s="2048"/>
      <c r="L3" s="774"/>
      <c r="M3" s="75"/>
      <c r="N3" s="75"/>
      <c r="O3" s="75"/>
      <c r="P3" s="75"/>
      <c r="Q3" s="75"/>
      <c r="R3" s="2048" t="s">
        <v>447</v>
      </c>
      <c r="S3" s="2048"/>
      <c r="T3" s="2048"/>
      <c r="U3" s="75"/>
      <c r="V3" s="75"/>
      <c r="W3" s="75"/>
      <c r="X3" s="75"/>
    </row>
    <row r="4" spans="1:26" ht="101.25" customHeight="1">
      <c r="A4" s="1862" t="s">
        <v>446</v>
      </c>
      <c r="B4" s="1862" t="s">
        <v>190</v>
      </c>
      <c r="C4" s="2055" t="s">
        <v>1184</v>
      </c>
      <c r="D4" s="1862" t="s">
        <v>1391</v>
      </c>
      <c r="E4" s="1859" t="s">
        <v>1367</v>
      </c>
      <c r="F4" s="1862" t="s">
        <v>398</v>
      </c>
      <c r="G4" s="1862" t="s">
        <v>391</v>
      </c>
      <c r="H4" s="1859" t="s">
        <v>1368</v>
      </c>
      <c r="I4" s="336" t="s">
        <v>443</v>
      </c>
      <c r="J4" s="336" t="s">
        <v>444</v>
      </c>
      <c r="K4" s="2046" t="s">
        <v>445</v>
      </c>
      <c r="L4" s="1859" t="s">
        <v>1369</v>
      </c>
      <c r="M4" s="1874" t="s">
        <v>1230</v>
      </c>
      <c r="N4" s="1859" t="s">
        <v>1370</v>
      </c>
      <c r="O4" s="1859" t="s">
        <v>1374</v>
      </c>
      <c r="P4" s="2049" t="s">
        <v>698</v>
      </c>
      <c r="Q4" s="2049" t="s">
        <v>1371</v>
      </c>
      <c r="R4" s="336" t="s">
        <v>443</v>
      </c>
      <c r="S4" s="336" t="s">
        <v>444</v>
      </c>
      <c r="T4" s="2046" t="s">
        <v>445</v>
      </c>
      <c r="U4" s="2049" t="s">
        <v>1372</v>
      </c>
      <c r="V4" s="1859" t="s">
        <v>1230</v>
      </c>
      <c r="W4" s="2049" t="s">
        <v>1373</v>
      </c>
      <c r="X4" s="2049" t="s">
        <v>1375</v>
      </c>
      <c r="Y4" s="2057" t="s">
        <v>709</v>
      </c>
      <c r="Z4" s="2057" t="s">
        <v>710</v>
      </c>
    </row>
    <row r="5" spans="1:26" ht="36.75" customHeight="1">
      <c r="A5" s="1864" t="s">
        <v>80</v>
      </c>
      <c r="B5" s="1864"/>
      <c r="C5" s="2056"/>
      <c r="D5" s="1864"/>
      <c r="E5" s="1861"/>
      <c r="F5" s="1864"/>
      <c r="G5" s="1864"/>
      <c r="H5" s="1861"/>
      <c r="I5" s="773">
        <v>1.7500000000000002E-2</v>
      </c>
      <c r="J5" s="773">
        <v>2.5000000000000001E-3</v>
      </c>
      <c r="K5" s="2047"/>
      <c r="L5" s="1861"/>
      <c r="M5" s="1876"/>
      <c r="N5" s="1861"/>
      <c r="O5" s="1861"/>
      <c r="P5" s="2050"/>
      <c r="Q5" s="2050"/>
      <c r="R5" s="773">
        <v>1.7500000000000002E-2</v>
      </c>
      <c r="S5" s="773">
        <v>2.5000000000000001E-3</v>
      </c>
      <c r="T5" s="2047"/>
      <c r="U5" s="2050"/>
      <c r="V5" s="1861"/>
      <c r="W5" s="2050"/>
      <c r="X5" s="2050"/>
      <c r="Y5" s="2058"/>
      <c r="Z5" s="2058"/>
    </row>
    <row r="6" spans="1:26">
      <c r="A6" s="114"/>
      <c r="B6" s="114"/>
      <c r="C6" s="224">
        <v>1</v>
      </c>
      <c r="D6" s="224">
        <f t="shared" ref="D6:N6" si="0">C6+1</f>
        <v>2</v>
      </c>
      <c r="E6" s="224">
        <f t="shared" si="0"/>
        <v>3</v>
      </c>
      <c r="F6" s="224">
        <f t="shared" si="0"/>
        <v>4</v>
      </c>
      <c r="G6" s="224">
        <f t="shared" si="0"/>
        <v>5</v>
      </c>
      <c r="H6" s="224">
        <f t="shared" si="0"/>
        <v>6</v>
      </c>
      <c r="I6" s="224">
        <f>H6+1</f>
        <v>7</v>
      </c>
      <c r="J6" s="224">
        <f>I6+1</f>
        <v>8</v>
      </c>
      <c r="K6" s="224">
        <f>J6+1</f>
        <v>9</v>
      </c>
      <c r="L6" s="224">
        <f>K6+1</f>
        <v>10</v>
      </c>
      <c r="M6" s="224">
        <f>L6+1</f>
        <v>11</v>
      </c>
      <c r="N6" s="224">
        <f t="shared" si="0"/>
        <v>12</v>
      </c>
      <c r="O6" s="224">
        <f t="shared" ref="O6:X6" si="1">N6+1</f>
        <v>13</v>
      </c>
      <c r="P6" s="224">
        <f t="shared" si="1"/>
        <v>14</v>
      </c>
      <c r="Q6" s="224">
        <f t="shared" si="1"/>
        <v>15</v>
      </c>
      <c r="R6" s="224">
        <f t="shared" si="1"/>
        <v>16</v>
      </c>
      <c r="S6" s="224">
        <f t="shared" si="1"/>
        <v>17</v>
      </c>
      <c r="T6" s="224">
        <f t="shared" si="1"/>
        <v>18</v>
      </c>
      <c r="U6" s="224">
        <f t="shared" si="1"/>
        <v>19</v>
      </c>
      <c r="V6" s="224">
        <f t="shared" si="1"/>
        <v>20</v>
      </c>
      <c r="W6" s="224">
        <f t="shared" si="1"/>
        <v>21</v>
      </c>
      <c r="X6" s="224">
        <f t="shared" si="1"/>
        <v>22</v>
      </c>
      <c r="Y6" s="224">
        <f t="shared" ref="Y6" si="2">X6+1</f>
        <v>23</v>
      </c>
      <c r="Z6" s="224">
        <f t="shared" ref="Z6" si="3">Y6+1</f>
        <v>24</v>
      </c>
    </row>
    <row r="7" spans="1:26" s="107" customFormat="1" ht="30" customHeight="1">
      <c r="A7" s="610"/>
      <c r="B7" s="610" t="s">
        <v>412</v>
      </c>
      <c r="C7" s="1075">
        <f>'[2]ALL-Reformatted'!$C$22</f>
        <v>41055</v>
      </c>
      <c r="D7" s="516">
        <f>'Table 3 Levels 1&amp;2'!$BN$25+'Table 3 Levels 1&amp;2'!BV25</f>
        <v>3311.610845996096</v>
      </c>
      <c r="E7" s="515">
        <f>ROUND(C7*D7,0)</f>
        <v>135958183</v>
      </c>
      <c r="F7" s="515">
        <v>801.47762416806802</v>
      </c>
      <c r="G7" s="515">
        <f>F7*C7</f>
        <v>32904663.860220034</v>
      </c>
      <c r="H7" s="775">
        <f>E7+G7</f>
        <v>168862846.86022004</v>
      </c>
      <c r="I7" s="775"/>
      <c r="J7" s="775"/>
      <c r="K7" s="775"/>
      <c r="L7" s="775"/>
      <c r="M7" s="514" t="s">
        <v>268</v>
      </c>
      <c r="N7" s="779" t="s">
        <v>268</v>
      </c>
      <c r="O7" s="779"/>
      <c r="P7" s="514"/>
      <c r="Q7" s="514"/>
      <c r="R7" s="514"/>
      <c r="S7" s="514"/>
      <c r="T7" s="514"/>
      <c r="U7" s="514"/>
      <c r="V7" s="810" t="s">
        <v>466</v>
      </c>
      <c r="W7" s="781"/>
      <c r="X7" s="781"/>
      <c r="Y7" s="781"/>
      <c r="Z7" s="781"/>
    </row>
    <row r="8" spans="1:26" s="75" customFormat="1" ht="6" customHeight="1">
      <c r="A8" s="503"/>
      <c r="B8" s="503"/>
      <c r="C8" s="504"/>
      <c r="D8" s="505"/>
      <c r="E8" s="506"/>
      <c r="F8" s="506"/>
      <c r="G8" s="506"/>
      <c r="H8" s="506"/>
      <c r="I8" s="506"/>
      <c r="J8" s="506"/>
      <c r="K8" s="506"/>
      <c r="L8" s="506"/>
      <c r="M8" s="506"/>
      <c r="N8" s="506"/>
      <c r="O8" s="506"/>
      <c r="P8" s="506"/>
      <c r="Q8" s="506"/>
      <c r="R8" s="506"/>
      <c r="S8" s="506"/>
      <c r="T8" s="506"/>
      <c r="U8" s="506"/>
      <c r="V8" s="506"/>
      <c r="W8" s="506"/>
      <c r="X8" s="506"/>
      <c r="Y8" s="506"/>
      <c r="Z8" s="506"/>
    </row>
    <row r="9" spans="1:26">
      <c r="W9" s="784"/>
      <c r="X9" s="784"/>
      <c r="Y9" s="784"/>
      <c r="Z9" s="784"/>
    </row>
    <row r="10" spans="1:26" ht="30.75" customHeight="1">
      <c r="A10" s="610">
        <v>396210</v>
      </c>
      <c r="B10" s="813" t="s">
        <v>682</v>
      </c>
      <c r="C10" s="1390">
        <f>'[22]RSD by Site'!$C$27</f>
        <v>165</v>
      </c>
      <c r="D10" s="469">
        <f>'Table 3 Levels 1&amp;2'!$BN$25+'Table 3 Levels 1&amp;2'!BV25</f>
        <v>3311.610845996096</v>
      </c>
      <c r="E10" s="448">
        <f t="shared" ref="E10:E17" si="4">ROUND(C10*D10,0)</f>
        <v>546416</v>
      </c>
      <c r="F10" s="448">
        <f>F7</f>
        <v>801.47762416806802</v>
      </c>
      <c r="G10" s="448">
        <f t="shared" ref="G10:G17" si="5">F10*C10</f>
        <v>132243.80798773121</v>
      </c>
      <c r="H10" s="776">
        <f t="shared" ref="H10:H17" si="6">E10+G10</f>
        <v>678659.80798773118</v>
      </c>
      <c r="I10" s="776" t="s">
        <v>466</v>
      </c>
      <c r="J10" s="776" t="s">
        <v>466</v>
      </c>
      <c r="K10" s="776">
        <v>0</v>
      </c>
      <c r="L10" s="776">
        <f>H10+K10</f>
        <v>678659.80798773118</v>
      </c>
      <c r="M10" s="776">
        <f>'[1]Adjusted Amounts'!$C$156+'[1]Adjusted Amounts'!$H$156</f>
        <v>-8376.0986412502825</v>
      </c>
      <c r="N10" s="573">
        <f>SUM(L10:M10)</f>
        <v>670283.7093464809</v>
      </c>
      <c r="O10" s="573">
        <f>N10/12</f>
        <v>55856.975778873406</v>
      </c>
      <c r="P10" s="776">
        <f>'[18]FY2012-13 Final'!$D$24</f>
        <v>5688</v>
      </c>
      <c r="Q10" s="448">
        <f>P10*C10</f>
        <v>938520</v>
      </c>
      <c r="R10" s="448" t="s">
        <v>466</v>
      </c>
      <c r="S10" s="448" t="s">
        <v>466</v>
      </c>
      <c r="T10" s="448">
        <v>0</v>
      </c>
      <c r="U10" s="448">
        <f>Q10+T10</f>
        <v>938520</v>
      </c>
      <c r="V10" s="776">
        <f>'[1]Adjusted Amounts'!$K$156+'[1]Adjusted Amounts'!$P$156</f>
        <v>-11376</v>
      </c>
      <c r="W10" s="782">
        <f>SUM(U10:V10)</f>
        <v>927144</v>
      </c>
      <c r="X10" s="782">
        <f>W10/12</f>
        <v>77262</v>
      </c>
      <c r="Y10" s="782">
        <f>N10+W10</f>
        <v>1597427.7093464809</v>
      </c>
      <c r="Z10" s="782">
        <f>O10+X10</f>
        <v>133118.9757788734</v>
      </c>
    </row>
    <row r="11" spans="1:26" ht="30.75" customHeight="1">
      <c r="A11" s="610">
        <v>396205</v>
      </c>
      <c r="B11" s="813" t="s">
        <v>680</v>
      </c>
      <c r="C11" s="1390">
        <f>'[22]RSD by Site'!$C$22</f>
        <v>202</v>
      </c>
      <c r="D11" s="469">
        <f>'Table 3 Levels 1&amp;2'!$BN$25+'Table 3 Levels 1&amp;2'!BV25</f>
        <v>3311.610845996096</v>
      </c>
      <c r="E11" s="448">
        <f t="shared" si="4"/>
        <v>668945</v>
      </c>
      <c r="F11" s="1313">
        <f>F7</f>
        <v>801.47762416806802</v>
      </c>
      <c r="G11" s="448">
        <f t="shared" si="5"/>
        <v>161898.48008194973</v>
      </c>
      <c r="H11" s="776">
        <f t="shared" si="6"/>
        <v>830843.48008194973</v>
      </c>
      <c r="I11" s="776" t="s">
        <v>466</v>
      </c>
      <c r="J11" s="776" t="s">
        <v>466</v>
      </c>
      <c r="K11" s="776">
        <v>0</v>
      </c>
      <c r="L11" s="776">
        <f t="shared" ref="L11:L16" si="7">H11+K11</f>
        <v>830843.48008194973</v>
      </c>
      <c r="M11" s="776">
        <f>'[1]Adjusted Amounts'!$C$151+'[1]Adjusted Amounts'!$H$151</f>
        <v>0</v>
      </c>
      <c r="N11" s="573">
        <f t="shared" ref="N11:N17" si="8">SUM(L11:M11)</f>
        <v>830843.48008194973</v>
      </c>
      <c r="O11" s="778">
        <f t="shared" ref="O11:O17" si="9">N11/12</f>
        <v>69236.956673495806</v>
      </c>
      <c r="P11" s="776">
        <f>'[18]FY2012-13 Final'!$D$24</f>
        <v>5688</v>
      </c>
      <c r="Q11" s="448">
        <f t="shared" ref="Q11:Q17" si="10">P11*C11</f>
        <v>1148976</v>
      </c>
      <c r="R11" s="448" t="s">
        <v>466</v>
      </c>
      <c r="S11" s="448" t="s">
        <v>466</v>
      </c>
      <c r="T11" s="448">
        <v>0</v>
      </c>
      <c r="U11" s="448">
        <f t="shared" ref="U11:U17" si="11">Q11+T11</f>
        <v>1148976</v>
      </c>
      <c r="V11" s="776">
        <f>'[1]Adjusted Amounts'!$K$151+'[1]Adjusted Amounts'!$P$151</f>
        <v>0</v>
      </c>
      <c r="W11" s="782">
        <f t="shared" ref="W11:W17" si="12">SUM(U11:V11)</f>
        <v>1148976</v>
      </c>
      <c r="X11" s="782">
        <f t="shared" ref="X11:X17" si="13">W11/12</f>
        <v>95748</v>
      </c>
      <c r="Y11" s="782">
        <f t="shared" ref="Y11:Y17" si="14">N11+W11</f>
        <v>1979819.4800819498</v>
      </c>
      <c r="Z11" s="782">
        <f t="shared" ref="Z11:Z17" si="15">O11+X11</f>
        <v>164984.95667349582</v>
      </c>
    </row>
    <row r="12" spans="1:26" ht="30.75" customHeight="1">
      <c r="A12" s="610">
        <v>396206</v>
      </c>
      <c r="B12" s="813" t="s">
        <v>679</v>
      </c>
      <c r="C12" s="1390">
        <f>'[22]RSD by Site'!$C$23</f>
        <v>209</v>
      </c>
      <c r="D12" s="469">
        <f>'Table 3 Levels 1&amp;2'!$BN$25+'Table 3 Levels 1&amp;2'!BV25</f>
        <v>3311.610845996096</v>
      </c>
      <c r="E12" s="448">
        <f t="shared" si="4"/>
        <v>692127</v>
      </c>
      <c r="F12" s="1313">
        <f>F7</f>
        <v>801.47762416806802</v>
      </c>
      <c r="G12" s="448">
        <f t="shared" si="5"/>
        <v>167508.82345112623</v>
      </c>
      <c r="H12" s="776">
        <f t="shared" si="6"/>
        <v>859635.82345112623</v>
      </c>
      <c r="I12" s="776" t="s">
        <v>466</v>
      </c>
      <c r="J12" s="776" t="s">
        <v>466</v>
      </c>
      <c r="K12" s="776">
        <v>0</v>
      </c>
      <c r="L12" s="776">
        <f t="shared" si="7"/>
        <v>859635.82345112623</v>
      </c>
      <c r="M12" s="776">
        <f>'[1]Adjusted Amounts'!$C$152+'[1]Adjusted Amounts'!$H$152</f>
        <v>-4188.0493206251376</v>
      </c>
      <c r="N12" s="573">
        <f t="shared" si="8"/>
        <v>855447.77413050109</v>
      </c>
      <c r="O12" s="573">
        <f t="shared" si="9"/>
        <v>71287.31451087509</v>
      </c>
      <c r="P12" s="776">
        <f>'[18]FY2012-13 Final'!$D$24</f>
        <v>5688</v>
      </c>
      <c r="Q12" s="448">
        <f t="shared" si="10"/>
        <v>1188792</v>
      </c>
      <c r="R12" s="448" t="s">
        <v>466</v>
      </c>
      <c r="S12" s="448" t="s">
        <v>466</v>
      </c>
      <c r="T12" s="448">
        <v>0</v>
      </c>
      <c r="U12" s="448">
        <f t="shared" si="11"/>
        <v>1188792</v>
      </c>
      <c r="V12" s="776">
        <f>'[1]Adjusted Amounts'!$K$152+'[1]Adjusted Amounts'!$P$152</f>
        <v>-5688</v>
      </c>
      <c r="W12" s="782">
        <f t="shared" si="12"/>
        <v>1183104</v>
      </c>
      <c r="X12" s="782">
        <f t="shared" si="13"/>
        <v>98592</v>
      </c>
      <c r="Y12" s="782">
        <f t="shared" si="14"/>
        <v>2038551.7741305011</v>
      </c>
      <c r="Z12" s="782">
        <f t="shared" si="15"/>
        <v>169879.31451087509</v>
      </c>
    </row>
    <row r="13" spans="1:26" ht="30.75" customHeight="1">
      <c r="A13" s="610">
        <v>369208</v>
      </c>
      <c r="B13" s="813" t="s">
        <v>678</v>
      </c>
      <c r="C13" s="1390">
        <f>'[22]RSD by Site'!$C$25</f>
        <v>266</v>
      </c>
      <c r="D13" s="469">
        <f>'Table 3 Levels 1&amp;2'!$BN$25+'Table 3 Levels 1&amp;2'!BV25</f>
        <v>3311.610845996096</v>
      </c>
      <c r="E13" s="448">
        <f t="shared" si="4"/>
        <v>880888</v>
      </c>
      <c r="F13" s="1313">
        <f>F7</f>
        <v>801.47762416806802</v>
      </c>
      <c r="G13" s="448">
        <f t="shared" si="5"/>
        <v>213193.04802870611</v>
      </c>
      <c r="H13" s="776">
        <f t="shared" si="6"/>
        <v>1094081.0480287061</v>
      </c>
      <c r="I13" s="776" t="s">
        <v>466</v>
      </c>
      <c r="J13" s="776" t="s">
        <v>466</v>
      </c>
      <c r="K13" s="776">
        <v>0</v>
      </c>
      <c r="L13" s="776">
        <f t="shared" si="7"/>
        <v>1094081.0480287061</v>
      </c>
      <c r="M13" s="776">
        <f>'[1]Adjusted Amounts'!$C$154+'[1]Adjusted Amounts'!$H$154</f>
        <v>-4188.0493206251413</v>
      </c>
      <c r="N13" s="573">
        <f t="shared" si="8"/>
        <v>1089892.998708081</v>
      </c>
      <c r="O13" s="573">
        <f t="shared" si="9"/>
        <v>90824.416559006742</v>
      </c>
      <c r="P13" s="776">
        <f>'[18]FY2012-13 Final'!$D$24</f>
        <v>5688</v>
      </c>
      <c r="Q13" s="448">
        <f t="shared" si="10"/>
        <v>1513008</v>
      </c>
      <c r="R13" s="448" t="s">
        <v>466</v>
      </c>
      <c r="S13" s="448" t="s">
        <v>466</v>
      </c>
      <c r="T13" s="448">
        <v>0</v>
      </c>
      <c r="U13" s="448">
        <f t="shared" si="11"/>
        <v>1513008</v>
      </c>
      <c r="V13" s="776">
        <f>'[1]Adjusted Amounts'!$K$154+'[1]Adjusted Amounts'!$P$154</f>
        <v>-5688</v>
      </c>
      <c r="W13" s="782">
        <f t="shared" si="12"/>
        <v>1507320</v>
      </c>
      <c r="X13" s="782">
        <f t="shared" si="13"/>
        <v>125610</v>
      </c>
      <c r="Y13" s="782">
        <f t="shared" si="14"/>
        <v>2597212.998708081</v>
      </c>
      <c r="Z13" s="782">
        <f t="shared" si="15"/>
        <v>216434.41655900673</v>
      </c>
    </row>
    <row r="14" spans="1:26" ht="30.75" customHeight="1">
      <c r="A14" s="610">
        <v>369209</v>
      </c>
      <c r="B14" s="813" t="s">
        <v>675</v>
      </c>
      <c r="C14" s="1390">
        <f>'[22]RSD by Site'!$C$26</f>
        <v>338</v>
      </c>
      <c r="D14" s="469">
        <f>'Table 3 Levels 1&amp;2'!$BN$25+'Table 3 Levels 1&amp;2'!BV25</f>
        <v>3311.610845996096</v>
      </c>
      <c r="E14" s="448">
        <f t="shared" si="4"/>
        <v>1119324</v>
      </c>
      <c r="F14" s="1313">
        <f>F7</f>
        <v>801.47762416806802</v>
      </c>
      <c r="G14" s="448">
        <f t="shared" si="5"/>
        <v>270899.43696880701</v>
      </c>
      <c r="H14" s="776">
        <f t="shared" si="6"/>
        <v>1390223.4369688071</v>
      </c>
      <c r="I14" s="776" t="s">
        <v>466</v>
      </c>
      <c r="J14" s="776" t="s">
        <v>466</v>
      </c>
      <c r="K14" s="776">
        <v>0</v>
      </c>
      <c r="L14" s="776">
        <f t="shared" si="7"/>
        <v>1390223.4369688071</v>
      </c>
      <c r="M14" s="776">
        <f>'[1]Adjusted Amounts'!$C$155+'[1]Adjusted Amounts'!$H$155</f>
        <v>-4188.0493206251413</v>
      </c>
      <c r="N14" s="573">
        <f t="shared" si="8"/>
        <v>1386035.387648182</v>
      </c>
      <c r="O14" s="573">
        <f t="shared" si="9"/>
        <v>115502.94897068183</v>
      </c>
      <c r="P14" s="776">
        <f>'[18]FY2012-13 Final'!$D$24</f>
        <v>5688</v>
      </c>
      <c r="Q14" s="448">
        <f t="shared" si="10"/>
        <v>1922544</v>
      </c>
      <c r="R14" s="448" t="s">
        <v>466</v>
      </c>
      <c r="S14" s="448" t="s">
        <v>466</v>
      </c>
      <c r="T14" s="448">
        <v>0</v>
      </c>
      <c r="U14" s="448">
        <f t="shared" si="11"/>
        <v>1922544</v>
      </c>
      <c r="V14" s="776">
        <f>'[1]Adjusted Amounts'!$K$155+'[1]Adjusted Amounts'!$P$155</f>
        <v>-5688</v>
      </c>
      <c r="W14" s="782">
        <f t="shared" si="12"/>
        <v>1916856</v>
      </c>
      <c r="X14" s="782">
        <f t="shared" si="13"/>
        <v>159738</v>
      </c>
      <c r="Y14" s="782">
        <f t="shared" si="14"/>
        <v>3302891.387648182</v>
      </c>
      <c r="Z14" s="782">
        <f t="shared" si="15"/>
        <v>275240.94897068181</v>
      </c>
    </row>
    <row r="15" spans="1:26" ht="32.25" customHeight="1">
      <c r="A15" s="610">
        <v>369204</v>
      </c>
      <c r="B15" s="813" t="s">
        <v>676</v>
      </c>
      <c r="C15" s="1390">
        <f>'[22]RSD by Site'!$C$21</f>
        <v>332</v>
      </c>
      <c r="D15" s="469">
        <f>'Table 3 Levels 1&amp;2'!$BN$25+'Table 3 Levels 1&amp;2'!BV25</f>
        <v>3311.610845996096</v>
      </c>
      <c r="E15" s="448">
        <f t="shared" ref="E15" si="16">ROUND(C15*D15,0)</f>
        <v>1099455</v>
      </c>
      <c r="F15" s="1313">
        <f>F7</f>
        <v>801.47762416806802</v>
      </c>
      <c r="G15" s="448">
        <f t="shared" si="5"/>
        <v>266090.57122379856</v>
      </c>
      <c r="H15" s="776">
        <f t="shared" ref="H15" si="17">E15+G15</f>
        <v>1365545.5712237987</v>
      </c>
      <c r="I15" s="776" t="s">
        <v>466</v>
      </c>
      <c r="J15" s="776" t="s">
        <v>466</v>
      </c>
      <c r="K15" s="776">
        <v>0</v>
      </c>
      <c r="L15" s="776">
        <f t="shared" ref="L15" si="18">H15+K15</f>
        <v>1365545.5712237987</v>
      </c>
      <c r="M15" s="776">
        <f>'[1]Adjusted Amounts'!$C$150+'[1]Adjusted Amounts'!$H$150</f>
        <v>-33504.39456500113</v>
      </c>
      <c r="N15" s="573">
        <f t="shared" ref="N15" si="19">SUM(L15:M15)</f>
        <v>1332041.1766587975</v>
      </c>
      <c r="O15" s="573">
        <f t="shared" ref="O15" si="20">N15/12</f>
        <v>111003.43138823313</v>
      </c>
      <c r="P15" s="776">
        <f>'[18]FY2012-13 Final'!$D$24</f>
        <v>5688</v>
      </c>
      <c r="Q15" s="448">
        <f t="shared" ref="Q15" si="21">P15*C15</f>
        <v>1888416</v>
      </c>
      <c r="R15" s="448" t="s">
        <v>466</v>
      </c>
      <c r="S15" s="448" t="s">
        <v>466</v>
      </c>
      <c r="T15" s="448">
        <v>0</v>
      </c>
      <c r="U15" s="448">
        <f t="shared" ref="U15" si="22">Q15+T15</f>
        <v>1888416</v>
      </c>
      <c r="V15" s="776">
        <f>'[1]Adjusted Amounts'!$K$150+'[1]Adjusted Amounts'!$P$150</f>
        <v>-45504</v>
      </c>
      <c r="W15" s="782">
        <f t="shared" ref="W15" si="23">SUM(U15:V15)</f>
        <v>1842912</v>
      </c>
      <c r="X15" s="782">
        <f t="shared" ref="X15" si="24">W15/12</f>
        <v>153576</v>
      </c>
      <c r="Y15" s="782">
        <f t="shared" ref="Y15" si="25">N15+W15</f>
        <v>3174953.1766587975</v>
      </c>
      <c r="Z15" s="782">
        <f t="shared" ref="Z15" si="26">O15+X15</f>
        <v>264579.43138823315</v>
      </c>
    </row>
    <row r="16" spans="1:26" ht="35.25" customHeight="1">
      <c r="A16" s="610">
        <v>369</v>
      </c>
      <c r="B16" s="813" t="s">
        <v>677</v>
      </c>
      <c r="C16" s="1390">
        <f>'[22]RSD by Site'!$C$19</f>
        <v>239</v>
      </c>
      <c r="D16" s="469">
        <f>'Table 3 Levels 1&amp;2'!$BN$25+'Table 3 Levels 1&amp;2'!BV25</f>
        <v>3311.610845996096</v>
      </c>
      <c r="E16" s="448">
        <f t="shared" si="4"/>
        <v>791475</v>
      </c>
      <c r="F16" s="1313">
        <f>F7</f>
        <v>801.47762416806802</v>
      </c>
      <c r="G16" s="448">
        <f t="shared" si="5"/>
        <v>191553.15217616825</v>
      </c>
      <c r="H16" s="776">
        <f t="shared" si="6"/>
        <v>983028.15217616828</v>
      </c>
      <c r="I16" s="776" t="s">
        <v>466</v>
      </c>
      <c r="J16" s="776" t="s">
        <v>466</v>
      </c>
      <c r="K16" s="776">
        <v>0</v>
      </c>
      <c r="L16" s="776">
        <f t="shared" si="7"/>
        <v>983028.15217616828</v>
      </c>
      <c r="M16" s="776">
        <f>'[1]Adjusted Amounts'!$C$149+'[1]Adjusted Amounts'!$H$149</f>
        <v>-63984.059348187358</v>
      </c>
      <c r="N16" s="573">
        <f t="shared" si="8"/>
        <v>919044.09282798087</v>
      </c>
      <c r="O16" s="573">
        <f t="shared" si="9"/>
        <v>76587.007735665073</v>
      </c>
      <c r="P16" s="776">
        <f>'[18]FY2012-13 Final'!$D$24</f>
        <v>5688</v>
      </c>
      <c r="Q16" s="448">
        <f t="shared" si="10"/>
        <v>1359432</v>
      </c>
      <c r="R16" s="448" t="s">
        <v>466</v>
      </c>
      <c r="S16" s="448" t="s">
        <v>466</v>
      </c>
      <c r="T16" s="448">
        <v>0</v>
      </c>
      <c r="U16" s="448">
        <f t="shared" si="11"/>
        <v>1359432</v>
      </c>
      <c r="V16" s="448">
        <f>'[1]Adjusted Amounts'!$K$149+'[1]Adjusted Amounts'!$P$149</f>
        <v>-67780</v>
      </c>
      <c r="W16" s="782">
        <f t="shared" si="12"/>
        <v>1291652</v>
      </c>
      <c r="X16" s="782">
        <f t="shared" si="13"/>
        <v>107637.66666666667</v>
      </c>
      <c r="Y16" s="782">
        <f t="shared" si="14"/>
        <v>2210696.0928279809</v>
      </c>
      <c r="Z16" s="782">
        <f t="shared" si="15"/>
        <v>184224.67440233176</v>
      </c>
    </row>
    <row r="17" spans="1:26" ht="32.25" customHeight="1">
      <c r="A17" s="608">
        <v>389002</v>
      </c>
      <c r="B17" s="1248" t="s">
        <v>356</v>
      </c>
      <c r="C17" s="1390">
        <f>'[2]ALL-Reformatted'!$D$22</f>
        <v>497</v>
      </c>
      <c r="D17" s="469">
        <f>'Table 3 Levels 1&amp;2'!$BN$25+'Table 3 Levels 1&amp;2'!BV25</f>
        <v>3311.610845996096</v>
      </c>
      <c r="E17" s="448">
        <f t="shared" si="4"/>
        <v>1645871</v>
      </c>
      <c r="F17" s="1313">
        <f>F7</f>
        <v>801.47762416806802</v>
      </c>
      <c r="G17" s="448">
        <f t="shared" si="5"/>
        <v>398334.3792115298</v>
      </c>
      <c r="H17" s="776">
        <f t="shared" si="6"/>
        <v>2044205.3792115299</v>
      </c>
      <c r="I17" s="776">
        <f>-H17*$I$5</f>
        <v>-35773.594136201777</v>
      </c>
      <c r="J17" s="776">
        <f t="shared" ref="J17" si="27">-H17*$J$5</f>
        <v>-5110.5134480288243</v>
      </c>
      <c r="K17" s="776">
        <f t="shared" ref="K17" si="28">I17+J17</f>
        <v>-40884.107584230602</v>
      </c>
      <c r="L17" s="776">
        <f>H17+K17</f>
        <v>2003321.2716272993</v>
      </c>
      <c r="M17" s="776">
        <f>'[1]Adjusted Amounts'!$C$218+'[1]Adjusted Amounts'!$H$218</f>
        <v>-33967.000072005445</v>
      </c>
      <c r="N17" s="573">
        <f t="shared" si="8"/>
        <v>1969354.2715552938</v>
      </c>
      <c r="O17" s="573">
        <f t="shared" si="9"/>
        <v>164112.85596294116</v>
      </c>
      <c r="P17" s="776">
        <f>'[18]FY2012-13 Final'!$D$24</f>
        <v>5688</v>
      </c>
      <c r="Q17" s="448">
        <f t="shared" si="10"/>
        <v>2826936</v>
      </c>
      <c r="R17" s="448">
        <f t="shared" ref="R17" si="29">-Q17*$R$5</f>
        <v>-49471.380000000005</v>
      </c>
      <c r="S17" s="448">
        <f t="shared" ref="S17" si="30">-Q17*$S$5</f>
        <v>-7067.34</v>
      </c>
      <c r="T17" s="448">
        <f t="shared" ref="T17" si="31">R17+S17</f>
        <v>-56538.720000000001</v>
      </c>
      <c r="U17" s="448">
        <f t="shared" si="11"/>
        <v>2770397.28</v>
      </c>
      <c r="V17" s="448">
        <f>'[1]Adjusted Amounts'!$K$218+'[1]Adjusted Amounts'!$P$218</f>
        <v>0</v>
      </c>
      <c r="W17" s="782">
        <f t="shared" si="12"/>
        <v>2770397.28</v>
      </c>
      <c r="X17" s="782">
        <f t="shared" si="13"/>
        <v>230866.43999999997</v>
      </c>
      <c r="Y17" s="782">
        <f t="shared" si="14"/>
        <v>4739751.5515552936</v>
      </c>
      <c r="Z17" s="782">
        <f t="shared" si="15"/>
        <v>394979.29596294113</v>
      </c>
    </row>
    <row r="18" spans="1:26" s="8" customFormat="1" ht="32.25" customHeight="1">
      <c r="A18" s="444"/>
      <c r="B18" s="444" t="s">
        <v>265</v>
      </c>
      <c r="C18" s="507">
        <f>SUM(C10:C17)</f>
        <v>2248</v>
      </c>
      <c r="D18" s="508"/>
      <c r="E18" s="509">
        <f>SUM(E10:E17)</f>
        <v>7444501</v>
      </c>
      <c r="F18" s="509"/>
      <c r="G18" s="509">
        <f t="shared" ref="G18:O18" si="32">SUM(G10:G17)</f>
        <v>1801721.6991298168</v>
      </c>
      <c r="H18" s="729">
        <f t="shared" si="32"/>
        <v>9246222.699129818</v>
      </c>
      <c r="I18" s="729">
        <f t="shared" si="32"/>
        <v>-35773.594136201777</v>
      </c>
      <c r="J18" s="729">
        <f t="shared" si="32"/>
        <v>-5110.5134480288243</v>
      </c>
      <c r="K18" s="729">
        <f t="shared" si="32"/>
        <v>-40884.107584230602</v>
      </c>
      <c r="L18" s="729">
        <f t="shared" si="32"/>
        <v>9205338.5915455874</v>
      </c>
      <c r="M18" s="509">
        <f t="shared" si="32"/>
        <v>-152395.70058831963</v>
      </c>
      <c r="N18" s="509">
        <f t="shared" si="32"/>
        <v>9052942.890957268</v>
      </c>
      <c r="O18" s="509">
        <f t="shared" si="32"/>
        <v>754411.90757977229</v>
      </c>
      <c r="P18" s="509"/>
      <c r="Q18" s="509">
        <f t="shared" ref="Q18:Z18" si="33">SUM(Q10:Q17)</f>
        <v>12786624</v>
      </c>
      <c r="R18" s="509">
        <f t="shared" si="33"/>
        <v>-49471.380000000005</v>
      </c>
      <c r="S18" s="509">
        <f t="shared" si="33"/>
        <v>-7067.34</v>
      </c>
      <c r="T18" s="509">
        <f t="shared" si="33"/>
        <v>-56538.720000000001</v>
      </c>
      <c r="U18" s="509">
        <f t="shared" si="33"/>
        <v>12730085.279999999</v>
      </c>
      <c r="V18" s="509">
        <f t="shared" si="33"/>
        <v>-141724</v>
      </c>
      <c r="W18" s="783">
        <f t="shared" si="33"/>
        <v>12588361.279999999</v>
      </c>
      <c r="X18" s="783">
        <f t="shared" si="33"/>
        <v>1049030.1066666667</v>
      </c>
      <c r="Y18" s="783">
        <f t="shared" si="33"/>
        <v>21641304.170957267</v>
      </c>
      <c r="Z18" s="783">
        <f t="shared" si="33"/>
        <v>1803442.0142464389</v>
      </c>
    </row>
    <row r="19" spans="1:26" s="8" customFormat="1" ht="36" customHeight="1">
      <c r="A19" s="807"/>
      <c r="B19" s="807" t="s">
        <v>292</v>
      </c>
      <c r="C19" s="808">
        <f>C18+C7</f>
        <v>43303</v>
      </c>
      <c r="D19" s="809"/>
      <c r="E19" s="809">
        <f>E18+E7</f>
        <v>143402684</v>
      </c>
      <c r="F19" s="809"/>
      <c r="G19" s="809">
        <f>G18+G7</f>
        <v>34706385.55934985</v>
      </c>
      <c r="H19" s="809">
        <f>H18+H7</f>
        <v>178109069.55934986</v>
      </c>
      <c r="I19" s="809"/>
      <c r="J19" s="809"/>
      <c r="K19" s="809"/>
      <c r="L19" s="809"/>
      <c r="M19" s="809"/>
      <c r="N19" s="809"/>
      <c r="O19" s="809"/>
      <c r="P19" s="809"/>
      <c r="Q19" s="809"/>
      <c r="R19" s="809"/>
      <c r="S19" s="809"/>
      <c r="T19" s="809"/>
      <c r="U19" s="809"/>
      <c r="V19" s="809"/>
      <c r="W19" s="809"/>
      <c r="X19" s="809"/>
      <c r="Y19" s="809"/>
      <c r="Z19" s="809"/>
    </row>
    <row r="20" spans="1:26" ht="6.75" customHeight="1">
      <c r="A20" s="510"/>
      <c r="B20" s="510"/>
      <c r="C20" s="511"/>
      <c r="D20" s="512"/>
      <c r="E20" s="512"/>
      <c r="F20" s="512"/>
      <c r="G20" s="512"/>
      <c r="H20" s="512"/>
      <c r="I20" s="512"/>
      <c r="J20" s="512"/>
      <c r="K20" s="512"/>
      <c r="L20" s="512"/>
      <c r="M20" s="512"/>
      <c r="N20" s="512"/>
      <c r="O20" s="512"/>
      <c r="P20" s="512"/>
      <c r="Q20" s="512"/>
      <c r="R20" s="512"/>
      <c r="S20" s="512"/>
      <c r="T20" s="512"/>
      <c r="U20" s="512"/>
      <c r="V20" s="512"/>
      <c r="W20" s="512"/>
      <c r="X20" s="512"/>
      <c r="Y20" s="512"/>
      <c r="Z20" s="512"/>
    </row>
    <row r="21" spans="1:26" s="513" customFormat="1" ht="40.5" customHeight="1">
      <c r="A21" s="736"/>
      <c r="B21" s="736" t="s">
        <v>410</v>
      </c>
      <c r="C21" s="1391">
        <f>'[2]ALL-Reformatted'!$C$44</f>
        <v>2629</v>
      </c>
      <c r="D21" s="448">
        <f>'Table 3 Levels 1&amp;2'!$BN$47+'Table 3 Levels 1&amp;2'!BV47</f>
        <v>3622.4878999042335</v>
      </c>
      <c r="E21" s="448">
        <f>ROUND(C21*D21,0)</f>
        <v>9523521</v>
      </c>
      <c r="F21" s="515">
        <v>779.65573042776441</v>
      </c>
      <c r="G21" s="515">
        <f>F21*C21</f>
        <v>2049714.9152945927</v>
      </c>
      <c r="H21" s="775">
        <f>E21+G21</f>
        <v>11573235.915294593</v>
      </c>
      <c r="I21" s="775"/>
      <c r="J21" s="775"/>
      <c r="K21" s="775"/>
      <c r="L21" s="775"/>
      <c r="M21" s="514" t="s">
        <v>268</v>
      </c>
      <c r="N21" s="572" t="s">
        <v>268</v>
      </c>
      <c r="O21" s="572"/>
      <c r="P21" s="871"/>
      <c r="Q21" s="514"/>
      <c r="R21" s="514"/>
      <c r="S21" s="514"/>
      <c r="T21" s="514"/>
      <c r="U21" s="514"/>
      <c r="V21" s="810" t="s">
        <v>466</v>
      </c>
      <c r="W21" s="781"/>
      <c r="X21" s="781"/>
      <c r="Y21" s="781"/>
      <c r="Z21" s="781"/>
    </row>
    <row r="22" spans="1:26" s="75" customFormat="1" ht="6" customHeight="1">
      <c r="A22" s="503"/>
      <c r="B22" s="503"/>
      <c r="C22" s="504"/>
      <c r="D22" s="505"/>
      <c r="E22" s="506"/>
      <c r="F22" s="506"/>
      <c r="G22" s="506"/>
      <c r="H22" s="728"/>
      <c r="I22" s="728"/>
      <c r="J22" s="728"/>
      <c r="K22" s="728"/>
      <c r="L22" s="728"/>
      <c r="M22" s="506"/>
      <c r="N22" s="575"/>
      <c r="O22" s="575"/>
      <c r="P22" s="506"/>
      <c r="Q22" s="506"/>
      <c r="R22" s="506"/>
      <c r="S22" s="506"/>
      <c r="T22" s="506"/>
      <c r="U22" s="506"/>
      <c r="V22" s="506"/>
      <c r="W22" s="506"/>
      <c r="X22" s="506"/>
      <c r="Y22" s="506"/>
      <c r="Z22" s="506"/>
    </row>
    <row r="23" spans="1:26" ht="38.25" customHeight="1">
      <c r="A23" s="1314">
        <v>369207</v>
      </c>
      <c r="B23" s="812" t="s">
        <v>681</v>
      </c>
      <c r="C23" s="447">
        <f>'[2]ALL-Reformatted'!$F$44</f>
        <v>231</v>
      </c>
      <c r="D23" s="448">
        <f>'Table 3 Levels 1&amp;2'!$BN$47+'Table 3 Levels 1&amp;2'!BV47</f>
        <v>3622.4878999042335</v>
      </c>
      <c r="E23" s="448">
        <f>ROUND(C23*D23,0)</f>
        <v>836795</v>
      </c>
      <c r="F23" s="1313">
        <f>F21</f>
        <v>779.65573042776441</v>
      </c>
      <c r="G23" s="448">
        <f>F23*C23</f>
        <v>180100.47372881358</v>
      </c>
      <c r="H23" s="776">
        <f>E23+G23</f>
        <v>1016895.4737288136</v>
      </c>
      <c r="I23" s="776" t="s">
        <v>466</v>
      </c>
      <c r="J23" s="776" t="s">
        <v>466</v>
      </c>
      <c r="K23" s="776">
        <v>0</v>
      </c>
      <c r="L23" s="776">
        <f>H23+K23</f>
        <v>1016895.4737288136</v>
      </c>
      <c r="M23" s="776">
        <f>'[1]Adjusted Amounts'!$C$153+'[1]Adjusted Amounts'!$H$153</f>
        <v>-8931.6888602392864</v>
      </c>
      <c r="N23" s="573">
        <f>SUM(L23:M23)</f>
        <v>1007963.7848685742</v>
      </c>
      <c r="O23" s="573">
        <f>N23/12</f>
        <v>83996.982072381186</v>
      </c>
      <c r="P23" s="776">
        <f>'[18]FY2012-13 Final'!$D$46</f>
        <v>4145</v>
      </c>
      <c r="Q23" s="448">
        <f>P23*C23</f>
        <v>957495</v>
      </c>
      <c r="R23" s="448" t="s">
        <v>466</v>
      </c>
      <c r="S23" s="448" t="s">
        <v>466</v>
      </c>
      <c r="T23" s="448">
        <v>0</v>
      </c>
      <c r="U23" s="448">
        <f>Q23+T23</f>
        <v>957495</v>
      </c>
      <c r="V23" s="448">
        <f>'[1]Adjusted Amounts'!$K$153+'[1]Adjusted Amounts'!$P$153</f>
        <v>-8290</v>
      </c>
      <c r="W23" s="782">
        <f>SUM(U23:V23)</f>
        <v>949205</v>
      </c>
      <c r="X23" s="782">
        <f>W23/12</f>
        <v>79100.416666666672</v>
      </c>
      <c r="Y23" s="782">
        <f t="shared" ref="Y23" si="34">N23+W23</f>
        <v>1957168.7848685742</v>
      </c>
      <c r="Z23" s="782">
        <f t="shared" ref="Z23" si="35">O23+X23</f>
        <v>163097.39873904787</v>
      </c>
    </row>
    <row r="24" spans="1:26" s="8" customFormat="1" ht="39.75" customHeight="1">
      <c r="A24" s="803"/>
      <c r="B24" s="803" t="s">
        <v>414</v>
      </c>
      <c r="C24" s="804">
        <f>SUM(C21:C23)</f>
        <v>2860</v>
      </c>
      <c r="D24" s="805"/>
      <c r="E24" s="805">
        <f>SUM(E21:E23)</f>
        <v>10360316</v>
      </c>
      <c r="F24" s="805"/>
      <c r="G24" s="805">
        <f>SUM(G21:G23)</f>
        <v>2229815.3890234064</v>
      </c>
      <c r="H24" s="805">
        <f>SUM(H21:H23)</f>
        <v>12590131.389023406</v>
      </c>
      <c r="I24" s="805"/>
      <c r="J24" s="805"/>
      <c r="K24" s="805"/>
      <c r="L24" s="805"/>
      <c r="M24" s="805"/>
      <c r="N24" s="805"/>
      <c r="O24" s="805"/>
      <c r="P24" s="805"/>
      <c r="Q24" s="805"/>
      <c r="R24" s="805"/>
      <c r="S24" s="805"/>
      <c r="T24" s="805"/>
      <c r="U24" s="805"/>
      <c r="V24" s="805"/>
      <c r="W24" s="805"/>
      <c r="X24" s="805"/>
      <c r="Y24" s="805"/>
      <c r="Z24" s="805"/>
    </row>
    <row r="25" spans="1:26" ht="6.75" customHeight="1">
      <c r="A25" s="510"/>
      <c r="B25" s="510"/>
      <c r="C25" s="511"/>
      <c r="D25" s="512"/>
      <c r="E25" s="512"/>
      <c r="F25" s="512"/>
      <c r="G25" s="512"/>
      <c r="H25" s="512"/>
      <c r="I25" s="512"/>
      <c r="J25" s="512"/>
      <c r="K25" s="512"/>
      <c r="L25" s="512"/>
      <c r="M25" s="512"/>
      <c r="N25" s="512"/>
      <c r="O25" s="512"/>
      <c r="P25" s="512"/>
      <c r="Q25" s="512"/>
      <c r="R25" s="512"/>
      <c r="S25" s="512"/>
      <c r="T25" s="512"/>
      <c r="U25" s="512"/>
      <c r="V25" s="512"/>
      <c r="W25" s="512"/>
      <c r="X25" s="512"/>
      <c r="Y25" s="512"/>
      <c r="Z25" s="512"/>
    </row>
    <row r="26" spans="1:26" s="107" customFormat="1" ht="30">
      <c r="A26" s="610"/>
      <c r="B26" s="610" t="s">
        <v>411</v>
      </c>
      <c r="C26" s="1391">
        <f>'[2]ALL-Reformatted'!$C$14</f>
        <v>40150</v>
      </c>
      <c r="D26" s="469">
        <f>'Table 3 Levels 1&amp;2'!$BN$17+'Table 3 Levels 1&amp;2'!BV17</f>
        <v>4361.2752875373017</v>
      </c>
      <c r="E26" s="448">
        <f>ROUND(C26*D26,0)</f>
        <v>175105203</v>
      </c>
      <c r="F26" s="727">
        <v>744.76</v>
      </c>
      <c r="G26" s="448">
        <f>F26*C26</f>
        <v>29902114</v>
      </c>
      <c r="H26" s="776">
        <f>E26+G26</f>
        <v>205007317</v>
      </c>
      <c r="I26" s="776"/>
      <c r="J26" s="776"/>
      <c r="K26" s="776"/>
      <c r="L26" s="776"/>
      <c r="M26" s="514" t="s">
        <v>268</v>
      </c>
      <c r="N26" s="573" t="s">
        <v>268</v>
      </c>
      <c r="O26" s="573"/>
      <c r="P26" s="514"/>
      <c r="Q26" s="514"/>
      <c r="R26" s="514"/>
      <c r="S26" s="514"/>
      <c r="T26" s="514"/>
      <c r="U26" s="514"/>
      <c r="V26" s="514"/>
      <c r="W26" s="781"/>
      <c r="X26" s="781"/>
      <c r="Y26" s="781"/>
      <c r="Z26" s="781"/>
    </row>
    <row r="27" spans="1:26" s="75" customFormat="1" ht="6" customHeight="1">
      <c r="A27" s="503"/>
      <c r="B27" s="503"/>
      <c r="C27" s="504"/>
      <c r="D27" s="505"/>
      <c r="E27" s="506"/>
      <c r="F27" s="728"/>
      <c r="G27" s="506"/>
      <c r="H27" s="728"/>
      <c r="I27" s="728"/>
      <c r="J27" s="728"/>
      <c r="K27" s="728"/>
      <c r="L27" s="728"/>
      <c r="M27" s="506"/>
      <c r="N27" s="575"/>
      <c r="O27" s="575"/>
      <c r="P27" s="506"/>
      <c r="Q27" s="506"/>
      <c r="R27" s="506"/>
      <c r="S27" s="506"/>
      <c r="T27" s="506"/>
      <c r="U27" s="506"/>
      <c r="V27" s="506"/>
      <c r="W27" s="506"/>
      <c r="X27" s="506"/>
      <c r="Y27" s="506"/>
      <c r="Z27" s="506"/>
    </row>
    <row r="28" spans="1:26" ht="32.25" customHeight="1">
      <c r="A28" s="608">
        <v>396201</v>
      </c>
      <c r="B28" s="813" t="s">
        <v>437</v>
      </c>
      <c r="C28" s="1390">
        <f>'[2]ALL-Reformatted'!$F$14</f>
        <v>147</v>
      </c>
      <c r="D28" s="469">
        <f>'Table 3 Levels 1&amp;2'!$BN$17+'Table 3 Levels 1&amp;2'!BV17</f>
        <v>4361.2752875373017</v>
      </c>
      <c r="E28" s="448">
        <f>ROUND(C28*D28,0)</f>
        <v>641107</v>
      </c>
      <c r="F28" s="727">
        <f>F26</f>
        <v>744.76</v>
      </c>
      <c r="G28" s="448">
        <f>F28*C28</f>
        <v>109479.72</v>
      </c>
      <c r="H28" s="776">
        <f>E28+G28</f>
        <v>750586.72</v>
      </c>
      <c r="I28" s="776" t="s">
        <v>466</v>
      </c>
      <c r="J28" s="776" t="s">
        <v>466</v>
      </c>
      <c r="K28" s="776">
        <v>0</v>
      </c>
      <c r="L28" s="776">
        <f>H28+K28</f>
        <v>750586.72</v>
      </c>
      <c r="M28" s="776">
        <f>'[1]Adjusted Amounts'!$C$148+'[1]Adjusted Amounts'!$H$148</f>
        <v>-21501.991349051783</v>
      </c>
      <c r="N28" s="573">
        <f>SUM(L28:M28)</f>
        <v>729084.72865094815</v>
      </c>
      <c r="O28" s="573">
        <f>N28/12</f>
        <v>60757.060720912348</v>
      </c>
      <c r="P28" s="776">
        <f>'[18]FY2012-13 Final'!$D$16</f>
        <v>3933</v>
      </c>
      <c r="Q28" s="448">
        <f>P28*C28</f>
        <v>578151</v>
      </c>
      <c r="R28" s="448" t="s">
        <v>466</v>
      </c>
      <c r="S28" s="448" t="s">
        <v>466</v>
      </c>
      <c r="T28" s="448">
        <v>0</v>
      </c>
      <c r="U28" s="448">
        <f>Q28+T28</f>
        <v>578151</v>
      </c>
      <c r="V28" s="448">
        <f>'[1]Adjusted Amounts'!$K$148+'[1]Adjusted Amounts'!$P$148</f>
        <v>-13752.5</v>
      </c>
      <c r="W28" s="782">
        <f>SUM(U28:V28)</f>
        <v>564398.5</v>
      </c>
      <c r="X28" s="782">
        <f>W28/12</f>
        <v>47033.208333333336</v>
      </c>
      <c r="Y28" s="782">
        <f t="shared" ref="Y28:Y29" si="36">N28+W28</f>
        <v>1293483.228650948</v>
      </c>
      <c r="Z28" s="782">
        <f t="shared" ref="Z28:Z29" si="37">O28+X28</f>
        <v>107790.26905424568</v>
      </c>
    </row>
    <row r="29" spans="1:26" ht="33.75" customHeight="1">
      <c r="A29" s="608">
        <v>371001</v>
      </c>
      <c r="B29" s="1248" t="s">
        <v>357</v>
      </c>
      <c r="C29" s="1390">
        <f>'[2]ALL-Reformatted'!$D$14</f>
        <v>508</v>
      </c>
      <c r="D29" s="469">
        <f>'Table 3 Levels 1&amp;2'!$BN$17+'Table 3 Levels 1&amp;2'!BV17</f>
        <v>4361.2752875373017</v>
      </c>
      <c r="E29" s="448">
        <f>ROUND(C29*D29,0)</f>
        <v>2215528</v>
      </c>
      <c r="F29" s="727">
        <f>F26</f>
        <v>744.76</v>
      </c>
      <c r="G29" s="448">
        <f>F29*C29</f>
        <v>378338.08</v>
      </c>
      <c r="H29" s="776">
        <f>E29+G29</f>
        <v>2593866.08</v>
      </c>
      <c r="I29" s="776">
        <f>-H29*$I$5</f>
        <v>-45392.656400000007</v>
      </c>
      <c r="J29" s="776">
        <f>-H29*$J$5</f>
        <v>-6484.6652000000004</v>
      </c>
      <c r="K29" s="776">
        <f>I29+J29</f>
        <v>-51877.32160000001</v>
      </c>
      <c r="L29" s="776">
        <f>H29+K29</f>
        <v>2541988.7584000002</v>
      </c>
      <c r="M29" s="776">
        <f>'[1]Adjusted Amounts'!$C$221+'[1]Adjusted Amounts'!$H$221</f>
        <v>7694.5069238298493</v>
      </c>
      <c r="N29" s="573">
        <f>SUM(L29:M29)</f>
        <v>2549683.2653238298</v>
      </c>
      <c r="O29" s="573">
        <f>N29/12</f>
        <v>212473.60544365249</v>
      </c>
      <c r="P29" s="776">
        <f>'[18]FY2012-13 Final'!$D$16</f>
        <v>3933</v>
      </c>
      <c r="Q29" s="448">
        <f>P29*C29</f>
        <v>1997964</v>
      </c>
      <c r="R29" s="448">
        <f>-Q29*$R$5</f>
        <v>-34964.370000000003</v>
      </c>
      <c r="S29" s="448">
        <f>-Q29*$S$5</f>
        <v>-4994.91</v>
      </c>
      <c r="T29" s="448">
        <f>R29+S29</f>
        <v>-39959.279999999999</v>
      </c>
      <c r="U29" s="448">
        <f>Q29+T29</f>
        <v>1958004.72</v>
      </c>
      <c r="V29" s="448">
        <f>'[1]Adjusted Amounts'!$K$221+'[1]Adjusted Amounts'!$P$221</f>
        <v>5860.5</v>
      </c>
      <c r="W29" s="782">
        <f>SUM(U29:V29)</f>
        <v>1963865.22</v>
      </c>
      <c r="X29" s="782">
        <f>W29/12</f>
        <v>163655.435</v>
      </c>
      <c r="Y29" s="782">
        <f t="shared" si="36"/>
        <v>4513548.4853238296</v>
      </c>
      <c r="Z29" s="782">
        <f t="shared" si="37"/>
        <v>376129.04044365248</v>
      </c>
    </row>
    <row r="30" spans="1:26" s="8" customFormat="1" ht="32.25" customHeight="1">
      <c r="A30" s="444"/>
      <c r="B30" s="444" t="s">
        <v>266</v>
      </c>
      <c r="C30" s="507">
        <f>SUM(C28:C29)</f>
        <v>655</v>
      </c>
      <c r="D30" s="508"/>
      <c r="E30" s="509">
        <f>SUM(E28:E29)</f>
        <v>2856635</v>
      </c>
      <c r="F30" s="729"/>
      <c r="G30" s="509">
        <f t="shared" ref="G30:O30" si="38">SUM(G28:G29)</f>
        <v>487817.80000000005</v>
      </c>
      <c r="H30" s="729">
        <f t="shared" si="38"/>
        <v>3344452.8</v>
      </c>
      <c r="I30" s="729">
        <f t="shared" si="38"/>
        <v>-45392.656400000007</v>
      </c>
      <c r="J30" s="729">
        <f t="shared" si="38"/>
        <v>-6484.6652000000004</v>
      </c>
      <c r="K30" s="729">
        <f t="shared" si="38"/>
        <v>-51877.32160000001</v>
      </c>
      <c r="L30" s="729">
        <f t="shared" si="38"/>
        <v>3292575.4784000004</v>
      </c>
      <c r="M30" s="509">
        <f t="shared" si="38"/>
        <v>-13807.484425221934</v>
      </c>
      <c r="N30" s="574">
        <f t="shared" si="38"/>
        <v>3278767.9939747779</v>
      </c>
      <c r="O30" s="574">
        <f t="shared" si="38"/>
        <v>273230.66616456484</v>
      </c>
      <c r="P30" s="509"/>
      <c r="Q30" s="509">
        <f>SUM(Q28:Q29)</f>
        <v>2576115</v>
      </c>
      <c r="R30" s="509">
        <f t="shared" ref="R30:Z30" si="39">SUM(R28:R29)</f>
        <v>-34964.370000000003</v>
      </c>
      <c r="S30" s="509">
        <f t="shared" si="39"/>
        <v>-4994.91</v>
      </c>
      <c r="T30" s="509">
        <f t="shared" si="39"/>
        <v>-39959.279999999999</v>
      </c>
      <c r="U30" s="509">
        <f t="shared" si="39"/>
        <v>2536155.7199999997</v>
      </c>
      <c r="V30" s="509">
        <f t="shared" si="39"/>
        <v>-7892</v>
      </c>
      <c r="W30" s="783">
        <f t="shared" si="39"/>
        <v>2528263.7199999997</v>
      </c>
      <c r="X30" s="783">
        <f t="shared" si="39"/>
        <v>210688.64333333334</v>
      </c>
      <c r="Y30" s="783">
        <f t="shared" si="39"/>
        <v>5807031.7139747776</v>
      </c>
      <c r="Z30" s="783">
        <f t="shared" si="39"/>
        <v>483919.30949789815</v>
      </c>
    </row>
    <row r="31" spans="1:26" s="8" customFormat="1" ht="33.75" customHeight="1">
      <c r="A31" s="803"/>
      <c r="B31" s="803" t="s">
        <v>415</v>
      </c>
      <c r="C31" s="804">
        <f>C30+C26</f>
        <v>40805</v>
      </c>
      <c r="D31" s="806"/>
      <c r="E31" s="805">
        <f>E30+E26</f>
        <v>177961838</v>
      </c>
      <c r="F31" s="805"/>
      <c r="G31" s="805">
        <f>G30+G26</f>
        <v>30389931.800000001</v>
      </c>
      <c r="H31" s="805">
        <f>H30+H26</f>
        <v>208351769.80000001</v>
      </c>
      <c r="I31" s="805"/>
      <c r="J31" s="805"/>
      <c r="K31" s="805"/>
      <c r="L31" s="805"/>
      <c r="M31" s="805"/>
      <c r="N31" s="805"/>
      <c r="O31" s="805"/>
      <c r="P31" s="805"/>
      <c r="Q31" s="805"/>
      <c r="R31" s="805"/>
      <c r="S31" s="805"/>
      <c r="T31" s="805"/>
      <c r="U31" s="805"/>
      <c r="V31" s="805"/>
      <c r="W31" s="805"/>
      <c r="X31" s="805"/>
      <c r="Y31" s="805"/>
      <c r="Z31" s="805"/>
    </row>
    <row r="32" spans="1:26" s="724" customFormat="1" ht="6.75" customHeight="1">
      <c r="A32" s="732"/>
      <c r="B32" s="732"/>
      <c r="C32" s="733"/>
      <c r="D32" s="734"/>
      <c r="E32" s="735"/>
      <c r="F32" s="735"/>
      <c r="G32" s="735"/>
      <c r="H32" s="780"/>
      <c r="I32" s="780"/>
      <c r="J32" s="780"/>
      <c r="K32" s="780"/>
      <c r="L32" s="780"/>
      <c r="M32" s="735"/>
      <c r="N32" s="735"/>
      <c r="O32" s="735"/>
      <c r="P32" s="735"/>
      <c r="Q32" s="735"/>
      <c r="R32" s="735"/>
      <c r="S32" s="735"/>
      <c r="T32" s="735"/>
      <c r="U32" s="735"/>
      <c r="V32" s="735"/>
      <c r="W32" s="735"/>
      <c r="X32" s="735"/>
      <c r="Y32" s="735"/>
      <c r="Z32" s="735"/>
    </row>
    <row r="33" spans="1:26" s="724" customFormat="1" ht="30.75" customHeight="1">
      <c r="A33" s="610"/>
      <c r="B33" s="610" t="s">
        <v>413</v>
      </c>
      <c r="C33" s="1391">
        <f>'[2]ALL-Reformatted'!$C$51</f>
        <v>746</v>
      </c>
      <c r="D33" s="448">
        <f>'Table 3 Levels 1&amp;2'!BN54+'Table 3 Levels 1&amp;2'!BV54</f>
        <v>5578.7258135108641</v>
      </c>
      <c r="E33" s="448">
        <f>ROUND(C33*D33,0)</f>
        <v>4161729</v>
      </c>
      <c r="F33" s="515">
        <v>728.06</v>
      </c>
      <c r="G33" s="515">
        <f>F33*C33</f>
        <v>543132.76</v>
      </c>
      <c r="H33" s="775">
        <f>E33+G33</f>
        <v>4704861.76</v>
      </c>
      <c r="I33" s="775"/>
      <c r="J33" s="775"/>
      <c r="K33" s="776"/>
      <c r="L33" s="775"/>
      <c r="M33" s="514" t="s">
        <v>268</v>
      </c>
      <c r="N33" s="572" t="s">
        <v>268</v>
      </c>
      <c r="O33" s="572"/>
      <c r="P33" s="514"/>
      <c r="Q33" s="514"/>
      <c r="R33" s="514"/>
      <c r="S33" s="514"/>
      <c r="T33" s="514"/>
      <c r="U33" s="514"/>
      <c r="V33" s="514"/>
      <c r="W33" s="781"/>
      <c r="X33" s="781"/>
      <c r="Y33" s="781"/>
      <c r="Z33" s="781"/>
    </row>
    <row r="34" spans="1:26" s="724" customFormat="1" ht="6.75" customHeight="1">
      <c r="A34" s="503"/>
      <c r="B34" s="503"/>
      <c r="C34" s="504"/>
      <c r="D34" s="505"/>
      <c r="E34" s="506"/>
      <c r="F34" s="506"/>
      <c r="G34" s="506"/>
      <c r="H34" s="728"/>
      <c r="I34" s="728"/>
      <c r="J34" s="728"/>
      <c r="K34" s="728"/>
      <c r="L34" s="728"/>
      <c r="M34" s="506"/>
      <c r="N34" s="575"/>
      <c r="O34" s="575"/>
      <c r="P34" s="506"/>
      <c r="Q34" s="506"/>
      <c r="R34" s="506"/>
      <c r="S34" s="506"/>
      <c r="T34" s="506"/>
      <c r="U34" s="506"/>
      <c r="V34" s="506"/>
      <c r="W34" s="506"/>
      <c r="X34" s="506"/>
      <c r="Y34" s="506"/>
      <c r="Z34" s="506"/>
    </row>
    <row r="35" spans="1:26" s="724" customFormat="1" ht="34.5" customHeight="1">
      <c r="A35" s="609">
        <v>396200</v>
      </c>
      <c r="B35" s="812" t="s">
        <v>417</v>
      </c>
      <c r="C35" s="447">
        <f>'[2]ALL-Reformatted'!$F$51</f>
        <v>316</v>
      </c>
      <c r="D35" s="448">
        <f>'Table 3 Levels 1&amp;2'!BN54+'Table 3 Levels 1&amp;2'!BV54</f>
        <v>5578.7258135108641</v>
      </c>
      <c r="E35" s="448">
        <f>ROUND(C35*D35,0)</f>
        <v>1762877</v>
      </c>
      <c r="F35" s="448">
        <v>728.06</v>
      </c>
      <c r="G35" s="448">
        <f>F35*C35</f>
        <v>230066.96</v>
      </c>
      <c r="H35" s="776">
        <f>E35+G35</f>
        <v>1992943.96</v>
      </c>
      <c r="I35" s="776" t="s">
        <v>466</v>
      </c>
      <c r="J35" s="776" t="s">
        <v>466</v>
      </c>
      <c r="K35" s="776">
        <v>0</v>
      </c>
      <c r="L35" s="776">
        <f>H35+K35</f>
        <v>1992943.96</v>
      </c>
      <c r="M35" s="776">
        <f>'[1]Adjusted Amounts'!$C$147+'[1]Adjusted Amounts'!$H$147</f>
        <v>-25676.689609109686</v>
      </c>
      <c r="N35" s="573">
        <f>SUM(L35:M35)</f>
        <v>1967267.2703908903</v>
      </c>
      <c r="O35" s="573">
        <f>N35/12</f>
        <v>163938.93919924085</v>
      </c>
      <c r="P35" s="776">
        <f>'[18]FY2012-13 Final'!$D$53</f>
        <v>1098</v>
      </c>
      <c r="Q35" s="448">
        <f>P35*C35</f>
        <v>346968</v>
      </c>
      <c r="R35" s="448" t="s">
        <v>466</v>
      </c>
      <c r="S35" s="448" t="s">
        <v>466</v>
      </c>
      <c r="T35" s="448">
        <v>0</v>
      </c>
      <c r="U35" s="448">
        <f>Q35+T35</f>
        <v>346968</v>
      </c>
      <c r="V35" s="448">
        <f>'[1]Adjusted Amounts'!$K$147+'[1]Adjusted Amounts'!$P$147</f>
        <v>-1227</v>
      </c>
      <c r="W35" s="782">
        <f>SUM(U35:V35)</f>
        <v>345741</v>
      </c>
      <c r="X35" s="782">
        <f>W35/12</f>
        <v>28811.75</v>
      </c>
      <c r="Y35" s="782">
        <f t="shared" ref="Y35" si="40">N35+W35</f>
        <v>2313008.2703908905</v>
      </c>
      <c r="Z35" s="782">
        <f t="shared" ref="Z35" si="41">O35+X35</f>
        <v>192750.68919924085</v>
      </c>
    </row>
    <row r="36" spans="1:26" s="724" customFormat="1" ht="40.5" customHeight="1">
      <c r="A36" s="803"/>
      <c r="B36" s="803" t="s">
        <v>416</v>
      </c>
      <c r="C36" s="804">
        <f>SUM(C33:C35)</f>
        <v>1062</v>
      </c>
      <c r="D36" s="805"/>
      <c r="E36" s="805">
        <f>SUM(E33:E35)</f>
        <v>5924606</v>
      </c>
      <c r="F36" s="805"/>
      <c r="G36" s="805">
        <f>SUM(G33:G35)</f>
        <v>773199.72</v>
      </c>
      <c r="H36" s="805">
        <f>SUM(H33:H35)</f>
        <v>6697805.7199999997</v>
      </c>
      <c r="I36" s="805"/>
      <c r="J36" s="805"/>
      <c r="K36" s="805"/>
      <c r="L36" s="805"/>
      <c r="M36" s="805"/>
      <c r="N36" s="805"/>
      <c r="O36" s="805"/>
      <c r="P36" s="805"/>
      <c r="Q36" s="805"/>
      <c r="R36" s="805"/>
      <c r="S36" s="805"/>
      <c r="T36" s="805"/>
      <c r="U36" s="805"/>
      <c r="V36" s="805"/>
      <c r="W36" s="805"/>
      <c r="X36" s="805"/>
      <c r="Y36" s="805"/>
      <c r="Z36" s="805"/>
    </row>
    <row r="37" spans="1:26" s="724" customFormat="1" ht="5.25" customHeight="1">
      <c r="A37" s="732"/>
      <c r="B37" s="732"/>
      <c r="C37" s="733"/>
      <c r="D37" s="734"/>
      <c r="E37" s="735"/>
      <c r="F37" s="735"/>
      <c r="G37" s="735"/>
      <c r="H37" s="735"/>
      <c r="I37" s="735"/>
      <c r="J37" s="735"/>
      <c r="K37" s="735"/>
      <c r="L37" s="735"/>
      <c r="M37" s="735"/>
      <c r="N37" s="735"/>
      <c r="O37" s="735"/>
      <c r="P37" s="735"/>
      <c r="Q37" s="735"/>
      <c r="R37" s="735"/>
      <c r="S37" s="735"/>
      <c r="T37" s="735"/>
      <c r="U37" s="735"/>
      <c r="V37" s="735"/>
      <c r="W37" s="735"/>
      <c r="X37" s="735"/>
      <c r="Y37" s="735"/>
      <c r="Z37" s="735"/>
    </row>
    <row r="38" spans="1:26" s="8" customFormat="1" ht="33.75" customHeight="1">
      <c r="A38" s="444"/>
      <c r="B38" s="444" t="s">
        <v>267</v>
      </c>
      <c r="C38" s="517">
        <f>C18+C23+C30+C35</f>
        <v>3450</v>
      </c>
      <c r="D38" s="577"/>
      <c r="E38" s="578">
        <f>E18+E23+E30+E35</f>
        <v>12900808</v>
      </c>
      <c r="F38" s="578"/>
      <c r="G38" s="578">
        <f t="shared" ref="G38:N38" si="42">G18+G23+G30+G35</f>
        <v>2699706.9328586301</v>
      </c>
      <c r="H38" s="777">
        <f t="shared" si="42"/>
        <v>15600514.932858631</v>
      </c>
      <c r="I38" s="777">
        <f>I18+I30</f>
        <v>-81166.250536201784</v>
      </c>
      <c r="J38" s="777">
        <f>J18+J30</f>
        <v>-11595.178648028825</v>
      </c>
      <c r="K38" s="777">
        <f t="shared" si="42"/>
        <v>-92761.429184230612</v>
      </c>
      <c r="L38" s="777">
        <f t="shared" si="42"/>
        <v>15507753.503674403</v>
      </c>
      <c r="M38" s="509">
        <f t="shared" si="42"/>
        <v>-200811.56348289052</v>
      </c>
      <c r="N38" s="579">
        <f t="shared" si="42"/>
        <v>15306941.940191511</v>
      </c>
      <c r="O38" s="579">
        <f t="shared" ref="O38:Z38" si="43">O18+O23+O30+O35</f>
        <v>1275578.4950159593</v>
      </c>
      <c r="P38" s="578"/>
      <c r="Q38" s="578">
        <f t="shared" si="43"/>
        <v>16667202</v>
      </c>
      <c r="R38" s="578">
        <f>R18+R30</f>
        <v>-84435.75</v>
      </c>
      <c r="S38" s="578">
        <f>S18+S30</f>
        <v>-12062.25</v>
      </c>
      <c r="T38" s="578">
        <f t="shared" si="43"/>
        <v>-96498</v>
      </c>
      <c r="U38" s="578">
        <f t="shared" si="43"/>
        <v>16570704</v>
      </c>
      <c r="V38" s="578">
        <f t="shared" si="43"/>
        <v>-159133</v>
      </c>
      <c r="W38" s="785">
        <f t="shared" si="43"/>
        <v>16411571</v>
      </c>
      <c r="X38" s="785">
        <f>X18+X23+X30+X35</f>
        <v>1367630.9166666667</v>
      </c>
      <c r="Y38" s="785">
        <f t="shared" si="43"/>
        <v>31718512.940191511</v>
      </c>
      <c r="Z38" s="785">
        <f t="shared" si="43"/>
        <v>2643209.4116826258</v>
      </c>
    </row>
    <row r="39" spans="1:26" s="75" customFormat="1" ht="8.25" customHeight="1">
      <c r="A39" s="510"/>
      <c r="B39" s="510"/>
      <c r="C39" s="511"/>
      <c r="D39" s="576"/>
      <c r="E39" s="512"/>
      <c r="F39" s="512"/>
      <c r="G39" s="512"/>
      <c r="H39" s="512"/>
      <c r="I39" s="512"/>
      <c r="J39" s="512"/>
      <c r="K39" s="512"/>
      <c r="L39" s="512"/>
      <c r="M39" s="512"/>
      <c r="N39" s="512"/>
      <c r="O39" s="512"/>
      <c r="P39" s="512"/>
      <c r="Q39" s="512"/>
      <c r="R39" s="512"/>
      <c r="S39" s="512"/>
      <c r="T39" s="512"/>
      <c r="U39" s="512"/>
      <c r="V39" s="512"/>
      <c r="W39" s="512"/>
      <c r="X39" s="512"/>
      <c r="Y39" s="512"/>
      <c r="Z39" s="512"/>
    </row>
    <row r="40" spans="1:26" s="8" customFormat="1" ht="38.25" customHeight="1">
      <c r="A40" s="444"/>
      <c r="B40" s="444" t="s">
        <v>463</v>
      </c>
      <c r="C40" s="517"/>
      <c r="D40" s="577"/>
      <c r="E40" s="578"/>
      <c r="F40" s="578"/>
      <c r="G40" s="578"/>
      <c r="H40" s="777"/>
      <c r="I40" s="729"/>
      <c r="J40" s="729">
        <f>-J38</f>
        <v>11595.178648028825</v>
      </c>
      <c r="K40" s="729">
        <f>SUM(I40:J40)</f>
        <v>11595.178648028825</v>
      </c>
      <c r="L40" s="729"/>
      <c r="M40" s="509"/>
      <c r="N40" s="574"/>
      <c r="O40" s="574"/>
      <c r="P40" s="578"/>
      <c r="Q40" s="578"/>
      <c r="R40" s="578"/>
      <c r="S40" s="578">
        <f>-S38</f>
        <v>12062.25</v>
      </c>
      <c r="T40" s="578">
        <f>SUM(R40:S40)</f>
        <v>12062.25</v>
      </c>
      <c r="U40" s="578"/>
      <c r="V40" s="578"/>
      <c r="W40" s="578"/>
      <c r="X40" s="578"/>
      <c r="Y40" s="578"/>
      <c r="Z40" s="578"/>
    </row>
    <row r="41" spans="1:26" s="75" customFormat="1" ht="8.25" customHeight="1">
      <c r="A41" s="510"/>
      <c r="B41" s="510"/>
      <c r="C41" s="511"/>
      <c r="D41" s="576"/>
      <c r="E41" s="512"/>
      <c r="F41" s="512"/>
      <c r="G41" s="512"/>
      <c r="H41" s="512"/>
      <c r="I41" s="512"/>
      <c r="J41" s="512"/>
      <c r="K41" s="512"/>
      <c r="L41" s="512"/>
      <c r="M41" s="512"/>
      <c r="N41" s="512"/>
      <c r="O41" s="512"/>
      <c r="P41" s="512"/>
      <c r="Q41" s="512"/>
      <c r="R41" s="512"/>
      <c r="S41" s="512"/>
      <c r="T41" s="512"/>
      <c r="U41" s="512"/>
      <c r="V41" s="512"/>
      <c r="W41" s="512"/>
      <c r="X41" s="512"/>
      <c r="Y41" s="512"/>
      <c r="Z41" s="512"/>
    </row>
    <row r="42" spans="1:26" s="8" customFormat="1" ht="38.25" customHeight="1">
      <c r="A42" s="444"/>
      <c r="B42" s="444" t="s">
        <v>464</v>
      </c>
      <c r="C42" s="517"/>
      <c r="D42" s="577"/>
      <c r="E42" s="578"/>
      <c r="F42" s="578"/>
      <c r="G42" s="578"/>
      <c r="H42" s="777"/>
      <c r="I42" s="729">
        <f>-I38</f>
        <v>81166.250536201784</v>
      </c>
      <c r="J42" s="729"/>
      <c r="K42" s="729">
        <f>SUM(I42:J42)</f>
        <v>81166.250536201784</v>
      </c>
      <c r="L42" s="729"/>
      <c r="M42" s="509"/>
      <c r="N42" s="574"/>
      <c r="O42" s="574"/>
      <c r="P42" s="578"/>
      <c r="Q42" s="578"/>
      <c r="R42" s="578">
        <f>-R38</f>
        <v>84435.75</v>
      </c>
      <c r="S42" s="578"/>
      <c r="T42" s="578">
        <f>SUM(R42:S42)</f>
        <v>84435.75</v>
      </c>
      <c r="U42" s="578"/>
      <c r="V42" s="578"/>
      <c r="W42" s="578"/>
      <c r="X42" s="578"/>
      <c r="Y42" s="578"/>
      <c r="Z42" s="578"/>
    </row>
    <row r="43" spans="1:26" s="75" customFormat="1" ht="8.25" customHeight="1">
      <c r="A43" s="510"/>
      <c r="B43" s="510"/>
      <c r="C43" s="511"/>
      <c r="D43" s="576"/>
      <c r="E43" s="512"/>
      <c r="F43" s="512"/>
      <c r="G43" s="512"/>
      <c r="H43" s="512"/>
      <c r="I43" s="512"/>
      <c r="J43" s="512"/>
      <c r="K43" s="512"/>
      <c r="L43" s="512"/>
      <c r="M43" s="512"/>
      <c r="N43" s="512"/>
      <c r="O43" s="512"/>
      <c r="P43" s="512"/>
      <c r="Q43" s="512"/>
      <c r="R43" s="512">
        <f>-R38</f>
        <v>84435.75</v>
      </c>
      <c r="S43" s="512"/>
      <c r="T43" s="512"/>
      <c r="U43" s="512"/>
      <c r="V43" s="512"/>
      <c r="W43" s="512"/>
      <c r="X43" s="512"/>
      <c r="Y43" s="512"/>
      <c r="Z43" s="512"/>
    </row>
    <row r="44" spans="1:26" s="8" customFormat="1" ht="25.5" customHeight="1">
      <c r="A44" s="444"/>
      <c r="B44" s="444" t="s">
        <v>180</v>
      </c>
      <c r="C44" s="517"/>
      <c r="D44" s="577"/>
      <c r="E44" s="578"/>
      <c r="F44" s="578"/>
      <c r="G44" s="578"/>
      <c r="H44" s="777"/>
      <c r="I44" s="729">
        <f>SUM(I38:I42)</f>
        <v>0</v>
      </c>
      <c r="J44" s="729">
        <f>SUM(J38:J42)</f>
        <v>0</v>
      </c>
      <c r="K44" s="729">
        <f>SUM(K38:K42)</f>
        <v>0</v>
      </c>
      <c r="L44" s="729"/>
      <c r="M44" s="509"/>
      <c r="N44" s="574"/>
      <c r="O44" s="574"/>
      <c r="P44" s="578"/>
      <c r="Q44" s="578"/>
      <c r="R44" s="578">
        <f>SUM(R38:R42)</f>
        <v>0</v>
      </c>
      <c r="S44" s="578">
        <f>SUM(S38:S42)</f>
        <v>0</v>
      </c>
      <c r="T44" s="578">
        <f>SUM(T38:T42)</f>
        <v>0</v>
      </c>
      <c r="U44" s="578"/>
      <c r="V44" s="578"/>
      <c r="W44" s="578"/>
      <c r="X44" s="578"/>
      <c r="Y44" s="578"/>
      <c r="Z44" s="578"/>
    </row>
    <row r="45" spans="1:26" ht="24" customHeight="1">
      <c r="E45" s="49"/>
      <c r="F45" s="449"/>
      <c r="G45" s="449"/>
      <c r="H45" s="449"/>
      <c r="I45" s="449"/>
      <c r="J45" s="449"/>
      <c r="K45" s="449"/>
      <c r="L45" s="449"/>
      <c r="M45" s="449"/>
      <c r="N45" s="449"/>
      <c r="O45" s="449"/>
      <c r="P45" s="449"/>
      <c r="Q45" s="449"/>
      <c r="R45" s="449"/>
      <c r="S45" s="449"/>
      <c r="T45" s="449"/>
      <c r="U45" s="449"/>
      <c r="V45" s="811"/>
      <c r="W45" s="449"/>
      <c r="X45" s="449"/>
    </row>
    <row r="46" spans="1:26" ht="20.25">
      <c r="B46" s="2051"/>
      <c r="C46" s="2051"/>
      <c r="D46" s="2051"/>
      <c r="E46" s="2051"/>
      <c r="F46" s="2051"/>
      <c r="G46" s="2051"/>
      <c r="H46" s="2051"/>
      <c r="I46" s="769"/>
      <c r="J46" s="769"/>
      <c r="K46" s="769"/>
      <c r="L46" s="769"/>
      <c r="M46" s="768"/>
      <c r="N46" s="769"/>
      <c r="O46" s="768"/>
      <c r="P46" s="768"/>
      <c r="Q46" s="768"/>
      <c r="R46" s="768"/>
      <c r="S46" s="768"/>
      <c r="T46" s="768"/>
      <c r="U46" s="768"/>
      <c r="V46" s="768"/>
      <c r="W46" s="768"/>
      <c r="X46" s="768"/>
    </row>
    <row r="47" spans="1:26" ht="23.25" customHeight="1">
      <c r="A47" s="770"/>
      <c r="B47" s="770"/>
      <c r="C47" s="2045"/>
      <c r="D47" s="2045"/>
      <c r="E47" s="2045"/>
      <c r="F47" s="2045"/>
      <c r="G47" s="2045"/>
      <c r="H47" s="2045"/>
      <c r="I47" s="2045"/>
      <c r="J47" s="2045"/>
      <c r="K47" s="2045"/>
      <c r="L47" s="2045"/>
      <c r="M47" s="2045"/>
      <c r="N47" s="2045"/>
      <c r="O47" s="344"/>
      <c r="P47" s="344"/>
      <c r="Q47" s="345"/>
    </row>
    <row r="48" spans="1:26" ht="19.5" customHeight="1"/>
    <row r="50" spans="6:6">
      <c r="F50" s="59"/>
    </row>
  </sheetData>
  <mergeCells count="28">
    <mergeCell ref="A4:A5"/>
    <mergeCell ref="O4:O5"/>
    <mergeCell ref="Y4:Y5"/>
    <mergeCell ref="Z4:Z5"/>
    <mergeCell ref="W4:W5"/>
    <mergeCell ref="X4:X5"/>
    <mergeCell ref="P4:P5"/>
    <mergeCell ref="Q4:Q5"/>
    <mergeCell ref="B2:N2"/>
    <mergeCell ref="F3:G3"/>
    <mergeCell ref="I3:K3"/>
    <mergeCell ref="C4:C5"/>
    <mergeCell ref="G4:G5"/>
    <mergeCell ref="D4:D5"/>
    <mergeCell ref="R3:T3"/>
    <mergeCell ref="T4:T5"/>
    <mergeCell ref="U4:U5"/>
    <mergeCell ref="V4:V5"/>
    <mergeCell ref="B46:H46"/>
    <mergeCell ref="B4:B5"/>
    <mergeCell ref="L4:L5"/>
    <mergeCell ref="M4:M5"/>
    <mergeCell ref="C47:N47"/>
    <mergeCell ref="H4:H5"/>
    <mergeCell ref="F4:F5"/>
    <mergeCell ref="E4:E5"/>
    <mergeCell ref="N4:N5"/>
    <mergeCell ref="K4:K5"/>
  </mergeCells>
  <phoneticPr fontId="0" type="noConversion"/>
  <printOptions horizontalCentered="1"/>
  <pageMargins left="0.25" right="0" top="0.83" bottom="0.42" header="0.24" footer="0.31"/>
  <pageSetup paperSize="5" scale="45" firstPageNumber="57" orientation="landscape" useFirstPageNumber="1" r:id="rId1"/>
  <headerFooter alignWithMargins="0">
    <oddHeader xml:space="preserve">&amp;L&amp;"Arial,Bold"&amp;22Table 5B-2:  FY2013-14 MFP Budget Letter (Projection)
Recovery School District (Allocations for School Boards and Type 5 Charters other than Orleans Parish) &amp;R
</oddHeader>
    <oddFooter>&amp;R&amp;12&amp;P</oddFooter>
  </headerFooter>
  <colBreaks count="1" manualBreakCount="1">
    <brk id="15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view="pageBreakPreview" zoomScaleNormal="100" zoomScaleSheetLayoutView="100" workbookViewId="0">
      <pane xSplit="2" ySplit="6" topLeftCell="C7" activePane="bottomRight" state="frozen"/>
      <selection activeCell="B3" sqref="B3:B5"/>
      <selection pane="topRight" activeCell="B3" sqref="B3:B5"/>
      <selection pane="bottomLeft" activeCell="B3" sqref="B3:B5"/>
      <selection pane="bottomRight" activeCell="A2" sqref="A2:B4"/>
    </sheetView>
  </sheetViews>
  <sheetFormatPr defaultRowHeight="12.75"/>
  <cols>
    <col min="1" max="1" width="4.28515625" customWidth="1"/>
    <col min="2" max="2" width="17.85546875" bestFit="1" customWidth="1"/>
    <col min="3" max="3" width="12.5703125" customWidth="1"/>
    <col min="4" max="4" width="14.7109375" bestFit="1" customWidth="1"/>
    <col min="5" max="5" width="10.140625" bestFit="1" customWidth="1"/>
    <col min="6" max="6" width="12" customWidth="1"/>
    <col min="7" max="7" width="12.5703125" bestFit="1" customWidth="1"/>
    <col min="8" max="8" width="11.85546875" bestFit="1" customWidth="1"/>
    <col min="9" max="9" width="10.85546875" bestFit="1" customWidth="1"/>
    <col min="10" max="10" width="12" bestFit="1" customWidth="1"/>
    <col min="11" max="11" width="13.42578125" bestFit="1" customWidth="1"/>
    <col min="12" max="12" width="14" customWidth="1"/>
    <col min="13" max="13" width="10.140625" customWidth="1"/>
    <col min="14" max="14" width="9" customWidth="1"/>
    <col min="15" max="15" width="11.42578125" customWidth="1"/>
    <col min="16" max="16" width="17.28515625" customWidth="1"/>
    <col min="17" max="17" width="16.7109375" customWidth="1"/>
    <col min="18" max="18" width="13.7109375" customWidth="1"/>
    <col min="19" max="19" width="17" customWidth="1"/>
    <col min="20" max="20" width="15.28515625" customWidth="1"/>
    <col min="21" max="21" width="13.140625" customWidth="1"/>
    <col min="22" max="22" width="12" customWidth="1"/>
    <col min="23" max="23" width="11" customWidth="1"/>
    <col min="24" max="24" width="12.140625" customWidth="1"/>
  </cols>
  <sheetData>
    <row r="1" spans="1:24"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35"/>
      <c r="O1" s="35"/>
    </row>
    <row r="2" spans="1:24" ht="45" customHeight="1">
      <c r="A2" s="2059" t="s">
        <v>674</v>
      </c>
      <c r="B2" s="2060"/>
      <c r="C2" s="2065" t="s">
        <v>1376</v>
      </c>
      <c r="D2" s="2017"/>
      <c r="E2" s="2017"/>
      <c r="F2" s="2017"/>
      <c r="G2" s="2017"/>
      <c r="H2" s="2017"/>
      <c r="I2" s="2017"/>
      <c r="J2" s="2017"/>
      <c r="K2" s="2017"/>
      <c r="L2" s="2017"/>
      <c r="M2" s="2018"/>
      <c r="N2" s="1715"/>
      <c r="O2" s="1715"/>
      <c r="P2" s="1992" t="s">
        <v>1357</v>
      </c>
      <c r="Q2" s="1993"/>
      <c r="R2" s="1993"/>
      <c r="S2" s="1993"/>
      <c r="T2" s="1993"/>
      <c r="U2" s="1993"/>
      <c r="V2" s="1994"/>
      <c r="W2" s="1995" t="s">
        <v>1386</v>
      </c>
      <c r="X2" s="1995" t="s">
        <v>1355</v>
      </c>
    </row>
    <row r="3" spans="1:24" ht="120" customHeight="1">
      <c r="A3" s="2061"/>
      <c r="B3" s="2062"/>
      <c r="C3" s="2006" t="s">
        <v>1175</v>
      </c>
      <c r="D3" s="2008" t="s">
        <v>1392</v>
      </c>
      <c r="E3" s="2008" t="s">
        <v>1377</v>
      </c>
      <c r="F3" s="2006" t="s">
        <v>662</v>
      </c>
      <c r="G3" s="2006" t="s">
        <v>492</v>
      </c>
      <c r="H3" s="2006" t="s">
        <v>1378</v>
      </c>
      <c r="I3" s="1227" t="s">
        <v>510</v>
      </c>
      <c r="J3" s="2006" t="s">
        <v>1379</v>
      </c>
      <c r="K3" s="2006" t="s">
        <v>1230</v>
      </c>
      <c r="L3" s="2006" t="s">
        <v>1380</v>
      </c>
      <c r="M3" s="2008" t="s">
        <v>1356</v>
      </c>
      <c r="N3" s="1987" t="s">
        <v>1142</v>
      </c>
      <c r="O3" s="2006" t="s">
        <v>1381</v>
      </c>
      <c r="P3" s="2019" t="s">
        <v>694</v>
      </c>
      <c r="Q3" s="1743" t="s">
        <v>1382</v>
      </c>
      <c r="R3" s="1229" t="s">
        <v>512</v>
      </c>
      <c r="S3" s="2019" t="s">
        <v>1383</v>
      </c>
      <c r="T3" s="2019" t="s">
        <v>1230</v>
      </c>
      <c r="U3" s="2019" t="s">
        <v>1384</v>
      </c>
      <c r="V3" s="1743" t="s">
        <v>1385</v>
      </c>
      <c r="W3" s="1996"/>
      <c r="X3" s="1996"/>
    </row>
    <row r="4" spans="1:24" ht="22.5" customHeight="1">
      <c r="A4" s="2063"/>
      <c r="B4" s="2064"/>
      <c r="C4" s="2007"/>
      <c r="D4" s="2008"/>
      <c r="E4" s="2008"/>
      <c r="F4" s="2007"/>
      <c r="G4" s="2007"/>
      <c r="H4" s="2007"/>
      <c r="I4" s="1107">
        <v>2.5000000000000001E-3</v>
      </c>
      <c r="J4" s="2007"/>
      <c r="K4" s="2007"/>
      <c r="L4" s="2007"/>
      <c r="M4" s="2008"/>
      <c r="N4" s="1876"/>
      <c r="O4" s="2007"/>
      <c r="P4" s="1999"/>
      <c r="Q4" s="1228"/>
      <c r="R4" s="1108">
        <v>2.5000000000000001E-3</v>
      </c>
      <c r="S4" s="1999"/>
      <c r="T4" s="1999"/>
      <c r="U4" s="1999"/>
      <c r="V4" s="1228"/>
      <c r="W4" s="1997"/>
      <c r="X4" s="1997"/>
    </row>
    <row r="5" spans="1:24" ht="14.25" customHeight="1">
      <c r="A5" s="978"/>
      <c r="B5" s="979"/>
      <c r="C5" s="980">
        <v>1</v>
      </c>
      <c r="D5" s="980">
        <f t="shared" ref="D5" si="0">C5+1</f>
        <v>2</v>
      </c>
      <c r="E5" s="980">
        <f>D5+1</f>
        <v>3</v>
      </c>
      <c r="F5" s="980">
        <f t="shared" ref="F5" si="1">E5+1</f>
        <v>4</v>
      </c>
      <c r="G5" s="980">
        <f t="shared" ref="G5" si="2">F5+1</f>
        <v>5</v>
      </c>
      <c r="H5" s="980">
        <f t="shared" ref="H5" si="3">G5+1</f>
        <v>6</v>
      </c>
      <c r="I5" s="980">
        <f t="shared" ref="I5" si="4">H5+1</f>
        <v>7</v>
      </c>
      <c r="J5" s="980">
        <f t="shared" ref="J5" si="5">I5+1</f>
        <v>8</v>
      </c>
      <c r="K5" s="980">
        <f t="shared" ref="K5" si="6">J5+1</f>
        <v>9</v>
      </c>
      <c r="L5" s="980">
        <f t="shared" ref="L5" si="7">K5+1</f>
        <v>10</v>
      </c>
      <c r="M5" s="980">
        <f t="shared" ref="M5" si="8">L5+1</f>
        <v>11</v>
      </c>
      <c r="N5" s="980">
        <f t="shared" ref="N5" si="9">M5+1</f>
        <v>12</v>
      </c>
      <c r="O5" s="980">
        <f t="shared" ref="O5" si="10">N5+1</f>
        <v>13</v>
      </c>
      <c r="P5" s="980">
        <f t="shared" ref="P5" si="11">O5+1</f>
        <v>14</v>
      </c>
      <c r="Q5" s="980">
        <f t="shared" ref="Q5" si="12">P5+1</f>
        <v>15</v>
      </c>
      <c r="R5" s="980">
        <f t="shared" ref="R5" si="13">Q5+1</f>
        <v>16</v>
      </c>
      <c r="S5" s="980">
        <f t="shared" ref="S5" si="14">R5+1</f>
        <v>17</v>
      </c>
      <c r="T5" s="980">
        <f t="shared" ref="T5" si="15">S5+1</f>
        <v>18</v>
      </c>
      <c r="U5" s="980">
        <f t="shared" ref="U5" si="16">T5+1</f>
        <v>19</v>
      </c>
      <c r="V5" s="980">
        <f t="shared" ref="V5" si="17">U5+1</f>
        <v>20</v>
      </c>
      <c r="W5" s="980">
        <f t="shared" ref="W5" si="18">V5+1</f>
        <v>21</v>
      </c>
      <c r="X5" s="980">
        <f t="shared" ref="X5" si="19">W5+1</f>
        <v>22</v>
      </c>
    </row>
    <row r="6" spans="1:24" ht="27" customHeight="1">
      <c r="A6" s="1041"/>
      <c r="B6" s="1042"/>
      <c r="C6" s="1042"/>
      <c r="D6" s="1042"/>
      <c r="E6" s="1042"/>
      <c r="F6" s="1042"/>
      <c r="G6" s="1042"/>
      <c r="H6" s="1042"/>
      <c r="I6" s="1042"/>
      <c r="J6" s="1042"/>
      <c r="K6" s="1042"/>
      <c r="L6" s="1042"/>
      <c r="M6" s="1042"/>
      <c r="N6" s="1716"/>
      <c r="O6" s="1716"/>
      <c r="P6" s="1042"/>
      <c r="Q6" s="1042"/>
      <c r="R6" s="1042"/>
      <c r="S6" s="1042"/>
      <c r="T6" s="1042"/>
      <c r="U6" s="1042"/>
      <c r="V6" s="1042"/>
      <c r="W6" s="1042"/>
      <c r="X6" s="1042"/>
    </row>
    <row r="7" spans="1:24">
      <c r="A7" s="987">
        <v>1</v>
      </c>
      <c r="B7" s="988" t="s">
        <v>95</v>
      </c>
      <c r="C7" s="989">
        <f>'[2]ALL-Reformatted'!Q6</f>
        <v>0</v>
      </c>
      <c r="D7" s="990">
        <f>'Table 3 Levels 1&amp;2'!BN9+'Table 3 Levels 1&amp;2'!BV9</f>
        <v>4565.2108060165392</v>
      </c>
      <c r="E7" s="1099">
        <f>C7*D7</f>
        <v>0</v>
      </c>
      <c r="F7" s="1099">
        <f>'Table 4 Level 3'!N6</f>
        <v>777.48</v>
      </c>
      <c r="G7" s="1099">
        <f>C7*F7</f>
        <v>0</v>
      </c>
      <c r="H7" s="991">
        <f>E7+G7</f>
        <v>0</v>
      </c>
      <c r="I7" s="1109">
        <f>-(0.25%*H7)</f>
        <v>0</v>
      </c>
      <c r="J7" s="991">
        <f>SUM(H7:I7)</f>
        <v>0</v>
      </c>
      <c r="K7" s="991">
        <v>0</v>
      </c>
      <c r="L7" s="991">
        <f>SUM(J7:K7)</f>
        <v>0</v>
      </c>
      <c r="M7" s="991">
        <f>L7/12</f>
        <v>0</v>
      </c>
      <c r="N7" s="1722"/>
      <c r="O7" s="991">
        <f>L7+N7</f>
        <v>0</v>
      </c>
      <c r="P7" s="1051">
        <f>'[18]FY2012-13 Final'!K8</f>
        <v>2112</v>
      </c>
      <c r="Q7" s="992">
        <f>C7*P7</f>
        <v>0</v>
      </c>
      <c r="R7" s="1117">
        <f>-(0.25%*Q7)</f>
        <v>0</v>
      </c>
      <c r="S7" s="992">
        <f>SUM(Q7:R7)</f>
        <v>0</v>
      </c>
      <c r="T7" s="992">
        <v>0</v>
      </c>
      <c r="U7" s="992">
        <f>SUM(S7:T7)</f>
        <v>0</v>
      </c>
      <c r="V7" s="992">
        <f>U7/12</f>
        <v>0</v>
      </c>
      <c r="W7" s="993">
        <f>L7+U7</f>
        <v>0</v>
      </c>
      <c r="X7" s="993">
        <f>M7+V7</f>
        <v>0</v>
      </c>
    </row>
    <row r="8" spans="1:24">
      <c r="A8" s="994">
        <v>2</v>
      </c>
      <c r="B8" s="995" t="s">
        <v>96</v>
      </c>
      <c r="C8" s="1193">
        <f>'[2]ALL-Reformatted'!Q7</f>
        <v>0</v>
      </c>
      <c r="D8" s="997">
        <f>'Table 3 Levels 1&amp;2'!BN10+'Table 3 Levels 1&amp;2'!BV10</f>
        <v>6132.0480322513831</v>
      </c>
      <c r="E8" s="1100">
        <f t="shared" ref="E8:E71" si="20">C8*D8</f>
        <v>0</v>
      </c>
      <c r="F8" s="1100">
        <f>'Table 4 Level 3'!N7</f>
        <v>842.32</v>
      </c>
      <c r="G8" s="1100">
        <f t="shared" ref="G8:G71" si="21">C8*F8</f>
        <v>0</v>
      </c>
      <c r="H8" s="1052">
        <f t="shared" ref="H8:H71" si="22">E8+G8</f>
        <v>0</v>
      </c>
      <c r="I8" s="1110">
        <f t="shared" ref="I8:I71" si="23">-(0.25%*H8)</f>
        <v>0</v>
      </c>
      <c r="J8" s="1052">
        <f t="shared" ref="J8:J71" si="24">SUM(H8:I8)</f>
        <v>0</v>
      </c>
      <c r="K8" s="1052">
        <v>0</v>
      </c>
      <c r="L8" s="1052">
        <f t="shared" ref="L8:L71" si="25">SUM(J8:K8)</f>
        <v>0</v>
      </c>
      <c r="M8" s="1052">
        <f t="shared" ref="M8:M71" si="26">L8/12</f>
        <v>0</v>
      </c>
      <c r="N8" s="1731"/>
      <c r="O8" s="1052">
        <f t="shared" ref="O8:O71" si="27">L8+N8</f>
        <v>0</v>
      </c>
      <c r="P8" s="1051">
        <f>'[18]FY2012-13 Final'!K9</f>
        <v>2584</v>
      </c>
      <c r="Q8" s="1053">
        <f t="shared" ref="Q8:Q71" si="28">C8*P8</f>
        <v>0</v>
      </c>
      <c r="R8" s="1118">
        <f t="shared" ref="R8:R71" si="29">-(0.25%*Q8)</f>
        <v>0</v>
      </c>
      <c r="S8" s="1053">
        <f t="shared" ref="S8:S71" si="30">SUM(Q8:R8)</f>
        <v>0</v>
      </c>
      <c r="T8" s="1053">
        <v>0</v>
      </c>
      <c r="U8" s="1053">
        <f t="shared" ref="U8:U71" si="31">SUM(S8:T8)</f>
        <v>0</v>
      </c>
      <c r="V8" s="1053">
        <f t="shared" ref="V8:V71" si="32">U8/12</f>
        <v>0</v>
      </c>
      <c r="W8" s="1054">
        <f t="shared" ref="W8:W71" si="33">L8+U8</f>
        <v>0</v>
      </c>
      <c r="X8" s="1054">
        <f t="shared" ref="X8:X71" si="34">M8+V8</f>
        <v>0</v>
      </c>
    </row>
    <row r="9" spans="1:24">
      <c r="A9" s="994">
        <v>3</v>
      </c>
      <c r="B9" s="995" t="s">
        <v>97</v>
      </c>
      <c r="C9" s="1193">
        <f>'[2]ALL-Reformatted'!Q8</f>
        <v>0</v>
      </c>
      <c r="D9" s="997">
        <f>'Table 3 Levels 1&amp;2'!BN11+'Table 3 Levels 1&amp;2'!BV11</f>
        <v>4186.9626187036429</v>
      </c>
      <c r="E9" s="1100">
        <f t="shared" si="20"/>
        <v>0</v>
      </c>
      <c r="F9" s="1100">
        <f>'Table 4 Level 3'!N8</f>
        <v>596.84</v>
      </c>
      <c r="G9" s="1100">
        <f t="shared" si="21"/>
        <v>0</v>
      </c>
      <c r="H9" s="1052">
        <f t="shared" si="22"/>
        <v>0</v>
      </c>
      <c r="I9" s="1110">
        <f t="shared" si="23"/>
        <v>0</v>
      </c>
      <c r="J9" s="1052">
        <f t="shared" si="24"/>
        <v>0</v>
      </c>
      <c r="K9" s="1052">
        <v>0</v>
      </c>
      <c r="L9" s="1052">
        <f t="shared" si="25"/>
        <v>0</v>
      </c>
      <c r="M9" s="1052">
        <f t="shared" si="26"/>
        <v>0</v>
      </c>
      <c r="N9" s="1731"/>
      <c r="O9" s="1052">
        <f t="shared" si="27"/>
        <v>0</v>
      </c>
      <c r="P9" s="1051">
        <f>'[18]FY2012-13 Final'!K10</f>
        <v>4966</v>
      </c>
      <c r="Q9" s="1053">
        <f t="shared" si="28"/>
        <v>0</v>
      </c>
      <c r="R9" s="1118">
        <f t="shared" si="29"/>
        <v>0</v>
      </c>
      <c r="S9" s="1053">
        <f t="shared" si="30"/>
        <v>0</v>
      </c>
      <c r="T9" s="1053">
        <v>0</v>
      </c>
      <c r="U9" s="1053">
        <f t="shared" si="31"/>
        <v>0</v>
      </c>
      <c r="V9" s="1053">
        <f t="shared" si="32"/>
        <v>0</v>
      </c>
      <c r="W9" s="1054">
        <f t="shared" si="33"/>
        <v>0</v>
      </c>
      <c r="X9" s="1054">
        <f t="shared" si="34"/>
        <v>0</v>
      </c>
    </row>
    <row r="10" spans="1:24">
      <c r="A10" s="994">
        <v>4</v>
      </c>
      <c r="B10" s="995" t="s">
        <v>98</v>
      </c>
      <c r="C10" s="1193">
        <f>'[2]ALL-Reformatted'!Q9</f>
        <v>0</v>
      </c>
      <c r="D10" s="997">
        <f>'Table 3 Levels 1&amp;2'!BN12+'Table 3 Levels 1&amp;2'!BV12</f>
        <v>5918.8798759182582</v>
      </c>
      <c r="E10" s="1100">
        <f t="shared" si="20"/>
        <v>0</v>
      </c>
      <c r="F10" s="1100">
        <f>'Table 4 Level 3'!N9</f>
        <v>585.76</v>
      </c>
      <c r="G10" s="1100">
        <f t="shared" si="21"/>
        <v>0</v>
      </c>
      <c r="H10" s="1052">
        <f t="shared" si="22"/>
        <v>0</v>
      </c>
      <c r="I10" s="1110">
        <f t="shared" si="23"/>
        <v>0</v>
      </c>
      <c r="J10" s="1052">
        <f t="shared" si="24"/>
        <v>0</v>
      </c>
      <c r="K10" s="1052">
        <v>0</v>
      </c>
      <c r="L10" s="1052">
        <f t="shared" si="25"/>
        <v>0</v>
      </c>
      <c r="M10" s="1052">
        <f t="shared" si="26"/>
        <v>0</v>
      </c>
      <c r="N10" s="1731"/>
      <c r="O10" s="1052">
        <f t="shared" si="27"/>
        <v>0</v>
      </c>
      <c r="P10" s="1051">
        <f>'[18]FY2012-13 Final'!K11</f>
        <v>3445</v>
      </c>
      <c r="Q10" s="1053">
        <f t="shared" si="28"/>
        <v>0</v>
      </c>
      <c r="R10" s="1118">
        <f t="shared" si="29"/>
        <v>0</v>
      </c>
      <c r="S10" s="1053">
        <f t="shared" si="30"/>
        <v>0</v>
      </c>
      <c r="T10" s="1053">
        <v>0</v>
      </c>
      <c r="U10" s="1053">
        <f t="shared" si="31"/>
        <v>0</v>
      </c>
      <c r="V10" s="1053">
        <f t="shared" si="32"/>
        <v>0</v>
      </c>
      <c r="W10" s="1054">
        <f t="shared" si="33"/>
        <v>0</v>
      </c>
      <c r="X10" s="1054">
        <f t="shared" si="34"/>
        <v>0</v>
      </c>
    </row>
    <row r="11" spans="1:24">
      <c r="A11" s="998">
        <v>5</v>
      </c>
      <c r="B11" s="999" t="s">
        <v>99</v>
      </c>
      <c r="C11" s="1194">
        <f>'[2]ALL-Reformatted'!Q10</f>
        <v>0</v>
      </c>
      <c r="D11" s="1001">
        <f>'Table 3 Levels 1&amp;2'!BN13+'Table 3 Levels 1&amp;2'!BV13</f>
        <v>4880.3484353147733</v>
      </c>
      <c r="E11" s="1101">
        <f t="shared" si="20"/>
        <v>0</v>
      </c>
      <c r="F11" s="1101">
        <f>'Table 4 Level 3'!N10</f>
        <v>555.91</v>
      </c>
      <c r="G11" s="1101">
        <f t="shared" si="21"/>
        <v>0</v>
      </c>
      <c r="H11" s="1055">
        <f t="shared" si="22"/>
        <v>0</v>
      </c>
      <c r="I11" s="1111">
        <f t="shared" si="23"/>
        <v>0</v>
      </c>
      <c r="J11" s="1055">
        <f t="shared" si="24"/>
        <v>0</v>
      </c>
      <c r="K11" s="1055">
        <v>0</v>
      </c>
      <c r="L11" s="1055">
        <f t="shared" si="25"/>
        <v>0</v>
      </c>
      <c r="M11" s="1055">
        <f t="shared" si="26"/>
        <v>0</v>
      </c>
      <c r="N11" s="1732"/>
      <c r="O11" s="1055">
        <f t="shared" si="27"/>
        <v>0</v>
      </c>
      <c r="P11" s="1056">
        <f>'[18]FY2012-13 Final'!K12</f>
        <v>1353</v>
      </c>
      <c r="Q11" s="1057">
        <f t="shared" si="28"/>
        <v>0</v>
      </c>
      <c r="R11" s="1119">
        <f t="shared" si="29"/>
        <v>0</v>
      </c>
      <c r="S11" s="1057">
        <f t="shared" si="30"/>
        <v>0</v>
      </c>
      <c r="T11" s="1057">
        <v>0</v>
      </c>
      <c r="U11" s="1057">
        <f t="shared" si="31"/>
        <v>0</v>
      </c>
      <c r="V11" s="1057">
        <f t="shared" si="32"/>
        <v>0</v>
      </c>
      <c r="W11" s="1058">
        <f t="shared" si="33"/>
        <v>0</v>
      </c>
      <c r="X11" s="1058">
        <f t="shared" si="34"/>
        <v>0</v>
      </c>
    </row>
    <row r="12" spans="1:24">
      <c r="A12" s="987">
        <v>6</v>
      </c>
      <c r="B12" s="988" t="s">
        <v>100</v>
      </c>
      <c r="C12" s="1195">
        <f>'[2]ALL-Reformatted'!Q11</f>
        <v>0</v>
      </c>
      <c r="D12" s="990">
        <f>'Table 3 Levels 1&amp;2'!BN14+'Table 3 Levels 1&amp;2'!BV14</f>
        <v>5379.7759718479856</v>
      </c>
      <c r="E12" s="1099">
        <f t="shared" si="20"/>
        <v>0</v>
      </c>
      <c r="F12" s="1099">
        <f>'Table 4 Level 3'!N11</f>
        <v>545.4799999999999</v>
      </c>
      <c r="G12" s="1099">
        <f t="shared" si="21"/>
        <v>0</v>
      </c>
      <c r="H12" s="991">
        <f t="shared" si="22"/>
        <v>0</v>
      </c>
      <c r="I12" s="1109">
        <f t="shared" si="23"/>
        <v>0</v>
      </c>
      <c r="J12" s="991">
        <f t="shared" si="24"/>
        <v>0</v>
      </c>
      <c r="K12" s="991">
        <v>0</v>
      </c>
      <c r="L12" s="991">
        <f t="shared" si="25"/>
        <v>0</v>
      </c>
      <c r="M12" s="991">
        <f t="shared" si="26"/>
        <v>0</v>
      </c>
      <c r="N12" s="1722"/>
      <c r="O12" s="991">
        <f t="shared" si="27"/>
        <v>0</v>
      </c>
      <c r="P12" s="1051">
        <f>'[18]FY2012-13 Final'!K13</f>
        <v>3576</v>
      </c>
      <c r="Q12" s="992">
        <f t="shared" si="28"/>
        <v>0</v>
      </c>
      <c r="R12" s="1117">
        <f t="shared" si="29"/>
        <v>0</v>
      </c>
      <c r="S12" s="992">
        <f t="shared" si="30"/>
        <v>0</v>
      </c>
      <c r="T12" s="992">
        <v>0</v>
      </c>
      <c r="U12" s="992">
        <f t="shared" si="31"/>
        <v>0</v>
      </c>
      <c r="V12" s="992">
        <f t="shared" si="32"/>
        <v>0</v>
      </c>
      <c r="W12" s="993">
        <f t="shared" si="33"/>
        <v>0</v>
      </c>
      <c r="X12" s="993">
        <f t="shared" si="34"/>
        <v>0</v>
      </c>
    </row>
    <row r="13" spans="1:24">
      <c r="A13" s="994">
        <v>7</v>
      </c>
      <c r="B13" s="995" t="s">
        <v>101</v>
      </c>
      <c r="C13" s="1193">
        <f>'[2]ALL-Reformatted'!Q12</f>
        <v>0</v>
      </c>
      <c r="D13" s="997">
        <f>'Table 3 Levels 1&amp;2'!BN15+'Table 3 Levels 1&amp;2'!BV15</f>
        <v>1698.1351763907733</v>
      </c>
      <c r="E13" s="1100">
        <f t="shared" si="20"/>
        <v>0</v>
      </c>
      <c r="F13" s="1100">
        <f>'Table 4 Level 3'!N12</f>
        <v>756.91999999999985</v>
      </c>
      <c r="G13" s="1100">
        <f t="shared" si="21"/>
        <v>0</v>
      </c>
      <c r="H13" s="1052">
        <f t="shared" si="22"/>
        <v>0</v>
      </c>
      <c r="I13" s="1110">
        <f t="shared" si="23"/>
        <v>0</v>
      </c>
      <c r="J13" s="1052">
        <f t="shared" si="24"/>
        <v>0</v>
      </c>
      <c r="K13" s="1052">
        <v>0</v>
      </c>
      <c r="L13" s="1052">
        <f t="shared" si="25"/>
        <v>0</v>
      </c>
      <c r="M13" s="1052">
        <f t="shared" si="26"/>
        <v>0</v>
      </c>
      <c r="N13" s="1731"/>
      <c r="O13" s="1052">
        <f t="shared" si="27"/>
        <v>0</v>
      </c>
      <c r="P13" s="1051">
        <f>'[18]FY2012-13 Final'!K14</f>
        <v>12465</v>
      </c>
      <c r="Q13" s="1053">
        <f t="shared" si="28"/>
        <v>0</v>
      </c>
      <c r="R13" s="1118">
        <f t="shared" si="29"/>
        <v>0</v>
      </c>
      <c r="S13" s="1053">
        <f t="shared" si="30"/>
        <v>0</v>
      </c>
      <c r="T13" s="1053">
        <v>0</v>
      </c>
      <c r="U13" s="1053">
        <f t="shared" si="31"/>
        <v>0</v>
      </c>
      <c r="V13" s="1053">
        <f t="shared" si="32"/>
        <v>0</v>
      </c>
      <c r="W13" s="1054">
        <f t="shared" si="33"/>
        <v>0</v>
      </c>
      <c r="X13" s="1054">
        <f t="shared" si="34"/>
        <v>0</v>
      </c>
    </row>
    <row r="14" spans="1:24">
      <c r="A14" s="994">
        <v>8</v>
      </c>
      <c r="B14" s="995" t="s">
        <v>102</v>
      </c>
      <c r="C14" s="1193">
        <f>'[2]ALL-Reformatted'!Q13</f>
        <v>0</v>
      </c>
      <c r="D14" s="997">
        <f>'Table 3 Levels 1&amp;2'!BN16+'Table 3 Levels 1&amp;2'!BV16</f>
        <v>4239.8578920718974</v>
      </c>
      <c r="E14" s="1100">
        <f t="shared" si="20"/>
        <v>0</v>
      </c>
      <c r="F14" s="1100">
        <f>'Table 4 Level 3'!N13</f>
        <v>725.76</v>
      </c>
      <c r="G14" s="1100">
        <f t="shared" si="21"/>
        <v>0</v>
      </c>
      <c r="H14" s="1052">
        <f t="shared" si="22"/>
        <v>0</v>
      </c>
      <c r="I14" s="1110">
        <f t="shared" si="23"/>
        <v>0</v>
      </c>
      <c r="J14" s="1052">
        <f t="shared" si="24"/>
        <v>0</v>
      </c>
      <c r="K14" s="1052">
        <v>0</v>
      </c>
      <c r="L14" s="1052">
        <f t="shared" si="25"/>
        <v>0</v>
      </c>
      <c r="M14" s="1052">
        <f t="shared" si="26"/>
        <v>0</v>
      </c>
      <c r="N14" s="1731"/>
      <c r="O14" s="1052">
        <f t="shared" si="27"/>
        <v>0</v>
      </c>
      <c r="P14" s="1051">
        <f>'[18]FY2012-13 Final'!K15</f>
        <v>4184</v>
      </c>
      <c r="Q14" s="1053">
        <f t="shared" si="28"/>
        <v>0</v>
      </c>
      <c r="R14" s="1118">
        <f t="shared" si="29"/>
        <v>0</v>
      </c>
      <c r="S14" s="1053">
        <f t="shared" si="30"/>
        <v>0</v>
      </c>
      <c r="T14" s="1053">
        <v>0</v>
      </c>
      <c r="U14" s="1053">
        <f t="shared" si="31"/>
        <v>0</v>
      </c>
      <c r="V14" s="1053">
        <f t="shared" si="32"/>
        <v>0</v>
      </c>
      <c r="W14" s="1054">
        <f t="shared" si="33"/>
        <v>0</v>
      </c>
      <c r="X14" s="1054">
        <f t="shared" si="34"/>
        <v>0</v>
      </c>
    </row>
    <row r="15" spans="1:24">
      <c r="A15" s="994">
        <v>9</v>
      </c>
      <c r="B15" s="995" t="s">
        <v>103</v>
      </c>
      <c r="C15" s="1193">
        <f>'[2]ALL-Reformatted'!Q14</f>
        <v>0</v>
      </c>
      <c r="D15" s="997">
        <f>'Table 3 Levels 1&amp;2'!BN17+'Table 3 Levels 1&amp;2'!BV17</f>
        <v>4361.2752875373017</v>
      </c>
      <c r="E15" s="1100">
        <f t="shared" si="20"/>
        <v>0</v>
      </c>
      <c r="F15" s="1100">
        <f>'Table 4 Level 3'!N14</f>
        <v>744.76</v>
      </c>
      <c r="G15" s="1100">
        <f t="shared" si="21"/>
        <v>0</v>
      </c>
      <c r="H15" s="1052">
        <f t="shared" si="22"/>
        <v>0</v>
      </c>
      <c r="I15" s="1110">
        <f t="shared" si="23"/>
        <v>0</v>
      </c>
      <c r="J15" s="1052">
        <f t="shared" si="24"/>
        <v>0</v>
      </c>
      <c r="K15" s="1052">
        <v>0</v>
      </c>
      <c r="L15" s="1052">
        <f t="shared" si="25"/>
        <v>0</v>
      </c>
      <c r="M15" s="1052">
        <f t="shared" si="26"/>
        <v>0</v>
      </c>
      <c r="N15" s="1731"/>
      <c r="O15" s="1052">
        <f t="shared" si="27"/>
        <v>0</v>
      </c>
      <c r="P15" s="1051">
        <f>'[18]FY2012-13 Final'!K16</f>
        <v>4640</v>
      </c>
      <c r="Q15" s="1053">
        <f t="shared" si="28"/>
        <v>0</v>
      </c>
      <c r="R15" s="1118">
        <f t="shared" si="29"/>
        <v>0</v>
      </c>
      <c r="S15" s="1053">
        <f t="shared" si="30"/>
        <v>0</v>
      </c>
      <c r="T15" s="1053">
        <v>0</v>
      </c>
      <c r="U15" s="1053">
        <f t="shared" si="31"/>
        <v>0</v>
      </c>
      <c r="V15" s="1053">
        <f t="shared" si="32"/>
        <v>0</v>
      </c>
      <c r="W15" s="1054">
        <f t="shared" si="33"/>
        <v>0</v>
      </c>
      <c r="X15" s="1054">
        <f t="shared" si="34"/>
        <v>0</v>
      </c>
    </row>
    <row r="16" spans="1:24">
      <c r="A16" s="998">
        <v>10</v>
      </c>
      <c r="B16" s="999" t="s">
        <v>104</v>
      </c>
      <c r="C16" s="1194">
        <f>'[2]ALL-Reformatted'!Q15</f>
        <v>0</v>
      </c>
      <c r="D16" s="1001">
        <f>'Table 3 Levels 1&amp;2'!BN18+'Table 3 Levels 1&amp;2'!BV18</f>
        <v>4179.4641652904756</v>
      </c>
      <c r="E16" s="1101">
        <f t="shared" si="20"/>
        <v>0</v>
      </c>
      <c r="F16" s="1101">
        <f>'Table 4 Level 3'!N15</f>
        <v>608.04000000000008</v>
      </c>
      <c r="G16" s="1101">
        <f t="shared" si="21"/>
        <v>0</v>
      </c>
      <c r="H16" s="1055">
        <f t="shared" si="22"/>
        <v>0</v>
      </c>
      <c r="I16" s="1111">
        <f t="shared" si="23"/>
        <v>0</v>
      </c>
      <c r="J16" s="1055">
        <f t="shared" si="24"/>
        <v>0</v>
      </c>
      <c r="K16" s="1055">
        <v>0</v>
      </c>
      <c r="L16" s="1055">
        <f t="shared" si="25"/>
        <v>0</v>
      </c>
      <c r="M16" s="1055">
        <f t="shared" si="26"/>
        <v>0</v>
      </c>
      <c r="N16" s="1732"/>
      <c r="O16" s="1055">
        <f t="shared" si="27"/>
        <v>0</v>
      </c>
      <c r="P16" s="1056">
        <f>'[18]FY2012-13 Final'!K17</f>
        <v>4391</v>
      </c>
      <c r="Q16" s="1057">
        <f t="shared" si="28"/>
        <v>0</v>
      </c>
      <c r="R16" s="1119">
        <f t="shared" si="29"/>
        <v>0</v>
      </c>
      <c r="S16" s="1057">
        <f t="shared" si="30"/>
        <v>0</v>
      </c>
      <c r="T16" s="1057">
        <v>0</v>
      </c>
      <c r="U16" s="1057">
        <f t="shared" si="31"/>
        <v>0</v>
      </c>
      <c r="V16" s="1057">
        <f t="shared" si="32"/>
        <v>0</v>
      </c>
      <c r="W16" s="1058">
        <f t="shared" si="33"/>
        <v>0</v>
      </c>
      <c r="X16" s="1058">
        <f t="shared" si="34"/>
        <v>0</v>
      </c>
    </row>
    <row r="17" spans="1:24">
      <c r="A17" s="987">
        <v>11</v>
      </c>
      <c r="B17" s="988" t="s">
        <v>105</v>
      </c>
      <c r="C17" s="1195">
        <f>'[2]ALL-Reformatted'!Q16</f>
        <v>0</v>
      </c>
      <c r="D17" s="990">
        <f>'Table 3 Levels 1&amp;2'!BN19+'Table 3 Levels 1&amp;2'!BV19</f>
        <v>6825.0221851487568</v>
      </c>
      <c r="E17" s="1099">
        <f t="shared" si="20"/>
        <v>0</v>
      </c>
      <c r="F17" s="1099">
        <f>'Table 4 Level 3'!N16</f>
        <v>706.55</v>
      </c>
      <c r="G17" s="1099">
        <f t="shared" si="21"/>
        <v>0</v>
      </c>
      <c r="H17" s="991">
        <f t="shared" si="22"/>
        <v>0</v>
      </c>
      <c r="I17" s="1109">
        <f t="shared" si="23"/>
        <v>0</v>
      </c>
      <c r="J17" s="991">
        <f t="shared" si="24"/>
        <v>0</v>
      </c>
      <c r="K17" s="991">
        <v>0</v>
      </c>
      <c r="L17" s="991">
        <f t="shared" si="25"/>
        <v>0</v>
      </c>
      <c r="M17" s="991">
        <f t="shared" si="26"/>
        <v>0</v>
      </c>
      <c r="N17" s="1722"/>
      <c r="O17" s="991">
        <f t="shared" si="27"/>
        <v>0</v>
      </c>
      <c r="P17" s="1051">
        <f>'[18]FY2012-13 Final'!K18</f>
        <v>3430</v>
      </c>
      <c r="Q17" s="992">
        <f t="shared" si="28"/>
        <v>0</v>
      </c>
      <c r="R17" s="1117">
        <f t="shared" si="29"/>
        <v>0</v>
      </c>
      <c r="S17" s="992">
        <f t="shared" si="30"/>
        <v>0</v>
      </c>
      <c r="T17" s="992">
        <v>0</v>
      </c>
      <c r="U17" s="992">
        <f t="shared" si="31"/>
        <v>0</v>
      </c>
      <c r="V17" s="992">
        <f t="shared" si="32"/>
        <v>0</v>
      </c>
      <c r="W17" s="993">
        <f t="shared" si="33"/>
        <v>0</v>
      </c>
      <c r="X17" s="993">
        <f t="shared" si="34"/>
        <v>0</v>
      </c>
    </row>
    <row r="18" spans="1:24">
      <c r="A18" s="994">
        <v>12</v>
      </c>
      <c r="B18" s="995" t="s">
        <v>106</v>
      </c>
      <c r="C18" s="1193">
        <f>'[2]ALL-Reformatted'!Q17</f>
        <v>0</v>
      </c>
      <c r="D18" s="997">
        <f>'Table 3 Levels 1&amp;2'!BN20+'Table 3 Levels 1&amp;2'!BV20</f>
        <v>1688.0492586490939</v>
      </c>
      <c r="E18" s="1100">
        <f t="shared" si="20"/>
        <v>0</v>
      </c>
      <c r="F18" s="1100">
        <f>'Table 4 Level 3'!N17</f>
        <v>1063.31</v>
      </c>
      <c r="G18" s="1100">
        <f t="shared" si="21"/>
        <v>0</v>
      </c>
      <c r="H18" s="1052">
        <f t="shared" si="22"/>
        <v>0</v>
      </c>
      <c r="I18" s="1110">
        <f t="shared" si="23"/>
        <v>0</v>
      </c>
      <c r="J18" s="1052">
        <f t="shared" si="24"/>
        <v>0</v>
      </c>
      <c r="K18" s="1052">
        <v>0</v>
      </c>
      <c r="L18" s="1052">
        <f t="shared" si="25"/>
        <v>0</v>
      </c>
      <c r="M18" s="1052">
        <f t="shared" si="26"/>
        <v>0</v>
      </c>
      <c r="N18" s="1731"/>
      <c r="O18" s="1052">
        <f t="shared" si="27"/>
        <v>0</v>
      </c>
      <c r="P18" s="1051">
        <f>'[18]FY2012-13 Final'!K19</f>
        <v>12558</v>
      </c>
      <c r="Q18" s="1053">
        <f t="shared" si="28"/>
        <v>0</v>
      </c>
      <c r="R18" s="1118">
        <f t="shared" si="29"/>
        <v>0</v>
      </c>
      <c r="S18" s="1053">
        <f t="shared" si="30"/>
        <v>0</v>
      </c>
      <c r="T18" s="1053">
        <v>0</v>
      </c>
      <c r="U18" s="1053">
        <f t="shared" si="31"/>
        <v>0</v>
      </c>
      <c r="V18" s="1053">
        <f t="shared" si="32"/>
        <v>0</v>
      </c>
      <c r="W18" s="1054">
        <f t="shared" si="33"/>
        <v>0</v>
      </c>
      <c r="X18" s="1054">
        <f t="shared" si="34"/>
        <v>0</v>
      </c>
    </row>
    <row r="19" spans="1:24">
      <c r="A19" s="994">
        <v>13</v>
      </c>
      <c r="B19" s="995" t="s">
        <v>107</v>
      </c>
      <c r="C19" s="1193">
        <f>'[2]ALL-Reformatted'!Q18</f>
        <v>0</v>
      </c>
      <c r="D19" s="997">
        <f>'Table 3 Levels 1&amp;2'!BN21+'Table 3 Levels 1&amp;2'!BV21</f>
        <v>6187.1651272387344</v>
      </c>
      <c r="E19" s="1100">
        <f t="shared" si="20"/>
        <v>0</v>
      </c>
      <c r="F19" s="1100">
        <f>'Table 4 Level 3'!N18</f>
        <v>749.43000000000006</v>
      </c>
      <c r="G19" s="1100">
        <f t="shared" si="21"/>
        <v>0</v>
      </c>
      <c r="H19" s="1052">
        <f t="shared" si="22"/>
        <v>0</v>
      </c>
      <c r="I19" s="1110">
        <f t="shared" si="23"/>
        <v>0</v>
      </c>
      <c r="J19" s="1052">
        <f t="shared" si="24"/>
        <v>0</v>
      </c>
      <c r="K19" s="1052">
        <v>0</v>
      </c>
      <c r="L19" s="1052">
        <f t="shared" si="25"/>
        <v>0</v>
      </c>
      <c r="M19" s="1052">
        <f t="shared" si="26"/>
        <v>0</v>
      </c>
      <c r="N19" s="1731"/>
      <c r="O19" s="1052">
        <f t="shared" si="27"/>
        <v>0</v>
      </c>
      <c r="P19" s="1051">
        <f>'[18]FY2012-13 Final'!K20</f>
        <v>2536</v>
      </c>
      <c r="Q19" s="1053">
        <f t="shared" si="28"/>
        <v>0</v>
      </c>
      <c r="R19" s="1118">
        <f t="shared" si="29"/>
        <v>0</v>
      </c>
      <c r="S19" s="1053">
        <f t="shared" si="30"/>
        <v>0</v>
      </c>
      <c r="T19" s="1053">
        <v>0</v>
      </c>
      <c r="U19" s="1053">
        <f t="shared" si="31"/>
        <v>0</v>
      </c>
      <c r="V19" s="1053">
        <f t="shared" si="32"/>
        <v>0</v>
      </c>
      <c r="W19" s="1054">
        <f t="shared" si="33"/>
        <v>0</v>
      </c>
      <c r="X19" s="1054">
        <f t="shared" si="34"/>
        <v>0</v>
      </c>
    </row>
    <row r="20" spans="1:24">
      <c r="A20" s="994">
        <v>14</v>
      </c>
      <c r="B20" s="995" t="s">
        <v>108</v>
      </c>
      <c r="C20" s="1193">
        <f>'[2]ALL-Reformatted'!Q19</f>
        <v>0</v>
      </c>
      <c r="D20" s="997">
        <f>'Table 3 Levels 1&amp;2'!BN22+'Table 3 Levels 1&amp;2'!BV22</f>
        <v>5339.1887414618923</v>
      </c>
      <c r="E20" s="1100">
        <f t="shared" si="20"/>
        <v>0</v>
      </c>
      <c r="F20" s="1100">
        <f>'Table 4 Level 3'!N19</f>
        <v>809.9799999999999</v>
      </c>
      <c r="G20" s="1100">
        <f t="shared" si="21"/>
        <v>0</v>
      </c>
      <c r="H20" s="1052">
        <f t="shared" si="22"/>
        <v>0</v>
      </c>
      <c r="I20" s="1110">
        <f t="shared" si="23"/>
        <v>0</v>
      </c>
      <c r="J20" s="1052">
        <f t="shared" si="24"/>
        <v>0</v>
      </c>
      <c r="K20" s="1052">
        <v>0</v>
      </c>
      <c r="L20" s="1052">
        <f t="shared" si="25"/>
        <v>0</v>
      </c>
      <c r="M20" s="1052">
        <f t="shared" si="26"/>
        <v>0</v>
      </c>
      <c r="N20" s="1731"/>
      <c r="O20" s="1052">
        <f t="shared" si="27"/>
        <v>0</v>
      </c>
      <c r="P20" s="1051">
        <f>'[18]FY2012-13 Final'!K21</f>
        <v>3888</v>
      </c>
      <c r="Q20" s="1053">
        <f t="shared" si="28"/>
        <v>0</v>
      </c>
      <c r="R20" s="1118">
        <f t="shared" si="29"/>
        <v>0</v>
      </c>
      <c r="S20" s="1053">
        <f t="shared" si="30"/>
        <v>0</v>
      </c>
      <c r="T20" s="1053">
        <v>0</v>
      </c>
      <c r="U20" s="1053">
        <f t="shared" si="31"/>
        <v>0</v>
      </c>
      <c r="V20" s="1053">
        <f t="shared" si="32"/>
        <v>0</v>
      </c>
      <c r="W20" s="1054">
        <f t="shared" si="33"/>
        <v>0</v>
      </c>
      <c r="X20" s="1054">
        <f t="shared" si="34"/>
        <v>0</v>
      </c>
    </row>
    <row r="21" spans="1:24">
      <c r="A21" s="998">
        <v>15</v>
      </c>
      <c r="B21" s="999" t="s">
        <v>109</v>
      </c>
      <c r="C21" s="1194">
        <f>'[2]ALL-Reformatted'!Q20</f>
        <v>0</v>
      </c>
      <c r="D21" s="1001">
        <f>'Table 3 Levels 1&amp;2'!BN23+'Table 3 Levels 1&amp;2'!BV23</f>
        <v>5492.5789412344011</v>
      </c>
      <c r="E21" s="1101">
        <f t="shared" si="20"/>
        <v>0</v>
      </c>
      <c r="F21" s="1101">
        <f>'Table 4 Level 3'!N20</f>
        <v>553.79999999999995</v>
      </c>
      <c r="G21" s="1101">
        <f t="shared" si="21"/>
        <v>0</v>
      </c>
      <c r="H21" s="1055">
        <f t="shared" si="22"/>
        <v>0</v>
      </c>
      <c r="I21" s="1111">
        <f t="shared" si="23"/>
        <v>0</v>
      </c>
      <c r="J21" s="1055">
        <f t="shared" si="24"/>
        <v>0</v>
      </c>
      <c r="K21" s="1055">
        <v>0</v>
      </c>
      <c r="L21" s="1055">
        <f t="shared" si="25"/>
        <v>0</v>
      </c>
      <c r="M21" s="1055">
        <f t="shared" si="26"/>
        <v>0</v>
      </c>
      <c r="N21" s="1732"/>
      <c r="O21" s="1055">
        <f t="shared" si="27"/>
        <v>0</v>
      </c>
      <c r="P21" s="1056">
        <f>'[18]FY2012-13 Final'!K22</f>
        <v>2752</v>
      </c>
      <c r="Q21" s="1057">
        <f t="shared" si="28"/>
        <v>0</v>
      </c>
      <c r="R21" s="1119">
        <f t="shared" si="29"/>
        <v>0</v>
      </c>
      <c r="S21" s="1057">
        <f t="shared" si="30"/>
        <v>0</v>
      </c>
      <c r="T21" s="1057">
        <v>0</v>
      </c>
      <c r="U21" s="1057">
        <f t="shared" si="31"/>
        <v>0</v>
      </c>
      <c r="V21" s="1057">
        <f t="shared" si="32"/>
        <v>0</v>
      </c>
      <c r="W21" s="1058">
        <f t="shared" si="33"/>
        <v>0</v>
      </c>
      <c r="X21" s="1058">
        <f t="shared" si="34"/>
        <v>0</v>
      </c>
    </row>
    <row r="22" spans="1:24">
      <c r="A22" s="987">
        <v>16</v>
      </c>
      <c r="B22" s="988" t="s">
        <v>110</v>
      </c>
      <c r="C22" s="1195">
        <f>'[2]ALL-Reformatted'!Q21</f>
        <v>0</v>
      </c>
      <c r="D22" s="990">
        <f>'Table 3 Levels 1&amp;2'!BN24+'Table 3 Levels 1&amp;2'!BV24</f>
        <v>1506.1153407945151</v>
      </c>
      <c r="E22" s="1099">
        <f t="shared" si="20"/>
        <v>0</v>
      </c>
      <c r="F22" s="1099">
        <f>'Table 4 Level 3'!N21</f>
        <v>686.73</v>
      </c>
      <c r="G22" s="1099">
        <f t="shared" si="21"/>
        <v>0</v>
      </c>
      <c r="H22" s="991">
        <f t="shared" si="22"/>
        <v>0</v>
      </c>
      <c r="I22" s="1109">
        <f t="shared" si="23"/>
        <v>0</v>
      </c>
      <c r="J22" s="991">
        <f t="shared" si="24"/>
        <v>0</v>
      </c>
      <c r="K22" s="991">
        <v>0</v>
      </c>
      <c r="L22" s="991">
        <f t="shared" si="25"/>
        <v>0</v>
      </c>
      <c r="M22" s="991">
        <f t="shared" si="26"/>
        <v>0</v>
      </c>
      <c r="N22" s="1722"/>
      <c r="O22" s="991">
        <f t="shared" si="27"/>
        <v>0</v>
      </c>
      <c r="P22" s="1051">
        <f>'[18]FY2012-13 Final'!K23</f>
        <v>15092</v>
      </c>
      <c r="Q22" s="992">
        <f t="shared" si="28"/>
        <v>0</v>
      </c>
      <c r="R22" s="1117">
        <f t="shared" si="29"/>
        <v>0</v>
      </c>
      <c r="S22" s="992">
        <f t="shared" si="30"/>
        <v>0</v>
      </c>
      <c r="T22" s="992">
        <v>0</v>
      </c>
      <c r="U22" s="992">
        <f t="shared" si="31"/>
        <v>0</v>
      </c>
      <c r="V22" s="992">
        <f t="shared" si="32"/>
        <v>0</v>
      </c>
      <c r="W22" s="993">
        <f t="shared" si="33"/>
        <v>0</v>
      </c>
      <c r="X22" s="993">
        <f t="shared" si="34"/>
        <v>0</v>
      </c>
    </row>
    <row r="23" spans="1:24">
      <c r="A23" s="994">
        <v>17</v>
      </c>
      <c r="B23" s="995" t="s">
        <v>111</v>
      </c>
      <c r="C23" s="1193">
        <f>'[2]ALL-Reformatted'!Q22</f>
        <v>206</v>
      </c>
      <c r="D23" s="997">
        <f>'Table 3 Levels 1&amp;2'!BN25+'Table 3 Levels 1&amp;2'!BV25</f>
        <v>3311.610845996096</v>
      </c>
      <c r="E23" s="1100">
        <f t="shared" si="20"/>
        <v>682191.83427519584</v>
      </c>
      <c r="F23" s="1100">
        <f>'Table 5B2_RSD_LA'!F7</f>
        <v>801.47762416806802</v>
      </c>
      <c r="G23" s="1100">
        <f t="shared" si="21"/>
        <v>165104.390578622</v>
      </c>
      <c r="H23" s="1052">
        <f t="shared" si="22"/>
        <v>847296.22485381784</v>
      </c>
      <c r="I23" s="1110">
        <f t="shared" si="23"/>
        <v>-2118.2405621345447</v>
      </c>
      <c r="J23" s="1052">
        <f t="shared" si="24"/>
        <v>845177.9842916833</v>
      </c>
      <c r="K23" s="1052">
        <v>0</v>
      </c>
      <c r="L23" s="1052">
        <f t="shared" si="25"/>
        <v>845177.9842916833</v>
      </c>
      <c r="M23" s="1052">
        <f t="shared" si="26"/>
        <v>70431.498690973604</v>
      </c>
      <c r="N23" s="1731"/>
      <c r="O23" s="1052">
        <f t="shared" si="27"/>
        <v>845177.9842916833</v>
      </c>
      <c r="P23" s="1051">
        <f>'[18]FY2012-13 Final'!K24</f>
        <v>6551</v>
      </c>
      <c r="Q23" s="1053">
        <f t="shared" si="28"/>
        <v>1349506</v>
      </c>
      <c r="R23" s="1118">
        <f t="shared" si="29"/>
        <v>-3373.7649999999999</v>
      </c>
      <c r="S23" s="1053">
        <f t="shared" si="30"/>
        <v>1346132.2350000001</v>
      </c>
      <c r="T23" s="1053">
        <v>0</v>
      </c>
      <c r="U23" s="1053">
        <f t="shared" si="31"/>
        <v>1346132.2350000001</v>
      </c>
      <c r="V23" s="1053">
        <f t="shared" si="32"/>
        <v>112177.68625000001</v>
      </c>
      <c r="W23" s="1054">
        <f t="shared" si="33"/>
        <v>2191310.2192916833</v>
      </c>
      <c r="X23" s="1054">
        <f t="shared" si="34"/>
        <v>182609.18494097362</v>
      </c>
    </row>
    <row r="24" spans="1:24">
      <c r="A24" s="994">
        <v>18</v>
      </c>
      <c r="B24" s="995" t="s">
        <v>112</v>
      </c>
      <c r="C24" s="1193">
        <f>'[2]ALL-Reformatted'!Q23</f>
        <v>0</v>
      </c>
      <c r="D24" s="997">
        <f>'Table 3 Levels 1&amp;2'!BN26+'Table 3 Levels 1&amp;2'!BV26</f>
        <v>5964.3490202032081</v>
      </c>
      <c r="E24" s="1100">
        <f t="shared" si="20"/>
        <v>0</v>
      </c>
      <c r="F24" s="1100">
        <f>'Table 4 Level 3'!N23</f>
        <v>845.94999999999993</v>
      </c>
      <c r="G24" s="1100">
        <f t="shared" si="21"/>
        <v>0</v>
      </c>
      <c r="H24" s="1052">
        <f t="shared" si="22"/>
        <v>0</v>
      </c>
      <c r="I24" s="1110">
        <f t="shared" si="23"/>
        <v>0</v>
      </c>
      <c r="J24" s="1052">
        <f t="shared" si="24"/>
        <v>0</v>
      </c>
      <c r="K24" s="1052">
        <v>0</v>
      </c>
      <c r="L24" s="1052">
        <f t="shared" si="25"/>
        <v>0</v>
      </c>
      <c r="M24" s="1052">
        <f t="shared" si="26"/>
        <v>0</v>
      </c>
      <c r="N24" s="1731"/>
      <c r="O24" s="1052">
        <f t="shared" si="27"/>
        <v>0</v>
      </c>
      <c r="P24" s="1051">
        <f>'[18]FY2012-13 Final'!K25</f>
        <v>2165</v>
      </c>
      <c r="Q24" s="1053">
        <f t="shared" si="28"/>
        <v>0</v>
      </c>
      <c r="R24" s="1118">
        <f t="shared" si="29"/>
        <v>0</v>
      </c>
      <c r="S24" s="1053">
        <f t="shared" si="30"/>
        <v>0</v>
      </c>
      <c r="T24" s="1053">
        <v>0</v>
      </c>
      <c r="U24" s="1053">
        <f t="shared" si="31"/>
        <v>0</v>
      </c>
      <c r="V24" s="1053">
        <f t="shared" si="32"/>
        <v>0</v>
      </c>
      <c r="W24" s="1054">
        <f t="shared" si="33"/>
        <v>0</v>
      </c>
      <c r="X24" s="1054">
        <f t="shared" si="34"/>
        <v>0</v>
      </c>
    </row>
    <row r="25" spans="1:24">
      <c r="A25" s="994">
        <v>19</v>
      </c>
      <c r="B25" s="995" t="s">
        <v>113</v>
      </c>
      <c r="C25" s="1193">
        <f>'[2]ALL-Reformatted'!Q24</f>
        <v>0</v>
      </c>
      <c r="D25" s="997">
        <f>'Table 3 Levels 1&amp;2'!BN27+'Table 3 Levels 1&amp;2'!BV27</f>
        <v>5283.1088158476596</v>
      </c>
      <c r="E25" s="1100">
        <f t="shared" si="20"/>
        <v>0</v>
      </c>
      <c r="F25" s="1100">
        <f>'Table 4 Level 3'!N24</f>
        <v>905.43</v>
      </c>
      <c r="G25" s="1100">
        <f t="shared" si="21"/>
        <v>0</v>
      </c>
      <c r="H25" s="1052">
        <f t="shared" si="22"/>
        <v>0</v>
      </c>
      <c r="I25" s="1110">
        <f t="shared" si="23"/>
        <v>0</v>
      </c>
      <c r="J25" s="1052">
        <f t="shared" si="24"/>
        <v>0</v>
      </c>
      <c r="K25" s="1052">
        <v>0</v>
      </c>
      <c r="L25" s="1052">
        <f t="shared" si="25"/>
        <v>0</v>
      </c>
      <c r="M25" s="1052">
        <f t="shared" si="26"/>
        <v>0</v>
      </c>
      <c r="N25" s="1731"/>
      <c r="O25" s="1052">
        <f t="shared" si="27"/>
        <v>0</v>
      </c>
      <c r="P25" s="1051">
        <f>'[18]FY2012-13 Final'!K26</f>
        <v>2729</v>
      </c>
      <c r="Q25" s="1053">
        <f t="shared" si="28"/>
        <v>0</v>
      </c>
      <c r="R25" s="1118">
        <f t="shared" si="29"/>
        <v>0</v>
      </c>
      <c r="S25" s="1053">
        <f t="shared" si="30"/>
        <v>0</v>
      </c>
      <c r="T25" s="1053">
        <v>0</v>
      </c>
      <c r="U25" s="1053">
        <f t="shared" si="31"/>
        <v>0</v>
      </c>
      <c r="V25" s="1053">
        <f t="shared" si="32"/>
        <v>0</v>
      </c>
      <c r="W25" s="1054">
        <f t="shared" si="33"/>
        <v>0</v>
      </c>
      <c r="X25" s="1054">
        <f t="shared" si="34"/>
        <v>0</v>
      </c>
    </row>
    <row r="26" spans="1:24">
      <c r="A26" s="998">
        <v>20</v>
      </c>
      <c r="B26" s="999" t="s">
        <v>114</v>
      </c>
      <c r="C26" s="1194">
        <f>'[2]ALL-Reformatted'!Q25</f>
        <v>0</v>
      </c>
      <c r="D26" s="1001">
        <f>'Table 3 Levels 1&amp;2'!BN28+'Table 3 Levels 1&amp;2'!BV28</f>
        <v>5389.6047094824808</v>
      </c>
      <c r="E26" s="1101">
        <f t="shared" si="20"/>
        <v>0</v>
      </c>
      <c r="F26" s="1101">
        <f>'Table 4 Level 3'!N25</f>
        <v>586.16999999999996</v>
      </c>
      <c r="G26" s="1101">
        <f t="shared" si="21"/>
        <v>0</v>
      </c>
      <c r="H26" s="1055">
        <f t="shared" si="22"/>
        <v>0</v>
      </c>
      <c r="I26" s="1111">
        <f t="shared" si="23"/>
        <v>0</v>
      </c>
      <c r="J26" s="1055">
        <f t="shared" si="24"/>
        <v>0</v>
      </c>
      <c r="K26" s="1055">
        <v>0</v>
      </c>
      <c r="L26" s="1055">
        <f t="shared" si="25"/>
        <v>0</v>
      </c>
      <c r="M26" s="1055">
        <f t="shared" si="26"/>
        <v>0</v>
      </c>
      <c r="N26" s="1732"/>
      <c r="O26" s="1055">
        <f t="shared" si="27"/>
        <v>0</v>
      </c>
      <c r="P26" s="1056">
        <f>'[18]FY2012-13 Final'!K27</f>
        <v>2334</v>
      </c>
      <c r="Q26" s="1057">
        <f t="shared" si="28"/>
        <v>0</v>
      </c>
      <c r="R26" s="1119">
        <f t="shared" si="29"/>
        <v>0</v>
      </c>
      <c r="S26" s="1057">
        <f t="shared" si="30"/>
        <v>0</v>
      </c>
      <c r="T26" s="1057">
        <v>0</v>
      </c>
      <c r="U26" s="1057">
        <f t="shared" si="31"/>
        <v>0</v>
      </c>
      <c r="V26" s="1057">
        <f t="shared" si="32"/>
        <v>0</v>
      </c>
      <c r="W26" s="1058">
        <f t="shared" si="33"/>
        <v>0</v>
      </c>
      <c r="X26" s="1058">
        <f t="shared" si="34"/>
        <v>0</v>
      </c>
    </row>
    <row r="27" spans="1:24">
      <c r="A27" s="987">
        <v>21</v>
      </c>
      <c r="B27" s="988" t="s">
        <v>115</v>
      </c>
      <c r="C27" s="1195">
        <f>'[2]ALL-Reformatted'!Q26</f>
        <v>0</v>
      </c>
      <c r="D27" s="990">
        <f>'Table 3 Levels 1&amp;2'!BN29+'Table 3 Levels 1&amp;2'!BV29</f>
        <v>5659.8229810652783</v>
      </c>
      <c r="E27" s="1099">
        <f t="shared" si="20"/>
        <v>0</v>
      </c>
      <c r="F27" s="1099">
        <f>'Table 4 Level 3'!N26</f>
        <v>610.35</v>
      </c>
      <c r="G27" s="1099">
        <f t="shared" si="21"/>
        <v>0</v>
      </c>
      <c r="H27" s="991">
        <f t="shared" si="22"/>
        <v>0</v>
      </c>
      <c r="I27" s="1109">
        <f t="shared" si="23"/>
        <v>0</v>
      </c>
      <c r="J27" s="991">
        <f t="shared" si="24"/>
        <v>0</v>
      </c>
      <c r="K27" s="991">
        <v>0</v>
      </c>
      <c r="L27" s="991">
        <f t="shared" si="25"/>
        <v>0</v>
      </c>
      <c r="M27" s="991">
        <f t="shared" si="26"/>
        <v>0</v>
      </c>
      <c r="N27" s="1722"/>
      <c r="O27" s="991">
        <f t="shared" si="27"/>
        <v>0</v>
      </c>
      <c r="P27" s="1051">
        <f>'[18]FY2012-13 Final'!K28</f>
        <v>2233</v>
      </c>
      <c r="Q27" s="992">
        <f t="shared" si="28"/>
        <v>0</v>
      </c>
      <c r="R27" s="1117">
        <f t="shared" si="29"/>
        <v>0</v>
      </c>
      <c r="S27" s="992">
        <f t="shared" si="30"/>
        <v>0</v>
      </c>
      <c r="T27" s="992">
        <v>0</v>
      </c>
      <c r="U27" s="992">
        <f t="shared" si="31"/>
        <v>0</v>
      </c>
      <c r="V27" s="992">
        <f t="shared" si="32"/>
        <v>0</v>
      </c>
      <c r="W27" s="993">
        <f t="shared" si="33"/>
        <v>0</v>
      </c>
      <c r="X27" s="993">
        <f t="shared" si="34"/>
        <v>0</v>
      </c>
    </row>
    <row r="28" spans="1:24">
      <c r="A28" s="994">
        <v>22</v>
      </c>
      <c r="B28" s="995" t="s">
        <v>116</v>
      </c>
      <c r="C28" s="1193">
        <f>'[2]ALL-Reformatted'!Q27</f>
        <v>0</v>
      </c>
      <c r="D28" s="997">
        <f>'Table 3 Levels 1&amp;2'!BN30+'Table 3 Levels 1&amp;2'!BV30</f>
        <v>6191.1997628958306</v>
      </c>
      <c r="E28" s="1100">
        <f t="shared" si="20"/>
        <v>0</v>
      </c>
      <c r="F28" s="1100">
        <f>'Table 4 Level 3'!N27</f>
        <v>496.36</v>
      </c>
      <c r="G28" s="1100">
        <f t="shared" si="21"/>
        <v>0</v>
      </c>
      <c r="H28" s="1052">
        <f t="shared" si="22"/>
        <v>0</v>
      </c>
      <c r="I28" s="1110">
        <f t="shared" si="23"/>
        <v>0</v>
      </c>
      <c r="J28" s="1052">
        <f t="shared" si="24"/>
        <v>0</v>
      </c>
      <c r="K28" s="1052">
        <v>0</v>
      </c>
      <c r="L28" s="1052">
        <f t="shared" si="25"/>
        <v>0</v>
      </c>
      <c r="M28" s="1052">
        <f t="shared" si="26"/>
        <v>0</v>
      </c>
      <c r="N28" s="1731"/>
      <c r="O28" s="1052">
        <f t="shared" si="27"/>
        <v>0</v>
      </c>
      <c r="P28" s="1051">
        <f>'[18]FY2012-13 Final'!K29</f>
        <v>1410</v>
      </c>
      <c r="Q28" s="1053">
        <f t="shared" si="28"/>
        <v>0</v>
      </c>
      <c r="R28" s="1118">
        <f t="shared" si="29"/>
        <v>0</v>
      </c>
      <c r="S28" s="1053">
        <f t="shared" si="30"/>
        <v>0</v>
      </c>
      <c r="T28" s="1053">
        <v>0</v>
      </c>
      <c r="U28" s="1053">
        <f t="shared" si="31"/>
        <v>0</v>
      </c>
      <c r="V28" s="1053">
        <f t="shared" si="32"/>
        <v>0</v>
      </c>
      <c r="W28" s="1054">
        <f t="shared" si="33"/>
        <v>0</v>
      </c>
      <c r="X28" s="1054">
        <f t="shared" si="34"/>
        <v>0</v>
      </c>
    </row>
    <row r="29" spans="1:24">
      <c r="A29" s="994">
        <v>23</v>
      </c>
      <c r="B29" s="995" t="s">
        <v>117</v>
      </c>
      <c r="C29" s="1193">
        <f>'[2]ALL-Reformatted'!Q28</f>
        <v>0</v>
      </c>
      <c r="D29" s="997">
        <f>'Table 3 Levels 1&amp;2'!BN31+'Table 3 Levels 1&amp;2'!BV31</f>
        <v>4788.2881021645453</v>
      </c>
      <c r="E29" s="1100">
        <f t="shared" si="20"/>
        <v>0</v>
      </c>
      <c r="F29" s="1100">
        <f>'Table 4 Level 3'!N28</f>
        <v>688.58</v>
      </c>
      <c r="G29" s="1100">
        <f t="shared" si="21"/>
        <v>0</v>
      </c>
      <c r="H29" s="1052">
        <f t="shared" si="22"/>
        <v>0</v>
      </c>
      <c r="I29" s="1110">
        <f t="shared" si="23"/>
        <v>0</v>
      </c>
      <c r="J29" s="1052">
        <f t="shared" si="24"/>
        <v>0</v>
      </c>
      <c r="K29" s="1052">
        <v>0</v>
      </c>
      <c r="L29" s="1052">
        <f t="shared" si="25"/>
        <v>0</v>
      </c>
      <c r="M29" s="1052">
        <f t="shared" si="26"/>
        <v>0</v>
      </c>
      <c r="N29" s="1731"/>
      <c r="O29" s="1052">
        <f t="shared" si="27"/>
        <v>0</v>
      </c>
      <c r="P29" s="1051">
        <f>'[18]FY2012-13 Final'!K30</f>
        <v>3258</v>
      </c>
      <c r="Q29" s="1053">
        <f t="shared" si="28"/>
        <v>0</v>
      </c>
      <c r="R29" s="1118">
        <f t="shared" si="29"/>
        <v>0</v>
      </c>
      <c r="S29" s="1053">
        <f t="shared" si="30"/>
        <v>0</v>
      </c>
      <c r="T29" s="1053">
        <v>0</v>
      </c>
      <c r="U29" s="1053">
        <f t="shared" si="31"/>
        <v>0</v>
      </c>
      <c r="V29" s="1053">
        <f t="shared" si="32"/>
        <v>0</v>
      </c>
      <c r="W29" s="1054">
        <f t="shared" si="33"/>
        <v>0</v>
      </c>
      <c r="X29" s="1054">
        <f t="shared" si="34"/>
        <v>0</v>
      </c>
    </row>
    <row r="30" spans="1:24">
      <c r="A30" s="994">
        <v>24</v>
      </c>
      <c r="B30" s="995" t="s">
        <v>118</v>
      </c>
      <c r="C30" s="1193">
        <f>'[2]ALL-Reformatted'!Q29</f>
        <v>0</v>
      </c>
      <c r="D30" s="997">
        <f>'Table 3 Levels 1&amp;2'!BN32+'Table 3 Levels 1&amp;2'!BV32</f>
        <v>2743.328175824176</v>
      </c>
      <c r="E30" s="1100">
        <f t="shared" si="20"/>
        <v>0</v>
      </c>
      <c r="F30" s="1100">
        <f>'Table 4 Level 3'!N29</f>
        <v>854.24999999999989</v>
      </c>
      <c r="G30" s="1100">
        <f t="shared" si="21"/>
        <v>0</v>
      </c>
      <c r="H30" s="1052">
        <f t="shared" si="22"/>
        <v>0</v>
      </c>
      <c r="I30" s="1110">
        <f t="shared" si="23"/>
        <v>0</v>
      </c>
      <c r="J30" s="1052">
        <f t="shared" si="24"/>
        <v>0</v>
      </c>
      <c r="K30" s="1052">
        <v>0</v>
      </c>
      <c r="L30" s="1052">
        <f t="shared" si="25"/>
        <v>0</v>
      </c>
      <c r="M30" s="1052">
        <f t="shared" si="26"/>
        <v>0</v>
      </c>
      <c r="N30" s="1731"/>
      <c r="O30" s="1052">
        <f t="shared" si="27"/>
        <v>0</v>
      </c>
      <c r="P30" s="1051">
        <f>'[18]FY2012-13 Final'!K31</f>
        <v>9280</v>
      </c>
      <c r="Q30" s="1053">
        <f t="shared" si="28"/>
        <v>0</v>
      </c>
      <c r="R30" s="1118">
        <f t="shared" si="29"/>
        <v>0</v>
      </c>
      <c r="S30" s="1053">
        <f t="shared" si="30"/>
        <v>0</v>
      </c>
      <c r="T30" s="1053">
        <v>0</v>
      </c>
      <c r="U30" s="1053">
        <f t="shared" si="31"/>
        <v>0</v>
      </c>
      <c r="V30" s="1053">
        <f t="shared" si="32"/>
        <v>0</v>
      </c>
      <c r="W30" s="1054">
        <f t="shared" si="33"/>
        <v>0</v>
      </c>
      <c r="X30" s="1054">
        <f t="shared" si="34"/>
        <v>0</v>
      </c>
    </row>
    <row r="31" spans="1:24">
      <c r="A31" s="998">
        <v>25</v>
      </c>
      <c r="B31" s="999" t="s">
        <v>119</v>
      </c>
      <c r="C31" s="1194">
        <f>'[2]ALL-Reformatted'!Q30</f>
        <v>0</v>
      </c>
      <c r="D31" s="1001">
        <f>'Table 3 Levels 1&amp;2'!BN33+'Table 3 Levels 1&amp;2'!BV33</f>
        <v>3799.3890273447178</v>
      </c>
      <c r="E31" s="1101">
        <f t="shared" si="20"/>
        <v>0</v>
      </c>
      <c r="F31" s="1101">
        <f>'Table 4 Level 3'!N30</f>
        <v>653.73</v>
      </c>
      <c r="G31" s="1101">
        <f t="shared" si="21"/>
        <v>0</v>
      </c>
      <c r="H31" s="1055">
        <f t="shared" si="22"/>
        <v>0</v>
      </c>
      <c r="I31" s="1111">
        <f t="shared" si="23"/>
        <v>0</v>
      </c>
      <c r="J31" s="1055">
        <f t="shared" si="24"/>
        <v>0</v>
      </c>
      <c r="K31" s="1055">
        <v>0</v>
      </c>
      <c r="L31" s="1055">
        <f t="shared" si="25"/>
        <v>0</v>
      </c>
      <c r="M31" s="1055">
        <f t="shared" si="26"/>
        <v>0</v>
      </c>
      <c r="N31" s="1732"/>
      <c r="O31" s="1055">
        <f t="shared" si="27"/>
        <v>0</v>
      </c>
      <c r="P31" s="1056">
        <f>'[18]FY2012-13 Final'!K32</f>
        <v>5351</v>
      </c>
      <c r="Q31" s="1057">
        <f t="shared" si="28"/>
        <v>0</v>
      </c>
      <c r="R31" s="1119">
        <f t="shared" si="29"/>
        <v>0</v>
      </c>
      <c r="S31" s="1057">
        <f t="shared" si="30"/>
        <v>0</v>
      </c>
      <c r="T31" s="1057">
        <v>0</v>
      </c>
      <c r="U31" s="1057">
        <f t="shared" si="31"/>
        <v>0</v>
      </c>
      <c r="V31" s="1057">
        <f t="shared" si="32"/>
        <v>0</v>
      </c>
      <c r="W31" s="1058">
        <f t="shared" si="33"/>
        <v>0</v>
      </c>
      <c r="X31" s="1058">
        <f t="shared" si="34"/>
        <v>0</v>
      </c>
    </row>
    <row r="32" spans="1:24">
      <c r="A32" s="987">
        <v>26</v>
      </c>
      <c r="B32" s="988" t="s">
        <v>120</v>
      </c>
      <c r="C32" s="1195">
        <f>'[2]ALL-Reformatted'!Q31</f>
        <v>0</v>
      </c>
      <c r="D32" s="990">
        <f>'Table 3 Levels 1&amp;2'!BN34+'Table 3 Levels 1&amp;2'!BV34</f>
        <v>3320.7842100822745</v>
      </c>
      <c r="E32" s="1099">
        <f t="shared" si="20"/>
        <v>0</v>
      </c>
      <c r="F32" s="1099">
        <f>'Table 4 Level 3'!N31</f>
        <v>836.83</v>
      </c>
      <c r="G32" s="1099">
        <f t="shared" si="21"/>
        <v>0</v>
      </c>
      <c r="H32" s="991">
        <f t="shared" si="22"/>
        <v>0</v>
      </c>
      <c r="I32" s="1109">
        <f t="shared" si="23"/>
        <v>0</v>
      </c>
      <c r="J32" s="991">
        <f t="shared" si="24"/>
        <v>0</v>
      </c>
      <c r="K32" s="991">
        <v>0</v>
      </c>
      <c r="L32" s="991">
        <f t="shared" si="25"/>
        <v>0</v>
      </c>
      <c r="M32" s="991">
        <f t="shared" si="26"/>
        <v>0</v>
      </c>
      <c r="N32" s="1722"/>
      <c r="O32" s="991">
        <f t="shared" si="27"/>
        <v>0</v>
      </c>
      <c r="P32" s="1051">
        <f>'[18]FY2012-13 Final'!K33</f>
        <v>5100</v>
      </c>
      <c r="Q32" s="992">
        <f t="shared" si="28"/>
        <v>0</v>
      </c>
      <c r="R32" s="1117">
        <f t="shared" si="29"/>
        <v>0</v>
      </c>
      <c r="S32" s="992">
        <f t="shared" si="30"/>
        <v>0</v>
      </c>
      <c r="T32" s="992">
        <v>0</v>
      </c>
      <c r="U32" s="992">
        <f t="shared" si="31"/>
        <v>0</v>
      </c>
      <c r="V32" s="992">
        <f t="shared" si="32"/>
        <v>0</v>
      </c>
      <c r="W32" s="993">
        <f t="shared" si="33"/>
        <v>0</v>
      </c>
      <c r="X32" s="993">
        <f t="shared" si="34"/>
        <v>0</v>
      </c>
    </row>
    <row r="33" spans="1:24">
      <c r="A33" s="994">
        <v>27</v>
      </c>
      <c r="B33" s="995" t="s">
        <v>121</v>
      </c>
      <c r="C33" s="1196">
        <f>'[2]ALL-Reformatted'!Q32</f>
        <v>0</v>
      </c>
      <c r="D33" s="1003">
        <f>'Table 3 Levels 1&amp;2'!BN35+'Table 3 Levels 1&amp;2'!BV35</f>
        <v>5636.5919457972805</v>
      </c>
      <c r="E33" s="1102">
        <f t="shared" si="20"/>
        <v>0</v>
      </c>
      <c r="F33" s="1102">
        <f>'Table 4 Level 3'!N32</f>
        <v>693.06</v>
      </c>
      <c r="G33" s="1102">
        <f t="shared" si="21"/>
        <v>0</v>
      </c>
      <c r="H33" s="1059">
        <f t="shared" si="22"/>
        <v>0</v>
      </c>
      <c r="I33" s="1112">
        <f t="shared" si="23"/>
        <v>0</v>
      </c>
      <c r="J33" s="1059">
        <f t="shared" si="24"/>
        <v>0</v>
      </c>
      <c r="K33" s="1059">
        <v>0</v>
      </c>
      <c r="L33" s="1059">
        <f t="shared" si="25"/>
        <v>0</v>
      </c>
      <c r="M33" s="1059">
        <f t="shared" si="26"/>
        <v>0</v>
      </c>
      <c r="N33" s="1733"/>
      <c r="O33" s="1059">
        <f t="shared" si="27"/>
        <v>0</v>
      </c>
      <c r="P33" s="1051">
        <f>'[18]FY2012-13 Final'!K34</f>
        <v>3091</v>
      </c>
      <c r="Q33" s="1053">
        <f t="shared" si="28"/>
        <v>0</v>
      </c>
      <c r="R33" s="1118">
        <f t="shared" si="29"/>
        <v>0</v>
      </c>
      <c r="S33" s="1053">
        <f t="shared" si="30"/>
        <v>0</v>
      </c>
      <c r="T33" s="1053">
        <v>0</v>
      </c>
      <c r="U33" s="1053">
        <f t="shared" si="31"/>
        <v>0</v>
      </c>
      <c r="V33" s="1053">
        <f t="shared" si="32"/>
        <v>0</v>
      </c>
      <c r="W33" s="1054">
        <f t="shared" si="33"/>
        <v>0</v>
      </c>
      <c r="X33" s="1054">
        <f t="shared" si="34"/>
        <v>0</v>
      </c>
    </row>
    <row r="34" spans="1:24">
      <c r="A34" s="994">
        <v>28</v>
      </c>
      <c r="B34" s="995" t="s">
        <v>122</v>
      </c>
      <c r="C34" s="1196">
        <f>'[2]ALL-Reformatted'!Q33</f>
        <v>0</v>
      </c>
      <c r="D34" s="1003">
        <f>'Table 3 Levels 1&amp;2'!BN36+'Table 3 Levels 1&amp;2'!BV36</f>
        <v>3106.8056522508969</v>
      </c>
      <c r="E34" s="1102">
        <f t="shared" si="20"/>
        <v>0</v>
      </c>
      <c r="F34" s="1102">
        <f>'Table 4 Level 3'!N33</f>
        <v>694.4</v>
      </c>
      <c r="G34" s="1102">
        <f t="shared" si="21"/>
        <v>0</v>
      </c>
      <c r="H34" s="1059">
        <f t="shared" si="22"/>
        <v>0</v>
      </c>
      <c r="I34" s="1112">
        <f t="shared" si="23"/>
        <v>0</v>
      </c>
      <c r="J34" s="1059">
        <f t="shared" si="24"/>
        <v>0</v>
      </c>
      <c r="K34" s="1059">
        <v>0</v>
      </c>
      <c r="L34" s="1059">
        <f t="shared" si="25"/>
        <v>0</v>
      </c>
      <c r="M34" s="1059">
        <f t="shared" si="26"/>
        <v>0</v>
      </c>
      <c r="N34" s="1733"/>
      <c r="O34" s="1059">
        <f t="shared" si="27"/>
        <v>0</v>
      </c>
      <c r="P34" s="1051">
        <f>'[18]FY2012-13 Final'!K35</f>
        <v>5323</v>
      </c>
      <c r="Q34" s="1053">
        <f t="shared" si="28"/>
        <v>0</v>
      </c>
      <c r="R34" s="1118">
        <f t="shared" si="29"/>
        <v>0</v>
      </c>
      <c r="S34" s="1053">
        <f t="shared" si="30"/>
        <v>0</v>
      </c>
      <c r="T34" s="1053">
        <v>0</v>
      </c>
      <c r="U34" s="1053">
        <f t="shared" si="31"/>
        <v>0</v>
      </c>
      <c r="V34" s="1053">
        <f t="shared" si="32"/>
        <v>0</v>
      </c>
      <c r="W34" s="1054">
        <f t="shared" si="33"/>
        <v>0</v>
      </c>
      <c r="X34" s="1054">
        <f t="shared" si="34"/>
        <v>0</v>
      </c>
    </row>
    <row r="35" spans="1:24">
      <c r="A35" s="994">
        <v>29</v>
      </c>
      <c r="B35" s="995" t="s">
        <v>123</v>
      </c>
      <c r="C35" s="1196">
        <f>'[2]ALL-Reformatted'!Q34</f>
        <v>0</v>
      </c>
      <c r="D35" s="1003">
        <f>'Table 3 Levels 1&amp;2'!BN37+'Table 3 Levels 1&amp;2'!BV37</f>
        <v>3912.1846976122315</v>
      </c>
      <c r="E35" s="1102">
        <f t="shared" si="20"/>
        <v>0</v>
      </c>
      <c r="F35" s="1102">
        <f>'Table 4 Level 3'!N34</f>
        <v>754.94999999999993</v>
      </c>
      <c r="G35" s="1102">
        <f t="shared" si="21"/>
        <v>0</v>
      </c>
      <c r="H35" s="1059">
        <f t="shared" si="22"/>
        <v>0</v>
      </c>
      <c r="I35" s="1112">
        <f t="shared" si="23"/>
        <v>0</v>
      </c>
      <c r="J35" s="1059">
        <f t="shared" si="24"/>
        <v>0</v>
      </c>
      <c r="K35" s="1059">
        <v>0</v>
      </c>
      <c r="L35" s="1059">
        <f t="shared" si="25"/>
        <v>0</v>
      </c>
      <c r="M35" s="1059">
        <f t="shared" si="26"/>
        <v>0</v>
      </c>
      <c r="N35" s="1733"/>
      <c r="O35" s="1059">
        <f t="shared" si="27"/>
        <v>0</v>
      </c>
      <c r="P35" s="1051">
        <f>'[18]FY2012-13 Final'!K36</f>
        <v>4388</v>
      </c>
      <c r="Q35" s="1053">
        <f t="shared" si="28"/>
        <v>0</v>
      </c>
      <c r="R35" s="1118">
        <f t="shared" si="29"/>
        <v>0</v>
      </c>
      <c r="S35" s="1053">
        <f t="shared" si="30"/>
        <v>0</v>
      </c>
      <c r="T35" s="1053">
        <v>0</v>
      </c>
      <c r="U35" s="1053">
        <f t="shared" si="31"/>
        <v>0</v>
      </c>
      <c r="V35" s="1053">
        <f t="shared" si="32"/>
        <v>0</v>
      </c>
      <c r="W35" s="1054">
        <f t="shared" si="33"/>
        <v>0</v>
      </c>
      <c r="X35" s="1054">
        <f t="shared" si="34"/>
        <v>0</v>
      </c>
    </row>
    <row r="36" spans="1:24">
      <c r="A36" s="998">
        <v>30</v>
      </c>
      <c r="B36" s="999" t="s">
        <v>124</v>
      </c>
      <c r="C36" s="1197">
        <f>'[2]ALL-Reformatted'!Q35</f>
        <v>0</v>
      </c>
      <c r="D36" s="1005">
        <f>'Table 3 Levels 1&amp;2'!BN38+'Table 3 Levels 1&amp;2'!BV38</f>
        <v>5594.0091640611508</v>
      </c>
      <c r="E36" s="1103">
        <f t="shared" si="20"/>
        <v>0</v>
      </c>
      <c r="F36" s="1103">
        <f>'Table 4 Level 3'!N35</f>
        <v>727.17</v>
      </c>
      <c r="G36" s="1103">
        <f t="shared" si="21"/>
        <v>0</v>
      </c>
      <c r="H36" s="1060">
        <f t="shared" si="22"/>
        <v>0</v>
      </c>
      <c r="I36" s="1113">
        <f t="shared" si="23"/>
        <v>0</v>
      </c>
      <c r="J36" s="1060">
        <f t="shared" si="24"/>
        <v>0</v>
      </c>
      <c r="K36" s="1060">
        <v>0</v>
      </c>
      <c r="L36" s="1060">
        <f t="shared" si="25"/>
        <v>0</v>
      </c>
      <c r="M36" s="1060">
        <f t="shared" si="26"/>
        <v>0</v>
      </c>
      <c r="N36" s="1734"/>
      <c r="O36" s="1060">
        <f t="shared" si="27"/>
        <v>0</v>
      </c>
      <c r="P36" s="1056">
        <f>'[18]FY2012-13 Final'!K37</f>
        <v>3702</v>
      </c>
      <c r="Q36" s="1057">
        <f t="shared" si="28"/>
        <v>0</v>
      </c>
      <c r="R36" s="1119">
        <f t="shared" si="29"/>
        <v>0</v>
      </c>
      <c r="S36" s="1057">
        <f t="shared" si="30"/>
        <v>0</v>
      </c>
      <c r="T36" s="1057">
        <v>0</v>
      </c>
      <c r="U36" s="1057">
        <f t="shared" si="31"/>
        <v>0</v>
      </c>
      <c r="V36" s="1057">
        <f t="shared" si="32"/>
        <v>0</v>
      </c>
      <c r="W36" s="1058">
        <f t="shared" si="33"/>
        <v>0</v>
      </c>
      <c r="X36" s="1058">
        <f t="shared" si="34"/>
        <v>0</v>
      </c>
    </row>
    <row r="37" spans="1:24">
      <c r="A37" s="987">
        <v>31</v>
      </c>
      <c r="B37" s="988" t="s">
        <v>125</v>
      </c>
      <c r="C37" s="1198">
        <f>'[2]ALL-Reformatted'!Q36</f>
        <v>0</v>
      </c>
      <c r="D37" s="1007">
        <f>'Table 3 Levels 1&amp;2'!BN39+'Table 3 Levels 1&amp;2'!BV39</f>
        <v>4320.114188911979</v>
      </c>
      <c r="E37" s="1104">
        <f t="shared" si="20"/>
        <v>0</v>
      </c>
      <c r="F37" s="1104">
        <f>'Table 4 Level 3'!N36</f>
        <v>620.83000000000004</v>
      </c>
      <c r="G37" s="1104">
        <f t="shared" si="21"/>
        <v>0</v>
      </c>
      <c r="H37" s="1061">
        <f t="shared" si="22"/>
        <v>0</v>
      </c>
      <c r="I37" s="1114">
        <f t="shared" si="23"/>
        <v>0</v>
      </c>
      <c r="J37" s="1061">
        <f t="shared" si="24"/>
        <v>0</v>
      </c>
      <c r="K37" s="1061">
        <v>0</v>
      </c>
      <c r="L37" s="1061">
        <f t="shared" si="25"/>
        <v>0</v>
      </c>
      <c r="M37" s="1061">
        <f t="shared" si="26"/>
        <v>0</v>
      </c>
      <c r="N37" s="1727"/>
      <c r="O37" s="1061">
        <f t="shared" si="27"/>
        <v>0</v>
      </c>
      <c r="P37" s="1051">
        <f>'[18]FY2012-13 Final'!K38</f>
        <v>4669</v>
      </c>
      <c r="Q37" s="992">
        <f t="shared" si="28"/>
        <v>0</v>
      </c>
      <c r="R37" s="1117">
        <f t="shared" si="29"/>
        <v>0</v>
      </c>
      <c r="S37" s="992">
        <f t="shared" si="30"/>
        <v>0</v>
      </c>
      <c r="T37" s="992">
        <v>0</v>
      </c>
      <c r="U37" s="992">
        <f t="shared" si="31"/>
        <v>0</v>
      </c>
      <c r="V37" s="992">
        <f t="shared" si="32"/>
        <v>0</v>
      </c>
      <c r="W37" s="993">
        <f t="shared" si="33"/>
        <v>0</v>
      </c>
      <c r="X37" s="993">
        <f t="shared" si="34"/>
        <v>0</v>
      </c>
    </row>
    <row r="38" spans="1:24">
      <c r="A38" s="994">
        <v>32</v>
      </c>
      <c r="B38" s="995" t="s">
        <v>126</v>
      </c>
      <c r="C38" s="1196">
        <f>'[2]ALL-Reformatted'!Q37</f>
        <v>0</v>
      </c>
      <c r="D38" s="1003">
        <f>'Table 3 Levels 1&amp;2'!BN40+'Table 3 Levels 1&amp;2'!BV40</f>
        <v>5504.4479209353676</v>
      </c>
      <c r="E38" s="1102">
        <f t="shared" si="20"/>
        <v>0</v>
      </c>
      <c r="F38" s="1102">
        <f>'Table 4 Level 3'!N37</f>
        <v>559.77</v>
      </c>
      <c r="G38" s="1102">
        <f t="shared" si="21"/>
        <v>0</v>
      </c>
      <c r="H38" s="1059">
        <f t="shared" si="22"/>
        <v>0</v>
      </c>
      <c r="I38" s="1112">
        <f t="shared" si="23"/>
        <v>0</v>
      </c>
      <c r="J38" s="1059">
        <f t="shared" si="24"/>
        <v>0</v>
      </c>
      <c r="K38" s="1059">
        <v>0</v>
      </c>
      <c r="L38" s="1059">
        <f t="shared" si="25"/>
        <v>0</v>
      </c>
      <c r="M38" s="1059">
        <f t="shared" si="26"/>
        <v>0</v>
      </c>
      <c r="N38" s="1733"/>
      <c r="O38" s="1059">
        <f t="shared" si="27"/>
        <v>0</v>
      </c>
      <c r="P38" s="1051">
        <f>'[18]FY2012-13 Final'!K39</f>
        <v>1965</v>
      </c>
      <c r="Q38" s="1053">
        <f t="shared" si="28"/>
        <v>0</v>
      </c>
      <c r="R38" s="1118">
        <f t="shared" si="29"/>
        <v>0</v>
      </c>
      <c r="S38" s="1053">
        <f t="shared" si="30"/>
        <v>0</v>
      </c>
      <c r="T38" s="1053">
        <v>0</v>
      </c>
      <c r="U38" s="1053">
        <f t="shared" si="31"/>
        <v>0</v>
      </c>
      <c r="V38" s="1053">
        <f t="shared" si="32"/>
        <v>0</v>
      </c>
      <c r="W38" s="1054">
        <f t="shared" si="33"/>
        <v>0</v>
      </c>
      <c r="X38" s="1054">
        <f t="shared" si="34"/>
        <v>0</v>
      </c>
    </row>
    <row r="39" spans="1:24">
      <c r="A39" s="994">
        <v>33</v>
      </c>
      <c r="B39" s="995" t="s">
        <v>127</v>
      </c>
      <c r="C39" s="1196">
        <f>'[2]ALL-Reformatted'!Q38</f>
        <v>0</v>
      </c>
      <c r="D39" s="1003">
        <f>'Table 3 Levels 1&amp;2'!BN41+'Table 3 Levels 1&amp;2'!BV41</f>
        <v>5322.07272511876</v>
      </c>
      <c r="E39" s="1102">
        <f t="shared" si="20"/>
        <v>0</v>
      </c>
      <c r="F39" s="1102">
        <f>'Table 4 Level 3'!N38</f>
        <v>655.31000000000006</v>
      </c>
      <c r="G39" s="1102">
        <f t="shared" si="21"/>
        <v>0</v>
      </c>
      <c r="H39" s="1059">
        <f t="shared" si="22"/>
        <v>0</v>
      </c>
      <c r="I39" s="1112">
        <f t="shared" si="23"/>
        <v>0</v>
      </c>
      <c r="J39" s="1059">
        <f t="shared" si="24"/>
        <v>0</v>
      </c>
      <c r="K39" s="1059">
        <v>0</v>
      </c>
      <c r="L39" s="1059">
        <f t="shared" si="25"/>
        <v>0</v>
      </c>
      <c r="M39" s="1059">
        <f t="shared" si="26"/>
        <v>0</v>
      </c>
      <c r="N39" s="1733"/>
      <c r="O39" s="1059">
        <f t="shared" si="27"/>
        <v>0</v>
      </c>
      <c r="P39" s="1051">
        <f>'[18]FY2012-13 Final'!K40</f>
        <v>2771</v>
      </c>
      <c r="Q39" s="1053">
        <f t="shared" si="28"/>
        <v>0</v>
      </c>
      <c r="R39" s="1118">
        <f t="shared" si="29"/>
        <v>0</v>
      </c>
      <c r="S39" s="1053">
        <f t="shared" si="30"/>
        <v>0</v>
      </c>
      <c r="T39" s="1053">
        <v>0</v>
      </c>
      <c r="U39" s="1053">
        <f t="shared" si="31"/>
        <v>0</v>
      </c>
      <c r="V39" s="1053">
        <f t="shared" si="32"/>
        <v>0</v>
      </c>
      <c r="W39" s="1054">
        <f t="shared" si="33"/>
        <v>0</v>
      </c>
      <c r="X39" s="1054">
        <f t="shared" si="34"/>
        <v>0</v>
      </c>
    </row>
    <row r="40" spans="1:24">
      <c r="A40" s="994">
        <v>34</v>
      </c>
      <c r="B40" s="995" t="s">
        <v>128</v>
      </c>
      <c r="C40" s="1196">
        <f>'[2]ALL-Reformatted'!Q39</f>
        <v>0</v>
      </c>
      <c r="D40" s="1003">
        <f>'Table 3 Levels 1&amp;2'!BN42+'Table 3 Levels 1&amp;2'!BV42</f>
        <v>5959.062840731639</v>
      </c>
      <c r="E40" s="1102">
        <f t="shared" si="20"/>
        <v>0</v>
      </c>
      <c r="F40" s="1102">
        <f>'Table 4 Level 3'!N39</f>
        <v>644.11000000000013</v>
      </c>
      <c r="G40" s="1102">
        <f t="shared" si="21"/>
        <v>0</v>
      </c>
      <c r="H40" s="1059">
        <f t="shared" si="22"/>
        <v>0</v>
      </c>
      <c r="I40" s="1112">
        <f t="shared" si="23"/>
        <v>0</v>
      </c>
      <c r="J40" s="1059">
        <f t="shared" si="24"/>
        <v>0</v>
      </c>
      <c r="K40" s="1059">
        <v>0</v>
      </c>
      <c r="L40" s="1059">
        <f t="shared" si="25"/>
        <v>0</v>
      </c>
      <c r="M40" s="1059">
        <f t="shared" si="26"/>
        <v>0</v>
      </c>
      <c r="N40" s="1733"/>
      <c r="O40" s="1059">
        <f t="shared" si="27"/>
        <v>0</v>
      </c>
      <c r="P40" s="1051">
        <f>'[18]FY2012-13 Final'!K41</f>
        <v>2758</v>
      </c>
      <c r="Q40" s="1053">
        <f t="shared" si="28"/>
        <v>0</v>
      </c>
      <c r="R40" s="1118">
        <f t="shared" si="29"/>
        <v>0</v>
      </c>
      <c r="S40" s="1053">
        <f t="shared" si="30"/>
        <v>0</v>
      </c>
      <c r="T40" s="1053">
        <v>0</v>
      </c>
      <c r="U40" s="1053">
        <f t="shared" si="31"/>
        <v>0</v>
      </c>
      <c r="V40" s="1053">
        <f t="shared" si="32"/>
        <v>0</v>
      </c>
      <c r="W40" s="1054">
        <f t="shared" si="33"/>
        <v>0</v>
      </c>
      <c r="X40" s="1054">
        <f t="shared" si="34"/>
        <v>0</v>
      </c>
    </row>
    <row r="41" spans="1:24">
      <c r="A41" s="998">
        <v>35</v>
      </c>
      <c r="B41" s="999" t="s">
        <v>129</v>
      </c>
      <c r="C41" s="1197">
        <f>'[2]ALL-Reformatted'!Q40</f>
        <v>0</v>
      </c>
      <c r="D41" s="1005">
        <f>'Table 3 Levels 1&amp;2'!BN43+'Table 3 Levels 1&amp;2'!BV43</f>
        <v>4571.947611490059</v>
      </c>
      <c r="E41" s="1103">
        <f t="shared" si="20"/>
        <v>0</v>
      </c>
      <c r="F41" s="1103">
        <f>'Table 4 Level 3'!N40</f>
        <v>537.96</v>
      </c>
      <c r="G41" s="1103">
        <f t="shared" si="21"/>
        <v>0</v>
      </c>
      <c r="H41" s="1060">
        <f t="shared" si="22"/>
        <v>0</v>
      </c>
      <c r="I41" s="1113">
        <f t="shared" si="23"/>
        <v>0</v>
      </c>
      <c r="J41" s="1060">
        <f t="shared" si="24"/>
        <v>0</v>
      </c>
      <c r="K41" s="1060">
        <v>0</v>
      </c>
      <c r="L41" s="1060">
        <f t="shared" si="25"/>
        <v>0</v>
      </c>
      <c r="M41" s="1060">
        <f t="shared" si="26"/>
        <v>0</v>
      </c>
      <c r="N41" s="1734"/>
      <c r="O41" s="1060">
        <f t="shared" si="27"/>
        <v>0</v>
      </c>
      <c r="P41" s="1056">
        <f>'[18]FY2012-13 Final'!K42</f>
        <v>3603</v>
      </c>
      <c r="Q41" s="1057">
        <f t="shared" si="28"/>
        <v>0</v>
      </c>
      <c r="R41" s="1119">
        <f t="shared" si="29"/>
        <v>0</v>
      </c>
      <c r="S41" s="1057">
        <f t="shared" si="30"/>
        <v>0</v>
      </c>
      <c r="T41" s="1057">
        <v>0</v>
      </c>
      <c r="U41" s="1057">
        <f t="shared" si="31"/>
        <v>0</v>
      </c>
      <c r="V41" s="1057">
        <f t="shared" si="32"/>
        <v>0</v>
      </c>
      <c r="W41" s="1058">
        <f t="shared" si="33"/>
        <v>0</v>
      </c>
      <c r="X41" s="1058">
        <f t="shared" si="34"/>
        <v>0</v>
      </c>
    </row>
    <row r="42" spans="1:24">
      <c r="A42" s="987">
        <v>36</v>
      </c>
      <c r="B42" s="988" t="s">
        <v>130</v>
      </c>
      <c r="C42" s="1198">
        <f>'[2]ALL-Reformatted'!Q41</f>
        <v>0</v>
      </c>
      <c r="D42" s="1007">
        <f>'Table 3 Levels 1&amp;2'!BN44+'Table 3 Levels 1&amp;2'!BV44</f>
        <v>3666.4136012725312</v>
      </c>
      <c r="E42" s="1104">
        <f t="shared" si="20"/>
        <v>0</v>
      </c>
      <c r="F42" s="1104">
        <f>'Table 5B1_RSD_Orleans'!F78</f>
        <v>746.0335616438357</v>
      </c>
      <c r="G42" s="1104">
        <f t="shared" si="21"/>
        <v>0</v>
      </c>
      <c r="H42" s="1061">
        <f t="shared" si="22"/>
        <v>0</v>
      </c>
      <c r="I42" s="1114">
        <f t="shared" si="23"/>
        <v>0</v>
      </c>
      <c r="J42" s="1061">
        <f t="shared" si="24"/>
        <v>0</v>
      </c>
      <c r="K42" s="1061">
        <v>0</v>
      </c>
      <c r="L42" s="1061">
        <f t="shared" si="25"/>
        <v>0</v>
      </c>
      <c r="M42" s="1061">
        <f t="shared" si="26"/>
        <v>0</v>
      </c>
      <c r="N42" s="1727"/>
      <c r="O42" s="1061">
        <f t="shared" si="27"/>
        <v>0</v>
      </c>
      <c r="P42" s="1051">
        <f>'[18]FY2012-13 Final'!K43</f>
        <v>4601</v>
      </c>
      <c r="Q42" s="992">
        <f t="shared" si="28"/>
        <v>0</v>
      </c>
      <c r="R42" s="1117">
        <f t="shared" si="29"/>
        <v>0</v>
      </c>
      <c r="S42" s="992">
        <f t="shared" si="30"/>
        <v>0</v>
      </c>
      <c r="T42" s="992">
        <v>0</v>
      </c>
      <c r="U42" s="992">
        <f t="shared" si="31"/>
        <v>0</v>
      </c>
      <c r="V42" s="992">
        <f t="shared" si="32"/>
        <v>0</v>
      </c>
      <c r="W42" s="993">
        <f t="shared" si="33"/>
        <v>0</v>
      </c>
      <c r="X42" s="993">
        <f t="shared" si="34"/>
        <v>0</v>
      </c>
    </row>
    <row r="43" spans="1:24">
      <c r="A43" s="994">
        <v>37</v>
      </c>
      <c r="B43" s="995" t="s">
        <v>131</v>
      </c>
      <c r="C43" s="1196">
        <f>'[2]ALL-Reformatted'!Q42</f>
        <v>0</v>
      </c>
      <c r="D43" s="1003">
        <f>'Table 3 Levels 1&amp;2'!BN45+'Table 3 Levels 1&amp;2'!BV45</f>
        <v>5484.8089042263191</v>
      </c>
      <c r="E43" s="1102">
        <f t="shared" si="20"/>
        <v>0</v>
      </c>
      <c r="F43" s="1102">
        <f>'Table 4 Level 3'!N42</f>
        <v>653.61</v>
      </c>
      <c r="G43" s="1102">
        <f t="shared" si="21"/>
        <v>0</v>
      </c>
      <c r="H43" s="1059">
        <f t="shared" si="22"/>
        <v>0</v>
      </c>
      <c r="I43" s="1112">
        <f t="shared" si="23"/>
        <v>0</v>
      </c>
      <c r="J43" s="1059">
        <f t="shared" si="24"/>
        <v>0</v>
      </c>
      <c r="K43" s="1059">
        <v>0</v>
      </c>
      <c r="L43" s="1059">
        <f t="shared" si="25"/>
        <v>0</v>
      </c>
      <c r="M43" s="1059">
        <f t="shared" si="26"/>
        <v>0</v>
      </c>
      <c r="N43" s="1733"/>
      <c r="O43" s="1059">
        <f t="shared" si="27"/>
        <v>0</v>
      </c>
      <c r="P43" s="1051">
        <f>'[18]FY2012-13 Final'!K44</f>
        <v>3099</v>
      </c>
      <c r="Q43" s="1053">
        <f t="shared" si="28"/>
        <v>0</v>
      </c>
      <c r="R43" s="1118">
        <f t="shared" si="29"/>
        <v>0</v>
      </c>
      <c r="S43" s="1053">
        <f t="shared" si="30"/>
        <v>0</v>
      </c>
      <c r="T43" s="1053">
        <v>0</v>
      </c>
      <c r="U43" s="1053">
        <f t="shared" si="31"/>
        <v>0</v>
      </c>
      <c r="V43" s="1053">
        <f t="shared" si="32"/>
        <v>0</v>
      </c>
      <c r="W43" s="1054">
        <f t="shared" si="33"/>
        <v>0</v>
      </c>
      <c r="X43" s="1054">
        <f t="shared" si="34"/>
        <v>0</v>
      </c>
    </row>
    <row r="44" spans="1:24">
      <c r="A44" s="994">
        <v>38</v>
      </c>
      <c r="B44" s="995" t="s">
        <v>132</v>
      </c>
      <c r="C44" s="1196">
        <f>'[2]ALL-Reformatted'!Q43</f>
        <v>0</v>
      </c>
      <c r="D44" s="1003">
        <f>'Table 3 Levels 1&amp;2'!BN46+'Table 3 Levels 1&amp;2'!BV46</f>
        <v>2078.5917829727841</v>
      </c>
      <c r="E44" s="1102">
        <f t="shared" si="20"/>
        <v>0</v>
      </c>
      <c r="F44" s="1102">
        <f>'Table 4 Level 3'!N43</f>
        <v>829.92000000000007</v>
      </c>
      <c r="G44" s="1102">
        <f t="shared" si="21"/>
        <v>0</v>
      </c>
      <c r="H44" s="1059">
        <f t="shared" si="22"/>
        <v>0</v>
      </c>
      <c r="I44" s="1112">
        <f t="shared" si="23"/>
        <v>0</v>
      </c>
      <c r="J44" s="1059">
        <f t="shared" si="24"/>
        <v>0</v>
      </c>
      <c r="K44" s="1059">
        <v>0</v>
      </c>
      <c r="L44" s="1059">
        <f t="shared" si="25"/>
        <v>0</v>
      </c>
      <c r="M44" s="1059">
        <f t="shared" si="26"/>
        <v>0</v>
      </c>
      <c r="N44" s="1733"/>
      <c r="O44" s="1059">
        <f t="shared" si="27"/>
        <v>0</v>
      </c>
      <c r="P44" s="1051">
        <f>'[18]FY2012-13 Final'!K45</f>
        <v>9674</v>
      </c>
      <c r="Q44" s="1053">
        <f t="shared" si="28"/>
        <v>0</v>
      </c>
      <c r="R44" s="1118">
        <f t="shared" si="29"/>
        <v>0</v>
      </c>
      <c r="S44" s="1053">
        <f t="shared" si="30"/>
        <v>0</v>
      </c>
      <c r="T44" s="1053">
        <v>0</v>
      </c>
      <c r="U44" s="1053">
        <f t="shared" si="31"/>
        <v>0</v>
      </c>
      <c r="V44" s="1053">
        <f t="shared" si="32"/>
        <v>0</v>
      </c>
      <c r="W44" s="1054">
        <f t="shared" si="33"/>
        <v>0</v>
      </c>
      <c r="X44" s="1054">
        <f t="shared" si="34"/>
        <v>0</v>
      </c>
    </row>
    <row r="45" spans="1:24">
      <c r="A45" s="994">
        <v>39</v>
      </c>
      <c r="B45" s="995" t="s">
        <v>133</v>
      </c>
      <c r="C45" s="1196">
        <f>'[2]ALL-Reformatted'!Q44</f>
        <v>0</v>
      </c>
      <c r="D45" s="1003">
        <f>'Table 3 Levels 1&amp;2'!BN47+'Table 3 Levels 1&amp;2'!BV47</f>
        <v>3622.4878999042335</v>
      </c>
      <c r="E45" s="1102">
        <f t="shared" si="20"/>
        <v>0</v>
      </c>
      <c r="F45" s="1102">
        <f>'Table 5B2_RSD_LA'!F21</f>
        <v>779.65573042776441</v>
      </c>
      <c r="G45" s="1102">
        <f t="shared" si="21"/>
        <v>0</v>
      </c>
      <c r="H45" s="1059">
        <f t="shared" si="22"/>
        <v>0</v>
      </c>
      <c r="I45" s="1112">
        <f t="shared" si="23"/>
        <v>0</v>
      </c>
      <c r="J45" s="1059">
        <f t="shared" si="24"/>
        <v>0</v>
      </c>
      <c r="K45" s="1059">
        <v>0</v>
      </c>
      <c r="L45" s="1059">
        <f t="shared" si="25"/>
        <v>0</v>
      </c>
      <c r="M45" s="1059">
        <f t="shared" si="26"/>
        <v>0</v>
      </c>
      <c r="N45" s="1733"/>
      <c r="O45" s="1059">
        <f t="shared" si="27"/>
        <v>0</v>
      </c>
      <c r="P45" s="1051">
        <f>'[18]FY2012-13 Final'!K46</f>
        <v>4277</v>
      </c>
      <c r="Q45" s="1053">
        <f t="shared" si="28"/>
        <v>0</v>
      </c>
      <c r="R45" s="1118">
        <f t="shared" si="29"/>
        <v>0</v>
      </c>
      <c r="S45" s="1053">
        <f t="shared" si="30"/>
        <v>0</v>
      </c>
      <c r="T45" s="1053">
        <v>0</v>
      </c>
      <c r="U45" s="1053">
        <f t="shared" si="31"/>
        <v>0</v>
      </c>
      <c r="V45" s="1053">
        <f t="shared" si="32"/>
        <v>0</v>
      </c>
      <c r="W45" s="1054">
        <f t="shared" si="33"/>
        <v>0</v>
      </c>
      <c r="X45" s="1054">
        <f t="shared" si="34"/>
        <v>0</v>
      </c>
    </row>
    <row r="46" spans="1:24">
      <c r="A46" s="998">
        <v>40</v>
      </c>
      <c r="B46" s="999" t="s">
        <v>134</v>
      </c>
      <c r="C46" s="1197">
        <f>'[2]ALL-Reformatted'!Q45</f>
        <v>0</v>
      </c>
      <c r="D46" s="1005">
        <f>'Table 3 Levels 1&amp;2'!BN48+'Table 3 Levels 1&amp;2'!BV48</f>
        <v>4885.6387343180086</v>
      </c>
      <c r="E46" s="1103">
        <f t="shared" si="20"/>
        <v>0</v>
      </c>
      <c r="F46" s="1103">
        <f>'Table 4 Level 3'!N45</f>
        <v>700.2700000000001</v>
      </c>
      <c r="G46" s="1103">
        <f t="shared" si="21"/>
        <v>0</v>
      </c>
      <c r="H46" s="1060">
        <f t="shared" si="22"/>
        <v>0</v>
      </c>
      <c r="I46" s="1113">
        <f t="shared" si="23"/>
        <v>0</v>
      </c>
      <c r="J46" s="1060">
        <f t="shared" si="24"/>
        <v>0</v>
      </c>
      <c r="K46" s="1060">
        <v>0</v>
      </c>
      <c r="L46" s="1060">
        <f t="shared" si="25"/>
        <v>0</v>
      </c>
      <c r="M46" s="1060">
        <f t="shared" si="26"/>
        <v>0</v>
      </c>
      <c r="N46" s="1734"/>
      <c r="O46" s="1060">
        <f t="shared" si="27"/>
        <v>0</v>
      </c>
      <c r="P46" s="1056">
        <f>'[18]FY2012-13 Final'!K47</f>
        <v>2921</v>
      </c>
      <c r="Q46" s="1057">
        <f t="shared" si="28"/>
        <v>0</v>
      </c>
      <c r="R46" s="1119">
        <f t="shared" si="29"/>
        <v>0</v>
      </c>
      <c r="S46" s="1057">
        <f t="shared" si="30"/>
        <v>0</v>
      </c>
      <c r="T46" s="1057">
        <v>0</v>
      </c>
      <c r="U46" s="1057">
        <f t="shared" si="31"/>
        <v>0</v>
      </c>
      <c r="V46" s="1057">
        <f t="shared" si="32"/>
        <v>0</v>
      </c>
      <c r="W46" s="1058">
        <f t="shared" si="33"/>
        <v>0</v>
      </c>
      <c r="X46" s="1058">
        <f t="shared" si="34"/>
        <v>0</v>
      </c>
    </row>
    <row r="47" spans="1:24">
      <c r="A47" s="987">
        <v>41</v>
      </c>
      <c r="B47" s="988" t="s">
        <v>135</v>
      </c>
      <c r="C47" s="1198">
        <f>'[2]ALL-Reformatted'!Q46</f>
        <v>0</v>
      </c>
      <c r="D47" s="1007">
        <f>'Table 3 Levels 1&amp;2'!BN49+'Table 3 Levels 1&amp;2'!BV49</f>
        <v>1602.0398121899364</v>
      </c>
      <c r="E47" s="1104">
        <f t="shared" si="20"/>
        <v>0</v>
      </c>
      <c r="F47" s="1104">
        <f>'Table 4 Level 3'!N46</f>
        <v>886.22</v>
      </c>
      <c r="G47" s="1104">
        <f t="shared" si="21"/>
        <v>0</v>
      </c>
      <c r="H47" s="1061">
        <f t="shared" si="22"/>
        <v>0</v>
      </c>
      <c r="I47" s="1114">
        <f t="shared" si="23"/>
        <v>0</v>
      </c>
      <c r="J47" s="1061">
        <f t="shared" si="24"/>
        <v>0</v>
      </c>
      <c r="K47" s="1061">
        <v>0</v>
      </c>
      <c r="L47" s="1061">
        <f t="shared" si="25"/>
        <v>0</v>
      </c>
      <c r="M47" s="1061">
        <f t="shared" si="26"/>
        <v>0</v>
      </c>
      <c r="N47" s="1727"/>
      <c r="O47" s="1061">
        <f t="shared" si="27"/>
        <v>0</v>
      </c>
      <c r="P47" s="1051">
        <f>'[18]FY2012-13 Final'!K48</f>
        <v>12026</v>
      </c>
      <c r="Q47" s="992">
        <f t="shared" si="28"/>
        <v>0</v>
      </c>
      <c r="R47" s="1117">
        <f t="shared" si="29"/>
        <v>0</v>
      </c>
      <c r="S47" s="992">
        <f t="shared" si="30"/>
        <v>0</v>
      </c>
      <c r="T47" s="992">
        <v>0</v>
      </c>
      <c r="U47" s="992">
        <f t="shared" si="31"/>
        <v>0</v>
      </c>
      <c r="V47" s="992">
        <f t="shared" si="32"/>
        <v>0</v>
      </c>
      <c r="W47" s="993">
        <f t="shared" si="33"/>
        <v>0</v>
      </c>
      <c r="X47" s="993">
        <f t="shared" si="34"/>
        <v>0</v>
      </c>
    </row>
    <row r="48" spans="1:24">
      <c r="A48" s="994">
        <v>42</v>
      </c>
      <c r="B48" s="995" t="s">
        <v>136</v>
      </c>
      <c r="C48" s="1196">
        <f>'[2]ALL-Reformatted'!Q47</f>
        <v>0</v>
      </c>
      <c r="D48" s="1003">
        <f>'Table 3 Levels 1&amp;2'!BN50+'Table 3 Levels 1&amp;2'!BV50</f>
        <v>5098.6172346404755</v>
      </c>
      <c r="E48" s="1102">
        <f t="shared" si="20"/>
        <v>0</v>
      </c>
      <c r="F48" s="1102">
        <f>'Table 4 Level 3'!N47</f>
        <v>534.28</v>
      </c>
      <c r="G48" s="1102">
        <f t="shared" si="21"/>
        <v>0</v>
      </c>
      <c r="H48" s="1059">
        <f t="shared" si="22"/>
        <v>0</v>
      </c>
      <c r="I48" s="1112">
        <f t="shared" si="23"/>
        <v>0</v>
      </c>
      <c r="J48" s="1059">
        <f t="shared" si="24"/>
        <v>0</v>
      </c>
      <c r="K48" s="1059">
        <v>0</v>
      </c>
      <c r="L48" s="1059">
        <f t="shared" si="25"/>
        <v>0</v>
      </c>
      <c r="M48" s="1059">
        <f t="shared" si="26"/>
        <v>0</v>
      </c>
      <c r="N48" s="1733"/>
      <c r="O48" s="1059">
        <f t="shared" si="27"/>
        <v>0</v>
      </c>
      <c r="P48" s="1051">
        <f>'[18]FY2012-13 Final'!K49</f>
        <v>2554</v>
      </c>
      <c r="Q48" s="1053">
        <f t="shared" si="28"/>
        <v>0</v>
      </c>
      <c r="R48" s="1118">
        <f t="shared" si="29"/>
        <v>0</v>
      </c>
      <c r="S48" s="1053">
        <f t="shared" si="30"/>
        <v>0</v>
      </c>
      <c r="T48" s="1053">
        <v>0</v>
      </c>
      <c r="U48" s="1053">
        <f t="shared" si="31"/>
        <v>0</v>
      </c>
      <c r="V48" s="1053">
        <f t="shared" si="32"/>
        <v>0</v>
      </c>
      <c r="W48" s="1054">
        <f t="shared" si="33"/>
        <v>0</v>
      </c>
      <c r="X48" s="1054">
        <f t="shared" si="34"/>
        <v>0</v>
      </c>
    </row>
    <row r="49" spans="1:24">
      <c r="A49" s="994">
        <v>43</v>
      </c>
      <c r="B49" s="995" t="s">
        <v>137</v>
      </c>
      <c r="C49" s="1196">
        <f>'[2]ALL-Reformatted'!Q48</f>
        <v>0</v>
      </c>
      <c r="D49" s="1003">
        <f>'Table 3 Levels 1&amp;2'!BN51+'Table 3 Levels 1&amp;2'!BV51</f>
        <v>4701.3362575004667</v>
      </c>
      <c r="E49" s="1102">
        <f t="shared" si="20"/>
        <v>0</v>
      </c>
      <c r="F49" s="1102">
        <f>'Table 4 Level 3'!N48</f>
        <v>574.6099999999999</v>
      </c>
      <c r="G49" s="1102">
        <f t="shared" si="21"/>
        <v>0</v>
      </c>
      <c r="H49" s="1059">
        <f t="shared" si="22"/>
        <v>0</v>
      </c>
      <c r="I49" s="1112">
        <f t="shared" si="23"/>
        <v>0</v>
      </c>
      <c r="J49" s="1059">
        <f t="shared" si="24"/>
        <v>0</v>
      </c>
      <c r="K49" s="1059">
        <v>0</v>
      </c>
      <c r="L49" s="1059">
        <f t="shared" si="25"/>
        <v>0</v>
      </c>
      <c r="M49" s="1059">
        <f t="shared" si="26"/>
        <v>0</v>
      </c>
      <c r="N49" s="1733"/>
      <c r="O49" s="1059">
        <f t="shared" si="27"/>
        <v>0</v>
      </c>
      <c r="P49" s="1051">
        <f>'[18]FY2012-13 Final'!K50</f>
        <v>5265</v>
      </c>
      <c r="Q49" s="1053">
        <f t="shared" si="28"/>
        <v>0</v>
      </c>
      <c r="R49" s="1118">
        <f t="shared" si="29"/>
        <v>0</v>
      </c>
      <c r="S49" s="1053">
        <f t="shared" si="30"/>
        <v>0</v>
      </c>
      <c r="T49" s="1053">
        <v>0</v>
      </c>
      <c r="U49" s="1053">
        <f t="shared" si="31"/>
        <v>0</v>
      </c>
      <c r="V49" s="1053">
        <f t="shared" si="32"/>
        <v>0</v>
      </c>
      <c r="W49" s="1054">
        <f t="shared" si="33"/>
        <v>0</v>
      </c>
      <c r="X49" s="1054">
        <f t="shared" si="34"/>
        <v>0</v>
      </c>
    </row>
    <row r="50" spans="1:24">
      <c r="A50" s="994">
        <v>44</v>
      </c>
      <c r="B50" s="995" t="s">
        <v>138</v>
      </c>
      <c r="C50" s="1196">
        <f>'[2]ALL-Reformatted'!Q49</f>
        <v>0</v>
      </c>
      <c r="D50" s="1003">
        <f>'Table 3 Levels 1&amp;2'!BN52+'Table 3 Levels 1&amp;2'!BV52</f>
        <v>4649.5559521248724</v>
      </c>
      <c r="E50" s="1102">
        <f t="shared" si="20"/>
        <v>0</v>
      </c>
      <c r="F50" s="1102">
        <f>'Table 4 Level 3'!N49</f>
        <v>663.16000000000008</v>
      </c>
      <c r="G50" s="1102">
        <f t="shared" si="21"/>
        <v>0</v>
      </c>
      <c r="H50" s="1059">
        <f t="shared" si="22"/>
        <v>0</v>
      </c>
      <c r="I50" s="1112">
        <f t="shared" si="23"/>
        <v>0</v>
      </c>
      <c r="J50" s="1059">
        <f t="shared" si="24"/>
        <v>0</v>
      </c>
      <c r="K50" s="1059">
        <v>0</v>
      </c>
      <c r="L50" s="1059">
        <f t="shared" si="25"/>
        <v>0</v>
      </c>
      <c r="M50" s="1059">
        <f t="shared" si="26"/>
        <v>0</v>
      </c>
      <c r="N50" s="1733"/>
      <c r="O50" s="1059">
        <f t="shared" si="27"/>
        <v>0</v>
      </c>
      <c r="P50" s="1051">
        <f>'[18]FY2012-13 Final'!K51</f>
        <v>4109</v>
      </c>
      <c r="Q50" s="1053">
        <f t="shared" si="28"/>
        <v>0</v>
      </c>
      <c r="R50" s="1118">
        <f t="shared" si="29"/>
        <v>0</v>
      </c>
      <c r="S50" s="1053">
        <f t="shared" si="30"/>
        <v>0</v>
      </c>
      <c r="T50" s="1053">
        <v>0</v>
      </c>
      <c r="U50" s="1053">
        <f t="shared" si="31"/>
        <v>0</v>
      </c>
      <c r="V50" s="1053">
        <f t="shared" si="32"/>
        <v>0</v>
      </c>
      <c r="W50" s="1054">
        <f t="shared" si="33"/>
        <v>0</v>
      </c>
      <c r="X50" s="1054">
        <f t="shared" si="34"/>
        <v>0</v>
      </c>
    </row>
    <row r="51" spans="1:24">
      <c r="A51" s="998">
        <v>45</v>
      </c>
      <c r="B51" s="999" t="s">
        <v>139</v>
      </c>
      <c r="C51" s="1197">
        <f>'[2]ALL-Reformatted'!Q50</f>
        <v>0</v>
      </c>
      <c r="D51" s="1005">
        <f>'Table 3 Levels 1&amp;2'!BN53+'Table 3 Levels 1&amp;2'!BV53</f>
        <v>2159.257884231537</v>
      </c>
      <c r="E51" s="1103">
        <f t="shared" si="20"/>
        <v>0</v>
      </c>
      <c r="F51" s="1103">
        <f>'Table 4 Level 3'!N50</f>
        <v>753.96000000000015</v>
      </c>
      <c r="G51" s="1103">
        <f t="shared" si="21"/>
        <v>0</v>
      </c>
      <c r="H51" s="1060">
        <f t="shared" si="22"/>
        <v>0</v>
      </c>
      <c r="I51" s="1113">
        <f t="shared" si="23"/>
        <v>0</v>
      </c>
      <c r="J51" s="1060">
        <f t="shared" si="24"/>
        <v>0</v>
      </c>
      <c r="K51" s="1060">
        <v>0</v>
      </c>
      <c r="L51" s="1060">
        <f t="shared" si="25"/>
        <v>0</v>
      </c>
      <c r="M51" s="1060">
        <f t="shared" si="26"/>
        <v>0</v>
      </c>
      <c r="N51" s="1734"/>
      <c r="O51" s="1060">
        <f t="shared" si="27"/>
        <v>0</v>
      </c>
      <c r="P51" s="1056">
        <f>'[18]FY2012-13 Final'!K52</f>
        <v>12427</v>
      </c>
      <c r="Q51" s="1057">
        <f t="shared" si="28"/>
        <v>0</v>
      </c>
      <c r="R51" s="1119">
        <f t="shared" si="29"/>
        <v>0</v>
      </c>
      <c r="S51" s="1057">
        <f t="shared" si="30"/>
        <v>0</v>
      </c>
      <c r="T51" s="1057">
        <v>0</v>
      </c>
      <c r="U51" s="1057">
        <f t="shared" si="31"/>
        <v>0</v>
      </c>
      <c r="V51" s="1057">
        <f t="shared" si="32"/>
        <v>0</v>
      </c>
      <c r="W51" s="1058">
        <f t="shared" si="33"/>
        <v>0</v>
      </c>
      <c r="X51" s="1058">
        <f t="shared" si="34"/>
        <v>0</v>
      </c>
    </row>
    <row r="52" spans="1:24">
      <c r="A52" s="987">
        <v>46</v>
      </c>
      <c r="B52" s="988" t="s">
        <v>140</v>
      </c>
      <c r="C52" s="1198">
        <f>'[2]ALL-Reformatted'!Q51</f>
        <v>0</v>
      </c>
      <c r="D52" s="1007">
        <f>'Table 3 Levels 1&amp;2'!BN54+'Table 3 Levels 1&amp;2'!BV54</f>
        <v>5578.7258135108641</v>
      </c>
      <c r="E52" s="1104">
        <f t="shared" si="20"/>
        <v>0</v>
      </c>
      <c r="F52" s="1104">
        <f>'Table 4 Level 3'!N51</f>
        <v>728.06</v>
      </c>
      <c r="G52" s="1104">
        <f t="shared" si="21"/>
        <v>0</v>
      </c>
      <c r="H52" s="1061">
        <f t="shared" si="22"/>
        <v>0</v>
      </c>
      <c r="I52" s="1114">
        <f t="shared" si="23"/>
        <v>0</v>
      </c>
      <c r="J52" s="1061">
        <f t="shared" si="24"/>
        <v>0</v>
      </c>
      <c r="K52" s="1061">
        <v>0</v>
      </c>
      <c r="L52" s="1061">
        <f t="shared" si="25"/>
        <v>0</v>
      </c>
      <c r="M52" s="1061">
        <f t="shared" si="26"/>
        <v>0</v>
      </c>
      <c r="N52" s="1727"/>
      <c r="O52" s="1061">
        <f t="shared" si="27"/>
        <v>0</v>
      </c>
      <c r="P52" s="1051">
        <f>'[18]FY2012-13 Final'!K53</f>
        <v>1968</v>
      </c>
      <c r="Q52" s="992">
        <f t="shared" si="28"/>
        <v>0</v>
      </c>
      <c r="R52" s="1117">
        <f t="shared" si="29"/>
        <v>0</v>
      </c>
      <c r="S52" s="992">
        <f t="shared" si="30"/>
        <v>0</v>
      </c>
      <c r="T52" s="992">
        <v>0</v>
      </c>
      <c r="U52" s="992">
        <f t="shared" si="31"/>
        <v>0</v>
      </c>
      <c r="V52" s="992">
        <f t="shared" si="32"/>
        <v>0</v>
      </c>
      <c r="W52" s="993">
        <f t="shared" si="33"/>
        <v>0</v>
      </c>
      <c r="X52" s="993">
        <f t="shared" si="34"/>
        <v>0</v>
      </c>
    </row>
    <row r="53" spans="1:24">
      <c r="A53" s="994">
        <v>47</v>
      </c>
      <c r="B53" s="995" t="s">
        <v>141</v>
      </c>
      <c r="C53" s="1196">
        <f>'[2]ALL-Reformatted'!Q52</f>
        <v>0</v>
      </c>
      <c r="D53" s="1003">
        <f>'Table 3 Levels 1&amp;2'!BN55+'Table 3 Levels 1&amp;2'!BV55</f>
        <v>2709.058014721415</v>
      </c>
      <c r="E53" s="1102">
        <f t="shared" si="20"/>
        <v>0</v>
      </c>
      <c r="F53" s="1102">
        <f>'Table 4 Level 3'!N52</f>
        <v>910.76</v>
      </c>
      <c r="G53" s="1102">
        <f t="shared" si="21"/>
        <v>0</v>
      </c>
      <c r="H53" s="1059">
        <f t="shared" si="22"/>
        <v>0</v>
      </c>
      <c r="I53" s="1112">
        <f t="shared" si="23"/>
        <v>0</v>
      </c>
      <c r="J53" s="1059">
        <f t="shared" si="24"/>
        <v>0</v>
      </c>
      <c r="K53" s="1059">
        <v>0</v>
      </c>
      <c r="L53" s="1059">
        <f t="shared" si="25"/>
        <v>0</v>
      </c>
      <c r="M53" s="1059">
        <f t="shared" si="26"/>
        <v>0</v>
      </c>
      <c r="N53" s="1733"/>
      <c r="O53" s="1059">
        <f t="shared" si="27"/>
        <v>0</v>
      </c>
      <c r="P53" s="1051">
        <f>'[18]FY2012-13 Final'!K54</f>
        <v>10049</v>
      </c>
      <c r="Q53" s="1053">
        <f t="shared" si="28"/>
        <v>0</v>
      </c>
      <c r="R53" s="1118">
        <f t="shared" si="29"/>
        <v>0</v>
      </c>
      <c r="S53" s="1053">
        <f t="shared" si="30"/>
        <v>0</v>
      </c>
      <c r="T53" s="1053">
        <v>0</v>
      </c>
      <c r="U53" s="1053">
        <f t="shared" si="31"/>
        <v>0</v>
      </c>
      <c r="V53" s="1053">
        <f t="shared" si="32"/>
        <v>0</v>
      </c>
      <c r="W53" s="1054">
        <f t="shared" si="33"/>
        <v>0</v>
      </c>
      <c r="X53" s="1054">
        <f t="shared" si="34"/>
        <v>0</v>
      </c>
    </row>
    <row r="54" spans="1:24">
      <c r="A54" s="994">
        <v>48</v>
      </c>
      <c r="B54" s="995" t="s">
        <v>202</v>
      </c>
      <c r="C54" s="1196">
        <f>'[2]ALL-Reformatted'!Q53</f>
        <v>0</v>
      </c>
      <c r="D54" s="1003">
        <f>'Table 3 Levels 1&amp;2'!BN56+'Table 3 Levels 1&amp;2'!BV56</f>
        <v>4259.4136153508553</v>
      </c>
      <c r="E54" s="1102">
        <f t="shared" si="20"/>
        <v>0</v>
      </c>
      <c r="F54" s="1102">
        <f>'Table 4 Level 3'!N53</f>
        <v>871.07</v>
      </c>
      <c r="G54" s="1102">
        <f t="shared" si="21"/>
        <v>0</v>
      </c>
      <c r="H54" s="1059">
        <f t="shared" si="22"/>
        <v>0</v>
      </c>
      <c r="I54" s="1112">
        <f t="shared" si="23"/>
        <v>0</v>
      </c>
      <c r="J54" s="1059">
        <f t="shared" si="24"/>
        <v>0</v>
      </c>
      <c r="K54" s="1059">
        <v>0</v>
      </c>
      <c r="L54" s="1059">
        <f t="shared" si="25"/>
        <v>0</v>
      </c>
      <c r="M54" s="1059">
        <f t="shared" si="26"/>
        <v>0</v>
      </c>
      <c r="N54" s="1733"/>
      <c r="O54" s="1059">
        <f t="shared" si="27"/>
        <v>0</v>
      </c>
      <c r="P54" s="1051">
        <f>'[18]FY2012-13 Final'!K55</f>
        <v>5755</v>
      </c>
      <c r="Q54" s="1053">
        <f t="shared" si="28"/>
        <v>0</v>
      </c>
      <c r="R54" s="1118">
        <f t="shared" si="29"/>
        <v>0</v>
      </c>
      <c r="S54" s="1053">
        <f t="shared" si="30"/>
        <v>0</v>
      </c>
      <c r="T54" s="1053">
        <v>0</v>
      </c>
      <c r="U54" s="1053">
        <f t="shared" si="31"/>
        <v>0</v>
      </c>
      <c r="V54" s="1053">
        <f t="shared" si="32"/>
        <v>0</v>
      </c>
      <c r="W54" s="1054">
        <f t="shared" si="33"/>
        <v>0</v>
      </c>
      <c r="X54" s="1054">
        <f t="shared" si="34"/>
        <v>0</v>
      </c>
    </row>
    <row r="55" spans="1:24">
      <c r="A55" s="994">
        <v>49</v>
      </c>
      <c r="B55" s="995" t="s">
        <v>142</v>
      </c>
      <c r="C55" s="1196">
        <f>'[2]ALL-Reformatted'!Q54</f>
        <v>0</v>
      </c>
      <c r="D55" s="1003">
        <f>'Table 3 Levels 1&amp;2'!BN57+'Table 3 Levels 1&amp;2'!BV57</f>
        <v>4790.0513947378495</v>
      </c>
      <c r="E55" s="1102">
        <f t="shared" si="20"/>
        <v>0</v>
      </c>
      <c r="F55" s="1102">
        <f>'Table 4 Level 3'!N54</f>
        <v>574.43999999999994</v>
      </c>
      <c r="G55" s="1102">
        <f t="shared" si="21"/>
        <v>0</v>
      </c>
      <c r="H55" s="1059">
        <f t="shared" si="22"/>
        <v>0</v>
      </c>
      <c r="I55" s="1112">
        <f t="shared" si="23"/>
        <v>0</v>
      </c>
      <c r="J55" s="1059">
        <f t="shared" si="24"/>
        <v>0</v>
      </c>
      <c r="K55" s="1059">
        <v>0</v>
      </c>
      <c r="L55" s="1059">
        <f t="shared" si="25"/>
        <v>0</v>
      </c>
      <c r="M55" s="1059">
        <f t="shared" si="26"/>
        <v>0</v>
      </c>
      <c r="N55" s="1733"/>
      <c r="O55" s="1059">
        <f t="shared" si="27"/>
        <v>0</v>
      </c>
      <c r="P55" s="1051">
        <f>'[18]FY2012-13 Final'!K56</f>
        <v>2335</v>
      </c>
      <c r="Q55" s="1053">
        <f t="shared" si="28"/>
        <v>0</v>
      </c>
      <c r="R55" s="1118">
        <f t="shared" si="29"/>
        <v>0</v>
      </c>
      <c r="S55" s="1053">
        <f t="shared" si="30"/>
        <v>0</v>
      </c>
      <c r="T55" s="1053">
        <v>0</v>
      </c>
      <c r="U55" s="1053">
        <f t="shared" si="31"/>
        <v>0</v>
      </c>
      <c r="V55" s="1053">
        <f t="shared" si="32"/>
        <v>0</v>
      </c>
      <c r="W55" s="1054">
        <f t="shared" si="33"/>
        <v>0</v>
      </c>
      <c r="X55" s="1054">
        <f t="shared" si="34"/>
        <v>0</v>
      </c>
    </row>
    <row r="56" spans="1:24">
      <c r="A56" s="998">
        <v>50</v>
      </c>
      <c r="B56" s="999" t="s">
        <v>143</v>
      </c>
      <c r="C56" s="1197">
        <f>'[2]ALL-Reformatted'!Q55</f>
        <v>0</v>
      </c>
      <c r="D56" s="1005">
        <f>'Table 3 Levels 1&amp;2'!BN58+'Table 3 Levels 1&amp;2'!BV58</f>
        <v>4954.3375045905796</v>
      </c>
      <c r="E56" s="1103">
        <f t="shared" si="20"/>
        <v>0</v>
      </c>
      <c r="F56" s="1103">
        <f>'Table 4 Level 3'!N55</f>
        <v>634.46</v>
      </c>
      <c r="G56" s="1103">
        <f t="shared" si="21"/>
        <v>0</v>
      </c>
      <c r="H56" s="1060">
        <f t="shared" si="22"/>
        <v>0</v>
      </c>
      <c r="I56" s="1113">
        <f t="shared" si="23"/>
        <v>0</v>
      </c>
      <c r="J56" s="1060">
        <f t="shared" si="24"/>
        <v>0</v>
      </c>
      <c r="K56" s="1060">
        <v>0</v>
      </c>
      <c r="L56" s="1060">
        <f t="shared" si="25"/>
        <v>0</v>
      </c>
      <c r="M56" s="1060">
        <f t="shared" si="26"/>
        <v>0</v>
      </c>
      <c r="N56" s="1734"/>
      <c r="O56" s="1060">
        <f t="shared" si="27"/>
        <v>0</v>
      </c>
      <c r="P56" s="1056">
        <f>'[18]FY2012-13 Final'!K57</f>
        <v>2801</v>
      </c>
      <c r="Q56" s="1057">
        <f t="shared" si="28"/>
        <v>0</v>
      </c>
      <c r="R56" s="1119">
        <f t="shared" si="29"/>
        <v>0</v>
      </c>
      <c r="S56" s="1057">
        <f t="shared" si="30"/>
        <v>0</v>
      </c>
      <c r="T56" s="1057">
        <v>0</v>
      </c>
      <c r="U56" s="1057">
        <f t="shared" si="31"/>
        <v>0</v>
      </c>
      <c r="V56" s="1057">
        <f t="shared" si="32"/>
        <v>0</v>
      </c>
      <c r="W56" s="1058">
        <f t="shared" si="33"/>
        <v>0</v>
      </c>
      <c r="X56" s="1058">
        <f t="shared" si="34"/>
        <v>0</v>
      </c>
    </row>
    <row r="57" spans="1:24">
      <c r="A57" s="987">
        <v>51</v>
      </c>
      <c r="B57" s="988" t="s">
        <v>144</v>
      </c>
      <c r="C57" s="1198">
        <f>'[2]ALL-Reformatted'!Q56</f>
        <v>0</v>
      </c>
      <c r="D57" s="1007">
        <f>'Table 3 Levels 1&amp;2'!BN59+'Table 3 Levels 1&amp;2'!BV59</f>
        <v>4290.3461727150461</v>
      </c>
      <c r="E57" s="1104">
        <f t="shared" si="20"/>
        <v>0</v>
      </c>
      <c r="F57" s="1104">
        <f>'Table 4 Level 3'!N56</f>
        <v>706.66</v>
      </c>
      <c r="G57" s="1104">
        <f t="shared" si="21"/>
        <v>0</v>
      </c>
      <c r="H57" s="1061">
        <f t="shared" si="22"/>
        <v>0</v>
      </c>
      <c r="I57" s="1114">
        <f t="shared" si="23"/>
        <v>0</v>
      </c>
      <c r="J57" s="1061">
        <f t="shared" si="24"/>
        <v>0</v>
      </c>
      <c r="K57" s="1061">
        <v>0</v>
      </c>
      <c r="L57" s="1061">
        <f t="shared" si="25"/>
        <v>0</v>
      </c>
      <c r="M57" s="1061">
        <f t="shared" si="26"/>
        <v>0</v>
      </c>
      <c r="N57" s="1727"/>
      <c r="O57" s="1061">
        <f t="shared" si="27"/>
        <v>0</v>
      </c>
      <c r="P57" s="1051">
        <f>'[18]FY2012-13 Final'!K58</f>
        <v>4053</v>
      </c>
      <c r="Q57" s="992">
        <f t="shared" si="28"/>
        <v>0</v>
      </c>
      <c r="R57" s="1117">
        <f t="shared" si="29"/>
        <v>0</v>
      </c>
      <c r="S57" s="992">
        <f t="shared" si="30"/>
        <v>0</v>
      </c>
      <c r="T57" s="992">
        <v>0</v>
      </c>
      <c r="U57" s="992">
        <f t="shared" si="31"/>
        <v>0</v>
      </c>
      <c r="V57" s="992">
        <f t="shared" si="32"/>
        <v>0</v>
      </c>
      <c r="W57" s="993">
        <f t="shared" si="33"/>
        <v>0</v>
      </c>
      <c r="X57" s="993">
        <f t="shared" si="34"/>
        <v>0</v>
      </c>
    </row>
    <row r="58" spans="1:24">
      <c r="A58" s="994">
        <v>52</v>
      </c>
      <c r="B58" s="995" t="s">
        <v>145</v>
      </c>
      <c r="C58" s="1196">
        <f>'[2]ALL-Reformatted'!Q57</f>
        <v>0</v>
      </c>
      <c r="D58" s="1003">
        <f>'Table 3 Levels 1&amp;2'!BN60+'Table 3 Levels 1&amp;2'!BV60</f>
        <v>4988.6415961118701</v>
      </c>
      <c r="E58" s="1102">
        <f t="shared" si="20"/>
        <v>0</v>
      </c>
      <c r="F58" s="1102">
        <f>'Table 4 Level 3'!N57</f>
        <v>658.37</v>
      </c>
      <c r="G58" s="1102">
        <f t="shared" si="21"/>
        <v>0</v>
      </c>
      <c r="H58" s="1059">
        <f t="shared" si="22"/>
        <v>0</v>
      </c>
      <c r="I58" s="1112">
        <f t="shared" si="23"/>
        <v>0</v>
      </c>
      <c r="J58" s="1059">
        <f t="shared" si="24"/>
        <v>0</v>
      </c>
      <c r="K58" s="1059">
        <v>0</v>
      </c>
      <c r="L58" s="1059">
        <f t="shared" si="25"/>
        <v>0</v>
      </c>
      <c r="M58" s="1059">
        <f t="shared" si="26"/>
        <v>0</v>
      </c>
      <c r="N58" s="1733"/>
      <c r="O58" s="1059">
        <f t="shared" si="27"/>
        <v>0</v>
      </c>
      <c r="P58" s="1051">
        <f>'[18]FY2012-13 Final'!K59</f>
        <v>4886</v>
      </c>
      <c r="Q58" s="1053">
        <f t="shared" si="28"/>
        <v>0</v>
      </c>
      <c r="R58" s="1118">
        <f t="shared" si="29"/>
        <v>0</v>
      </c>
      <c r="S58" s="1053">
        <f t="shared" si="30"/>
        <v>0</v>
      </c>
      <c r="T58" s="1053">
        <v>0</v>
      </c>
      <c r="U58" s="1053">
        <f t="shared" si="31"/>
        <v>0</v>
      </c>
      <c r="V58" s="1053">
        <f t="shared" si="32"/>
        <v>0</v>
      </c>
      <c r="W58" s="1054">
        <f t="shared" si="33"/>
        <v>0</v>
      </c>
      <c r="X58" s="1054">
        <f t="shared" si="34"/>
        <v>0</v>
      </c>
    </row>
    <row r="59" spans="1:24">
      <c r="A59" s="994">
        <v>53</v>
      </c>
      <c r="B59" s="995" t="s">
        <v>146</v>
      </c>
      <c r="C59" s="1196">
        <f>'[2]ALL-Reformatted'!Q58</f>
        <v>0</v>
      </c>
      <c r="D59" s="1003">
        <f>'Table 3 Levels 1&amp;2'!BN61+'Table 3 Levels 1&amp;2'!BV61</f>
        <v>4739.7077057162423</v>
      </c>
      <c r="E59" s="1102">
        <f t="shared" si="20"/>
        <v>0</v>
      </c>
      <c r="F59" s="1102">
        <f>'Table 4 Level 3'!N58</f>
        <v>689.74</v>
      </c>
      <c r="G59" s="1102">
        <f t="shared" si="21"/>
        <v>0</v>
      </c>
      <c r="H59" s="1059">
        <f t="shared" si="22"/>
        <v>0</v>
      </c>
      <c r="I59" s="1112">
        <f t="shared" si="23"/>
        <v>0</v>
      </c>
      <c r="J59" s="1059">
        <f t="shared" si="24"/>
        <v>0</v>
      </c>
      <c r="K59" s="1059">
        <v>0</v>
      </c>
      <c r="L59" s="1059">
        <f t="shared" si="25"/>
        <v>0</v>
      </c>
      <c r="M59" s="1059">
        <f t="shared" si="26"/>
        <v>0</v>
      </c>
      <c r="N59" s="1733"/>
      <c r="O59" s="1059">
        <f t="shared" si="27"/>
        <v>0</v>
      </c>
      <c r="P59" s="1051">
        <f>'[18]FY2012-13 Final'!K60</f>
        <v>1929</v>
      </c>
      <c r="Q59" s="1053">
        <f t="shared" si="28"/>
        <v>0</v>
      </c>
      <c r="R59" s="1118">
        <f t="shared" si="29"/>
        <v>0</v>
      </c>
      <c r="S59" s="1053">
        <f t="shared" si="30"/>
        <v>0</v>
      </c>
      <c r="T59" s="1053">
        <v>0</v>
      </c>
      <c r="U59" s="1053">
        <f t="shared" si="31"/>
        <v>0</v>
      </c>
      <c r="V59" s="1053">
        <f t="shared" si="32"/>
        <v>0</v>
      </c>
      <c r="W59" s="1054">
        <f t="shared" si="33"/>
        <v>0</v>
      </c>
      <c r="X59" s="1054">
        <f t="shared" si="34"/>
        <v>0</v>
      </c>
    </row>
    <row r="60" spans="1:24">
      <c r="A60" s="994">
        <v>54</v>
      </c>
      <c r="B60" s="995" t="s">
        <v>147</v>
      </c>
      <c r="C60" s="1196">
        <f>'[2]ALL-Reformatted'!Q59</f>
        <v>0</v>
      </c>
      <c r="D60" s="1003">
        <f>'Table 3 Levels 1&amp;2'!BN62+'Table 3 Levels 1&amp;2'!BV62</f>
        <v>5907.1276437932838</v>
      </c>
      <c r="E60" s="1102">
        <f t="shared" si="20"/>
        <v>0</v>
      </c>
      <c r="F60" s="1102">
        <f>'Table 4 Level 3'!N59</f>
        <v>951.45</v>
      </c>
      <c r="G60" s="1102">
        <f t="shared" si="21"/>
        <v>0</v>
      </c>
      <c r="H60" s="1059">
        <f t="shared" si="22"/>
        <v>0</v>
      </c>
      <c r="I60" s="1112">
        <f t="shared" si="23"/>
        <v>0</v>
      </c>
      <c r="J60" s="1059">
        <f t="shared" si="24"/>
        <v>0</v>
      </c>
      <c r="K60" s="1059">
        <v>0</v>
      </c>
      <c r="L60" s="1059">
        <f t="shared" si="25"/>
        <v>0</v>
      </c>
      <c r="M60" s="1059">
        <f t="shared" si="26"/>
        <v>0</v>
      </c>
      <c r="N60" s="1733"/>
      <c r="O60" s="1059">
        <f t="shared" si="27"/>
        <v>0</v>
      </c>
      <c r="P60" s="1051">
        <f>'[18]FY2012-13 Final'!K61</f>
        <v>3382</v>
      </c>
      <c r="Q60" s="1053">
        <f t="shared" si="28"/>
        <v>0</v>
      </c>
      <c r="R60" s="1118">
        <f t="shared" si="29"/>
        <v>0</v>
      </c>
      <c r="S60" s="1053">
        <f t="shared" si="30"/>
        <v>0</v>
      </c>
      <c r="T60" s="1053">
        <v>0</v>
      </c>
      <c r="U60" s="1053">
        <f t="shared" si="31"/>
        <v>0</v>
      </c>
      <c r="V60" s="1053">
        <f t="shared" si="32"/>
        <v>0</v>
      </c>
      <c r="W60" s="1054">
        <f t="shared" si="33"/>
        <v>0</v>
      </c>
      <c r="X60" s="1054">
        <f t="shared" si="34"/>
        <v>0</v>
      </c>
    </row>
    <row r="61" spans="1:24">
      <c r="A61" s="998">
        <v>55</v>
      </c>
      <c r="B61" s="999" t="s">
        <v>148</v>
      </c>
      <c r="C61" s="1197">
        <f>'[2]ALL-Reformatted'!Q60</f>
        <v>0</v>
      </c>
      <c r="D61" s="1005">
        <f>'Table 3 Levels 1&amp;2'!BN63+'Table 3 Levels 1&amp;2'!BV63</f>
        <v>4115.0954812679902</v>
      </c>
      <c r="E61" s="1103">
        <f t="shared" si="20"/>
        <v>0</v>
      </c>
      <c r="F61" s="1103">
        <f>'Table 4 Level 3'!N60</f>
        <v>795.14</v>
      </c>
      <c r="G61" s="1103">
        <f t="shared" si="21"/>
        <v>0</v>
      </c>
      <c r="H61" s="1060">
        <f t="shared" si="22"/>
        <v>0</v>
      </c>
      <c r="I61" s="1113">
        <f t="shared" si="23"/>
        <v>0</v>
      </c>
      <c r="J61" s="1060">
        <f t="shared" si="24"/>
        <v>0</v>
      </c>
      <c r="K61" s="1060">
        <v>0</v>
      </c>
      <c r="L61" s="1060">
        <f t="shared" si="25"/>
        <v>0</v>
      </c>
      <c r="M61" s="1060">
        <f t="shared" si="26"/>
        <v>0</v>
      </c>
      <c r="N61" s="1734"/>
      <c r="O61" s="1060">
        <f t="shared" si="27"/>
        <v>0</v>
      </c>
      <c r="P61" s="1056">
        <f>'[18]FY2012-13 Final'!K62</f>
        <v>3127</v>
      </c>
      <c r="Q61" s="1057">
        <f t="shared" si="28"/>
        <v>0</v>
      </c>
      <c r="R61" s="1119">
        <f t="shared" si="29"/>
        <v>0</v>
      </c>
      <c r="S61" s="1057">
        <f t="shared" si="30"/>
        <v>0</v>
      </c>
      <c r="T61" s="1057">
        <v>0</v>
      </c>
      <c r="U61" s="1057">
        <f t="shared" si="31"/>
        <v>0</v>
      </c>
      <c r="V61" s="1057">
        <f t="shared" si="32"/>
        <v>0</v>
      </c>
      <c r="W61" s="1058">
        <f t="shared" si="33"/>
        <v>0</v>
      </c>
      <c r="X61" s="1058">
        <f t="shared" si="34"/>
        <v>0</v>
      </c>
    </row>
    <row r="62" spans="1:24">
      <c r="A62" s="987">
        <v>56</v>
      </c>
      <c r="B62" s="988" t="s">
        <v>149</v>
      </c>
      <c r="C62" s="1198">
        <f>'[2]ALL-Reformatted'!Q61</f>
        <v>0</v>
      </c>
      <c r="D62" s="1007">
        <f>'Table 3 Levels 1&amp;2'!BN64+'Table 3 Levels 1&amp;2'!BV64</f>
        <v>4924.9032059941637</v>
      </c>
      <c r="E62" s="1104">
        <f t="shared" si="20"/>
        <v>0</v>
      </c>
      <c r="F62" s="1104">
        <f>'Table 4 Level 3'!N61</f>
        <v>614.66000000000008</v>
      </c>
      <c r="G62" s="1104">
        <f t="shared" si="21"/>
        <v>0</v>
      </c>
      <c r="H62" s="1061">
        <f t="shared" si="22"/>
        <v>0</v>
      </c>
      <c r="I62" s="1114">
        <f t="shared" si="23"/>
        <v>0</v>
      </c>
      <c r="J62" s="1061">
        <f t="shared" si="24"/>
        <v>0</v>
      </c>
      <c r="K62" s="1061">
        <v>0</v>
      </c>
      <c r="L62" s="1061">
        <f t="shared" si="25"/>
        <v>0</v>
      </c>
      <c r="M62" s="1061">
        <f t="shared" si="26"/>
        <v>0</v>
      </c>
      <c r="N62" s="1727"/>
      <c r="O62" s="1061">
        <f t="shared" si="27"/>
        <v>0</v>
      </c>
      <c r="P62" s="1051">
        <f>'[18]FY2012-13 Final'!K63</f>
        <v>2768</v>
      </c>
      <c r="Q62" s="992">
        <f t="shared" si="28"/>
        <v>0</v>
      </c>
      <c r="R62" s="1117">
        <f t="shared" si="29"/>
        <v>0</v>
      </c>
      <c r="S62" s="992">
        <f t="shared" si="30"/>
        <v>0</v>
      </c>
      <c r="T62" s="992">
        <v>0</v>
      </c>
      <c r="U62" s="992">
        <f t="shared" si="31"/>
        <v>0</v>
      </c>
      <c r="V62" s="992">
        <f t="shared" si="32"/>
        <v>0</v>
      </c>
      <c r="W62" s="993">
        <f t="shared" si="33"/>
        <v>0</v>
      </c>
      <c r="X62" s="993">
        <f t="shared" si="34"/>
        <v>0</v>
      </c>
    </row>
    <row r="63" spans="1:24">
      <c r="A63" s="994">
        <v>57</v>
      </c>
      <c r="B63" s="995" t="s">
        <v>150</v>
      </c>
      <c r="C63" s="1196">
        <f>'[2]ALL-Reformatted'!Q62</f>
        <v>0</v>
      </c>
      <c r="D63" s="1003">
        <f>'Table 3 Levels 1&amp;2'!BN65+'Table 3 Levels 1&amp;2'!BV65</f>
        <v>4434.5516744018987</v>
      </c>
      <c r="E63" s="1102">
        <f t="shared" si="20"/>
        <v>0</v>
      </c>
      <c r="F63" s="1102">
        <f>'Table 4 Level 3'!N62</f>
        <v>764.51</v>
      </c>
      <c r="G63" s="1102">
        <f t="shared" si="21"/>
        <v>0</v>
      </c>
      <c r="H63" s="1059">
        <f t="shared" si="22"/>
        <v>0</v>
      </c>
      <c r="I63" s="1112">
        <f t="shared" si="23"/>
        <v>0</v>
      </c>
      <c r="J63" s="1059">
        <f t="shared" si="24"/>
        <v>0</v>
      </c>
      <c r="K63" s="1059">
        <v>0</v>
      </c>
      <c r="L63" s="1059">
        <f t="shared" si="25"/>
        <v>0</v>
      </c>
      <c r="M63" s="1059">
        <f t="shared" si="26"/>
        <v>0</v>
      </c>
      <c r="N63" s="1733"/>
      <c r="O63" s="1059">
        <f t="shared" si="27"/>
        <v>0</v>
      </c>
      <c r="P63" s="1051">
        <f>'[18]FY2012-13 Final'!K64</f>
        <v>2987</v>
      </c>
      <c r="Q63" s="1053">
        <f t="shared" si="28"/>
        <v>0</v>
      </c>
      <c r="R63" s="1118">
        <f t="shared" si="29"/>
        <v>0</v>
      </c>
      <c r="S63" s="1053">
        <f t="shared" si="30"/>
        <v>0</v>
      </c>
      <c r="T63" s="1053">
        <v>0</v>
      </c>
      <c r="U63" s="1053">
        <f t="shared" si="31"/>
        <v>0</v>
      </c>
      <c r="V63" s="1053">
        <f t="shared" si="32"/>
        <v>0</v>
      </c>
      <c r="W63" s="1054">
        <f t="shared" si="33"/>
        <v>0</v>
      </c>
      <c r="X63" s="1054">
        <f t="shared" si="34"/>
        <v>0</v>
      </c>
    </row>
    <row r="64" spans="1:24">
      <c r="A64" s="994">
        <v>58</v>
      </c>
      <c r="B64" s="995" t="s">
        <v>151</v>
      </c>
      <c r="C64" s="1196">
        <f>'[2]ALL-Reformatted'!Q63</f>
        <v>0</v>
      </c>
      <c r="D64" s="1003">
        <f>'Table 3 Levels 1&amp;2'!BN66+'Table 3 Levels 1&amp;2'!BV66</f>
        <v>5434.7170435013286</v>
      </c>
      <c r="E64" s="1102">
        <f t="shared" si="20"/>
        <v>0</v>
      </c>
      <c r="F64" s="1102">
        <f>'Table 4 Level 3'!N63</f>
        <v>697.04</v>
      </c>
      <c r="G64" s="1102">
        <f t="shared" si="21"/>
        <v>0</v>
      </c>
      <c r="H64" s="1059">
        <f t="shared" si="22"/>
        <v>0</v>
      </c>
      <c r="I64" s="1112">
        <f t="shared" si="23"/>
        <v>0</v>
      </c>
      <c r="J64" s="1059">
        <f t="shared" si="24"/>
        <v>0</v>
      </c>
      <c r="K64" s="1059">
        <v>0</v>
      </c>
      <c r="L64" s="1059">
        <f t="shared" si="25"/>
        <v>0</v>
      </c>
      <c r="M64" s="1059">
        <f t="shared" si="26"/>
        <v>0</v>
      </c>
      <c r="N64" s="1733"/>
      <c r="O64" s="1059">
        <f t="shared" si="27"/>
        <v>0</v>
      </c>
      <c r="P64" s="1051">
        <f>'[18]FY2012-13 Final'!K65</f>
        <v>2055</v>
      </c>
      <c r="Q64" s="1053">
        <f t="shared" si="28"/>
        <v>0</v>
      </c>
      <c r="R64" s="1118">
        <f t="shared" si="29"/>
        <v>0</v>
      </c>
      <c r="S64" s="1053">
        <f t="shared" si="30"/>
        <v>0</v>
      </c>
      <c r="T64" s="1053">
        <v>0</v>
      </c>
      <c r="U64" s="1053">
        <f t="shared" si="31"/>
        <v>0</v>
      </c>
      <c r="V64" s="1053">
        <f t="shared" si="32"/>
        <v>0</v>
      </c>
      <c r="W64" s="1054">
        <f t="shared" si="33"/>
        <v>0</v>
      </c>
      <c r="X64" s="1054">
        <f t="shared" si="34"/>
        <v>0</v>
      </c>
    </row>
    <row r="65" spans="1:24">
      <c r="A65" s="994">
        <v>59</v>
      </c>
      <c r="B65" s="995" t="s">
        <v>152</v>
      </c>
      <c r="C65" s="1196">
        <f>'[2]ALL-Reformatted'!Q64</f>
        <v>0</v>
      </c>
      <c r="D65" s="1003">
        <f>'Table 3 Levels 1&amp;2'!BN67+'Table 3 Levels 1&amp;2'!BV67</f>
        <v>6252.2385330184643</v>
      </c>
      <c r="E65" s="1102">
        <f t="shared" si="20"/>
        <v>0</v>
      </c>
      <c r="F65" s="1102">
        <f>'Table 4 Level 3'!N64</f>
        <v>689.52</v>
      </c>
      <c r="G65" s="1102">
        <f t="shared" si="21"/>
        <v>0</v>
      </c>
      <c r="H65" s="1059">
        <f t="shared" si="22"/>
        <v>0</v>
      </c>
      <c r="I65" s="1112">
        <f t="shared" si="23"/>
        <v>0</v>
      </c>
      <c r="J65" s="1059">
        <f t="shared" si="24"/>
        <v>0</v>
      </c>
      <c r="K65" s="1059">
        <v>0</v>
      </c>
      <c r="L65" s="1059">
        <f t="shared" si="25"/>
        <v>0</v>
      </c>
      <c r="M65" s="1059">
        <f t="shared" si="26"/>
        <v>0</v>
      </c>
      <c r="N65" s="1733"/>
      <c r="O65" s="1059">
        <f t="shared" si="27"/>
        <v>0</v>
      </c>
      <c r="P65" s="1051">
        <f>'[18]FY2012-13 Final'!K66</f>
        <v>1528</v>
      </c>
      <c r="Q65" s="1053">
        <f t="shared" si="28"/>
        <v>0</v>
      </c>
      <c r="R65" s="1118">
        <f t="shared" si="29"/>
        <v>0</v>
      </c>
      <c r="S65" s="1053">
        <f t="shared" si="30"/>
        <v>0</v>
      </c>
      <c r="T65" s="1053">
        <v>0</v>
      </c>
      <c r="U65" s="1053">
        <f t="shared" si="31"/>
        <v>0</v>
      </c>
      <c r="V65" s="1053">
        <f t="shared" si="32"/>
        <v>0</v>
      </c>
      <c r="W65" s="1054">
        <f t="shared" si="33"/>
        <v>0</v>
      </c>
      <c r="X65" s="1054">
        <f t="shared" si="34"/>
        <v>0</v>
      </c>
    </row>
    <row r="66" spans="1:24">
      <c r="A66" s="998">
        <v>60</v>
      </c>
      <c r="B66" s="999" t="s">
        <v>153</v>
      </c>
      <c r="C66" s="1197">
        <f>'[2]ALL-Reformatted'!Q65</f>
        <v>0</v>
      </c>
      <c r="D66" s="1005">
        <f>'Table 3 Levels 1&amp;2'!BN68+'Table 3 Levels 1&amp;2'!BV68</f>
        <v>4902.6575100268701</v>
      </c>
      <c r="E66" s="1103">
        <f t="shared" si="20"/>
        <v>0</v>
      </c>
      <c r="F66" s="1103">
        <f>'Table 4 Level 3'!N65</f>
        <v>594.04</v>
      </c>
      <c r="G66" s="1103">
        <f t="shared" si="21"/>
        <v>0</v>
      </c>
      <c r="H66" s="1060">
        <f t="shared" si="22"/>
        <v>0</v>
      </c>
      <c r="I66" s="1113">
        <f t="shared" si="23"/>
        <v>0</v>
      </c>
      <c r="J66" s="1060">
        <f t="shared" si="24"/>
        <v>0</v>
      </c>
      <c r="K66" s="1060">
        <v>0</v>
      </c>
      <c r="L66" s="1060">
        <f t="shared" si="25"/>
        <v>0</v>
      </c>
      <c r="M66" s="1060">
        <f t="shared" si="26"/>
        <v>0</v>
      </c>
      <c r="N66" s="1734"/>
      <c r="O66" s="1060">
        <f t="shared" si="27"/>
        <v>0</v>
      </c>
      <c r="P66" s="1056">
        <f>'[18]FY2012-13 Final'!K67</f>
        <v>3918</v>
      </c>
      <c r="Q66" s="1057">
        <f t="shared" si="28"/>
        <v>0</v>
      </c>
      <c r="R66" s="1119">
        <f t="shared" si="29"/>
        <v>0</v>
      </c>
      <c r="S66" s="1057">
        <f t="shared" si="30"/>
        <v>0</v>
      </c>
      <c r="T66" s="1057">
        <v>0</v>
      </c>
      <c r="U66" s="1057">
        <f t="shared" si="31"/>
        <v>0</v>
      </c>
      <c r="V66" s="1057">
        <f t="shared" si="32"/>
        <v>0</v>
      </c>
      <c r="W66" s="1058">
        <f t="shared" si="33"/>
        <v>0</v>
      </c>
      <c r="X66" s="1058">
        <f t="shared" si="34"/>
        <v>0</v>
      </c>
    </row>
    <row r="67" spans="1:24">
      <c r="A67" s="987">
        <v>61</v>
      </c>
      <c r="B67" s="988" t="s">
        <v>154</v>
      </c>
      <c r="C67" s="1198">
        <f>'[2]ALL-Reformatted'!Q66</f>
        <v>1</v>
      </c>
      <c r="D67" s="1007">
        <f>'Table 3 Levels 1&amp;2'!BN69+'Table 3 Levels 1&amp;2'!BV69</f>
        <v>2872.7719101339244</v>
      </c>
      <c r="E67" s="1104">
        <f t="shared" si="20"/>
        <v>2872.7719101339244</v>
      </c>
      <c r="F67" s="1104">
        <f>'Table 4 Level 3'!N66</f>
        <v>833.70999999999992</v>
      </c>
      <c r="G67" s="1104">
        <f t="shared" si="21"/>
        <v>833.70999999999992</v>
      </c>
      <c r="H67" s="1061">
        <f t="shared" si="22"/>
        <v>3706.4819101339244</v>
      </c>
      <c r="I67" s="1114">
        <f t="shared" si="23"/>
        <v>-9.2662047753348116</v>
      </c>
      <c r="J67" s="1061">
        <f t="shared" si="24"/>
        <v>3697.2157053585897</v>
      </c>
      <c r="K67" s="1061">
        <v>0</v>
      </c>
      <c r="L67" s="1061">
        <f t="shared" si="25"/>
        <v>3697.2157053585897</v>
      </c>
      <c r="M67" s="1061">
        <f t="shared" si="26"/>
        <v>308.10130877988246</v>
      </c>
      <c r="N67" s="1727"/>
      <c r="O67" s="1061">
        <f t="shared" si="27"/>
        <v>3697.2157053585897</v>
      </c>
      <c r="P67" s="1051">
        <f>'[18]FY2012-13 Final'!K68</f>
        <v>6680</v>
      </c>
      <c r="Q67" s="992">
        <f t="shared" si="28"/>
        <v>6680</v>
      </c>
      <c r="R67" s="1117">
        <f t="shared" si="29"/>
        <v>-16.7</v>
      </c>
      <c r="S67" s="992">
        <f t="shared" si="30"/>
        <v>6663.3</v>
      </c>
      <c r="T67" s="992">
        <v>0</v>
      </c>
      <c r="U67" s="992">
        <f t="shared" si="31"/>
        <v>6663.3</v>
      </c>
      <c r="V67" s="992">
        <f t="shared" si="32"/>
        <v>555.27499999999998</v>
      </c>
      <c r="W67" s="993">
        <f t="shared" si="33"/>
        <v>10360.51570535859</v>
      </c>
      <c r="X67" s="993">
        <f t="shared" si="34"/>
        <v>863.37630877988249</v>
      </c>
    </row>
    <row r="68" spans="1:24">
      <c r="A68" s="994">
        <v>62</v>
      </c>
      <c r="B68" s="995" t="s">
        <v>155</v>
      </c>
      <c r="C68" s="1196">
        <f>'[2]ALL-Reformatted'!Q67</f>
        <v>0</v>
      </c>
      <c r="D68" s="1003">
        <f>'Table 3 Levels 1&amp;2'!BN70+'Table 3 Levels 1&amp;2'!BV70</f>
        <v>5594.25143978908</v>
      </c>
      <c r="E68" s="1102">
        <f t="shared" si="20"/>
        <v>0</v>
      </c>
      <c r="F68" s="1102">
        <f>'Table 4 Level 3'!N67</f>
        <v>516.08000000000004</v>
      </c>
      <c r="G68" s="1102">
        <f t="shared" si="21"/>
        <v>0</v>
      </c>
      <c r="H68" s="1059">
        <f t="shared" si="22"/>
        <v>0</v>
      </c>
      <c r="I68" s="1112">
        <f t="shared" si="23"/>
        <v>0</v>
      </c>
      <c r="J68" s="1059">
        <f t="shared" si="24"/>
        <v>0</v>
      </c>
      <c r="K68" s="1059">
        <v>0</v>
      </c>
      <c r="L68" s="1059">
        <f t="shared" si="25"/>
        <v>0</v>
      </c>
      <c r="M68" s="1059">
        <f t="shared" si="26"/>
        <v>0</v>
      </c>
      <c r="N68" s="1733"/>
      <c r="O68" s="1059">
        <f t="shared" si="27"/>
        <v>0</v>
      </c>
      <c r="P68" s="1051">
        <f>'[18]FY2012-13 Final'!K69</f>
        <v>1754</v>
      </c>
      <c r="Q68" s="1053">
        <f t="shared" si="28"/>
        <v>0</v>
      </c>
      <c r="R68" s="1118">
        <f t="shared" si="29"/>
        <v>0</v>
      </c>
      <c r="S68" s="1053">
        <f t="shared" si="30"/>
        <v>0</v>
      </c>
      <c r="T68" s="1053">
        <v>0</v>
      </c>
      <c r="U68" s="1053">
        <f t="shared" si="31"/>
        <v>0</v>
      </c>
      <c r="V68" s="1053">
        <f t="shared" si="32"/>
        <v>0</v>
      </c>
      <c r="W68" s="1054">
        <f t="shared" si="33"/>
        <v>0</v>
      </c>
      <c r="X68" s="1054">
        <f t="shared" si="34"/>
        <v>0</v>
      </c>
    </row>
    <row r="69" spans="1:24">
      <c r="A69" s="994">
        <v>63</v>
      </c>
      <c r="B69" s="995" t="s">
        <v>156</v>
      </c>
      <c r="C69" s="1196">
        <f>'[2]ALL-Reformatted'!Q68</f>
        <v>0</v>
      </c>
      <c r="D69" s="1003">
        <f>'Table 3 Levels 1&amp;2'!BN71+'Table 3 Levels 1&amp;2'!BV71</f>
        <v>4318.8609300898834</v>
      </c>
      <c r="E69" s="1102">
        <f t="shared" si="20"/>
        <v>0</v>
      </c>
      <c r="F69" s="1102">
        <f>'Table 4 Level 3'!N68</f>
        <v>756.79</v>
      </c>
      <c r="G69" s="1102">
        <f t="shared" si="21"/>
        <v>0</v>
      </c>
      <c r="H69" s="1059">
        <f t="shared" si="22"/>
        <v>0</v>
      </c>
      <c r="I69" s="1112">
        <f t="shared" si="23"/>
        <v>0</v>
      </c>
      <c r="J69" s="1059">
        <f t="shared" si="24"/>
        <v>0</v>
      </c>
      <c r="K69" s="1059">
        <v>0</v>
      </c>
      <c r="L69" s="1059">
        <f t="shared" si="25"/>
        <v>0</v>
      </c>
      <c r="M69" s="1059">
        <f t="shared" si="26"/>
        <v>0</v>
      </c>
      <c r="N69" s="1733"/>
      <c r="O69" s="1059">
        <f t="shared" si="27"/>
        <v>0</v>
      </c>
      <c r="P69" s="1051">
        <f>'[18]FY2012-13 Final'!K70</f>
        <v>7182</v>
      </c>
      <c r="Q69" s="1053">
        <f t="shared" si="28"/>
        <v>0</v>
      </c>
      <c r="R69" s="1118">
        <f t="shared" si="29"/>
        <v>0</v>
      </c>
      <c r="S69" s="1053">
        <f t="shared" si="30"/>
        <v>0</v>
      </c>
      <c r="T69" s="1053">
        <v>0</v>
      </c>
      <c r="U69" s="1053">
        <f t="shared" si="31"/>
        <v>0</v>
      </c>
      <c r="V69" s="1053">
        <f t="shared" si="32"/>
        <v>0</v>
      </c>
      <c r="W69" s="1054">
        <f t="shared" si="33"/>
        <v>0</v>
      </c>
      <c r="X69" s="1054">
        <f t="shared" si="34"/>
        <v>0</v>
      </c>
    </row>
    <row r="70" spans="1:24">
      <c r="A70" s="994">
        <v>64</v>
      </c>
      <c r="B70" s="995" t="s">
        <v>157</v>
      </c>
      <c r="C70" s="1196">
        <f>'[2]ALL-Reformatted'!Q69</f>
        <v>0</v>
      </c>
      <c r="D70" s="1003">
        <f>'Table 3 Levels 1&amp;2'!BN72+'Table 3 Levels 1&amp;2'!BV72</f>
        <v>5921.7418933384488</v>
      </c>
      <c r="E70" s="1102">
        <f t="shared" si="20"/>
        <v>0</v>
      </c>
      <c r="F70" s="1102">
        <f>'Table 4 Level 3'!N69</f>
        <v>592.66</v>
      </c>
      <c r="G70" s="1102">
        <f t="shared" si="21"/>
        <v>0</v>
      </c>
      <c r="H70" s="1059">
        <f t="shared" si="22"/>
        <v>0</v>
      </c>
      <c r="I70" s="1112">
        <f t="shared" si="23"/>
        <v>0</v>
      </c>
      <c r="J70" s="1059">
        <f t="shared" si="24"/>
        <v>0</v>
      </c>
      <c r="K70" s="1059">
        <v>0</v>
      </c>
      <c r="L70" s="1059">
        <f t="shared" si="25"/>
        <v>0</v>
      </c>
      <c r="M70" s="1059">
        <f t="shared" si="26"/>
        <v>0</v>
      </c>
      <c r="N70" s="1733"/>
      <c r="O70" s="1059">
        <f t="shared" si="27"/>
        <v>0</v>
      </c>
      <c r="P70" s="1051">
        <f>'[18]FY2012-13 Final'!K71</f>
        <v>2701</v>
      </c>
      <c r="Q70" s="1053">
        <f t="shared" si="28"/>
        <v>0</v>
      </c>
      <c r="R70" s="1118">
        <f t="shared" si="29"/>
        <v>0</v>
      </c>
      <c r="S70" s="1053">
        <f t="shared" si="30"/>
        <v>0</v>
      </c>
      <c r="T70" s="1053">
        <v>0</v>
      </c>
      <c r="U70" s="1053">
        <f t="shared" si="31"/>
        <v>0</v>
      </c>
      <c r="V70" s="1053">
        <f t="shared" si="32"/>
        <v>0</v>
      </c>
      <c r="W70" s="1054">
        <f t="shared" si="33"/>
        <v>0</v>
      </c>
      <c r="X70" s="1054">
        <f t="shared" si="34"/>
        <v>0</v>
      </c>
    </row>
    <row r="71" spans="1:24">
      <c r="A71" s="998">
        <v>65</v>
      </c>
      <c r="B71" s="999" t="s">
        <v>158</v>
      </c>
      <c r="C71" s="1197">
        <f>'[2]ALL-Reformatted'!Q70</f>
        <v>0</v>
      </c>
      <c r="D71" s="1005">
        <f>'Table 3 Levels 1&amp;2'!BN73+'Table 3 Levels 1&amp;2'!BV73</f>
        <v>4578.9201269671275</v>
      </c>
      <c r="E71" s="1103">
        <f t="shared" si="20"/>
        <v>0</v>
      </c>
      <c r="F71" s="1103">
        <f>'Table 4 Level 3'!N70</f>
        <v>829.12</v>
      </c>
      <c r="G71" s="1103">
        <f t="shared" si="21"/>
        <v>0</v>
      </c>
      <c r="H71" s="1060">
        <f t="shared" si="22"/>
        <v>0</v>
      </c>
      <c r="I71" s="1113">
        <f t="shared" si="23"/>
        <v>0</v>
      </c>
      <c r="J71" s="1060">
        <f t="shared" si="24"/>
        <v>0</v>
      </c>
      <c r="K71" s="1060">
        <v>0</v>
      </c>
      <c r="L71" s="1060">
        <f t="shared" si="25"/>
        <v>0</v>
      </c>
      <c r="M71" s="1060">
        <f t="shared" si="26"/>
        <v>0</v>
      </c>
      <c r="N71" s="1734"/>
      <c r="O71" s="1060">
        <f t="shared" si="27"/>
        <v>0</v>
      </c>
      <c r="P71" s="1056">
        <f>'[18]FY2012-13 Final'!K72</f>
        <v>4813</v>
      </c>
      <c r="Q71" s="1057">
        <f t="shared" si="28"/>
        <v>0</v>
      </c>
      <c r="R71" s="1119">
        <f t="shared" si="29"/>
        <v>0</v>
      </c>
      <c r="S71" s="1057">
        <f t="shared" si="30"/>
        <v>0</v>
      </c>
      <c r="T71" s="1057">
        <v>0</v>
      </c>
      <c r="U71" s="1057">
        <f t="shared" si="31"/>
        <v>0</v>
      </c>
      <c r="V71" s="1057">
        <f t="shared" si="32"/>
        <v>0</v>
      </c>
      <c r="W71" s="1058">
        <f t="shared" si="33"/>
        <v>0</v>
      </c>
      <c r="X71" s="1058">
        <f t="shared" si="34"/>
        <v>0</v>
      </c>
    </row>
    <row r="72" spans="1:24">
      <c r="A72" s="987">
        <v>66</v>
      </c>
      <c r="B72" s="988" t="s">
        <v>159</v>
      </c>
      <c r="C72" s="1198">
        <f>'[2]ALL-Reformatted'!Q71</f>
        <v>0</v>
      </c>
      <c r="D72" s="1007">
        <f>'Table 3 Levels 1&amp;2'!BN74+'Table 3 Levels 1&amp;2'!BV74</f>
        <v>6340.8763293271122</v>
      </c>
      <c r="E72" s="1104">
        <f t="shared" ref="E72:E75" si="35">C72*D72</f>
        <v>0</v>
      </c>
      <c r="F72" s="1104">
        <f>'Table 4 Level 3'!N71</f>
        <v>730.06</v>
      </c>
      <c r="G72" s="1104">
        <f t="shared" ref="G72:G75" si="36">C72*F72</f>
        <v>0</v>
      </c>
      <c r="H72" s="1061">
        <f t="shared" ref="H72:H75" si="37">E72+G72</f>
        <v>0</v>
      </c>
      <c r="I72" s="1114">
        <f t="shared" ref="I72:I75" si="38">-(0.25%*H72)</f>
        <v>0</v>
      </c>
      <c r="J72" s="1061">
        <f t="shared" ref="J72:J75" si="39">SUM(H72:I72)</f>
        <v>0</v>
      </c>
      <c r="K72" s="1061">
        <v>0</v>
      </c>
      <c r="L72" s="1061">
        <f t="shared" ref="L72:L75" si="40">SUM(J72:K72)</f>
        <v>0</v>
      </c>
      <c r="M72" s="1061">
        <f t="shared" ref="M72:M75" si="41">L72/12</f>
        <v>0</v>
      </c>
      <c r="N72" s="1727"/>
      <c r="O72" s="1061">
        <f t="shared" ref="O72:O75" si="42">L72+N72</f>
        <v>0</v>
      </c>
      <c r="P72" s="1051">
        <f>'[18]FY2012-13 Final'!K73</f>
        <v>3516</v>
      </c>
      <c r="Q72" s="992">
        <f t="shared" ref="Q72:Q75" si="43">C72*P72</f>
        <v>0</v>
      </c>
      <c r="R72" s="1117">
        <f t="shared" ref="R72:R75" si="44">-(0.25%*Q72)</f>
        <v>0</v>
      </c>
      <c r="S72" s="992">
        <f t="shared" ref="S72:S75" si="45">SUM(Q72:R72)</f>
        <v>0</v>
      </c>
      <c r="T72" s="992">
        <v>0</v>
      </c>
      <c r="U72" s="992">
        <f t="shared" ref="U72:U75" si="46">SUM(S72:T72)</f>
        <v>0</v>
      </c>
      <c r="V72" s="992">
        <f t="shared" ref="V72:V75" si="47">U72/12</f>
        <v>0</v>
      </c>
      <c r="W72" s="993">
        <f t="shared" ref="W72:W75" si="48">L72+U72</f>
        <v>0</v>
      </c>
      <c r="X72" s="993">
        <f t="shared" ref="X72:X75" si="49">M72+V72</f>
        <v>0</v>
      </c>
    </row>
    <row r="73" spans="1:24">
      <c r="A73" s="994">
        <v>67</v>
      </c>
      <c r="B73" s="995" t="s">
        <v>32</v>
      </c>
      <c r="C73" s="1196">
        <f>'[2]ALL-Reformatted'!Q72</f>
        <v>2</v>
      </c>
      <c r="D73" s="1003">
        <f>'Table 3 Levels 1&amp;2'!BN75+'Table 3 Levels 1&amp;2'!BV75</f>
        <v>4984.1100297034172</v>
      </c>
      <c r="E73" s="1102">
        <f t="shared" si="35"/>
        <v>9968.2200594068345</v>
      </c>
      <c r="F73" s="1102">
        <f>'Table 4 Level 3'!N72</f>
        <v>715.61</v>
      </c>
      <c r="G73" s="1102">
        <f t="shared" si="36"/>
        <v>1431.22</v>
      </c>
      <c r="H73" s="1059">
        <f t="shared" si="37"/>
        <v>11399.440059406834</v>
      </c>
      <c r="I73" s="1112">
        <f t="shared" si="38"/>
        <v>-28.498600148517085</v>
      </c>
      <c r="J73" s="1059">
        <f t="shared" si="39"/>
        <v>11370.941459258316</v>
      </c>
      <c r="K73" s="1059">
        <v>0</v>
      </c>
      <c r="L73" s="1059">
        <f t="shared" si="40"/>
        <v>11370.941459258316</v>
      </c>
      <c r="M73" s="1059">
        <f t="shared" si="41"/>
        <v>947.57845493819298</v>
      </c>
      <c r="N73" s="1733"/>
      <c r="O73" s="1059">
        <f t="shared" si="42"/>
        <v>11370.941459258316</v>
      </c>
      <c r="P73" s="1051">
        <f>'[18]FY2012-13 Final'!K74</f>
        <v>5052</v>
      </c>
      <c r="Q73" s="1053">
        <f t="shared" si="43"/>
        <v>10104</v>
      </c>
      <c r="R73" s="1118">
        <f t="shared" si="44"/>
        <v>-25.26</v>
      </c>
      <c r="S73" s="1053">
        <f t="shared" si="45"/>
        <v>10078.74</v>
      </c>
      <c r="T73" s="1053">
        <v>0</v>
      </c>
      <c r="U73" s="1053">
        <f t="shared" si="46"/>
        <v>10078.74</v>
      </c>
      <c r="V73" s="1053">
        <f t="shared" si="47"/>
        <v>839.89499999999998</v>
      </c>
      <c r="W73" s="1054">
        <f t="shared" si="48"/>
        <v>21449.681459258318</v>
      </c>
      <c r="X73" s="1054">
        <f t="shared" si="49"/>
        <v>1787.4734549381928</v>
      </c>
    </row>
    <row r="74" spans="1:24">
      <c r="A74" s="994">
        <v>68</v>
      </c>
      <c r="B74" s="995" t="s">
        <v>30</v>
      </c>
      <c r="C74" s="1196">
        <f>'[2]ALL-Reformatted'!Q73</f>
        <v>4</v>
      </c>
      <c r="D74" s="1003">
        <f>'Table 3 Levels 1&amp;2'!BN76+'Table 3 Levels 1&amp;2'!BV76</f>
        <v>6012.7854305239725</v>
      </c>
      <c r="E74" s="1102">
        <f t="shared" si="35"/>
        <v>24051.14172209589</v>
      </c>
      <c r="F74" s="1102">
        <f>'Table 4 Level 3'!N73</f>
        <v>798.7</v>
      </c>
      <c r="G74" s="1102">
        <f t="shared" si="36"/>
        <v>3194.8</v>
      </c>
      <c r="H74" s="1059">
        <f t="shared" si="37"/>
        <v>27245.941722095889</v>
      </c>
      <c r="I74" s="1112">
        <f t="shared" si="38"/>
        <v>-68.114854305239732</v>
      </c>
      <c r="J74" s="1059">
        <f t="shared" si="39"/>
        <v>27177.826867790649</v>
      </c>
      <c r="K74" s="1059">
        <v>0</v>
      </c>
      <c r="L74" s="1059">
        <f t="shared" si="40"/>
        <v>27177.826867790649</v>
      </c>
      <c r="M74" s="1059">
        <f t="shared" si="41"/>
        <v>2264.8189056492206</v>
      </c>
      <c r="N74" s="1733"/>
      <c r="O74" s="1059">
        <f t="shared" si="42"/>
        <v>27177.826867790649</v>
      </c>
      <c r="P74" s="1051">
        <f>'[18]FY2012-13 Final'!K75</f>
        <v>2763</v>
      </c>
      <c r="Q74" s="1053">
        <f t="shared" si="43"/>
        <v>11052</v>
      </c>
      <c r="R74" s="1118">
        <f t="shared" si="44"/>
        <v>-27.63</v>
      </c>
      <c r="S74" s="1053">
        <f t="shared" si="45"/>
        <v>11024.37</v>
      </c>
      <c r="T74" s="1053">
        <v>0</v>
      </c>
      <c r="U74" s="1053">
        <f t="shared" si="46"/>
        <v>11024.37</v>
      </c>
      <c r="V74" s="1053">
        <f t="shared" si="47"/>
        <v>918.6975000000001</v>
      </c>
      <c r="W74" s="1054">
        <f t="shared" si="48"/>
        <v>38202.196867790648</v>
      </c>
      <c r="X74" s="1054">
        <f t="shared" si="49"/>
        <v>3183.5164056492208</v>
      </c>
    </row>
    <row r="75" spans="1:24">
      <c r="A75" s="1008">
        <v>69</v>
      </c>
      <c r="B75" s="1009" t="s">
        <v>213</v>
      </c>
      <c r="C75" s="1199">
        <f>'[2]ALL-Reformatted'!Q74</f>
        <v>0</v>
      </c>
      <c r="D75" s="1011">
        <f>'Table 3 Levels 1&amp;2'!BN77+'Table 3 Levels 1&amp;2'!BV77</f>
        <v>5559.7139008686299</v>
      </c>
      <c r="E75" s="1105">
        <f t="shared" si="35"/>
        <v>0</v>
      </c>
      <c r="F75" s="1105">
        <f>'Table 4 Level 3'!N74</f>
        <v>705.67</v>
      </c>
      <c r="G75" s="1105">
        <f t="shared" si="36"/>
        <v>0</v>
      </c>
      <c r="H75" s="1062">
        <f t="shared" si="37"/>
        <v>0</v>
      </c>
      <c r="I75" s="1115">
        <f t="shared" si="38"/>
        <v>0</v>
      </c>
      <c r="J75" s="1062">
        <f t="shared" si="39"/>
        <v>0</v>
      </c>
      <c r="K75" s="1062">
        <v>0</v>
      </c>
      <c r="L75" s="1062">
        <f t="shared" si="40"/>
        <v>0</v>
      </c>
      <c r="M75" s="1062">
        <f t="shared" si="41"/>
        <v>0</v>
      </c>
      <c r="N75" s="1735"/>
      <c r="O75" s="1062">
        <f t="shared" si="42"/>
        <v>0</v>
      </c>
      <c r="P75" s="1051">
        <f>'[18]FY2012-13 Final'!K76</f>
        <v>3327</v>
      </c>
      <c r="Q75" s="1063">
        <f t="shared" si="43"/>
        <v>0</v>
      </c>
      <c r="R75" s="1120">
        <f t="shared" si="44"/>
        <v>0</v>
      </c>
      <c r="S75" s="1063">
        <f t="shared" si="45"/>
        <v>0</v>
      </c>
      <c r="T75" s="1063">
        <v>0</v>
      </c>
      <c r="U75" s="1063">
        <f t="shared" si="46"/>
        <v>0</v>
      </c>
      <c r="V75" s="1063">
        <f t="shared" si="47"/>
        <v>0</v>
      </c>
      <c r="W75" s="1064">
        <f t="shared" si="48"/>
        <v>0</v>
      </c>
      <c r="X75" s="1064">
        <f t="shared" si="49"/>
        <v>0</v>
      </c>
    </row>
    <row r="76" spans="1:24" ht="13.5" thickBot="1">
      <c r="A76" s="1012"/>
      <c r="B76" s="1013" t="s">
        <v>160</v>
      </c>
      <c r="C76" s="1014">
        <f>SUM(C7:C75)</f>
        <v>213</v>
      </c>
      <c r="D76" s="1015"/>
      <c r="E76" s="1106">
        <f>SUM(E7:E75)</f>
        <v>719083.96796683245</v>
      </c>
      <c r="F76" s="1106">
        <f>'Table 4 Level 3'!N75</f>
        <v>703.90028204588873</v>
      </c>
      <c r="G76" s="1106">
        <f t="shared" ref="G76:L76" si="50">SUM(G7:G75)</f>
        <v>170564.12057862198</v>
      </c>
      <c r="H76" s="1016">
        <f t="shared" si="50"/>
        <v>889648.08854545455</v>
      </c>
      <c r="I76" s="1116">
        <f t="shared" si="50"/>
        <v>-2224.1202213636361</v>
      </c>
      <c r="J76" s="1016">
        <f t="shared" si="50"/>
        <v>887423.96832409082</v>
      </c>
      <c r="K76" s="1016">
        <f t="shared" si="50"/>
        <v>0</v>
      </c>
      <c r="L76" s="1016">
        <f t="shared" si="50"/>
        <v>887423.96832409082</v>
      </c>
      <c r="M76" s="1016">
        <f>SUM(M7:M75)</f>
        <v>73951.997360340902</v>
      </c>
      <c r="N76" s="1730">
        <f t="shared" ref="N76:O76" si="51">SUM(N7:N75)</f>
        <v>0</v>
      </c>
      <c r="O76" s="1016">
        <f t="shared" si="51"/>
        <v>887423.96832409082</v>
      </c>
      <c r="P76" s="1065"/>
      <c r="Q76" s="1017">
        <f t="shared" ref="Q76:X76" si="52">SUM(Q7:Q75)</f>
        <v>1377342</v>
      </c>
      <c r="R76" s="1121">
        <f t="shared" si="52"/>
        <v>-3443.355</v>
      </c>
      <c r="S76" s="1017">
        <f t="shared" si="52"/>
        <v>1373898.6450000003</v>
      </c>
      <c r="T76" s="1017">
        <f t="shared" si="52"/>
        <v>0</v>
      </c>
      <c r="U76" s="1017">
        <f t="shared" si="52"/>
        <v>1373898.6450000003</v>
      </c>
      <c r="V76" s="1017">
        <f t="shared" si="52"/>
        <v>114491.55375000001</v>
      </c>
      <c r="W76" s="1018">
        <f t="shared" si="52"/>
        <v>2261322.6133240908</v>
      </c>
      <c r="X76" s="1018">
        <f t="shared" si="52"/>
        <v>188443.55111034089</v>
      </c>
    </row>
    <row r="77" spans="1:24" ht="13.5" thickTop="1"/>
  </sheetData>
  <mergeCells count="21">
    <mergeCell ref="A2:B4"/>
    <mergeCell ref="C3:C4"/>
    <mergeCell ref="D3:D4"/>
    <mergeCell ref="E3:E4"/>
    <mergeCell ref="H3:H4"/>
    <mergeCell ref="F3:F4"/>
    <mergeCell ref="C2:M2"/>
    <mergeCell ref="P2:V2"/>
    <mergeCell ref="W2:W4"/>
    <mergeCell ref="X2:X4"/>
    <mergeCell ref="G3:G4"/>
    <mergeCell ref="J3:J4"/>
    <mergeCell ref="K3:K4"/>
    <mergeCell ref="L3:L4"/>
    <mergeCell ref="M3:M4"/>
    <mergeCell ref="T3:T4"/>
    <mergeCell ref="U3:U4"/>
    <mergeCell ref="P3:P4"/>
    <mergeCell ref="S3:S4"/>
    <mergeCell ref="N3:N4"/>
    <mergeCell ref="O3:O4"/>
  </mergeCells>
  <pageMargins left="0.32" right="0.32" top="0.75" bottom="0.75" header="0.3" footer="0.3"/>
  <pageSetup paperSize="5" scale="52" firstPageNumber="59" orientation="portrait" useFirstPageNumber="1" r:id="rId1"/>
  <headerFooter>
    <oddHeader xml:space="preserve">&amp;L&amp;"Arial,Bold"&amp;20Table 5C1-A: FY2013-14 MFP Budget Letter (Projection)
Madison Prep Academy </oddHeader>
    <oddFooter>&amp;R&amp;P</oddFooter>
  </headerFooter>
  <colBreaks count="1" manualBreakCount="1">
    <brk id="15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8"/>
  <sheetViews>
    <sheetView view="pageBreakPreview" zoomScaleNormal="100" zoomScaleSheetLayoutView="100" workbookViewId="0">
      <pane xSplit="2" ySplit="6" topLeftCell="C7" activePane="bottomRight" state="frozen"/>
      <selection activeCell="A2" sqref="A2:B4"/>
      <selection pane="topRight" activeCell="A2" sqref="A2:B4"/>
      <selection pane="bottomLeft" activeCell="A2" sqref="A2:B4"/>
      <selection pane="bottomRight" activeCell="A2" sqref="A2:B4"/>
    </sheetView>
  </sheetViews>
  <sheetFormatPr defaultRowHeight="12.75"/>
  <cols>
    <col min="1" max="1" width="4.28515625" customWidth="1"/>
    <col min="2" max="2" width="17.85546875" bestFit="1" customWidth="1"/>
    <col min="3" max="3" width="12.5703125" customWidth="1"/>
    <col min="4" max="4" width="17" customWidth="1"/>
    <col min="5" max="5" width="11" bestFit="1" customWidth="1"/>
    <col min="6" max="6" width="12" customWidth="1"/>
    <col min="7" max="7" width="12.5703125" bestFit="1" customWidth="1"/>
    <col min="8" max="8" width="11.85546875" bestFit="1" customWidth="1"/>
    <col min="9" max="9" width="10.85546875" bestFit="1" customWidth="1"/>
    <col min="10" max="10" width="12" bestFit="1" customWidth="1"/>
    <col min="11" max="11" width="13.42578125" bestFit="1" customWidth="1"/>
    <col min="12" max="12" width="13.5703125" bestFit="1" customWidth="1"/>
    <col min="13" max="13" width="9.28515625" bestFit="1" customWidth="1"/>
    <col min="14" max="14" width="17.28515625" customWidth="1"/>
    <col min="15" max="15" width="16.7109375" customWidth="1"/>
    <col min="16" max="16" width="13.7109375" customWidth="1"/>
    <col min="17" max="17" width="17" customWidth="1"/>
    <col min="18" max="18" width="15.28515625" customWidth="1"/>
    <col min="19" max="19" width="13.140625" customWidth="1"/>
    <col min="20" max="20" width="12" customWidth="1"/>
    <col min="21" max="21" width="11" customWidth="1"/>
    <col min="22" max="22" width="12.140625" customWidth="1"/>
  </cols>
  <sheetData>
    <row r="1" spans="1:22"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</row>
    <row r="2" spans="1:22" ht="45" customHeight="1">
      <c r="A2" s="2059" t="s">
        <v>673</v>
      </c>
      <c r="B2" s="2060"/>
      <c r="C2" s="2065" t="s">
        <v>661</v>
      </c>
      <c r="D2" s="2017"/>
      <c r="E2" s="2017"/>
      <c r="F2" s="2017"/>
      <c r="G2" s="2017"/>
      <c r="H2" s="2017"/>
      <c r="I2" s="2017"/>
      <c r="J2" s="2017"/>
      <c r="K2" s="2017"/>
      <c r="L2" s="2017"/>
      <c r="M2" s="2018"/>
      <c r="N2" s="1992" t="s">
        <v>1357</v>
      </c>
      <c r="O2" s="1993"/>
      <c r="P2" s="1993"/>
      <c r="Q2" s="1993"/>
      <c r="R2" s="1993"/>
      <c r="S2" s="1993"/>
      <c r="T2" s="1994"/>
      <c r="U2" s="1995" t="s">
        <v>1387</v>
      </c>
      <c r="V2" s="1995" t="s">
        <v>1355</v>
      </c>
    </row>
    <row r="3" spans="1:22" ht="115.5" customHeight="1">
      <c r="A3" s="2061"/>
      <c r="B3" s="2062"/>
      <c r="C3" s="2006" t="s">
        <v>1175</v>
      </c>
      <c r="D3" s="2008" t="s">
        <v>1392</v>
      </c>
      <c r="E3" s="2008" t="s">
        <v>1377</v>
      </c>
      <c r="F3" s="2006" t="s">
        <v>662</v>
      </c>
      <c r="G3" s="2006" t="s">
        <v>492</v>
      </c>
      <c r="H3" s="2006" t="s">
        <v>1378</v>
      </c>
      <c r="I3" s="1227" t="s">
        <v>510</v>
      </c>
      <c r="J3" s="2006" t="s">
        <v>1379</v>
      </c>
      <c r="K3" s="2006" t="s">
        <v>1230</v>
      </c>
      <c r="L3" s="2006" t="s">
        <v>1380</v>
      </c>
      <c r="M3" s="2008" t="s">
        <v>1356</v>
      </c>
      <c r="N3" s="2019" t="s">
        <v>694</v>
      </c>
      <c r="O3" s="1743" t="s">
        <v>1388</v>
      </c>
      <c r="P3" s="1229" t="s">
        <v>512</v>
      </c>
      <c r="Q3" s="2019" t="s">
        <v>1383</v>
      </c>
      <c r="R3" s="2019" t="s">
        <v>1230</v>
      </c>
      <c r="S3" s="2019" t="s">
        <v>1384</v>
      </c>
      <c r="T3" s="1743" t="s">
        <v>1385</v>
      </c>
      <c r="U3" s="1996"/>
      <c r="V3" s="1996"/>
    </row>
    <row r="4" spans="1:22" ht="22.5" customHeight="1">
      <c r="A4" s="2063"/>
      <c r="B4" s="2064"/>
      <c r="C4" s="2007"/>
      <c r="D4" s="2008"/>
      <c r="E4" s="2008"/>
      <c r="F4" s="2007"/>
      <c r="G4" s="2007"/>
      <c r="H4" s="2007"/>
      <c r="I4" s="1107">
        <v>2.5000000000000001E-3</v>
      </c>
      <c r="J4" s="2007"/>
      <c r="K4" s="2007"/>
      <c r="L4" s="2007"/>
      <c r="M4" s="2008"/>
      <c r="N4" s="1999"/>
      <c r="O4" s="1228"/>
      <c r="P4" s="1108">
        <v>2.5000000000000001E-3</v>
      </c>
      <c r="Q4" s="1999"/>
      <c r="R4" s="1999"/>
      <c r="S4" s="1999"/>
      <c r="T4" s="1228"/>
      <c r="U4" s="1997"/>
      <c r="V4" s="1997"/>
    </row>
    <row r="5" spans="1:22" ht="14.25" customHeight="1">
      <c r="A5" s="978"/>
      <c r="B5" s="979"/>
      <c r="C5" s="980">
        <v>1</v>
      </c>
      <c r="D5" s="980">
        <f t="shared" ref="D5" si="0">C5+1</f>
        <v>2</v>
      </c>
      <c r="E5" s="980">
        <f>D5+1</f>
        <v>3</v>
      </c>
      <c r="F5" s="980">
        <f t="shared" ref="F5:V5" si="1">E5+1</f>
        <v>4</v>
      </c>
      <c r="G5" s="980">
        <f t="shared" si="1"/>
        <v>5</v>
      </c>
      <c r="H5" s="980">
        <f t="shared" si="1"/>
        <v>6</v>
      </c>
      <c r="I5" s="980">
        <f t="shared" si="1"/>
        <v>7</v>
      </c>
      <c r="J5" s="980">
        <f t="shared" si="1"/>
        <v>8</v>
      </c>
      <c r="K5" s="980">
        <f t="shared" si="1"/>
        <v>9</v>
      </c>
      <c r="L5" s="980">
        <f t="shared" si="1"/>
        <v>10</v>
      </c>
      <c r="M5" s="980">
        <f t="shared" si="1"/>
        <v>11</v>
      </c>
      <c r="N5" s="980">
        <f t="shared" si="1"/>
        <v>12</v>
      </c>
      <c r="O5" s="980">
        <f t="shared" si="1"/>
        <v>13</v>
      </c>
      <c r="P5" s="980">
        <f t="shared" si="1"/>
        <v>14</v>
      </c>
      <c r="Q5" s="980">
        <f t="shared" si="1"/>
        <v>15</v>
      </c>
      <c r="R5" s="980">
        <f t="shared" si="1"/>
        <v>16</v>
      </c>
      <c r="S5" s="980">
        <f t="shared" si="1"/>
        <v>17</v>
      </c>
      <c r="T5" s="980">
        <f t="shared" si="1"/>
        <v>18</v>
      </c>
      <c r="U5" s="980">
        <f t="shared" si="1"/>
        <v>19</v>
      </c>
      <c r="V5" s="980">
        <f t="shared" si="1"/>
        <v>20</v>
      </c>
    </row>
    <row r="6" spans="1:22" ht="27" customHeight="1">
      <c r="A6" s="1041"/>
      <c r="B6" s="1042"/>
      <c r="C6" s="1042"/>
      <c r="D6" s="1042"/>
      <c r="E6" s="1042"/>
      <c r="F6" s="1042"/>
      <c r="G6" s="1042"/>
      <c r="H6" s="1042"/>
      <c r="I6" s="1042"/>
      <c r="J6" s="1042"/>
      <c r="K6" s="1042"/>
      <c r="L6" s="1042"/>
      <c r="M6" s="1042"/>
      <c r="N6" s="1042"/>
      <c r="O6" s="1042"/>
      <c r="P6" s="1042"/>
      <c r="Q6" s="1042"/>
      <c r="R6" s="1042"/>
      <c r="S6" s="1042"/>
      <c r="T6" s="1042"/>
      <c r="U6" s="1042"/>
      <c r="V6" s="1042"/>
    </row>
    <row r="7" spans="1:22">
      <c r="A7" s="987">
        <v>1</v>
      </c>
      <c r="B7" s="988" t="s">
        <v>95</v>
      </c>
      <c r="C7" s="989">
        <f>'[2]ALL-Reformatted'!P6</f>
        <v>0</v>
      </c>
      <c r="D7" s="990">
        <f>'Table 3 Levels 1&amp;2'!BN9+'Table 3 Levels 1&amp;2'!BV9</f>
        <v>4565.2108060165392</v>
      </c>
      <c r="E7" s="1099">
        <f>C7*D7</f>
        <v>0</v>
      </c>
      <c r="F7" s="1099">
        <f>'Table 4 Level 3'!N6</f>
        <v>777.48</v>
      </c>
      <c r="G7" s="1099">
        <f>C7*F7</f>
        <v>0</v>
      </c>
      <c r="H7" s="991">
        <f>E7+G7</f>
        <v>0</v>
      </c>
      <c r="I7" s="1109">
        <f>-(0.25%*H7)</f>
        <v>0</v>
      </c>
      <c r="J7" s="991">
        <f>SUM(H7:I7)</f>
        <v>0</v>
      </c>
      <c r="K7" s="991">
        <v>0</v>
      </c>
      <c r="L7" s="991">
        <f>SUM(J7:K7)</f>
        <v>0</v>
      </c>
      <c r="M7" s="991">
        <f>L7/12</f>
        <v>0</v>
      </c>
      <c r="N7" s="1051">
        <f>'[18]FY2012-13 Final'!K8</f>
        <v>2112</v>
      </c>
      <c r="O7" s="992">
        <f>C7*N7</f>
        <v>0</v>
      </c>
      <c r="P7" s="1117">
        <f>-(0.25%*O7)</f>
        <v>0</v>
      </c>
      <c r="Q7" s="992">
        <f>SUM(O7:P7)</f>
        <v>0</v>
      </c>
      <c r="R7" s="992">
        <v>0</v>
      </c>
      <c r="S7" s="992">
        <f>SUM(Q7:R7)</f>
        <v>0</v>
      </c>
      <c r="T7" s="992">
        <f>S7/12</f>
        <v>0</v>
      </c>
      <c r="U7" s="993">
        <f>L7+S7</f>
        <v>0</v>
      </c>
      <c r="V7" s="993">
        <f>M7+T7</f>
        <v>0</v>
      </c>
    </row>
    <row r="8" spans="1:22">
      <c r="A8" s="994">
        <v>2</v>
      </c>
      <c r="B8" s="995" t="s">
        <v>96</v>
      </c>
      <c r="C8" s="1193">
        <f>'[2]ALL-Reformatted'!P7</f>
        <v>0</v>
      </c>
      <c r="D8" s="997">
        <f>'Table 3 Levels 1&amp;2'!BN10+'Table 3 Levels 1&amp;2'!BV10</f>
        <v>6132.0480322513831</v>
      </c>
      <c r="E8" s="1100">
        <f t="shared" ref="E8:E71" si="2">C8*D8</f>
        <v>0</v>
      </c>
      <c r="F8" s="1100">
        <f>'Table 4 Level 3'!N7</f>
        <v>842.32</v>
      </c>
      <c r="G8" s="1100">
        <f t="shared" ref="G8:G71" si="3">C8*F8</f>
        <v>0</v>
      </c>
      <c r="H8" s="1052">
        <f t="shared" ref="H8:H71" si="4">E8+G8</f>
        <v>0</v>
      </c>
      <c r="I8" s="1110">
        <f t="shared" ref="I8:I71" si="5">-(0.25%*H8)</f>
        <v>0</v>
      </c>
      <c r="J8" s="1052">
        <f t="shared" ref="J8:J71" si="6">SUM(H8:I8)</f>
        <v>0</v>
      </c>
      <c r="K8" s="1052">
        <v>0</v>
      </c>
      <c r="L8" s="1052">
        <f t="shared" ref="L8:L71" si="7">SUM(J8:K8)</f>
        <v>0</v>
      </c>
      <c r="M8" s="1052">
        <f t="shared" ref="M8:M71" si="8">L8/12</f>
        <v>0</v>
      </c>
      <c r="N8" s="1051">
        <f>'[18]FY2012-13 Final'!K9</f>
        <v>2584</v>
      </c>
      <c r="O8" s="1053">
        <f t="shared" ref="O8:O71" si="9">C8*N8</f>
        <v>0</v>
      </c>
      <c r="P8" s="1118">
        <f t="shared" ref="P8:P71" si="10">-(0.25%*O8)</f>
        <v>0</v>
      </c>
      <c r="Q8" s="1053">
        <f t="shared" ref="Q8:Q71" si="11">SUM(O8:P8)</f>
        <v>0</v>
      </c>
      <c r="R8" s="1053">
        <v>0</v>
      </c>
      <c r="S8" s="1053">
        <f t="shared" ref="S8:S71" si="12">SUM(Q8:R8)</f>
        <v>0</v>
      </c>
      <c r="T8" s="1053">
        <f t="shared" ref="T8:T71" si="13">S8/12</f>
        <v>0</v>
      </c>
      <c r="U8" s="1054">
        <f t="shared" ref="U8:V71" si="14">L8+S8</f>
        <v>0</v>
      </c>
      <c r="V8" s="1054">
        <f t="shared" si="14"/>
        <v>0</v>
      </c>
    </row>
    <row r="9" spans="1:22">
      <c r="A9" s="994">
        <v>3</v>
      </c>
      <c r="B9" s="995" t="s">
        <v>97</v>
      </c>
      <c r="C9" s="1193">
        <f>'[2]ALL-Reformatted'!P8</f>
        <v>0</v>
      </c>
      <c r="D9" s="997">
        <f>'Table 3 Levels 1&amp;2'!BN11+'Table 3 Levels 1&amp;2'!BV11</f>
        <v>4186.9626187036429</v>
      </c>
      <c r="E9" s="1100">
        <f t="shared" si="2"/>
        <v>0</v>
      </c>
      <c r="F9" s="1100">
        <f>'Table 4 Level 3'!N8</f>
        <v>596.84</v>
      </c>
      <c r="G9" s="1100">
        <f t="shared" si="3"/>
        <v>0</v>
      </c>
      <c r="H9" s="1052">
        <f t="shared" si="4"/>
        <v>0</v>
      </c>
      <c r="I9" s="1110">
        <f t="shared" si="5"/>
        <v>0</v>
      </c>
      <c r="J9" s="1052">
        <f t="shared" si="6"/>
        <v>0</v>
      </c>
      <c r="K9" s="1052">
        <v>0</v>
      </c>
      <c r="L9" s="1052">
        <f t="shared" si="7"/>
        <v>0</v>
      </c>
      <c r="M9" s="1052">
        <f t="shared" si="8"/>
        <v>0</v>
      </c>
      <c r="N9" s="1051">
        <f>'[18]FY2012-13 Final'!K10</f>
        <v>4966</v>
      </c>
      <c r="O9" s="1053">
        <f t="shared" si="9"/>
        <v>0</v>
      </c>
      <c r="P9" s="1118">
        <f t="shared" si="10"/>
        <v>0</v>
      </c>
      <c r="Q9" s="1053">
        <f t="shared" si="11"/>
        <v>0</v>
      </c>
      <c r="R9" s="1053">
        <v>0</v>
      </c>
      <c r="S9" s="1053">
        <f t="shared" si="12"/>
        <v>0</v>
      </c>
      <c r="T9" s="1053">
        <f t="shared" si="13"/>
        <v>0</v>
      </c>
      <c r="U9" s="1054">
        <f t="shared" si="14"/>
        <v>0</v>
      </c>
      <c r="V9" s="1054">
        <f t="shared" si="14"/>
        <v>0</v>
      </c>
    </row>
    <row r="10" spans="1:22">
      <c r="A10" s="994">
        <v>4</v>
      </c>
      <c r="B10" s="995" t="s">
        <v>98</v>
      </c>
      <c r="C10" s="1193">
        <f>'[2]ALL-Reformatted'!P9</f>
        <v>0</v>
      </c>
      <c r="D10" s="997">
        <f>'Table 3 Levels 1&amp;2'!BN12+'Table 3 Levels 1&amp;2'!BV12</f>
        <v>5918.8798759182582</v>
      </c>
      <c r="E10" s="1100">
        <f t="shared" si="2"/>
        <v>0</v>
      </c>
      <c r="F10" s="1100">
        <f>'Table 4 Level 3'!N9</f>
        <v>585.76</v>
      </c>
      <c r="G10" s="1100">
        <f t="shared" si="3"/>
        <v>0</v>
      </c>
      <c r="H10" s="1052">
        <f t="shared" si="4"/>
        <v>0</v>
      </c>
      <c r="I10" s="1110">
        <f t="shared" si="5"/>
        <v>0</v>
      </c>
      <c r="J10" s="1052">
        <f t="shared" si="6"/>
        <v>0</v>
      </c>
      <c r="K10" s="1052">
        <v>0</v>
      </c>
      <c r="L10" s="1052">
        <f t="shared" si="7"/>
        <v>0</v>
      </c>
      <c r="M10" s="1052">
        <f t="shared" si="8"/>
        <v>0</v>
      </c>
      <c r="N10" s="1051">
        <f>'[18]FY2012-13 Final'!K11</f>
        <v>3445</v>
      </c>
      <c r="O10" s="1053">
        <f t="shared" si="9"/>
        <v>0</v>
      </c>
      <c r="P10" s="1118">
        <f t="shared" si="10"/>
        <v>0</v>
      </c>
      <c r="Q10" s="1053">
        <f t="shared" si="11"/>
        <v>0</v>
      </c>
      <c r="R10" s="1053">
        <v>0</v>
      </c>
      <c r="S10" s="1053">
        <f t="shared" si="12"/>
        <v>0</v>
      </c>
      <c r="T10" s="1053">
        <f t="shared" si="13"/>
        <v>0</v>
      </c>
      <c r="U10" s="1054">
        <f t="shared" si="14"/>
        <v>0</v>
      </c>
      <c r="V10" s="1054">
        <f t="shared" si="14"/>
        <v>0</v>
      </c>
    </row>
    <row r="11" spans="1:22">
      <c r="A11" s="998">
        <v>5</v>
      </c>
      <c r="B11" s="999" t="s">
        <v>99</v>
      </c>
      <c r="C11" s="1194">
        <f>'[2]ALL-Reformatted'!P10</f>
        <v>0</v>
      </c>
      <c r="D11" s="1001">
        <f>'Table 3 Levels 1&amp;2'!BN13+'Table 3 Levels 1&amp;2'!BV13</f>
        <v>4880.3484353147733</v>
      </c>
      <c r="E11" s="1101">
        <f t="shared" si="2"/>
        <v>0</v>
      </c>
      <c r="F11" s="1101">
        <f>'Table 4 Level 3'!N10</f>
        <v>555.91</v>
      </c>
      <c r="G11" s="1101">
        <f t="shared" si="3"/>
        <v>0</v>
      </c>
      <c r="H11" s="1055">
        <f t="shared" si="4"/>
        <v>0</v>
      </c>
      <c r="I11" s="1111">
        <f t="shared" si="5"/>
        <v>0</v>
      </c>
      <c r="J11" s="1055">
        <f t="shared" si="6"/>
        <v>0</v>
      </c>
      <c r="K11" s="1055">
        <v>0</v>
      </c>
      <c r="L11" s="1055">
        <f t="shared" si="7"/>
        <v>0</v>
      </c>
      <c r="M11" s="1055">
        <f t="shared" si="8"/>
        <v>0</v>
      </c>
      <c r="N11" s="1056">
        <f>'[18]FY2012-13 Final'!K12</f>
        <v>1353</v>
      </c>
      <c r="O11" s="1057">
        <f t="shared" si="9"/>
        <v>0</v>
      </c>
      <c r="P11" s="1119">
        <f t="shared" si="10"/>
        <v>0</v>
      </c>
      <c r="Q11" s="1057">
        <f t="shared" si="11"/>
        <v>0</v>
      </c>
      <c r="R11" s="1057">
        <v>0</v>
      </c>
      <c r="S11" s="1057">
        <f t="shared" si="12"/>
        <v>0</v>
      </c>
      <c r="T11" s="1057">
        <f t="shared" si="13"/>
        <v>0</v>
      </c>
      <c r="U11" s="1058">
        <f t="shared" si="14"/>
        <v>0</v>
      </c>
      <c r="V11" s="1058">
        <f t="shared" si="14"/>
        <v>0</v>
      </c>
    </row>
    <row r="12" spans="1:22">
      <c r="A12" s="987">
        <v>6</v>
      </c>
      <c r="B12" s="988" t="s">
        <v>100</v>
      </c>
      <c r="C12" s="1195">
        <f>'[2]ALL-Reformatted'!P11</f>
        <v>0</v>
      </c>
      <c r="D12" s="990">
        <f>'Table 3 Levels 1&amp;2'!BN14+'Table 3 Levels 1&amp;2'!BV14</f>
        <v>5379.7759718479856</v>
      </c>
      <c r="E12" s="1099">
        <f t="shared" si="2"/>
        <v>0</v>
      </c>
      <c r="F12" s="1099">
        <f>'Table 4 Level 3'!N11</f>
        <v>545.4799999999999</v>
      </c>
      <c r="G12" s="1099">
        <f t="shared" si="3"/>
        <v>0</v>
      </c>
      <c r="H12" s="991">
        <f t="shared" si="4"/>
        <v>0</v>
      </c>
      <c r="I12" s="1109">
        <f t="shared" si="5"/>
        <v>0</v>
      </c>
      <c r="J12" s="991">
        <f t="shared" si="6"/>
        <v>0</v>
      </c>
      <c r="K12" s="991">
        <v>0</v>
      </c>
      <c r="L12" s="991">
        <f t="shared" si="7"/>
        <v>0</v>
      </c>
      <c r="M12" s="991">
        <f t="shared" si="8"/>
        <v>0</v>
      </c>
      <c r="N12" s="1051">
        <f>'[18]FY2012-13 Final'!K13</f>
        <v>3576</v>
      </c>
      <c r="O12" s="992">
        <f t="shared" si="9"/>
        <v>0</v>
      </c>
      <c r="P12" s="1117">
        <f t="shared" si="10"/>
        <v>0</v>
      </c>
      <c r="Q12" s="992">
        <f t="shared" si="11"/>
        <v>0</v>
      </c>
      <c r="R12" s="992">
        <v>0</v>
      </c>
      <c r="S12" s="992">
        <f t="shared" si="12"/>
        <v>0</v>
      </c>
      <c r="T12" s="992">
        <f t="shared" si="13"/>
        <v>0</v>
      </c>
      <c r="U12" s="993">
        <f t="shared" si="14"/>
        <v>0</v>
      </c>
      <c r="V12" s="993">
        <f t="shared" si="14"/>
        <v>0</v>
      </c>
    </row>
    <row r="13" spans="1:22">
      <c r="A13" s="994">
        <v>7</v>
      </c>
      <c r="B13" s="995" t="s">
        <v>101</v>
      </c>
      <c r="C13" s="1193">
        <f>'[2]ALL-Reformatted'!P12</f>
        <v>0</v>
      </c>
      <c r="D13" s="997">
        <f>'Table 3 Levels 1&amp;2'!BN15+'Table 3 Levels 1&amp;2'!BV15</f>
        <v>1698.1351763907733</v>
      </c>
      <c r="E13" s="1100">
        <f t="shared" si="2"/>
        <v>0</v>
      </c>
      <c r="F13" s="1100">
        <f>'Table 4 Level 3'!N12</f>
        <v>756.91999999999985</v>
      </c>
      <c r="G13" s="1100">
        <f t="shared" si="3"/>
        <v>0</v>
      </c>
      <c r="H13" s="1052">
        <f t="shared" si="4"/>
        <v>0</v>
      </c>
      <c r="I13" s="1110">
        <f t="shared" si="5"/>
        <v>0</v>
      </c>
      <c r="J13" s="1052">
        <f t="shared" si="6"/>
        <v>0</v>
      </c>
      <c r="K13" s="1052">
        <v>0</v>
      </c>
      <c r="L13" s="1052">
        <f t="shared" si="7"/>
        <v>0</v>
      </c>
      <c r="M13" s="1052">
        <f t="shared" si="8"/>
        <v>0</v>
      </c>
      <c r="N13" s="1051">
        <f>'[18]FY2012-13 Final'!K14</f>
        <v>12465</v>
      </c>
      <c r="O13" s="1053">
        <f t="shared" si="9"/>
        <v>0</v>
      </c>
      <c r="P13" s="1118">
        <f t="shared" si="10"/>
        <v>0</v>
      </c>
      <c r="Q13" s="1053">
        <f t="shared" si="11"/>
        <v>0</v>
      </c>
      <c r="R13" s="1053">
        <v>0</v>
      </c>
      <c r="S13" s="1053">
        <f t="shared" si="12"/>
        <v>0</v>
      </c>
      <c r="T13" s="1053">
        <f t="shared" si="13"/>
        <v>0</v>
      </c>
      <c r="U13" s="1054">
        <f t="shared" si="14"/>
        <v>0</v>
      </c>
      <c r="V13" s="1054">
        <f t="shared" si="14"/>
        <v>0</v>
      </c>
    </row>
    <row r="14" spans="1:22">
      <c r="A14" s="994">
        <v>8</v>
      </c>
      <c r="B14" s="995" t="s">
        <v>102</v>
      </c>
      <c r="C14" s="1193">
        <f>'[2]ALL-Reformatted'!P13</f>
        <v>0</v>
      </c>
      <c r="D14" s="997">
        <f>'Table 3 Levels 1&amp;2'!BN16+'Table 3 Levels 1&amp;2'!BV16</f>
        <v>4239.8578920718974</v>
      </c>
      <c r="E14" s="1100">
        <f t="shared" si="2"/>
        <v>0</v>
      </c>
      <c r="F14" s="1100">
        <f>'Table 4 Level 3'!N13</f>
        <v>725.76</v>
      </c>
      <c r="G14" s="1100">
        <f t="shared" si="3"/>
        <v>0</v>
      </c>
      <c r="H14" s="1052">
        <f t="shared" si="4"/>
        <v>0</v>
      </c>
      <c r="I14" s="1110">
        <f t="shared" si="5"/>
        <v>0</v>
      </c>
      <c r="J14" s="1052">
        <f t="shared" si="6"/>
        <v>0</v>
      </c>
      <c r="K14" s="1052">
        <v>0</v>
      </c>
      <c r="L14" s="1052">
        <f t="shared" si="7"/>
        <v>0</v>
      </c>
      <c r="M14" s="1052">
        <f t="shared" si="8"/>
        <v>0</v>
      </c>
      <c r="N14" s="1051">
        <f>'[18]FY2012-13 Final'!K15</f>
        <v>4184</v>
      </c>
      <c r="O14" s="1053">
        <f t="shared" si="9"/>
        <v>0</v>
      </c>
      <c r="P14" s="1118">
        <f t="shared" si="10"/>
        <v>0</v>
      </c>
      <c r="Q14" s="1053">
        <f t="shared" si="11"/>
        <v>0</v>
      </c>
      <c r="R14" s="1053">
        <v>0</v>
      </c>
      <c r="S14" s="1053">
        <f t="shared" si="12"/>
        <v>0</v>
      </c>
      <c r="T14" s="1053">
        <f t="shared" si="13"/>
        <v>0</v>
      </c>
      <c r="U14" s="1054">
        <f t="shared" si="14"/>
        <v>0</v>
      </c>
      <c r="V14" s="1054">
        <f t="shared" si="14"/>
        <v>0</v>
      </c>
    </row>
    <row r="15" spans="1:22">
      <c r="A15" s="994">
        <v>9</v>
      </c>
      <c r="B15" s="995" t="s">
        <v>103</v>
      </c>
      <c r="C15" s="1193">
        <f>'[2]ALL-Reformatted'!P14</f>
        <v>0</v>
      </c>
      <c r="D15" s="997">
        <f>'Table 3 Levels 1&amp;2'!BN17+'Table 3 Levels 1&amp;2'!BV17</f>
        <v>4361.2752875373017</v>
      </c>
      <c r="E15" s="1100">
        <f t="shared" si="2"/>
        <v>0</v>
      </c>
      <c r="F15" s="1100">
        <f>'Table 4 Level 3'!N14</f>
        <v>744.76</v>
      </c>
      <c r="G15" s="1100">
        <f t="shared" si="3"/>
        <v>0</v>
      </c>
      <c r="H15" s="1052">
        <f t="shared" si="4"/>
        <v>0</v>
      </c>
      <c r="I15" s="1110">
        <f t="shared" si="5"/>
        <v>0</v>
      </c>
      <c r="J15" s="1052">
        <f t="shared" si="6"/>
        <v>0</v>
      </c>
      <c r="K15" s="1052">
        <v>0</v>
      </c>
      <c r="L15" s="1052">
        <f t="shared" si="7"/>
        <v>0</v>
      </c>
      <c r="M15" s="1052">
        <f t="shared" si="8"/>
        <v>0</v>
      </c>
      <c r="N15" s="1051">
        <f>'[18]FY2012-13 Final'!K16</f>
        <v>4640</v>
      </c>
      <c r="O15" s="1053">
        <f t="shared" si="9"/>
        <v>0</v>
      </c>
      <c r="P15" s="1118">
        <f t="shared" si="10"/>
        <v>0</v>
      </c>
      <c r="Q15" s="1053">
        <f t="shared" si="11"/>
        <v>0</v>
      </c>
      <c r="R15" s="1053">
        <v>0</v>
      </c>
      <c r="S15" s="1053">
        <f t="shared" si="12"/>
        <v>0</v>
      </c>
      <c r="T15" s="1053">
        <f t="shared" si="13"/>
        <v>0</v>
      </c>
      <c r="U15" s="1054">
        <f t="shared" si="14"/>
        <v>0</v>
      </c>
      <c r="V15" s="1054">
        <f t="shared" si="14"/>
        <v>0</v>
      </c>
    </row>
    <row r="16" spans="1:22">
      <c r="A16" s="998">
        <v>10</v>
      </c>
      <c r="B16" s="999" t="s">
        <v>104</v>
      </c>
      <c r="C16" s="1194">
        <f>'[2]ALL-Reformatted'!P15</f>
        <v>0</v>
      </c>
      <c r="D16" s="1001">
        <f>'Table 3 Levels 1&amp;2'!BN18+'Table 3 Levels 1&amp;2'!BV18</f>
        <v>4179.4641652904756</v>
      </c>
      <c r="E16" s="1101">
        <f t="shared" si="2"/>
        <v>0</v>
      </c>
      <c r="F16" s="1101">
        <f>'Table 4 Level 3'!N15</f>
        <v>608.04000000000008</v>
      </c>
      <c r="G16" s="1101">
        <f t="shared" si="3"/>
        <v>0</v>
      </c>
      <c r="H16" s="1055">
        <f t="shared" si="4"/>
        <v>0</v>
      </c>
      <c r="I16" s="1111">
        <f t="shared" si="5"/>
        <v>0</v>
      </c>
      <c r="J16" s="1055">
        <f t="shared" si="6"/>
        <v>0</v>
      </c>
      <c r="K16" s="1055">
        <v>0</v>
      </c>
      <c r="L16" s="1055">
        <f t="shared" si="7"/>
        <v>0</v>
      </c>
      <c r="M16" s="1055">
        <f t="shared" si="8"/>
        <v>0</v>
      </c>
      <c r="N16" s="1056">
        <f>'[18]FY2012-13 Final'!K17</f>
        <v>4391</v>
      </c>
      <c r="O16" s="1057">
        <f t="shared" si="9"/>
        <v>0</v>
      </c>
      <c r="P16" s="1119">
        <f t="shared" si="10"/>
        <v>0</v>
      </c>
      <c r="Q16" s="1057">
        <f t="shared" si="11"/>
        <v>0</v>
      </c>
      <c r="R16" s="1057">
        <v>0</v>
      </c>
      <c r="S16" s="1057">
        <f t="shared" si="12"/>
        <v>0</v>
      </c>
      <c r="T16" s="1057">
        <f t="shared" si="13"/>
        <v>0</v>
      </c>
      <c r="U16" s="1058">
        <f t="shared" si="14"/>
        <v>0</v>
      </c>
      <c r="V16" s="1058">
        <f t="shared" si="14"/>
        <v>0</v>
      </c>
    </row>
    <row r="17" spans="1:22">
      <c r="A17" s="987">
        <v>11</v>
      </c>
      <c r="B17" s="988" t="s">
        <v>105</v>
      </c>
      <c r="C17" s="1195">
        <f>'[2]ALL-Reformatted'!P16</f>
        <v>0</v>
      </c>
      <c r="D17" s="990">
        <f>'Table 3 Levels 1&amp;2'!BN19+'Table 3 Levels 1&amp;2'!BV19</f>
        <v>6825.0221851487568</v>
      </c>
      <c r="E17" s="1099">
        <f t="shared" si="2"/>
        <v>0</v>
      </c>
      <c r="F17" s="1099">
        <f>'Table 4 Level 3'!N16</f>
        <v>706.55</v>
      </c>
      <c r="G17" s="1099">
        <f t="shared" si="3"/>
        <v>0</v>
      </c>
      <c r="H17" s="991">
        <f t="shared" si="4"/>
        <v>0</v>
      </c>
      <c r="I17" s="1109">
        <f t="shared" si="5"/>
        <v>0</v>
      </c>
      <c r="J17" s="991">
        <f t="shared" si="6"/>
        <v>0</v>
      </c>
      <c r="K17" s="991">
        <v>0</v>
      </c>
      <c r="L17" s="991">
        <f t="shared" si="7"/>
        <v>0</v>
      </c>
      <c r="M17" s="991">
        <f t="shared" si="8"/>
        <v>0</v>
      </c>
      <c r="N17" s="1051">
        <f>'[18]FY2012-13 Final'!K18</f>
        <v>3430</v>
      </c>
      <c r="O17" s="992">
        <f t="shared" si="9"/>
        <v>0</v>
      </c>
      <c r="P17" s="1117">
        <f t="shared" si="10"/>
        <v>0</v>
      </c>
      <c r="Q17" s="992">
        <f t="shared" si="11"/>
        <v>0</v>
      </c>
      <c r="R17" s="992">
        <v>0</v>
      </c>
      <c r="S17" s="992">
        <f t="shared" si="12"/>
        <v>0</v>
      </c>
      <c r="T17" s="992">
        <f t="shared" si="13"/>
        <v>0</v>
      </c>
      <c r="U17" s="993">
        <f t="shared" si="14"/>
        <v>0</v>
      </c>
      <c r="V17" s="993">
        <f t="shared" si="14"/>
        <v>0</v>
      </c>
    </row>
    <row r="18" spans="1:22">
      <c r="A18" s="994">
        <v>12</v>
      </c>
      <c r="B18" s="995" t="s">
        <v>106</v>
      </c>
      <c r="C18" s="1193">
        <f>'[2]ALL-Reformatted'!P17</f>
        <v>0</v>
      </c>
      <c r="D18" s="997">
        <f>'Table 3 Levels 1&amp;2'!BN20+'Table 3 Levels 1&amp;2'!BV20</f>
        <v>1688.0492586490939</v>
      </c>
      <c r="E18" s="1100">
        <f t="shared" si="2"/>
        <v>0</v>
      </c>
      <c r="F18" s="1100">
        <f>'Table 4 Level 3'!N17</f>
        <v>1063.31</v>
      </c>
      <c r="G18" s="1100">
        <f t="shared" si="3"/>
        <v>0</v>
      </c>
      <c r="H18" s="1052">
        <f t="shared" si="4"/>
        <v>0</v>
      </c>
      <c r="I18" s="1110">
        <f t="shared" si="5"/>
        <v>0</v>
      </c>
      <c r="J18" s="1052">
        <f t="shared" si="6"/>
        <v>0</v>
      </c>
      <c r="K18" s="1052">
        <v>0</v>
      </c>
      <c r="L18" s="1052">
        <f t="shared" si="7"/>
        <v>0</v>
      </c>
      <c r="M18" s="1052">
        <f t="shared" si="8"/>
        <v>0</v>
      </c>
      <c r="N18" s="1051">
        <f>'[18]FY2012-13 Final'!K19</f>
        <v>12558</v>
      </c>
      <c r="O18" s="1053">
        <f t="shared" si="9"/>
        <v>0</v>
      </c>
      <c r="P18" s="1118">
        <f t="shared" si="10"/>
        <v>0</v>
      </c>
      <c r="Q18" s="1053">
        <f t="shared" si="11"/>
        <v>0</v>
      </c>
      <c r="R18" s="1053">
        <v>0</v>
      </c>
      <c r="S18" s="1053">
        <f t="shared" si="12"/>
        <v>0</v>
      </c>
      <c r="T18" s="1053">
        <f t="shared" si="13"/>
        <v>0</v>
      </c>
      <c r="U18" s="1054">
        <f t="shared" si="14"/>
        <v>0</v>
      </c>
      <c r="V18" s="1054">
        <f t="shared" si="14"/>
        <v>0</v>
      </c>
    </row>
    <row r="19" spans="1:22">
      <c r="A19" s="994">
        <v>13</v>
      </c>
      <c r="B19" s="995" t="s">
        <v>107</v>
      </c>
      <c r="C19" s="1193">
        <f>'[2]ALL-Reformatted'!P18</f>
        <v>0</v>
      </c>
      <c r="D19" s="997">
        <f>'Table 3 Levels 1&amp;2'!BN21+'Table 3 Levels 1&amp;2'!BV21</f>
        <v>6187.1651272387344</v>
      </c>
      <c r="E19" s="1100">
        <f t="shared" si="2"/>
        <v>0</v>
      </c>
      <c r="F19" s="1100">
        <f>'Table 4 Level 3'!N18</f>
        <v>749.43000000000006</v>
      </c>
      <c r="G19" s="1100">
        <f t="shared" si="3"/>
        <v>0</v>
      </c>
      <c r="H19" s="1052">
        <f t="shared" si="4"/>
        <v>0</v>
      </c>
      <c r="I19" s="1110">
        <f t="shared" si="5"/>
        <v>0</v>
      </c>
      <c r="J19" s="1052">
        <f t="shared" si="6"/>
        <v>0</v>
      </c>
      <c r="K19" s="1052">
        <v>0</v>
      </c>
      <c r="L19" s="1052">
        <f t="shared" si="7"/>
        <v>0</v>
      </c>
      <c r="M19" s="1052">
        <f t="shared" si="8"/>
        <v>0</v>
      </c>
      <c r="N19" s="1051">
        <f>'[18]FY2012-13 Final'!K20</f>
        <v>2536</v>
      </c>
      <c r="O19" s="1053">
        <f t="shared" si="9"/>
        <v>0</v>
      </c>
      <c r="P19" s="1118">
        <f t="shared" si="10"/>
        <v>0</v>
      </c>
      <c r="Q19" s="1053">
        <f t="shared" si="11"/>
        <v>0</v>
      </c>
      <c r="R19" s="1053">
        <v>0</v>
      </c>
      <c r="S19" s="1053">
        <f t="shared" si="12"/>
        <v>0</v>
      </c>
      <c r="T19" s="1053">
        <f t="shared" si="13"/>
        <v>0</v>
      </c>
      <c r="U19" s="1054">
        <f t="shared" si="14"/>
        <v>0</v>
      </c>
      <c r="V19" s="1054">
        <f t="shared" si="14"/>
        <v>0</v>
      </c>
    </row>
    <row r="20" spans="1:22">
      <c r="A20" s="994">
        <v>14</v>
      </c>
      <c r="B20" s="995" t="s">
        <v>108</v>
      </c>
      <c r="C20" s="1193">
        <f>'[2]ALL-Reformatted'!P19</f>
        <v>2</v>
      </c>
      <c r="D20" s="997">
        <f>'Table 3 Levels 1&amp;2'!BN22+'Table 3 Levels 1&amp;2'!BV22</f>
        <v>5339.1887414618923</v>
      </c>
      <c r="E20" s="1100">
        <f t="shared" si="2"/>
        <v>10678.377482923785</v>
      </c>
      <c r="F20" s="1100">
        <f>'Table 4 Level 3'!N19</f>
        <v>809.9799999999999</v>
      </c>
      <c r="G20" s="1100">
        <f t="shared" si="3"/>
        <v>1619.9599999999998</v>
      </c>
      <c r="H20" s="1052">
        <f t="shared" si="4"/>
        <v>12298.337482923784</v>
      </c>
      <c r="I20" s="1110">
        <f t="shared" si="5"/>
        <v>-30.745843707309461</v>
      </c>
      <c r="J20" s="1052">
        <f t="shared" si="6"/>
        <v>12267.591639216475</v>
      </c>
      <c r="K20" s="1052">
        <v>0</v>
      </c>
      <c r="L20" s="1052">
        <f t="shared" si="7"/>
        <v>12267.591639216475</v>
      </c>
      <c r="M20" s="1052">
        <f t="shared" si="8"/>
        <v>1022.2993032680396</v>
      </c>
      <c r="N20" s="1051">
        <f>'[18]FY2012-13 Final'!K21</f>
        <v>3888</v>
      </c>
      <c r="O20" s="1053">
        <f t="shared" si="9"/>
        <v>7776</v>
      </c>
      <c r="P20" s="1118">
        <f t="shared" si="10"/>
        <v>-19.440000000000001</v>
      </c>
      <c r="Q20" s="1053">
        <f t="shared" si="11"/>
        <v>7756.56</v>
      </c>
      <c r="R20" s="1053">
        <v>0</v>
      </c>
      <c r="S20" s="1053">
        <f t="shared" si="12"/>
        <v>7756.56</v>
      </c>
      <c r="T20" s="1053">
        <f t="shared" si="13"/>
        <v>646.38</v>
      </c>
      <c r="U20" s="1054">
        <f t="shared" si="14"/>
        <v>20024.151639216474</v>
      </c>
      <c r="V20" s="1054">
        <f t="shared" si="14"/>
        <v>1668.6793032680396</v>
      </c>
    </row>
    <row r="21" spans="1:22">
      <c r="A21" s="998">
        <v>15</v>
      </c>
      <c r="B21" s="999" t="s">
        <v>109</v>
      </c>
      <c r="C21" s="1194">
        <f>'[2]ALL-Reformatted'!P20</f>
        <v>0</v>
      </c>
      <c r="D21" s="1001">
        <f>'Table 3 Levels 1&amp;2'!BN23+'Table 3 Levels 1&amp;2'!BV23</f>
        <v>5492.5789412344011</v>
      </c>
      <c r="E21" s="1101">
        <f t="shared" si="2"/>
        <v>0</v>
      </c>
      <c r="F21" s="1101">
        <f>'Table 4 Level 3'!N20</f>
        <v>553.79999999999995</v>
      </c>
      <c r="G21" s="1101">
        <f t="shared" si="3"/>
        <v>0</v>
      </c>
      <c r="H21" s="1055">
        <f t="shared" si="4"/>
        <v>0</v>
      </c>
      <c r="I21" s="1111">
        <f t="shared" si="5"/>
        <v>0</v>
      </c>
      <c r="J21" s="1055">
        <f t="shared" si="6"/>
        <v>0</v>
      </c>
      <c r="K21" s="1055">
        <v>0</v>
      </c>
      <c r="L21" s="1055">
        <f t="shared" si="7"/>
        <v>0</v>
      </c>
      <c r="M21" s="1055">
        <f t="shared" si="8"/>
        <v>0</v>
      </c>
      <c r="N21" s="1056">
        <f>'[18]FY2012-13 Final'!K22</f>
        <v>2752</v>
      </c>
      <c r="O21" s="1057">
        <f t="shared" si="9"/>
        <v>0</v>
      </c>
      <c r="P21" s="1119">
        <f t="shared" si="10"/>
        <v>0</v>
      </c>
      <c r="Q21" s="1057">
        <f t="shared" si="11"/>
        <v>0</v>
      </c>
      <c r="R21" s="1057">
        <v>0</v>
      </c>
      <c r="S21" s="1057">
        <f t="shared" si="12"/>
        <v>0</v>
      </c>
      <c r="T21" s="1057">
        <f t="shared" si="13"/>
        <v>0</v>
      </c>
      <c r="U21" s="1058">
        <f t="shared" si="14"/>
        <v>0</v>
      </c>
      <c r="V21" s="1058">
        <f t="shared" si="14"/>
        <v>0</v>
      </c>
    </row>
    <row r="22" spans="1:22">
      <c r="A22" s="987">
        <v>16</v>
      </c>
      <c r="B22" s="988" t="s">
        <v>110</v>
      </c>
      <c r="C22" s="1195">
        <f>'[2]ALL-Reformatted'!P21</f>
        <v>0</v>
      </c>
      <c r="D22" s="990">
        <f>'Table 3 Levels 1&amp;2'!BN24+'Table 3 Levels 1&amp;2'!BV24</f>
        <v>1506.1153407945151</v>
      </c>
      <c r="E22" s="1099">
        <f t="shared" si="2"/>
        <v>0</v>
      </c>
      <c r="F22" s="1099">
        <f>'Table 4 Level 3'!N21</f>
        <v>686.73</v>
      </c>
      <c r="G22" s="1099">
        <f t="shared" si="3"/>
        <v>0</v>
      </c>
      <c r="H22" s="991">
        <f t="shared" si="4"/>
        <v>0</v>
      </c>
      <c r="I22" s="1109">
        <f t="shared" si="5"/>
        <v>0</v>
      </c>
      <c r="J22" s="991">
        <f t="shared" si="6"/>
        <v>0</v>
      </c>
      <c r="K22" s="991">
        <v>0</v>
      </c>
      <c r="L22" s="991">
        <f t="shared" si="7"/>
        <v>0</v>
      </c>
      <c r="M22" s="991">
        <f t="shared" si="8"/>
        <v>0</v>
      </c>
      <c r="N22" s="1051">
        <f>'[18]FY2012-13 Final'!K23</f>
        <v>15092</v>
      </c>
      <c r="O22" s="992">
        <f t="shared" si="9"/>
        <v>0</v>
      </c>
      <c r="P22" s="1117">
        <f t="shared" si="10"/>
        <v>0</v>
      </c>
      <c r="Q22" s="992">
        <f t="shared" si="11"/>
        <v>0</v>
      </c>
      <c r="R22" s="992">
        <v>0</v>
      </c>
      <c r="S22" s="992">
        <f t="shared" si="12"/>
        <v>0</v>
      </c>
      <c r="T22" s="992">
        <f t="shared" si="13"/>
        <v>0</v>
      </c>
      <c r="U22" s="993">
        <f t="shared" si="14"/>
        <v>0</v>
      </c>
      <c r="V22" s="993">
        <f t="shared" si="14"/>
        <v>0</v>
      </c>
    </row>
    <row r="23" spans="1:22">
      <c r="A23" s="994">
        <v>17</v>
      </c>
      <c r="B23" s="995" t="s">
        <v>111</v>
      </c>
      <c r="C23" s="1193">
        <f>'[2]ALL-Reformatted'!P22</f>
        <v>0</v>
      </c>
      <c r="D23" s="997">
        <f>'Table 3 Levels 1&amp;2'!BN25+'Table 3 Levels 1&amp;2'!BV25</f>
        <v>3311.610845996096</v>
      </c>
      <c r="E23" s="1100">
        <f t="shared" si="2"/>
        <v>0</v>
      </c>
      <c r="F23" s="1100">
        <f>'Table 5B2_RSD_LA'!F7</f>
        <v>801.47762416806802</v>
      </c>
      <c r="G23" s="1100">
        <f t="shared" si="3"/>
        <v>0</v>
      </c>
      <c r="H23" s="1052">
        <f t="shared" si="4"/>
        <v>0</v>
      </c>
      <c r="I23" s="1110">
        <f t="shared" si="5"/>
        <v>0</v>
      </c>
      <c r="J23" s="1052">
        <f t="shared" si="6"/>
        <v>0</v>
      </c>
      <c r="K23" s="1052">
        <v>0</v>
      </c>
      <c r="L23" s="1052">
        <f t="shared" si="7"/>
        <v>0</v>
      </c>
      <c r="M23" s="1052">
        <f t="shared" si="8"/>
        <v>0</v>
      </c>
      <c r="N23" s="1051">
        <f>'[18]FY2012-13 Final'!K24</f>
        <v>6551</v>
      </c>
      <c r="O23" s="1053">
        <f t="shared" si="9"/>
        <v>0</v>
      </c>
      <c r="P23" s="1118">
        <f t="shared" si="10"/>
        <v>0</v>
      </c>
      <c r="Q23" s="1053">
        <f t="shared" si="11"/>
        <v>0</v>
      </c>
      <c r="R23" s="1053">
        <v>0</v>
      </c>
      <c r="S23" s="1053">
        <f t="shared" si="12"/>
        <v>0</v>
      </c>
      <c r="T23" s="1053">
        <f t="shared" si="13"/>
        <v>0</v>
      </c>
      <c r="U23" s="1054">
        <f t="shared" si="14"/>
        <v>0</v>
      </c>
      <c r="V23" s="1054">
        <f t="shared" si="14"/>
        <v>0</v>
      </c>
    </row>
    <row r="24" spans="1:22">
      <c r="A24" s="994">
        <v>18</v>
      </c>
      <c r="B24" s="995" t="s">
        <v>112</v>
      </c>
      <c r="C24" s="1193">
        <f>'[2]ALL-Reformatted'!P23</f>
        <v>0</v>
      </c>
      <c r="D24" s="997">
        <f>'Table 3 Levels 1&amp;2'!BN26+'Table 3 Levels 1&amp;2'!BV26</f>
        <v>5964.3490202032081</v>
      </c>
      <c r="E24" s="1100">
        <f t="shared" si="2"/>
        <v>0</v>
      </c>
      <c r="F24" s="1100">
        <f>'Table 4 Level 3'!N23</f>
        <v>845.94999999999993</v>
      </c>
      <c r="G24" s="1100">
        <f t="shared" si="3"/>
        <v>0</v>
      </c>
      <c r="H24" s="1052">
        <f t="shared" si="4"/>
        <v>0</v>
      </c>
      <c r="I24" s="1110">
        <f t="shared" si="5"/>
        <v>0</v>
      </c>
      <c r="J24" s="1052">
        <f t="shared" si="6"/>
        <v>0</v>
      </c>
      <c r="K24" s="1052">
        <v>0</v>
      </c>
      <c r="L24" s="1052">
        <f t="shared" si="7"/>
        <v>0</v>
      </c>
      <c r="M24" s="1052">
        <f t="shared" si="8"/>
        <v>0</v>
      </c>
      <c r="N24" s="1051">
        <f>'[18]FY2012-13 Final'!K25</f>
        <v>2165</v>
      </c>
      <c r="O24" s="1053">
        <f t="shared" si="9"/>
        <v>0</v>
      </c>
      <c r="P24" s="1118">
        <f t="shared" si="10"/>
        <v>0</v>
      </c>
      <c r="Q24" s="1053">
        <f t="shared" si="11"/>
        <v>0</v>
      </c>
      <c r="R24" s="1053">
        <v>0</v>
      </c>
      <c r="S24" s="1053">
        <f t="shared" si="12"/>
        <v>0</v>
      </c>
      <c r="T24" s="1053">
        <f t="shared" si="13"/>
        <v>0</v>
      </c>
      <c r="U24" s="1054">
        <f t="shared" si="14"/>
        <v>0</v>
      </c>
      <c r="V24" s="1054">
        <f t="shared" si="14"/>
        <v>0</v>
      </c>
    </row>
    <row r="25" spans="1:22">
      <c r="A25" s="994">
        <v>19</v>
      </c>
      <c r="B25" s="995" t="s">
        <v>113</v>
      </c>
      <c r="C25" s="1193">
        <f>'[2]ALL-Reformatted'!P24</f>
        <v>0</v>
      </c>
      <c r="D25" s="997">
        <f>'Table 3 Levels 1&amp;2'!BN27+'Table 3 Levels 1&amp;2'!BV27</f>
        <v>5283.1088158476596</v>
      </c>
      <c r="E25" s="1100">
        <f t="shared" si="2"/>
        <v>0</v>
      </c>
      <c r="F25" s="1100">
        <f>'Table 4 Level 3'!N24</f>
        <v>905.43</v>
      </c>
      <c r="G25" s="1100">
        <f t="shared" si="3"/>
        <v>0</v>
      </c>
      <c r="H25" s="1052">
        <f t="shared" si="4"/>
        <v>0</v>
      </c>
      <c r="I25" s="1110">
        <f t="shared" si="5"/>
        <v>0</v>
      </c>
      <c r="J25" s="1052">
        <f t="shared" si="6"/>
        <v>0</v>
      </c>
      <c r="K25" s="1052">
        <v>0</v>
      </c>
      <c r="L25" s="1052">
        <f t="shared" si="7"/>
        <v>0</v>
      </c>
      <c r="M25" s="1052">
        <f t="shared" si="8"/>
        <v>0</v>
      </c>
      <c r="N25" s="1051">
        <f>'[18]FY2012-13 Final'!K26</f>
        <v>2729</v>
      </c>
      <c r="O25" s="1053">
        <f t="shared" si="9"/>
        <v>0</v>
      </c>
      <c r="P25" s="1118">
        <f t="shared" si="10"/>
        <v>0</v>
      </c>
      <c r="Q25" s="1053">
        <f t="shared" si="11"/>
        <v>0</v>
      </c>
      <c r="R25" s="1053">
        <v>0</v>
      </c>
      <c r="S25" s="1053">
        <f t="shared" si="12"/>
        <v>0</v>
      </c>
      <c r="T25" s="1053">
        <f t="shared" si="13"/>
        <v>0</v>
      </c>
      <c r="U25" s="1054">
        <f t="shared" si="14"/>
        <v>0</v>
      </c>
      <c r="V25" s="1054">
        <f t="shared" si="14"/>
        <v>0</v>
      </c>
    </row>
    <row r="26" spans="1:22">
      <c r="A26" s="998">
        <v>20</v>
      </c>
      <c r="B26" s="999" t="s">
        <v>114</v>
      </c>
      <c r="C26" s="1194">
        <f>'[2]ALL-Reformatted'!P25</f>
        <v>0</v>
      </c>
      <c r="D26" s="1001">
        <f>'Table 3 Levels 1&amp;2'!BN28+'Table 3 Levels 1&amp;2'!BV28</f>
        <v>5389.6047094824808</v>
      </c>
      <c r="E26" s="1101">
        <f t="shared" si="2"/>
        <v>0</v>
      </c>
      <c r="F26" s="1101">
        <f>'Table 4 Level 3'!N25</f>
        <v>586.16999999999996</v>
      </c>
      <c r="G26" s="1101">
        <f t="shared" si="3"/>
        <v>0</v>
      </c>
      <c r="H26" s="1055">
        <f t="shared" si="4"/>
        <v>0</v>
      </c>
      <c r="I26" s="1111">
        <f t="shared" si="5"/>
        <v>0</v>
      </c>
      <c r="J26" s="1055">
        <f t="shared" si="6"/>
        <v>0</v>
      </c>
      <c r="K26" s="1055">
        <v>0</v>
      </c>
      <c r="L26" s="1055">
        <f t="shared" si="7"/>
        <v>0</v>
      </c>
      <c r="M26" s="1055">
        <f t="shared" si="8"/>
        <v>0</v>
      </c>
      <c r="N26" s="1056">
        <f>'[18]FY2012-13 Final'!K27</f>
        <v>2334</v>
      </c>
      <c r="O26" s="1057">
        <f t="shared" si="9"/>
        <v>0</v>
      </c>
      <c r="P26" s="1119">
        <f t="shared" si="10"/>
        <v>0</v>
      </c>
      <c r="Q26" s="1057">
        <f t="shared" si="11"/>
        <v>0</v>
      </c>
      <c r="R26" s="1057">
        <v>0</v>
      </c>
      <c r="S26" s="1057">
        <f t="shared" si="12"/>
        <v>0</v>
      </c>
      <c r="T26" s="1057">
        <f t="shared" si="13"/>
        <v>0</v>
      </c>
      <c r="U26" s="1058">
        <f t="shared" si="14"/>
        <v>0</v>
      </c>
      <c r="V26" s="1058">
        <f t="shared" si="14"/>
        <v>0</v>
      </c>
    </row>
    <row r="27" spans="1:22">
      <c r="A27" s="987">
        <v>21</v>
      </c>
      <c r="B27" s="988" t="s">
        <v>115</v>
      </c>
      <c r="C27" s="1195">
        <f>'[2]ALL-Reformatted'!P26</f>
        <v>0</v>
      </c>
      <c r="D27" s="990">
        <f>'Table 3 Levels 1&amp;2'!BN29+'Table 3 Levels 1&amp;2'!BV29</f>
        <v>5659.8229810652783</v>
      </c>
      <c r="E27" s="1099">
        <f t="shared" si="2"/>
        <v>0</v>
      </c>
      <c r="F27" s="1099">
        <f>'Table 4 Level 3'!N26</f>
        <v>610.35</v>
      </c>
      <c r="G27" s="1099">
        <f t="shared" si="3"/>
        <v>0</v>
      </c>
      <c r="H27" s="991">
        <f t="shared" si="4"/>
        <v>0</v>
      </c>
      <c r="I27" s="1109">
        <f t="shared" si="5"/>
        <v>0</v>
      </c>
      <c r="J27" s="991">
        <f t="shared" si="6"/>
        <v>0</v>
      </c>
      <c r="K27" s="991">
        <v>0</v>
      </c>
      <c r="L27" s="991">
        <f t="shared" si="7"/>
        <v>0</v>
      </c>
      <c r="M27" s="991">
        <f t="shared" si="8"/>
        <v>0</v>
      </c>
      <c r="N27" s="1051">
        <f>'[18]FY2012-13 Final'!K28</f>
        <v>2233</v>
      </c>
      <c r="O27" s="992">
        <f t="shared" si="9"/>
        <v>0</v>
      </c>
      <c r="P27" s="1117">
        <f t="shared" si="10"/>
        <v>0</v>
      </c>
      <c r="Q27" s="992">
        <f t="shared" si="11"/>
        <v>0</v>
      </c>
      <c r="R27" s="992">
        <v>0</v>
      </c>
      <c r="S27" s="992">
        <f t="shared" si="12"/>
        <v>0</v>
      </c>
      <c r="T27" s="992">
        <f t="shared" si="13"/>
        <v>0</v>
      </c>
      <c r="U27" s="993">
        <f t="shared" si="14"/>
        <v>0</v>
      </c>
      <c r="V27" s="993">
        <f t="shared" si="14"/>
        <v>0</v>
      </c>
    </row>
    <row r="28" spans="1:22">
      <c r="A28" s="994">
        <v>22</v>
      </c>
      <c r="B28" s="995" t="s">
        <v>116</v>
      </c>
      <c r="C28" s="1193">
        <f>'[2]ALL-Reformatted'!P27</f>
        <v>0</v>
      </c>
      <c r="D28" s="997">
        <f>'Table 3 Levels 1&amp;2'!BN30+'Table 3 Levels 1&amp;2'!BV30</f>
        <v>6191.1997628958306</v>
      </c>
      <c r="E28" s="1100">
        <f t="shared" si="2"/>
        <v>0</v>
      </c>
      <c r="F28" s="1100">
        <f>'Table 4 Level 3'!N27</f>
        <v>496.36</v>
      </c>
      <c r="G28" s="1100">
        <f t="shared" si="3"/>
        <v>0</v>
      </c>
      <c r="H28" s="1052">
        <f t="shared" si="4"/>
        <v>0</v>
      </c>
      <c r="I28" s="1110">
        <f t="shared" si="5"/>
        <v>0</v>
      </c>
      <c r="J28" s="1052">
        <f t="shared" si="6"/>
        <v>0</v>
      </c>
      <c r="K28" s="1052">
        <v>0</v>
      </c>
      <c r="L28" s="1052">
        <f t="shared" si="7"/>
        <v>0</v>
      </c>
      <c r="M28" s="1052">
        <f t="shared" si="8"/>
        <v>0</v>
      </c>
      <c r="N28" s="1051">
        <f>'[18]FY2012-13 Final'!K29</f>
        <v>1410</v>
      </c>
      <c r="O28" s="1053">
        <f t="shared" si="9"/>
        <v>0</v>
      </c>
      <c r="P28" s="1118">
        <f t="shared" si="10"/>
        <v>0</v>
      </c>
      <c r="Q28" s="1053">
        <f t="shared" si="11"/>
        <v>0</v>
      </c>
      <c r="R28" s="1053">
        <v>0</v>
      </c>
      <c r="S28" s="1053">
        <f t="shared" si="12"/>
        <v>0</v>
      </c>
      <c r="T28" s="1053">
        <f t="shared" si="13"/>
        <v>0</v>
      </c>
      <c r="U28" s="1054">
        <f t="shared" si="14"/>
        <v>0</v>
      </c>
      <c r="V28" s="1054">
        <f t="shared" si="14"/>
        <v>0</v>
      </c>
    </row>
    <row r="29" spans="1:22">
      <c r="A29" s="994">
        <v>23</v>
      </c>
      <c r="B29" s="995" t="s">
        <v>117</v>
      </c>
      <c r="C29" s="1193">
        <f>'[2]ALL-Reformatted'!P28</f>
        <v>0</v>
      </c>
      <c r="D29" s="997">
        <f>'Table 3 Levels 1&amp;2'!BN31+'Table 3 Levels 1&amp;2'!BV31</f>
        <v>4788.2881021645453</v>
      </c>
      <c r="E29" s="1100">
        <f t="shared" si="2"/>
        <v>0</v>
      </c>
      <c r="F29" s="1100">
        <f>'Table 4 Level 3'!N28</f>
        <v>688.58</v>
      </c>
      <c r="G29" s="1100">
        <f t="shared" si="3"/>
        <v>0</v>
      </c>
      <c r="H29" s="1052">
        <f t="shared" si="4"/>
        <v>0</v>
      </c>
      <c r="I29" s="1110">
        <f t="shared" si="5"/>
        <v>0</v>
      </c>
      <c r="J29" s="1052">
        <f t="shared" si="6"/>
        <v>0</v>
      </c>
      <c r="K29" s="1052">
        <v>0</v>
      </c>
      <c r="L29" s="1052">
        <f t="shared" si="7"/>
        <v>0</v>
      </c>
      <c r="M29" s="1052">
        <f t="shared" si="8"/>
        <v>0</v>
      </c>
      <c r="N29" s="1051">
        <f>'[18]FY2012-13 Final'!K30</f>
        <v>3258</v>
      </c>
      <c r="O29" s="1053">
        <f t="shared" si="9"/>
        <v>0</v>
      </c>
      <c r="P29" s="1118">
        <f t="shared" si="10"/>
        <v>0</v>
      </c>
      <c r="Q29" s="1053">
        <f t="shared" si="11"/>
        <v>0</v>
      </c>
      <c r="R29" s="1053">
        <v>0</v>
      </c>
      <c r="S29" s="1053">
        <f t="shared" si="12"/>
        <v>0</v>
      </c>
      <c r="T29" s="1053">
        <f t="shared" si="13"/>
        <v>0</v>
      </c>
      <c r="U29" s="1054">
        <f t="shared" si="14"/>
        <v>0</v>
      </c>
      <c r="V29" s="1054">
        <f t="shared" si="14"/>
        <v>0</v>
      </c>
    </row>
    <row r="30" spans="1:22">
      <c r="A30" s="994">
        <v>24</v>
      </c>
      <c r="B30" s="995" t="s">
        <v>118</v>
      </c>
      <c r="C30" s="1193">
        <f>'[2]ALL-Reformatted'!P29</f>
        <v>0</v>
      </c>
      <c r="D30" s="997">
        <f>'Table 3 Levels 1&amp;2'!BN32+'Table 3 Levels 1&amp;2'!BV32</f>
        <v>2743.328175824176</v>
      </c>
      <c r="E30" s="1100">
        <f t="shared" si="2"/>
        <v>0</v>
      </c>
      <c r="F30" s="1100">
        <f>'Table 4 Level 3'!N29</f>
        <v>854.24999999999989</v>
      </c>
      <c r="G30" s="1100">
        <f t="shared" si="3"/>
        <v>0</v>
      </c>
      <c r="H30" s="1052">
        <f t="shared" si="4"/>
        <v>0</v>
      </c>
      <c r="I30" s="1110">
        <f t="shared" si="5"/>
        <v>0</v>
      </c>
      <c r="J30" s="1052">
        <f t="shared" si="6"/>
        <v>0</v>
      </c>
      <c r="K30" s="1052">
        <v>0</v>
      </c>
      <c r="L30" s="1052">
        <f t="shared" si="7"/>
        <v>0</v>
      </c>
      <c r="M30" s="1052">
        <f t="shared" si="8"/>
        <v>0</v>
      </c>
      <c r="N30" s="1051">
        <f>'[18]FY2012-13 Final'!K31</f>
        <v>9280</v>
      </c>
      <c r="O30" s="1053">
        <f t="shared" si="9"/>
        <v>0</v>
      </c>
      <c r="P30" s="1118">
        <f t="shared" si="10"/>
        <v>0</v>
      </c>
      <c r="Q30" s="1053">
        <f t="shared" si="11"/>
        <v>0</v>
      </c>
      <c r="R30" s="1053">
        <v>0</v>
      </c>
      <c r="S30" s="1053">
        <f t="shared" si="12"/>
        <v>0</v>
      </c>
      <c r="T30" s="1053">
        <f t="shared" si="13"/>
        <v>0</v>
      </c>
      <c r="U30" s="1054">
        <f t="shared" si="14"/>
        <v>0</v>
      </c>
      <c r="V30" s="1054">
        <f t="shared" si="14"/>
        <v>0</v>
      </c>
    </row>
    <row r="31" spans="1:22">
      <c r="A31" s="998">
        <v>25</v>
      </c>
      <c r="B31" s="999" t="s">
        <v>119</v>
      </c>
      <c r="C31" s="1194">
        <f>'[2]ALL-Reformatted'!P30</f>
        <v>0</v>
      </c>
      <c r="D31" s="1001">
        <f>'Table 3 Levels 1&amp;2'!BN33+'Table 3 Levels 1&amp;2'!BV33</f>
        <v>3799.3890273447178</v>
      </c>
      <c r="E31" s="1101">
        <f t="shared" si="2"/>
        <v>0</v>
      </c>
      <c r="F31" s="1101">
        <f>'Table 4 Level 3'!N30</f>
        <v>653.73</v>
      </c>
      <c r="G31" s="1101">
        <f t="shared" si="3"/>
        <v>0</v>
      </c>
      <c r="H31" s="1055">
        <f t="shared" si="4"/>
        <v>0</v>
      </c>
      <c r="I31" s="1111">
        <f t="shared" si="5"/>
        <v>0</v>
      </c>
      <c r="J31" s="1055">
        <f t="shared" si="6"/>
        <v>0</v>
      </c>
      <c r="K31" s="1055">
        <v>0</v>
      </c>
      <c r="L31" s="1055">
        <f t="shared" si="7"/>
        <v>0</v>
      </c>
      <c r="M31" s="1055">
        <f t="shared" si="8"/>
        <v>0</v>
      </c>
      <c r="N31" s="1056">
        <f>'[18]FY2012-13 Final'!K32</f>
        <v>5351</v>
      </c>
      <c r="O31" s="1057">
        <f t="shared" si="9"/>
        <v>0</v>
      </c>
      <c r="P31" s="1119">
        <f t="shared" si="10"/>
        <v>0</v>
      </c>
      <c r="Q31" s="1057">
        <f t="shared" si="11"/>
        <v>0</v>
      </c>
      <c r="R31" s="1057">
        <v>0</v>
      </c>
      <c r="S31" s="1057">
        <f t="shared" si="12"/>
        <v>0</v>
      </c>
      <c r="T31" s="1057">
        <f t="shared" si="13"/>
        <v>0</v>
      </c>
      <c r="U31" s="1058">
        <f t="shared" si="14"/>
        <v>0</v>
      </c>
      <c r="V31" s="1058">
        <f t="shared" si="14"/>
        <v>0</v>
      </c>
    </row>
    <row r="32" spans="1:22">
      <c r="A32" s="987">
        <v>26</v>
      </c>
      <c r="B32" s="988" t="s">
        <v>120</v>
      </c>
      <c r="C32" s="1195">
        <f>'[2]ALL-Reformatted'!P31</f>
        <v>0</v>
      </c>
      <c r="D32" s="990">
        <f>'Table 3 Levels 1&amp;2'!BN34+'Table 3 Levels 1&amp;2'!BV34</f>
        <v>3320.7842100822745</v>
      </c>
      <c r="E32" s="1099">
        <f t="shared" si="2"/>
        <v>0</v>
      </c>
      <c r="F32" s="1099">
        <f>'Table 4 Level 3'!N31</f>
        <v>836.83</v>
      </c>
      <c r="G32" s="1099">
        <f t="shared" si="3"/>
        <v>0</v>
      </c>
      <c r="H32" s="991">
        <f t="shared" si="4"/>
        <v>0</v>
      </c>
      <c r="I32" s="1109">
        <f t="shared" si="5"/>
        <v>0</v>
      </c>
      <c r="J32" s="991">
        <f t="shared" si="6"/>
        <v>0</v>
      </c>
      <c r="K32" s="991">
        <v>0</v>
      </c>
      <c r="L32" s="991">
        <f t="shared" si="7"/>
        <v>0</v>
      </c>
      <c r="M32" s="991">
        <f t="shared" si="8"/>
        <v>0</v>
      </c>
      <c r="N32" s="1051">
        <f>'[18]FY2012-13 Final'!K33</f>
        <v>5100</v>
      </c>
      <c r="O32" s="992">
        <f t="shared" si="9"/>
        <v>0</v>
      </c>
      <c r="P32" s="1117">
        <f t="shared" si="10"/>
        <v>0</v>
      </c>
      <c r="Q32" s="992">
        <f t="shared" si="11"/>
        <v>0</v>
      </c>
      <c r="R32" s="992">
        <v>0</v>
      </c>
      <c r="S32" s="992">
        <f t="shared" si="12"/>
        <v>0</v>
      </c>
      <c r="T32" s="992">
        <f t="shared" si="13"/>
        <v>0</v>
      </c>
      <c r="U32" s="993">
        <f t="shared" si="14"/>
        <v>0</v>
      </c>
      <c r="V32" s="993">
        <f t="shared" si="14"/>
        <v>0</v>
      </c>
    </row>
    <row r="33" spans="1:22">
      <c r="A33" s="994">
        <v>27</v>
      </c>
      <c r="B33" s="995" t="s">
        <v>121</v>
      </c>
      <c r="C33" s="1196">
        <f>'[2]ALL-Reformatted'!P32</f>
        <v>0</v>
      </c>
      <c r="D33" s="1003">
        <f>'Table 3 Levels 1&amp;2'!BN35+'Table 3 Levels 1&amp;2'!BV35</f>
        <v>5636.5919457972805</v>
      </c>
      <c r="E33" s="1102">
        <f t="shared" si="2"/>
        <v>0</v>
      </c>
      <c r="F33" s="1102">
        <f>'Table 4 Level 3'!N32</f>
        <v>693.06</v>
      </c>
      <c r="G33" s="1102">
        <f t="shared" si="3"/>
        <v>0</v>
      </c>
      <c r="H33" s="1059">
        <f t="shared" si="4"/>
        <v>0</v>
      </c>
      <c r="I33" s="1112">
        <f t="shared" si="5"/>
        <v>0</v>
      </c>
      <c r="J33" s="1059">
        <f t="shared" si="6"/>
        <v>0</v>
      </c>
      <c r="K33" s="1059">
        <v>0</v>
      </c>
      <c r="L33" s="1059">
        <f t="shared" si="7"/>
        <v>0</v>
      </c>
      <c r="M33" s="1059">
        <f t="shared" si="8"/>
        <v>0</v>
      </c>
      <c r="N33" s="1051">
        <f>'[18]FY2012-13 Final'!K34</f>
        <v>3091</v>
      </c>
      <c r="O33" s="1053">
        <f t="shared" si="9"/>
        <v>0</v>
      </c>
      <c r="P33" s="1118">
        <f t="shared" si="10"/>
        <v>0</v>
      </c>
      <c r="Q33" s="1053">
        <f t="shared" si="11"/>
        <v>0</v>
      </c>
      <c r="R33" s="1053">
        <v>0</v>
      </c>
      <c r="S33" s="1053">
        <f t="shared" si="12"/>
        <v>0</v>
      </c>
      <c r="T33" s="1053">
        <f t="shared" si="13"/>
        <v>0</v>
      </c>
      <c r="U33" s="1054">
        <f t="shared" si="14"/>
        <v>0</v>
      </c>
      <c r="V33" s="1054">
        <f t="shared" si="14"/>
        <v>0</v>
      </c>
    </row>
    <row r="34" spans="1:22">
      <c r="A34" s="994">
        <v>28</v>
      </c>
      <c r="B34" s="995" t="s">
        <v>122</v>
      </c>
      <c r="C34" s="1196">
        <f>'[2]ALL-Reformatted'!P33</f>
        <v>0</v>
      </c>
      <c r="D34" s="1003">
        <f>'Table 3 Levels 1&amp;2'!BN36+'Table 3 Levels 1&amp;2'!BV36</f>
        <v>3106.8056522508969</v>
      </c>
      <c r="E34" s="1102">
        <f t="shared" si="2"/>
        <v>0</v>
      </c>
      <c r="F34" s="1102">
        <f>'Table 4 Level 3'!N33</f>
        <v>694.4</v>
      </c>
      <c r="G34" s="1102">
        <f t="shared" si="3"/>
        <v>0</v>
      </c>
      <c r="H34" s="1059">
        <f t="shared" si="4"/>
        <v>0</v>
      </c>
      <c r="I34" s="1112">
        <f t="shared" si="5"/>
        <v>0</v>
      </c>
      <c r="J34" s="1059">
        <f t="shared" si="6"/>
        <v>0</v>
      </c>
      <c r="K34" s="1059">
        <v>0</v>
      </c>
      <c r="L34" s="1059">
        <f t="shared" si="7"/>
        <v>0</v>
      </c>
      <c r="M34" s="1059">
        <f t="shared" si="8"/>
        <v>0</v>
      </c>
      <c r="N34" s="1051">
        <f>'[18]FY2012-13 Final'!K35</f>
        <v>5323</v>
      </c>
      <c r="O34" s="1053">
        <f t="shared" si="9"/>
        <v>0</v>
      </c>
      <c r="P34" s="1118">
        <f t="shared" si="10"/>
        <v>0</v>
      </c>
      <c r="Q34" s="1053">
        <f t="shared" si="11"/>
        <v>0</v>
      </c>
      <c r="R34" s="1053">
        <v>0</v>
      </c>
      <c r="S34" s="1053">
        <f t="shared" si="12"/>
        <v>0</v>
      </c>
      <c r="T34" s="1053">
        <f t="shared" si="13"/>
        <v>0</v>
      </c>
      <c r="U34" s="1054">
        <f t="shared" si="14"/>
        <v>0</v>
      </c>
      <c r="V34" s="1054">
        <f t="shared" si="14"/>
        <v>0</v>
      </c>
    </row>
    <row r="35" spans="1:22">
      <c r="A35" s="994">
        <v>29</v>
      </c>
      <c r="B35" s="995" t="s">
        <v>123</v>
      </c>
      <c r="C35" s="1196">
        <f>'[2]ALL-Reformatted'!P34</f>
        <v>0</v>
      </c>
      <c r="D35" s="1003">
        <f>'Table 3 Levels 1&amp;2'!BN37+'Table 3 Levels 1&amp;2'!BV37</f>
        <v>3912.1846976122315</v>
      </c>
      <c r="E35" s="1102">
        <f t="shared" si="2"/>
        <v>0</v>
      </c>
      <c r="F35" s="1102">
        <f>'Table 4 Level 3'!N34</f>
        <v>754.94999999999993</v>
      </c>
      <c r="G35" s="1102">
        <f t="shared" si="3"/>
        <v>0</v>
      </c>
      <c r="H35" s="1059">
        <f t="shared" si="4"/>
        <v>0</v>
      </c>
      <c r="I35" s="1112">
        <f t="shared" si="5"/>
        <v>0</v>
      </c>
      <c r="J35" s="1059">
        <f t="shared" si="6"/>
        <v>0</v>
      </c>
      <c r="K35" s="1059">
        <v>0</v>
      </c>
      <c r="L35" s="1059">
        <f t="shared" si="7"/>
        <v>0</v>
      </c>
      <c r="M35" s="1059">
        <f t="shared" si="8"/>
        <v>0</v>
      </c>
      <c r="N35" s="1051">
        <f>'[18]FY2012-13 Final'!K36</f>
        <v>4388</v>
      </c>
      <c r="O35" s="1053">
        <f t="shared" si="9"/>
        <v>0</v>
      </c>
      <c r="P35" s="1118">
        <f t="shared" si="10"/>
        <v>0</v>
      </c>
      <c r="Q35" s="1053">
        <f t="shared" si="11"/>
        <v>0</v>
      </c>
      <c r="R35" s="1053">
        <v>0</v>
      </c>
      <c r="S35" s="1053">
        <f t="shared" si="12"/>
        <v>0</v>
      </c>
      <c r="T35" s="1053">
        <f t="shared" si="13"/>
        <v>0</v>
      </c>
      <c r="U35" s="1054">
        <f t="shared" si="14"/>
        <v>0</v>
      </c>
      <c r="V35" s="1054">
        <f t="shared" si="14"/>
        <v>0</v>
      </c>
    </row>
    <row r="36" spans="1:22">
      <c r="A36" s="998">
        <v>30</v>
      </c>
      <c r="B36" s="999" t="s">
        <v>124</v>
      </c>
      <c r="C36" s="1197">
        <f>'[2]ALL-Reformatted'!P35</f>
        <v>0</v>
      </c>
      <c r="D36" s="1005">
        <f>'Table 3 Levels 1&amp;2'!BN38+'Table 3 Levels 1&amp;2'!BV38</f>
        <v>5594.0091640611508</v>
      </c>
      <c r="E36" s="1103">
        <f t="shared" si="2"/>
        <v>0</v>
      </c>
      <c r="F36" s="1103">
        <f>'Table 4 Level 3'!N35</f>
        <v>727.17</v>
      </c>
      <c r="G36" s="1103">
        <f t="shared" si="3"/>
        <v>0</v>
      </c>
      <c r="H36" s="1060">
        <f t="shared" si="4"/>
        <v>0</v>
      </c>
      <c r="I36" s="1113">
        <f t="shared" si="5"/>
        <v>0</v>
      </c>
      <c r="J36" s="1060">
        <f t="shared" si="6"/>
        <v>0</v>
      </c>
      <c r="K36" s="1060">
        <v>0</v>
      </c>
      <c r="L36" s="1060">
        <f t="shared" si="7"/>
        <v>0</v>
      </c>
      <c r="M36" s="1060">
        <f t="shared" si="8"/>
        <v>0</v>
      </c>
      <c r="N36" s="1056">
        <f>'[18]FY2012-13 Final'!K37</f>
        <v>3702</v>
      </c>
      <c r="O36" s="1057">
        <f t="shared" si="9"/>
        <v>0</v>
      </c>
      <c r="P36" s="1119">
        <f t="shared" si="10"/>
        <v>0</v>
      </c>
      <c r="Q36" s="1057">
        <f t="shared" si="11"/>
        <v>0</v>
      </c>
      <c r="R36" s="1057">
        <v>0</v>
      </c>
      <c r="S36" s="1057">
        <f t="shared" si="12"/>
        <v>0</v>
      </c>
      <c r="T36" s="1057">
        <f t="shared" si="13"/>
        <v>0</v>
      </c>
      <c r="U36" s="1058">
        <f t="shared" si="14"/>
        <v>0</v>
      </c>
      <c r="V36" s="1058">
        <f t="shared" si="14"/>
        <v>0</v>
      </c>
    </row>
    <row r="37" spans="1:22">
      <c r="A37" s="987">
        <v>31</v>
      </c>
      <c r="B37" s="988" t="s">
        <v>125</v>
      </c>
      <c r="C37" s="1198">
        <f>'[2]ALL-Reformatted'!P36</f>
        <v>8</v>
      </c>
      <c r="D37" s="1007">
        <f>'Table 3 Levels 1&amp;2'!BN39+'Table 3 Levels 1&amp;2'!BV39</f>
        <v>4320.114188911979</v>
      </c>
      <c r="E37" s="1104">
        <f t="shared" si="2"/>
        <v>34560.913511295832</v>
      </c>
      <c r="F37" s="1104">
        <f>'Table 4 Level 3'!N36</f>
        <v>620.83000000000004</v>
      </c>
      <c r="G37" s="1104">
        <f t="shared" si="3"/>
        <v>4966.6400000000003</v>
      </c>
      <c r="H37" s="1061">
        <f t="shared" si="4"/>
        <v>39527.553511295831</v>
      </c>
      <c r="I37" s="1114">
        <f t="shared" si="5"/>
        <v>-98.818883778239581</v>
      </c>
      <c r="J37" s="1061">
        <f t="shared" si="6"/>
        <v>39428.734627517595</v>
      </c>
      <c r="K37" s="1061">
        <v>0</v>
      </c>
      <c r="L37" s="1061">
        <f t="shared" si="7"/>
        <v>39428.734627517595</v>
      </c>
      <c r="M37" s="1061">
        <f t="shared" si="8"/>
        <v>3285.7278856264661</v>
      </c>
      <c r="N37" s="1051">
        <f>'[18]FY2012-13 Final'!K38</f>
        <v>4669</v>
      </c>
      <c r="O37" s="992">
        <f t="shared" si="9"/>
        <v>37352</v>
      </c>
      <c r="P37" s="1117">
        <f t="shared" si="10"/>
        <v>-93.38</v>
      </c>
      <c r="Q37" s="992">
        <f t="shared" si="11"/>
        <v>37258.620000000003</v>
      </c>
      <c r="R37" s="992">
        <v>0</v>
      </c>
      <c r="S37" s="992">
        <f t="shared" si="12"/>
        <v>37258.620000000003</v>
      </c>
      <c r="T37" s="992">
        <f t="shared" si="13"/>
        <v>3104.8850000000002</v>
      </c>
      <c r="U37" s="993">
        <f t="shared" si="14"/>
        <v>76687.354627517605</v>
      </c>
      <c r="V37" s="993">
        <f t="shared" si="14"/>
        <v>6390.6128856264659</v>
      </c>
    </row>
    <row r="38" spans="1:22">
      <c r="A38" s="994">
        <v>32</v>
      </c>
      <c r="B38" s="995" t="s">
        <v>126</v>
      </c>
      <c r="C38" s="1196">
        <f>'[2]ALL-Reformatted'!P37</f>
        <v>0</v>
      </c>
      <c r="D38" s="1003">
        <f>'Table 3 Levels 1&amp;2'!BN40+'Table 3 Levels 1&amp;2'!BV40</f>
        <v>5504.4479209353676</v>
      </c>
      <c r="E38" s="1102">
        <f t="shared" si="2"/>
        <v>0</v>
      </c>
      <c r="F38" s="1102">
        <f>'Table 4 Level 3'!N37</f>
        <v>559.77</v>
      </c>
      <c r="G38" s="1102">
        <f t="shared" si="3"/>
        <v>0</v>
      </c>
      <c r="H38" s="1059">
        <f t="shared" si="4"/>
        <v>0</v>
      </c>
      <c r="I38" s="1112">
        <f t="shared" si="5"/>
        <v>0</v>
      </c>
      <c r="J38" s="1059">
        <f t="shared" si="6"/>
        <v>0</v>
      </c>
      <c r="K38" s="1059">
        <v>0</v>
      </c>
      <c r="L38" s="1059">
        <f t="shared" si="7"/>
        <v>0</v>
      </c>
      <c r="M38" s="1059">
        <f t="shared" si="8"/>
        <v>0</v>
      </c>
      <c r="N38" s="1051">
        <f>'[18]FY2012-13 Final'!K39</f>
        <v>1965</v>
      </c>
      <c r="O38" s="1053">
        <f t="shared" si="9"/>
        <v>0</v>
      </c>
      <c r="P38" s="1118">
        <f t="shared" si="10"/>
        <v>0</v>
      </c>
      <c r="Q38" s="1053">
        <f t="shared" si="11"/>
        <v>0</v>
      </c>
      <c r="R38" s="1053">
        <v>0</v>
      </c>
      <c r="S38" s="1053">
        <f t="shared" si="12"/>
        <v>0</v>
      </c>
      <c r="T38" s="1053">
        <f t="shared" si="13"/>
        <v>0</v>
      </c>
      <c r="U38" s="1054">
        <f t="shared" si="14"/>
        <v>0</v>
      </c>
      <c r="V38" s="1054">
        <f t="shared" si="14"/>
        <v>0</v>
      </c>
    </row>
    <row r="39" spans="1:22">
      <c r="A39" s="994">
        <v>33</v>
      </c>
      <c r="B39" s="995" t="s">
        <v>127</v>
      </c>
      <c r="C39" s="1196">
        <f>'[2]ALL-Reformatted'!P38</f>
        <v>0</v>
      </c>
      <c r="D39" s="1003">
        <f>'Table 3 Levels 1&amp;2'!BN41+'Table 3 Levels 1&amp;2'!BV41</f>
        <v>5322.07272511876</v>
      </c>
      <c r="E39" s="1102">
        <f t="shared" si="2"/>
        <v>0</v>
      </c>
      <c r="F39" s="1102">
        <f>'Table 4 Level 3'!N38</f>
        <v>655.31000000000006</v>
      </c>
      <c r="G39" s="1102">
        <f t="shared" si="3"/>
        <v>0</v>
      </c>
      <c r="H39" s="1059">
        <f t="shared" si="4"/>
        <v>0</v>
      </c>
      <c r="I39" s="1112">
        <f t="shared" si="5"/>
        <v>0</v>
      </c>
      <c r="J39" s="1059">
        <f t="shared" si="6"/>
        <v>0</v>
      </c>
      <c r="K39" s="1059">
        <v>0</v>
      </c>
      <c r="L39" s="1059">
        <f t="shared" si="7"/>
        <v>0</v>
      </c>
      <c r="M39" s="1059">
        <f t="shared" si="8"/>
        <v>0</v>
      </c>
      <c r="N39" s="1051">
        <f>'[18]FY2012-13 Final'!K40</f>
        <v>2771</v>
      </c>
      <c r="O39" s="1053">
        <f t="shared" si="9"/>
        <v>0</v>
      </c>
      <c r="P39" s="1118">
        <f t="shared" si="10"/>
        <v>0</v>
      </c>
      <c r="Q39" s="1053">
        <f t="shared" si="11"/>
        <v>0</v>
      </c>
      <c r="R39" s="1053">
        <v>0</v>
      </c>
      <c r="S39" s="1053">
        <f t="shared" si="12"/>
        <v>0</v>
      </c>
      <c r="T39" s="1053">
        <f t="shared" si="13"/>
        <v>0</v>
      </c>
      <c r="U39" s="1054">
        <f t="shared" si="14"/>
        <v>0</v>
      </c>
      <c r="V39" s="1054">
        <f t="shared" si="14"/>
        <v>0</v>
      </c>
    </row>
    <row r="40" spans="1:22">
      <c r="A40" s="994">
        <v>34</v>
      </c>
      <c r="B40" s="995" t="s">
        <v>128</v>
      </c>
      <c r="C40" s="1196">
        <f>'[2]ALL-Reformatted'!P39</f>
        <v>0</v>
      </c>
      <c r="D40" s="1003">
        <f>'Table 3 Levels 1&amp;2'!BN42+'Table 3 Levels 1&amp;2'!BV42</f>
        <v>5959.062840731639</v>
      </c>
      <c r="E40" s="1102">
        <f t="shared" si="2"/>
        <v>0</v>
      </c>
      <c r="F40" s="1102">
        <f>'Table 4 Level 3'!N39</f>
        <v>644.11000000000013</v>
      </c>
      <c r="G40" s="1102">
        <f t="shared" si="3"/>
        <v>0</v>
      </c>
      <c r="H40" s="1059">
        <f t="shared" si="4"/>
        <v>0</v>
      </c>
      <c r="I40" s="1112">
        <f t="shared" si="5"/>
        <v>0</v>
      </c>
      <c r="J40" s="1059">
        <f t="shared" si="6"/>
        <v>0</v>
      </c>
      <c r="K40" s="1059">
        <v>0</v>
      </c>
      <c r="L40" s="1059">
        <f t="shared" si="7"/>
        <v>0</v>
      </c>
      <c r="M40" s="1059">
        <f t="shared" si="8"/>
        <v>0</v>
      </c>
      <c r="N40" s="1051">
        <f>'[18]FY2012-13 Final'!K41</f>
        <v>2758</v>
      </c>
      <c r="O40" s="1053">
        <f t="shared" si="9"/>
        <v>0</v>
      </c>
      <c r="P40" s="1118">
        <f t="shared" si="10"/>
        <v>0</v>
      </c>
      <c r="Q40" s="1053">
        <f t="shared" si="11"/>
        <v>0</v>
      </c>
      <c r="R40" s="1053">
        <v>0</v>
      </c>
      <c r="S40" s="1053">
        <f t="shared" si="12"/>
        <v>0</v>
      </c>
      <c r="T40" s="1053">
        <f t="shared" si="13"/>
        <v>0</v>
      </c>
      <c r="U40" s="1054">
        <f t="shared" si="14"/>
        <v>0</v>
      </c>
      <c r="V40" s="1054">
        <f t="shared" si="14"/>
        <v>0</v>
      </c>
    </row>
    <row r="41" spans="1:22">
      <c r="A41" s="998">
        <v>35</v>
      </c>
      <c r="B41" s="999" t="s">
        <v>129</v>
      </c>
      <c r="C41" s="1197">
        <f>'[2]ALL-Reformatted'!P40</f>
        <v>0</v>
      </c>
      <c r="D41" s="1005">
        <f>'Table 3 Levels 1&amp;2'!BN43+'Table 3 Levels 1&amp;2'!BV43</f>
        <v>4571.947611490059</v>
      </c>
      <c r="E41" s="1103">
        <f t="shared" si="2"/>
        <v>0</v>
      </c>
      <c r="F41" s="1103">
        <f>'Table 4 Level 3'!N40</f>
        <v>537.96</v>
      </c>
      <c r="G41" s="1103">
        <f t="shared" si="3"/>
        <v>0</v>
      </c>
      <c r="H41" s="1060">
        <f t="shared" si="4"/>
        <v>0</v>
      </c>
      <c r="I41" s="1113">
        <f t="shared" si="5"/>
        <v>0</v>
      </c>
      <c r="J41" s="1060">
        <f t="shared" si="6"/>
        <v>0</v>
      </c>
      <c r="K41" s="1060">
        <v>0</v>
      </c>
      <c r="L41" s="1060">
        <f t="shared" si="7"/>
        <v>0</v>
      </c>
      <c r="M41" s="1060">
        <f t="shared" si="8"/>
        <v>0</v>
      </c>
      <c r="N41" s="1056">
        <f>'[18]FY2012-13 Final'!K42</f>
        <v>3603</v>
      </c>
      <c r="O41" s="1057">
        <f t="shared" si="9"/>
        <v>0</v>
      </c>
      <c r="P41" s="1119">
        <f t="shared" si="10"/>
        <v>0</v>
      </c>
      <c r="Q41" s="1057">
        <f t="shared" si="11"/>
        <v>0</v>
      </c>
      <c r="R41" s="1057">
        <v>0</v>
      </c>
      <c r="S41" s="1057">
        <f t="shared" si="12"/>
        <v>0</v>
      </c>
      <c r="T41" s="1057">
        <f t="shared" si="13"/>
        <v>0</v>
      </c>
      <c r="U41" s="1058">
        <f t="shared" si="14"/>
        <v>0</v>
      </c>
      <c r="V41" s="1058">
        <f t="shared" si="14"/>
        <v>0</v>
      </c>
    </row>
    <row r="42" spans="1:22">
      <c r="A42" s="987">
        <v>36</v>
      </c>
      <c r="B42" s="988" t="s">
        <v>130</v>
      </c>
      <c r="C42" s="1198">
        <f>'[2]ALL-Reformatted'!P41</f>
        <v>0</v>
      </c>
      <c r="D42" s="1007">
        <f>'Table 3 Levels 1&amp;2'!BN44+'Table 3 Levels 1&amp;2'!BV44</f>
        <v>3666.4136012725312</v>
      </c>
      <c r="E42" s="1104">
        <f t="shared" si="2"/>
        <v>0</v>
      </c>
      <c r="F42" s="1104">
        <f>'Table 5B1_RSD_Orleans'!F78</f>
        <v>746.0335616438357</v>
      </c>
      <c r="G42" s="1104">
        <f t="shared" si="3"/>
        <v>0</v>
      </c>
      <c r="H42" s="1061">
        <f t="shared" si="4"/>
        <v>0</v>
      </c>
      <c r="I42" s="1114">
        <f t="shared" si="5"/>
        <v>0</v>
      </c>
      <c r="J42" s="1061">
        <f t="shared" si="6"/>
        <v>0</v>
      </c>
      <c r="K42" s="1061">
        <v>0</v>
      </c>
      <c r="L42" s="1061">
        <f t="shared" si="7"/>
        <v>0</v>
      </c>
      <c r="M42" s="1061">
        <f t="shared" si="8"/>
        <v>0</v>
      </c>
      <c r="N42" s="1051">
        <f>'[18]FY2012-13 Final'!K43</f>
        <v>4601</v>
      </c>
      <c r="O42" s="992">
        <f t="shared" si="9"/>
        <v>0</v>
      </c>
      <c r="P42" s="1117">
        <f t="shared" si="10"/>
        <v>0</v>
      </c>
      <c r="Q42" s="992">
        <f t="shared" si="11"/>
        <v>0</v>
      </c>
      <c r="R42" s="992">
        <v>0</v>
      </c>
      <c r="S42" s="992">
        <f t="shared" si="12"/>
        <v>0</v>
      </c>
      <c r="T42" s="992">
        <f t="shared" si="13"/>
        <v>0</v>
      </c>
      <c r="U42" s="993">
        <f t="shared" si="14"/>
        <v>0</v>
      </c>
      <c r="V42" s="993">
        <f t="shared" si="14"/>
        <v>0</v>
      </c>
    </row>
    <row r="43" spans="1:22">
      <c r="A43" s="994">
        <v>37</v>
      </c>
      <c r="B43" s="995" t="s">
        <v>131</v>
      </c>
      <c r="C43" s="1196">
        <f>'[2]ALL-Reformatted'!P42</f>
        <v>3</v>
      </c>
      <c r="D43" s="1003">
        <f>'Table 3 Levels 1&amp;2'!BN45+'Table 3 Levels 1&amp;2'!BV45</f>
        <v>5484.8089042263191</v>
      </c>
      <c r="E43" s="1102">
        <f t="shared" si="2"/>
        <v>16454.426712678956</v>
      </c>
      <c r="F43" s="1102">
        <f>'Table 4 Level 3'!N42</f>
        <v>653.61</v>
      </c>
      <c r="G43" s="1102">
        <f t="shared" si="3"/>
        <v>1960.83</v>
      </c>
      <c r="H43" s="1059">
        <f t="shared" si="4"/>
        <v>18415.256712678958</v>
      </c>
      <c r="I43" s="1112">
        <f t="shared" si="5"/>
        <v>-46.038141781697398</v>
      </c>
      <c r="J43" s="1059">
        <f t="shared" si="6"/>
        <v>18369.218570897261</v>
      </c>
      <c r="K43" s="1059">
        <v>0</v>
      </c>
      <c r="L43" s="1059">
        <f t="shared" si="7"/>
        <v>18369.218570897261</v>
      </c>
      <c r="M43" s="1059">
        <f t="shared" si="8"/>
        <v>1530.7682142414385</v>
      </c>
      <c r="N43" s="1051">
        <f>'[18]FY2012-13 Final'!K44</f>
        <v>3099</v>
      </c>
      <c r="O43" s="1053">
        <f t="shared" si="9"/>
        <v>9297</v>
      </c>
      <c r="P43" s="1118">
        <f t="shared" si="10"/>
        <v>-23.2425</v>
      </c>
      <c r="Q43" s="1053">
        <f t="shared" si="11"/>
        <v>9273.7574999999997</v>
      </c>
      <c r="R43" s="1053">
        <v>0</v>
      </c>
      <c r="S43" s="1053">
        <f t="shared" si="12"/>
        <v>9273.7574999999997</v>
      </c>
      <c r="T43" s="1053">
        <f t="shared" si="13"/>
        <v>772.81312500000001</v>
      </c>
      <c r="U43" s="1054">
        <f t="shared" si="14"/>
        <v>27642.976070897261</v>
      </c>
      <c r="V43" s="1054">
        <f t="shared" si="14"/>
        <v>2303.5813392414384</v>
      </c>
    </row>
    <row r="44" spans="1:22">
      <c r="A44" s="994">
        <v>38</v>
      </c>
      <c r="B44" s="995" t="s">
        <v>132</v>
      </c>
      <c r="C44" s="1196">
        <f>'[2]ALL-Reformatted'!P43</f>
        <v>0</v>
      </c>
      <c r="D44" s="1003">
        <f>'Table 3 Levels 1&amp;2'!BN46+'Table 3 Levels 1&amp;2'!BV46</f>
        <v>2078.5917829727841</v>
      </c>
      <c r="E44" s="1102">
        <f t="shared" si="2"/>
        <v>0</v>
      </c>
      <c r="F44" s="1102">
        <f>'Table 4 Level 3'!N43</f>
        <v>829.92000000000007</v>
      </c>
      <c r="G44" s="1102">
        <f t="shared" si="3"/>
        <v>0</v>
      </c>
      <c r="H44" s="1059">
        <f t="shared" si="4"/>
        <v>0</v>
      </c>
      <c r="I44" s="1112">
        <f t="shared" si="5"/>
        <v>0</v>
      </c>
      <c r="J44" s="1059">
        <f t="shared" si="6"/>
        <v>0</v>
      </c>
      <c r="K44" s="1059">
        <v>0</v>
      </c>
      <c r="L44" s="1059">
        <f t="shared" si="7"/>
        <v>0</v>
      </c>
      <c r="M44" s="1059">
        <f t="shared" si="8"/>
        <v>0</v>
      </c>
      <c r="N44" s="1051">
        <f>'[18]FY2012-13 Final'!K45</f>
        <v>9674</v>
      </c>
      <c r="O44" s="1053">
        <f t="shared" si="9"/>
        <v>0</v>
      </c>
      <c r="P44" s="1118">
        <f t="shared" si="10"/>
        <v>0</v>
      </c>
      <c r="Q44" s="1053">
        <f t="shared" si="11"/>
        <v>0</v>
      </c>
      <c r="R44" s="1053">
        <v>0</v>
      </c>
      <c r="S44" s="1053">
        <f t="shared" si="12"/>
        <v>0</v>
      </c>
      <c r="T44" s="1053">
        <f t="shared" si="13"/>
        <v>0</v>
      </c>
      <c r="U44" s="1054">
        <f t="shared" si="14"/>
        <v>0</v>
      </c>
      <c r="V44" s="1054">
        <f t="shared" si="14"/>
        <v>0</v>
      </c>
    </row>
    <row r="45" spans="1:22">
      <c r="A45" s="994">
        <v>39</v>
      </c>
      <c r="B45" s="995" t="s">
        <v>133</v>
      </c>
      <c r="C45" s="1196">
        <f>'[2]ALL-Reformatted'!P44</f>
        <v>0</v>
      </c>
      <c r="D45" s="1003">
        <f>'Table 3 Levels 1&amp;2'!BN47+'Table 3 Levels 1&amp;2'!BV47</f>
        <v>3622.4878999042335</v>
      </c>
      <c r="E45" s="1102">
        <f t="shared" si="2"/>
        <v>0</v>
      </c>
      <c r="F45" s="1102">
        <f>'Table 5B2_RSD_LA'!F21</f>
        <v>779.65573042776441</v>
      </c>
      <c r="G45" s="1102">
        <f t="shared" si="3"/>
        <v>0</v>
      </c>
      <c r="H45" s="1059">
        <f t="shared" si="4"/>
        <v>0</v>
      </c>
      <c r="I45" s="1112">
        <f t="shared" si="5"/>
        <v>0</v>
      </c>
      <c r="J45" s="1059">
        <f t="shared" si="6"/>
        <v>0</v>
      </c>
      <c r="K45" s="1059">
        <v>0</v>
      </c>
      <c r="L45" s="1059">
        <f t="shared" si="7"/>
        <v>0</v>
      </c>
      <c r="M45" s="1059">
        <f t="shared" si="8"/>
        <v>0</v>
      </c>
      <c r="N45" s="1051">
        <f>'[18]FY2012-13 Final'!K46</f>
        <v>4277</v>
      </c>
      <c r="O45" s="1053">
        <f t="shared" si="9"/>
        <v>0</v>
      </c>
      <c r="P45" s="1118">
        <f t="shared" si="10"/>
        <v>0</v>
      </c>
      <c r="Q45" s="1053">
        <f t="shared" si="11"/>
        <v>0</v>
      </c>
      <c r="R45" s="1053">
        <v>0</v>
      </c>
      <c r="S45" s="1053">
        <f t="shared" si="12"/>
        <v>0</v>
      </c>
      <c r="T45" s="1053">
        <f t="shared" si="13"/>
        <v>0</v>
      </c>
      <c r="U45" s="1054">
        <f t="shared" si="14"/>
        <v>0</v>
      </c>
      <c r="V45" s="1054">
        <f t="shared" si="14"/>
        <v>0</v>
      </c>
    </row>
    <row r="46" spans="1:22">
      <c r="A46" s="998">
        <v>40</v>
      </c>
      <c r="B46" s="999" t="s">
        <v>134</v>
      </c>
      <c r="C46" s="1197">
        <f>'[2]ALL-Reformatted'!P45</f>
        <v>0</v>
      </c>
      <c r="D46" s="1005">
        <f>'Table 3 Levels 1&amp;2'!BN48+'Table 3 Levels 1&amp;2'!BV48</f>
        <v>4885.6387343180086</v>
      </c>
      <c r="E46" s="1103">
        <f t="shared" si="2"/>
        <v>0</v>
      </c>
      <c r="F46" s="1103">
        <f>'Table 4 Level 3'!N45</f>
        <v>700.2700000000001</v>
      </c>
      <c r="G46" s="1103">
        <f t="shared" si="3"/>
        <v>0</v>
      </c>
      <c r="H46" s="1060">
        <f t="shared" si="4"/>
        <v>0</v>
      </c>
      <c r="I46" s="1113">
        <f t="shared" si="5"/>
        <v>0</v>
      </c>
      <c r="J46" s="1060">
        <f t="shared" si="6"/>
        <v>0</v>
      </c>
      <c r="K46" s="1060">
        <v>0</v>
      </c>
      <c r="L46" s="1060">
        <f t="shared" si="7"/>
        <v>0</v>
      </c>
      <c r="M46" s="1060">
        <f t="shared" si="8"/>
        <v>0</v>
      </c>
      <c r="N46" s="1056">
        <f>'[18]FY2012-13 Final'!K47</f>
        <v>2921</v>
      </c>
      <c r="O46" s="1057">
        <f t="shared" si="9"/>
        <v>0</v>
      </c>
      <c r="P46" s="1119">
        <f t="shared" si="10"/>
        <v>0</v>
      </c>
      <c r="Q46" s="1057">
        <f t="shared" si="11"/>
        <v>0</v>
      </c>
      <c r="R46" s="1057">
        <v>0</v>
      </c>
      <c r="S46" s="1057">
        <f t="shared" si="12"/>
        <v>0</v>
      </c>
      <c r="T46" s="1057">
        <f t="shared" si="13"/>
        <v>0</v>
      </c>
      <c r="U46" s="1058">
        <f t="shared" si="14"/>
        <v>0</v>
      </c>
      <c r="V46" s="1058">
        <f t="shared" si="14"/>
        <v>0</v>
      </c>
    </row>
    <row r="47" spans="1:22">
      <c r="A47" s="987">
        <v>41</v>
      </c>
      <c r="B47" s="988" t="s">
        <v>135</v>
      </c>
      <c r="C47" s="1198">
        <f>'[2]ALL-Reformatted'!P46</f>
        <v>0</v>
      </c>
      <c r="D47" s="1007">
        <f>'Table 3 Levels 1&amp;2'!BN49+'Table 3 Levels 1&amp;2'!BV49</f>
        <v>1602.0398121899364</v>
      </c>
      <c r="E47" s="1104">
        <f t="shared" si="2"/>
        <v>0</v>
      </c>
      <c r="F47" s="1104">
        <f>'Table 4 Level 3'!N46</f>
        <v>886.22</v>
      </c>
      <c r="G47" s="1104">
        <f t="shared" si="3"/>
        <v>0</v>
      </c>
      <c r="H47" s="1061">
        <f t="shared" si="4"/>
        <v>0</v>
      </c>
      <c r="I47" s="1114">
        <f t="shared" si="5"/>
        <v>0</v>
      </c>
      <c r="J47" s="1061">
        <f t="shared" si="6"/>
        <v>0</v>
      </c>
      <c r="K47" s="1061">
        <v>0</v>
      </c>
      <c r="L47" s="1061">
        <f t="shared" si="7"/>
        <v>0</v>
      </c>
      <c r="M47" s="1061">
        <f t="shared" si="8"/>
        <v>0</v>
      </c>
      <c r="N47" s="1051">
        <f>'[18]FY2012-13 Final'!K48</f>
        <v>12026</v>
      </c>
      <c r="O47" s="992">
        <f t="shared" si="9"/>
        <v>0</v>
      </c>
      <c r="P47" s="1117">
        <f t="shared" si="10"/>
        <v>0</v>
      </c>
      <c r="Q47" s="992">
        <f t="shared" si="11"/>
        <v>0</v>
      </c>
      <c r="R47" s="992">
        <v>0</v>
      </c>
      <c r="S47" s="992">
        <f t="shared" si="12"/>
        <v>0</v>
      </c>
      <c r="T47" s="992">
        <f t="shared" si="13"/>
        <v>0</v>
      </c>
      <c r="U47" s="993">
        <f t="shared" si="14"/>
        <v>0</v>
      </c>
      <c r="V47" s="993">
        <f t="shared" si="14"/>
        <v>0</v>
      </c>
    </row>
    <row r="48" spans="1:22">
      <c r="A48" s="994">
        <v>42</v>
      </c>
      <c r="B48" s="995" t="s">
        <v>136</v>
      </c>
      <c r="C48" s="1196">
        <f>'[2]ALL-Reformatted'!P47</f>
        <v>0</v>
      </c>
      <c r="D48" s="1003">
        <f>'Table 3 Levels 1&amp;2'!BN50+'Table 3 Levels 1&amp;2'!BV50</f>
        <v>5098.6172346404755</v>
      </c>
      <c r="E48" s="1102">
        <f t="shared" si="2"/>
        <v>0</v>
      </c>
      <c r="F48" s="1102">
        <f>'Table 4 Level 3'!N47</f>
        <v>534.28</v>
      </c>
      <c r="G48" s="1102">
        <f t="shared" si="3"/>
        <v>0</v>
      </c>
      <c r="H48" s="1059">
        <f t="shared" si="4"/>
        <v>0</v>
      </c>
      <c r="I48" s="1112">
        <f t="shared" si="5"/>
        <v>0</v>
      </c>
      <c r="J48" s="1059">
        <f t="shared" si="6"/>
        <v>0</v>
      </c>
      <c r="K48" s="1059">
        <v>0</v>
      </c>
      <c r="L48" s="1059">
        <f t="shared" si="7"/>
        <v>0</v>
      </c>
      <c r="M48" s="1059">
        <f t="shared" si="8"/>
        <v>0</v>
      </c>
      <c r="N48" s="1051">
        <f>'[18]FY2012-13 Final'!K49</f>
        <v>2554</v>
      </c>
      <c r="O48" s="1053">
        <f t="shared" si="9"/>
        <v>0</v>
      </c>
      <c r="P48" s="1118">
        <f t="shared" si="10"/>
        <v>0</v>
      </c>
      <c r="Q48" s="1053">
        <f t="shared" si="11"/>
        <v>0</v>
      </c>
      <c r="R48" s="1053">
        <v>0</v>
      </c>
      <c r="S48" s="1053">
        <f t="shared" si="12"/>
        <v>0</v>
      </c>
      <c r="T48" s="1053">
        <f t="shared" si="13"/>
        <v>0</v>
      </c>
      <c r="U48" s="1054">
        <f t="shared" si="14"/>
        <v>0</v>
      </c>
      <c r="V48" s="1054">
        <f t="shared" si="14"/>
        <v>0</v>
      </c>
    </row>
    <row r="49" spans="1:22">
      <c r="A49" s="994">
        <v>43</v>
      </c>
      <c r="B49" s="995" t="s">
        <v>137</v>
      </c>
      <c r="C49" s="1196">
        <f>'[2]ALL-Reformatted'!P48</f>
        <v>0</v>
      </c>
      <c r="D49" s="1003">
        <f>'Table 3 Levels 1&amp;2'!BN51+'Table 3 Levels 1&amp;2'!BV51</f>
        <v>4701.3362575004667</v>
      </c>
      <c r="E49" s="1102">
        <f t="shared" si="2"/>
        <v>0</v>
      </c>
      <c r="F49" s="1102">
        <f>'Table 4 Level 3'!N48</f>
        <v>574.6099999999999</v>
      </c>
      <c r="G49" s="1102">
        <f t="shared" si="3"/>
        <v>0</v>
      </c>
      <c r="H49" s="1059">
        <f t="shared" si="4"/>
        <v>0</v>
      </c>
      <c r="I49" s="1112">
        <f t="shared" si="5"/>
        <v>0</v>
      </c>
      <c r="J49" s="1059">
        <f t="shared" si="6"/>
        <v>0</v>
      </c>
      <c r="K49" s="1059">
        <v>0</v>
      </c>
      <c r="L49" s="1059">
        <f t="shared" si="7"/>
        <v>0</v>
      </c>
      <c r="M49" s="1059">
        <f t="shared" si="8"/>
        <v>0</v>
      </c>
      <c r="N49" s="1051">
        <f>'[18]FY2012-13 Final'!K50</f>
        <v>5265</v>
      </c>
      <c r="O49" s="1053">
        <f t="shared" si="9"/>
        <v>0</v>
      </c>
      <c r="P49" s="1118">
        <f t="shared" si="10"/>
        <v>0</v>
      </c>
      <c r="Q49" s="1053">
        <f t="shared" si="11"/>
        <v>0</v>
      </c>
      <c r="R49" s="1053">
        <v>0</v>
      </c>
      <c r="S49" s="1053">
        <f t="shared" si="12"/>
        <v>0</v>
      </c>
      <c r="T49" s="1053">
        <f t="shared" si="13"/>
        <v>0</v>
      </c>
      <c r="U49" s="1054">
        <f t="shared" si="14"/>
        <v>0</v>
      </c>
      <c r="V49" s="1054">
        <f t="shared" si="14"/>
        <v>0</v>
      </c>
    </row>
    <row r="50" spans="1:22">
      <c r="A50" s="994">
        <v>44</v>
      </c>
      <c r="B50" s="995" t="s">
        <v>138</v>
      </c>
      <c r="C50" s="1196">
        <f>'[2]ALL-Reformatted'!P49</f>
        <v>0</v>
      </c>
      <c r="D50" s="1003">
        <f>'Table 3 Levels 1&amp;2'!BN52+'Table 3 Levels 1&amp;2'!BV52</f>
        <v>4649.5559521248724</v>
      </c>
      <c r="E50" s="1102">
        <f t="shared" si="2"/>
        <v>0</v>
      </c>
      <c r="F50" s="1102">
        <f>'Table 4 Level 3'!N49</f>
        <v>663.16000000000008</v>
      </c>
      <c r="G50" s="1102">
        <f t="shared" si="3"/>
        <v>0</v>
      </c>
      <c r="H50" s="1059">
        <f t="shared" si="4"/>
        <v>0</v>
      </c>
      <c r="I50" s="1112">
        <f t="shared" si="5"/>
        <v>0</v>
      </c>
      <c r="J50" s="1059">
        <f t="shared" si="6"/>
        <v>0</v>
      </c>
      <c r="K50" s="1059">
        <v>0</v>
      </c>
      <c r="L50" s="1059">
        <f t="shared" si="7"/>
        <v>0</v>
      </c>
      <c r="M50" s="1059">
        <f t="shared" si="8"/>
        <v>0</v>
      </c>
      <c r="N50" s="1051">
        <f>'[18]FY2012-13 Final'!K51</f>
        <v>4109</v>
      </c>
      <c r="O50" s="1053">
        <f t="shared" si="9"/>
        <v>0</v>
      </c>
      <c r="P50" s="1118">
        <f t="shared" si="10"/>
        <v>0</v>
      </c>
      <c r="Q50" s="1053">
        <f t="shared" si="11"/>
        <v>0</v>
      </c>
      <c r="R50" s="1053">
        <v>0</v>
      </c>
      <c r="S50" s="1053">
        <f t="shared" si="12"/>
        <v>0</v>
      </c>
      <c r="T50" s="1053">
        <f t="shared" si="13"/>
        <v>0</v>
      </c>
      <c r="U50" s="1054">
        <f t="shared" si="14"/>
        <v>0</v>
      </c>
      <c r="V50" s="1054">
        <f t="shared" si="14"/>
        <v>0</v>
      </c>
    </row>
    <row r="51" spans="1:22">
      <c r="A51" s="998">
        <v>45</v>
      </c>
      <c r="B51" s="999" t="s">
        <v>139</v>
      </c>
      <c r="C51" s="1197">
        <f>'[2]ALL-Reformatted'!P50</f>
        <v>0</v>
      </c>
      <c r="D51" s="1005">
        <f>'Table 3 Levels 1&amp;2'!BN53+'Table 3 Levels 1&amp;2'!BV53</f>
        <v>2159.257884231537</v>
      </c>
      <c r="E51" s="1103">
        <f t="shared" si="2"/>
        <v>0</v>
      </c>
      <c r="F51" s="1103">
        <f>'Table 4 Level 3'!N50</f>
        <v>753.96000000000015</v>
      </c>
      <c r="G51" s="1103">
        <f t="shared" si="3"/>
        <v>0</v>
      </c>
      <c r="H51" s="1060">
        <f t="shared" si="4"/>
        <v>0</v>
      </c>
      <c r="I51" s="1113">
        <f t="shared" si="5"/>
        <v>0</v>
      </c>
      <c r="J51" s="1060">
        <f t="shared" si="6"/>
        <v>0</v>
      </c>
      <c r="K51" s="1060">
        <v>0</v>
      </c>
      <c r="L51" s="1060">
        <f t="shared" si="7"/>
        <v>0</v>
      </c>
      <c r="M51" s="1060">
        <f t="shared" si="8"/>
        <v>0</v>
      </c>
      <c r="N51" s="1056">
        <f>'[18]FY2012-13 Final'!K52</f>
        <v>12427</v>
      </c>
      <c r="O51" s="1057">
        <f t="shared" si="9"/>
        <v>0</v>
      </c>
      <c r="P51" s="1119">
        <f t="shared" si="10"/>
        <v>0</v>
      </c>
      <c r="Q51" s="1057">
        <f t="shared" si="11"/>
        <v>0</v>
      </c>
      <c r="R51" s="1057">
        <v>0</v>
      </c>
      <c r="S51" s="1057">
        <f t="shared" si="12"/>
        <v>0</v>
      </c>
      <c r="T51" s="1057">
        <f t="shared" si="13"/>
        <v>0</v>
      </c>
      <c r="U51" s="1058">
        <f t="shared" si="14"/>
        <v>0</v>
      </c>
      <c r="V51" s="1058">
        <f t="shared" si="14"/>
        <v>0</v>
      </c>
    </row>
    <row r="52" spans="1:22">
      <c r="A52" s="987">
        <v>46</v>
      </c>
      <c r="B52" s="988" t="s">
        <v>140</v>
      </c>
      <c r="C52" s="1198">
        <f>'[2]ALL-Reformatted'!P51</f>
        <v>0</v>
      </c>
      <c r="D52" s="1007">
        <f>'Table 3 Levels 1&amp;2'!BN54+'Table 3 Levels 1&amp;2'!BV54</f>
        <v>5578.7258135108641</v>
      </c>
      <c r="E52" s="1104">
        <f t="shared" si="2"/>
        <v>0</v>
      </c>
      <c r="F52" s="1104">
        <f>'Table 4 Level 3'!N51</f>
        <v>728.06</v>
      </c>
      <c r="G52" s="1104">
        <f t="shared" si="3"/>
        <v>0</v>
      </c>
      <c r="H52" s="1061">
        <f t="shared" si="4"/>
        <v>0</v>
      </c>
      <c r="I52" s="1114">
        <f t="shared" si="5"/>
        <v>0</v>
      </c>
      <c r="J52" s="1061">
        <f t="shared" si="6"/>
        <v>0</v>
      </c>
      <c r="K52" s="1061">
        <v>0</v>
      </c>
      <c r="L52" s="1061">
        <f t="shared" si="7"/>
        <v>0</v>
      </c>
      <c r="M52" s="1061">
        <f t="shared" si="8"/>
        <v>0</v>
      </c>
      <c r="N52" s="1051">
        <f>'[18]FY2012-13 Final'!K53</f>
        <v>1968</v>
      </c>
      <c r="O52" s="992">
        <f t="shared" si="9"/>
        <v>0</v>
      </c>
      <c r="P52" s="1117">
        <f t="shared" si="10"/>
        <v>0</v>
      </c>
      <c r="Q52" s="992">
        <f t="shared" si="11"/>
        <v>0</v>
      </c>
      <c r="R52" s="992">
        <v>0</v>
      </c>
      <c r="S52" s="992">
        <f t="shared" si="12"/>
        <v>0</v>
      </c>
      <c r="T52" s="992">
        <f t="shared" si="13"/>
        <v>0</v>
      </c>
      <c r="U52" s="993">
        <f t="shared" si="14"/>
        <v>0</v>
      </c>
      <c r="V52" s="993">
        <f t="shared" si="14"/>
        <v>0</v>
      </c>
    </row>
    <row r="53" spans="1:22">
      <c r="A53" s="994">
        <v>47</v>
      </c>
      <c r="B53" s="995" t="s">
        <v>141</v>
      </c>
      <c r="C53" s="1196">
        <f>'[2]ALL-Reformatted'!P52</f>
        <v>0</v>
      </c>
      <c r="D53" s="1003">
        <f>'Table 3 Levels 1&amp;2'!BN55+'Table 3 Levels 1&amp;2'!BV55</f>
        <v>2709.058014721415</v>
      </c>
      <c r="E53" s="1102">
        <f t="shared" si="2"/>
        <v>0</v>
      </c>
      <c r="F53" s="1102">
        <f>'Table 4 Level 3'!N52</f>
        <v>910.76</v>
      </c>
      <c r="G53" s="1102">
        <f t="shared" si="3"/>
        <v>0</v>
      </c>
      <c r="H53" s="1059">
        <f t="shared" si="4"/>
        <v>0</v>
      </c>
      <c r="I53" s="1112">
        <f t="shared" si="5"/>
        <v>0</v>
      </c>
      <c r="J53" s="1059">
        <f t="shared" si="6"/>
        <v>0</v>
      </c>
      <c r="K53" s="1059">
        <v>0</v>
      </c>
      <c r="L53" s="1059">
        <f t="shared" si="7"/>
        <v>0</v>
      </c>
      <c r="M53" s="1059">
        <f t="shared" si="8"/>
        <v>0</v>
      </c>
      <c r="N53" s="1051">
        <f>'[18]FY2012-13 Final'!K54</f>
        <v>10049</v>
      </c>
      <c r="O53" s="1053">
        <f t="shared" si="9"/>
        <v>0</v>
      </c>
      <c r="P53" s="1118">
        <f t="shared" si="10"/>
        <v>0</v>
      </c>
      <c r="Q53" s="1053">
        <f t="shared" si="11"/>
        <v>0</v>
      </c>
      <c r="R53" s="1053">
        <v>0</v>
      </c>
      <c r="S53" s="1053">
        <f t="shared" si="12"/>
        <v>0</v>
      </c>
      <c r="T53" s="1053">
        <f t="shared" si="13"/>
        <v>0</v>
      </c>
      <c r="U53" s="1054">
        <f t="shared" si="14"/>
        <v>0</v>
      </c>
      <c r="V53" s="1054">
        <f t="shared" si="14"/>
        <v>0</v>
      </c>
    </row>
    <row r="54" spans="1:22">
      <c r="A54" s="994">
        <v>48</v>
      </c>
      <c r="B54" s="995" t="s">
        <v>202</v>
      </c>
      <c r="C54" s="1196">
        <f>'[2]ALL-Reformatted'!P53</f>
        <v>0</v>
      </c>
      <c r="D54" s="1003">
        <f>'Table 3 Levels 1&amp;2'!BN56+'Table 3 Levels 1&amp;2'!BV56</f>
        <v>4259.4136153508553</v>
      </c>
      <c r="E54" s="1102">
        <f t="shared" si="2"/>
        <v>0</v>
      </c>
      <c r="F54" s="1102">
        <f>'Table 4 Level 3'!N53</f>
        <v>871.07</v>
      </c>
      <c r="G54" s="1102">
        <f t="shared" si="3"/>
        <v>0</v>
      </c>
      <c r="H54" s="1059">
        <f t="shared" si="4"/>
        <v>0</v>
      </c>
      <c r="I54" s="1112">
        <f t="shared" si="5"/>
        <v>0</v>
      </c>
      <c r="J54" s="1059">
        <f t="shared" si="6"/>
        <v>0</v>
      </c>
      <c r="K54" s="1059">
        <v>0</v>
      </c>
      <c r="L54" s="1059">
        <f t="shared" si="7"/>
        <v>0</v>
      </c>
      <c r="M54" s="1059">
        <f t="shared" si="8"/>
        <v>0</v>
      </c>
      <c r="N54" s="1051">
        <f>'[18]FY2012-13 Final'!K55</f>
        <v>5755</v>
      </c>
      <c r="O54" s="1053">
        <f t="shared" si="9"/>
        <v>0</v>
      </c>
      <c r="P54" s="1118">
        <f t="shared" si="10"/>
        <v>0</v>
      </c>
      <c r="Q54" s="1053">
        <f t="shared" si="11"/>
        <v>0</v>
      </c>
      <c r="R54" s="1053">
        <v>0</v>
      </c>
      <c r="S54" s="1053">
        <f t="shared" si="12"/>
        <v>0</v>
      </c>
      <c r="T54" s="1053">
        <f t="shared" si="13"/>
        <v>0</v>
      </c>
      <c r="U54" s="1054">
        <f t="shared" si="14"/>
        <v>0</v>
      </c>
      <c r="V54" s="1054">
        <f t="shared" si="14"/>
        <v>0</v>
      </c>
    </row>
    <row r="55" spans="1:22">
      <c r="A55" s="994">
        <v>49</v>
      </c>
      <c r="B55" s="995" t="s">
        <v>142</v>
      </c>
      <c r="C55" s="1196">
        <f>'[2]ALL-Reformatted'!P54</f>
        <v>0</v>
      </c>
      <c r="D55" s="1003">
        <f>'Table 3 Levels 1&amp;2'!BN57+'Table 3 Levels 1&amp;2'!BV57</f>
        <v>4790.0513947378495</v>
      </c>
      <c r="E55" s="1102">
        <f t="shared" si="2"/>
        <v>0</v>
      </c>
      <c r="F55" s="1102">
        <f>'Table 4 Level 3'!N54</f>
        <v>574.43999999999994</v>
      </c>
      <c r="G55" s="1102">
        <f t="shared" si="3"/>
        <v>0</v>
      </c>
      <c r="H55" s="1059">
        <f t="shared" si="4"/>
        <v>0</v>
      </c>
      <c r="I55" s="1112">
        <f t="shared" si="5"/>
        <v>0</v>
      </c>
      <c r="J55" s="1059">
        <f t="shared" si="6"/>
        <v>0</v>
      </c>
      <c r="K55" s="1059">
        <v>0</v>
      </c>
      <c r="L55" s="1059">
        <f t="shared" si="7"/>
        <v>0</v>
      </c>
      <c r="M55" s="1059">
        <f t="shared" si="8"/>
        <v>0</v>
      </c>
      <c r="N55" s="1051">
        <f>'[18]FY2012-13 Final'!K56</f>
        <v>2335</v>
      </c>
      <c r="O55" s="1053">
        <f t="shared" si="9"/>
        <v>0</v>
      </c>
      <c r="P55" s="1118">
        <f t="shared" si="10"/>
        <v>0</v>
      </c>
      <c r="Q55" s="1053">
        <f t="shared" si="11"/>
        <v>0</v>
      </c>
      <c r="R55" s="1053">
        <v>0</v>
      </c>
      <c r="S55" s="1053">
        <f t="shared" si="12"/>
        <v>0</v>
      </c>
      <c r="T55" s="1053">
        <f t="shared" si="13"/>
        <v>0</v>
      </c>
      <c r="U55" s="1054">
        <f t="shared" si="14"/>
        <v>0</v>
      </c>
      <c r="V55" s="1054">
        <f t="shared" si="14"/>
        <v>0</v>
      </c>
    </row>
    <row r="56" spans="1:22">
      <c r="A56" s="998">
        <v>50</v>
      </c>
      <c r="B56" s="999" t="s">
        <v>143</v>
      </c>
      <c r="C56" s="1197">
        <f>'[2]ALL-Reformatted'!P55</f>
        <v>0</v>
      </c>
      <c r="D56" s="1005">
        <f>'Table 3 Levels 1&amp;2'!BN58+'Table 3 Levels 1&amp;2'!BV58</f>
        <v>4954.3375045905796</v>
      </c>
      <c r="E56" s="1103">
        <f t="shared" si="2"/>
        <v>0</v>
      </c>
      <c r="F56" s="1103">
        <f>'Table 4 Level 3'!N55</f>
        <v>634.46</v>
      </c>
      <c r="G56" s="1103">
        <f t="shared" si="3"/>
        <v>0</v>
      </c>
      <c r="H56" s="1060">
        <f t="shared" si="4"/>
        <v>0</v>
      </c>
      <c r="I56" s="1113">
        <f t="shared" si="5"/>
        <v>0</v>
      </c>
      <c r="J56" s="1060">
        <f t="shared" si="6"/>
        <v>0</v>
      </c>
      <c r="K56" s="1060">
        <v>0</v>
      </c>
      <c r="L56" s="1060">
        <f t="shared" si="7"/>
        <v>0</v>
      </c>
      <c r="M56" s="1060">
        <f t="shared" si="8"/>
        <v>0</v>
      </c>
      <c r="N56" s="1056">
        <f>'[18]FY2012-13 Final'!K57</f>
        <v>2801</v>
      </c>
      <c r="O56" s="1057">
        <f t="shared" si="9"/>
        <v>0</v>
      </c>
      <c r="P56" s="1119">
        <f t="shared" si="10"/>
        <v>0</v>
      </c>
      <c r="Q56" s="1057">
        <f t="shared" si="11"/>
        <v>0</v>
      </c>
      <c r="R56" s="1057">
        <v>0</v>
      </c>
      <c r="S56" s="1057">
        <f t="shared" si="12"/>
        <v>0</v>
      </c>
      <c r="T56" s="1057">
        <f t="shared" si="13"/>
        <v>0</v>
      </c>
      <c r="U56" s="1058">
        <f t="shared" si="14"/>
        <v>0</v>
      </c>
      <c r="V56" s="1058">
        <f t="shared" si="14"/>
        <v>0</v>
      </c>
    </row>
    <row r="57" spans="1:22">
      <c r="A57" s="987">
        <v>51</v>
      </c>
      <c r="B57" s="988" t="s">
        <v>144</v>
      </c>
      <c r="C57" s="1198">
        <f>'[2]ALL-Reformatted'!P56</f>
        <v>0</v>
      </c>
      <c r="D57" s="1007">
        <f>'Table 3 Levels 1&amp;2'!BN59+'Table 3 Levels 1&amp;2'!BV59</f>
        <v>4290.3461727150461</v>
      </c>
      <c r="E57" s="1104">
        <f t="shared" si="2"/>
        <v>0</v>
      </c>
      <c r="F57" s="1104">
        <f>'Table 4 Level 3'!N56</f>
        <v>706.66</v>
      </c>
      <c r="G57" s="1104">
        <f t="shared" si="3"/>
        <v>0</v>
      </c>
      <c r="H57" s="1061">
        <f t="shared" si="4"/>
        <v>0</v>
      </c>
      <c r="I57" s="1114">
        <f t="shared" si="5"/>
        <v>0</v>
      </c>
      <c r="J57" s="1061">
        <f t="shared" si="6"/>
        <v>0</v>
      </c>
      <c r="K57" s="1061">
        <v>0</v>
      </c>
      <c r="L57" s="1061">
        <f t="shared" si="7"/>
        <v>0</v>
      </c>
      <c r="M57" s="1061">
        <f t="shared" si="8"/>
        <v>0</v>
      </c>
      <c r="N57" s="1051">
        <f>'[18]FY2012-13 Final'!K58</f>
        <v>4053</v>
      </c>
      <c r="O57" s="992">
        <f t="shared" si="9"/>
        <v>0</v>
      </c>
      <c r="P57" s="1117">
        <f t="shared" si="10"/>
        <v>0</v>
      </c>
      <c r="Q57" s="992">
        <f t="shared" si="11"/>
        <v>0</v>
      </c>
      <c r="R57" s="992">
        <v>0</v>
      </c>
      <c r="S57" s="992">
        <f t="shared" si="12"/>
        <v>0</v>
      </c>
      <c r="T57" s="992">
        <f t="shared" si="13"/>
        <v>0</v>
      </c>
      <c r="U57" s="993">
        <f t="shared" si="14"/>
        <v>0</v>
      </c>
      <c r="V57" s="993">
        <f t="shared" si="14"/>
        <v>0</v>
      </c>
    </row>
    <row r="58" spans="1:22">
      <c r="A58" s="994">
        <v>52</v>
      </c>
      <c r="B58" s="995" t="s">
        <v>145</v>
      </c>
      <c r="C58" s="1196">
        <f>'[2]ALL-Reformatted'!P57</f>
        <v>0</v>
      </c>
      <c r="D58" s="1003">
        <f>'Table 3 Levels 1&amp;2'!BN60+'Table 3 Levels 1&amp;2'!BV60</f>
        <v>4988.6415961118701</v>
      </c>
      <c r="E58" s="1102">
        <f t="shared" si="2"/>
        <v>0</v>
      </c>
      <c r="F58" s="1102">
        <f>'Table 4 Level 3'!N57</f>
        <v>658.37</v>
      </c>
      <c r="G58" s="1102">
        <f t="shared" si="3"/>
        <v>0</v>
      </c>
      <c r="H58" s="1059">
        <f t="shared" si="4"/>
        <v>0</v>
      </c>
      <c r="I58" s="1112">
        <f t="shared" si="5"/>
        <v>0</v>
      </c>
      <c r="J58" s="1059">
        <f t="shared" si="6"/>
        <v>0</v>
      </c>
      <c r="K58" s="1059">
        <v>0</v>
      </c>
      <c r="L58" s="1059">
        <f t="shared" si="7"/>
        <v>0</v>
      </c>
      <c r="M58" s="1059">
        <f t="shared" si="8"/>
        <v>0</v>
      </c>
      <c r="N58" s="1051">
        <f>'[18]FY2012-13 Final'!K59</f>
        <v>4886</v>
      </c>
      <c r="O58" s="1053">
        <f t="shared" si="9"/>
        <v>0</v>
      </c>
      <c r="P58" s="1118">
        <f t="shared" si="10"/>
        <v>0</v>
      </c>
      <c r="Q58" s="1053">
        <f t="shared" si="11"/>
        <v>0</v>
      </c>
      <c r="R58" s="1053">
        <v>0</v>
      </c>
      <c r="S58" s="1053">
        <f t="shared" si="12"/>
        <v>0</v>
      </c>
      <c r="T58" s="1053">
        <f t="shared" si="13"/>
        <v>0</v>
      </c>
      <c r="U58" s="1054">
        <f t="shared" si="14"/>
        <v>0</v>
      </c>
      <c r="V58" s="1054">
        <f t="shared" si="14"/>
        <v>0</v>
      </c>
    </row>
    <row r="59" spans="1:22">
      <c r="A59" s="994">
        <v>53</v>
      </c>
      <c r="B59" s="995" t="s">
        <v>146</v>
      </c>
      <c r="C59" s="1196">
        <f>'[2]ALL-Reformatted'!P58</f>
        <v>0</v>
      </c>
      <c r="D59" s="1003">
        <f>'Table 3 Levels 1&amp;2'!BN61+'Table 3 Levels 1&amp;2'!BV61</f>
        <v>4739.7077057162423</v>
      </c>
      <c r="E59" s="1102">
        <f t="shared" si="2"/>
        <v>0</v>
      </c>
      <c r="F59" s="1102">
        <f>'Table 4 Level 3'!N58</f>
        <v>689.74</v>
      </c>
      <c r="G59" s="1102">
        <f t="shared" si="3"/>
        <v>0</v>
      </c>
      <c r="H59" s="1059">
        <f t="shared" si="4"/>
        <v>0</v>
      </c>
      <c r="I59" s="1112">
        <f t="shared" si="5"/>
        <v>0</v>
      </c>
      <c r="J59" s="1059">
        <f t="shared" si="6"/>
        <v>0</v>
      </c>
      <c r="K59" s="1059">
        <v>0</v>
      </c>
      <c r="L59" s="1059">
        <f t="shared" si="7"/>
        <v>0</v>
      </c>
      <c r="M59" s="1059">
        <f t="shared" si="8"/>
        <v>0</v>
      </c>
      <c r="N59" s="1051">
        <f>'[18]FY2012-13 Final'!K60</f>
        <v>1929</v>
      </c>
      <c r="O59" s="1053">
        <f t="shared" si="9"/>
        <v>0</v>
      </c>
      <c r="P59" s="1118">
        <f t="shared" si="10"/>
        <v>0</v>
      </c>
      <c r="Q59" s="1053">
        <f t="shared" si="11"/>
        <v>0</v>
      </c>
      <c r="R59" s="1053">
        <v>0</v>
      </c>
      <c r="S59" s="1053">
        <f t="shared" si="12"/>
        <v>0</v>
      </c>
      <c r="T59" s="1053">
        <f t="shared" si="13"/>
        <v>0</v>
      </c>
      <c r="U59" s="1054">
        <f t="shared" si="14"/>
        <v>0</v>
      </c>
      <c r="V59" s="1054">
        <f t="shared" si="14"/>
        <v>0</v>
      </c>
    </row>
    <row r="60" spans="1:22">
      <c r="A60" s="994">
        <v>54</v>
      </c>
      <c r="B60" s="995" t="s">
        <v>147</v>
      </c>
      <c r="C60" s="1196">
        <f>'[2]ALL-Reformatted'!P59</f>
        <v>0</v>
      </c>
      <c r="D60" s="1003">
        <f>'Table 3 Levels 1&amp;2'!BN62+'Table 3 Levels 1&amp;2'!BV62</f>
        <v>5907.1276437932838</v>
      </c>
      <c r="E60" s="1102">
        <f t="shared" si="2"/>
        <v>0</v>
      </c>
      <c r="F60" s="1102">
        <f>'Table 4 Level 3'!N59</f>
        <v>951.45</v>
      </c>
      <c r="G60" s="1102">
        <f t="shared" si="3"/>
        <v>0</v>
      </c>
      <c r="H60" s="1059">
        <f t="shared" si="4"/>
        <v>0</v>
      </c>
      <c r="I60" s="1112">
        <f t="shared" si="5"/>
        <v>0</v>
      </c>
      <c r="J60" s="1059">
        <f t="shared" si="6"/>
        <v>0</v>
      </c>
      <c r="K60" s="1059">
        <v>0</v>
      </c>
      <c r="L60" s="1059">
        <f t="shared" si="7"/>
        <v>0</v>
      </c>
      <c r="M60" s="1059">
        <f t="shared" si="8"/>
        <v>0</v>
      </c>
      <c r="N60" s="1051">
        <f>'[18]FY2012-13 Final'!K61</f>
        <v>3382</v>
      </c>
      <c r="O60" s="1053">
        <f t="shared" si="9"/>
        <v>0</v>
      </c>
      <c r="P60" s="1118">
        <f t="shared" si="10"/>
        <v>0</v>
      </c>
      <c r="Q60" s="1053">
        <f t="shared" si="11"/>
        <v>0</v>
      </c>
      <c r="R60" s="1053">
        <v>0</v>
      </c>
      <c r="S60" s="1053">
        <f t="shared" si="12"/>
        <v>0</v>
      </c>
      <c r="T60" s="1053">
        <f t="shared" si="13"/>
        <v>0</v>
      </c>
      <c r="U60" s="1054">
        <f t="shared" si="14"/>
        <v>0</v>
      </c>
      <c r="V60" s="1054">
        <f t="shared" si="14"/>
        <v>0</v>
      </c>
    </row>
    <row r="61" spans="1:22">
      <c r="A61" s="998">
        <v>55</v>
      </c>
      <c r="B61" s="999" t="s">
        <v>148</v>
      </c>
      <c r="C61" s="1197">
        <f>'[2]ALL-Reformatted'!P60</f>
        <v>0</v>
      </c>
      <c r="D61" s="1005">
        <f>'Table 3 Levels 1&amp;2'!BN63+'Table 3 Levels 1&amp;2'!BV63</f>
        <v>4115.0954812679902</v>
      </c>
      <c r="E61" s="1103">
        <f t="shared" si="2"/>
        <v>0</v>
      </c>
      <c r="F61" s="1103">
        <f>'Table 4 Level 3'!N60</f>
        <v>795.14</v>
      </c>
      <c r="G61" s="1103">
        <f t="shared" si="3"/>
        <v>0</v>
      </c>
      <c r="H61" s="1060">
        <f t="shared" si="4"/>
        <v>0</v>
      </c>
      <c r="I61" s="1113">
        <f t="shared" si="5"/>
        <v>0</v>
      </c>
      <c r="J61" s="1060">
        <f t="shared" si="6"/>
        <v>0</v>
      </c>
      <c r="K61" s="1060">
        <v>0</v>
      </c>
      <c r="L61" s="1060">
        <f t="shared" si="7"/>
        <v>0</v>
      </c>
      <c r="M61" s="1060">
        <f t="shared" si="8"/>
        <v>0</v>
      </c>
      <c r="N61" s="1056">
        <f>'[18]FY2012-13 Final'!K62</f>
        <v>3127</v>
      </c>
      <c r="O61" s="1057">
        <f t="shared" si="9"/>
        <v>0</v>
      </c>
      <c r="P61" s="1119">
        <f t="shared" si="10"/>
        <v>0</v>
      </c>
      <c r="Q61" s="1057">
        <f t="shared" si="11"/>
        <v>0</v>
      </c>
      <c r="R61" s="1057">
        <v>0</v>
      </c>
      <c r="S61" s="1057">
        <f t="shared" si="12"/>
        <v>0</v>
      </c>
      <c r="T61" s="1057">
        <f t="shared" si="13"/>
        <v>0</v>
      </c>
      <c r="U61" s="1058">
        <f t="shared" si="14"/>
        <v>0</v>
      </c>
      <c r="V61" s="1058">
        <f t="shared" si="14"/>
        <v>0</v>
      </c>
    </row>
    <row r="62" spans="1:22">
      <c r="A62" s="987">
        <v>56</v>
      </c>
      <c r="B62" s="988" t="s">
        <v>149</v>
      </c>
      <c r="C62" s="1198">
        <f>'[2]ALL-Reformatted'!P61</f>
        <v>531</v>
      </c>
      <c r="D62" s="1007">
        <f>'Table 3 Levels 1&amp;2'!BN64+'Table 3 Levels 1&amp;2'!BV64</f>
        <v>4924.9032059941637</v>
      </c>
      <c r="E62" s="1104">
        <f t="shared" si="2"/>
        <v>2615123.6023829011</v>
      </c>
      <c r="F62" s="1104">
        <f>'Table 4 Level 3'!N61</f>
        <v>614.66000000000008</v>
      </c>
      <c r="G62" s="1104">
        <f t="shared" si="3"/>
        <v>326384.46000000002</v>
      </c>
      <c r="H62" s="1061">
        <f t="shared" si="4"/>
        <v>2941508.0623829011</v>
      </c>
      <c r="I62" s="1114">
        <f t="shared" si="5"/>
        <v>-7353.7701559572524</v>
      </c>
      <c r="J62" s="1061">
        <f t="shared" si="6"/>
        <v>2934154.2922269437</v>
      </c>
      <c r="K62" s="1239">
        <v>0</v>
      </c>
      <c r="L62" s="1061">
        <f t="shared" si="7"/>
        <v>2934154.2922269437</v>
      </c>
      <c r="M62" s="1061">
        <f t="shared" si="8"/>
        <v>244512.85768557864</v>
      </c>
      <c r="N62" s="1051">
        <f>'[18]FY2012-13 Final'!K63</f>
        <v>2768</v>
      </c>
      <c r="O62" s="992">
        <f t="shared" si="9"/>
        <v>1469808</v>
      </c>
      <c r="P62" s="1117">
        <f t="shared" si="10"/>
        <v>-3674.52</v>
      </c>
      <c r="Q62" s="992">
        <f t="shared" si="11"/>
        <v>1466133.48</v>
      </c>
      <c r="R62" s="992">
        <v>0</v>
      </c>
      <c r="S62" s="992">
        <f t="shared" si="12"/>
        <v>1466133.48</v>
      </c>
      <c r="T62" s="992">
        <f t="shared" si="13"/>
        <v>122177.79</v>
      </c>
      <c r="U62" s="993">
        <f t="shared" si="14"/>
        <v>4400287.7722269436</v>
      </c>
      <c r="V62" s="993">
        <f t="shared" si="14"/>
        <v>366690.64768557862</v>
      </c>
    </row>
    <row r="63" spans="1:22">
      <c r="A63" s="994">
        <v>57</v>
      </c>
      <c r="B63" s="995" t="s">
        <v>150</v>
      </c>
      <c r="C63" s="1196">
        <f>'[2]ALL-Reformatted'!P62</f>
        <v>0</v>
      </c>
      <c r="D63" s="1003">
        <f>'Table 3 Levels 1&amp;2'!BN65+'Table 3 Levels 1&amp;2'!BV65</f>
        <v>4434.5516744018987</v>
      </c>
      <c r="E63" s="1102">
        <f t="shared" si="2"/>
        <v>0</v>
      </c>
      <c r="F63" s="1102">
        <f>'Table 4 Level 3'!N62</f>
        <v>764.51</v>
      </c>
      <c r="G63" s="1102">
        <f t="shared" si="3"/>
        <v>0</v>
      </c>
      <c r="H63" s="1059">
        <f t="shared" si="4"/>
        <v>0</v>
      </c>
      <c r="I63" s="1112">
        <f t="shared" si="5"/>
        <v>0</v>
      </c>
      <c r="J63" s="1059">
        <f t="shared" si="6"/>
        <v>0</v>
      </c>
      <c r="K63" s="1059">
        <v>0</v>
      </c>
      <c r="L63" s="1059">
        <f t="shared" si="7"/>
        <v>0</v>
      </c>
      <c r="M63" s="1059">
        <f t="shared" si="8"/>
        <v>0</v>
      </c>
      <c r="N63" s="1051">
        <f>'[18]FY2012-13 Final'!K64</f>
        <v>2987</v>
      </c>
      <c r="O63" s="1053">
        <f t="shared" si="9"/>
        <v>0</v>
      </c>
      <c r="P63" s="1118">
        <f t="shared" si="10"/>
        <v>0</v>
      </c>
      <c r="Q63" s="1053">
        <f t="shared" si="11"/>
        <v>0</v>
      </c>
      <c r="R63" s="1053">
        <v>0</v>
      </c>
      <c r="S63" s="1053">
        <f t="shared" si="12"/>
        <v>0</v>
      </c>
      <c r="T63" s="1053">
        <f t="shared" si="13"/>
        <v>0</v>
      </c>
      <c r="U63" s="1054">
        <f t="shared" si="14"/>
        <v>0</v>
      </c>
      <c r="V63" s="1054">
        <f t="shared" si="14"/>
        <v>0</v>
      </c>
    </row>
    <row r="64" spans="1:22">
      <c r="A64" s="994">
        <v>58</v>
      </c>
      <c r="B64" s="995" t="s">
        <v>151</v>
      </c>
      <c r="C64" s="1196">
        <f>'[2]ALL-Reformatted'!P63</f>
        <v>0</v>
      </c>
      <c r="D64" s="1003">
        <f>'Table 3 Levels 1&amp;2'!BN66+'Table 3 Levels 1&amp;2'!BV66</f>
        <v>5434.7170435013286</v>
      </c>
      <c r="E64" s="1102">
        <f t="shared" si="2"/>
        <v>0</v>
      </c>
      <c r="F64" s="1102">
        <f>'Table 4 Level 3'!N63</f>
        <v>697.04</v>
      </c>
      <c r="G64" s="1102">
        <f t="shared" si="3"/>
        <v>0</v>
      </c>
      <c r="H64" s="1059">
        <f t="shared" si="4"/>
        <v>0</v>
      </c>
      <c r="I64" s="1112">
        <f t="shared" si="5"/>
        <v>0</v>
      </c>
      <c r="J64" s="1059">
        <f t="shared" si="6"/>
        <v>0</v>
      </c>
      <c r="K64" s="1059">
        <v>0</v>
      </c>
      <c r="L64" s="1059">
        <f t="shared" si="7"/>
        <v>0</v>
      </c>
      <c r="M64" s="1059">
        <f t="shared" si="8"/>
        <v>0</v>
      </c>
      <c r="N64" s="1051">
        <f>'[18]FY2012-13 Final'!K65</f>
        <v>2055</v>
      </c>
      <c r="O64" s="1053">
        <f t="shared" si="9"/>
        <v>0</v>
      </c>
      <c r="P64" s="1118">
        <f t="shared" si="10"/>
        <v>0</v>
      </c>
      <c r="Q64" s="1053">
        <f t="shared" si="11"/>
        <v>0</v>
      </c>
      <c r="R64" s="1053">
        <v>0</v>
      </c>
      <c r="S64" s="1053">
        <f t="shared" si="12"/>
        <v>0</v>
      </c>
      <c r="T64" s="1053">
        <f t="shared" si="13"/>
        <v>0</v>
      </c>
      <c r="U64" s="1054">
        <f t="shared" si="14"/>
        <v>0</v>
      </c>
      <c r="V64" s="1054">
        <f t="shared" si="14"/>
        <v>0</v>
      </c>
    </row>
    <row r="65" spans="1:22">
      <c r="A65" s="994">
        <v>59</v>
      </c>
      <c r="B65" s="995" t="s">
        <v>152</v>
      </c>
      <c r="C65" s="1196">
        <f>'[2]ALL-Reformatted'!P64</f>
        <v>0</v>
      </c>
      <c r="D65" s="1003">
        <f>'Table 3 Levels 1&amp;2'!BN67+'Table 3 Levels 1&amp;2'!BV67</f>
        <v>6252.2385330184643</v>
      </c>
      <c r="E65" s="1102">
        <f t="shared" si="2"/>
        <v>0</v>
      </c>
      <c r="F65" s="1102">
        <f>'Table 4 Level 3'!N64</f>
        <v>689.52</v>
      </c>
      <c r="G65" s="1102">
        <f t="shared" si="3"/>
        <v>0</v>
      </c>
      <c r="H65" s="1059">
        <f t="shared" si="4"/>
        <v>0</v>
      </c>
      <c r="I65" s="1112">
        <f t="shared" si="5"/>
        <v>0</v>
      </c>
      <c r="J65" s="1059">
        <f t="shared" si="6"/>
        <v>0</v>
      </c>
      <c r="K65" s="1059">
        <v>0</v>
      </c>
      <c r="L65" s="1059">
        <f t="shared" si="7"/>
        <v>0</v>
      </c>
      <c r="M65" s="1059">
        <f t="shared" si="8"/>
        <v>0</v>
      </c>
      <c r="N65" s="1051">
        <f>'[18]FY2012-13 Final'!K66</f>
        <v>1528</v>
      </c>
      <c r="O65" s="1053">
        <f t="shared" si="9"/>
        <v>0</v>
      </c>
      <c r="P65" s="1118">
        <f t="shared" si="10"/>
        <v>0</v>
      </c>
      <c r="Q65" s="1053">
        <f t="shared" si="11"/>
        <v>0</v>
      </c>
      <c r="R65" s="1053">
        <v>0</v>
      </c>
      <c r="S65" s="1053">
        <f t="shared" si="12"/>
        <v>0</v>
      </c>
      <c r="T65" s="1053">
        <f t="shared" si="13"/>
        <v>0</v>
      </c>
      <c r="U65" s="1054">
        <f t="shared" si="14"/>
        <v>0</v>
      </c>
      <c r="V65" s="1054">
        <f t="shared" si="14"/>
        <v>0</v>
      </c>
    </row>
    <row r="66" spans="1:22">
      <c r="A66" s="998">
        <v>60</v>
      </c>
      <c r="B66" s="999" t="s">
        <v>153</v>
      </c>
      <c r="C66" s="1197">
        <f>'[2]ALL-Reformatted'!P65</f>
        <v>0</v>
      </c>
      <c r="D66" s="1005">
        <f>'Table 3 Levels 1&amp;2'!BN68+'Table 3 Levels 1&amp;2'!BV68</f>
        <v>4902.6575100268701</v>
      </c>
      <c r="E66" s="1103">
        <f t="shared" si="2"/>
        <v>0</v>
      </c>
      <c r="F66" s="1103">
        <f>'Table 4 Level 3'!N65</f>
        <v>594.04</v>
      </c>
      <c r="G66" s="1103">
        <f t="shared" si="3"/>
        <v>0</v>
      </c>
      <c r="H66" s="1060">
        <f t="shared" si="4"/>
        <v>0</v>
      </c>
      <c r="I66" s="1113">
        <f t="shared" si="5"/>
        <v>0</v>
      </c>
      <c r="J66" s="1060">
        <f t="shared" si="6"/>
        <v>0</v>
      </c>
      <c r="K66" s="1060">
        <v>0</v>
      </c>
      <c r="L66" s="1060">
        <f t="shared" si="7"/>
        <v>0</v>
      </c>
      <c r="M66" s="1060">
        <f t="shared" si="8"/>
        <v>0</v>
      </c>
      <c r="N66" s="1056">
        <f>'[18]FY2012-13 Final'!K67</f>
        <v>3918</v>
      </c>
      <c r="O66" s="1057">
        <f t="shared" si="9"/>
        <v>0</v>
      </c>
      <c r="P66" s="1119">
        <f t="shared" si="10"/>
        <v>0</v>
      </c>
      <c r="Q66" s="1057">
        <f t="shared" si="11"/>
        <v>0</v>
      </c>
      <c r="R66" s="1057">
        <v>0</v>
      </c>
      <c r="S66" s="1057">
        <f t="shared" si="12"/>
        <v>0</v>
      </c>
      <c r="T66" s="1057">
        <f t="shared" si="13"/>
        <v>0</v>
      </c>
      <c r="U66" s="1058">
        <f t="shared" si="14"/>
        <v>0</v>
      </c>
      <c r="V66" s="1058">
        <f t="shared" si="14"/>
        <v>0</v>
      </c>
    </row>
    <row r="67" spans="1:22">
      <c r="A67" s="987">
        <v>61</v>
      </c>
      <c r="B67" s="988" t="s">
        <v>154</v>
      </c>
      <c r="C67" s="1198">
        <f>'[2]ALL-Reformatted'!P66</f>
        <v>0</v>
      </c>
      <c r="D67" s="1007">
        <f>'Table 3 Levels 1&amp;2'!BN69+'Table 3 Levels 1&amp;2'!BV69</f>
        <v>2872.7719101339244</v>
      </c>
      <c r="E67" s="1104">
        <f t="shared" si="2"/>
        <v>0</v>
      </c>
      <c r="F67" s="1104">
        <f>'Table 4 Level 3'!N66</f>
        <v>833.70999999999992</v>
      </c>
      <c r="G67" s="1104">
        <f t="shared" si="3"/>
        <v>0</v>
      </c>
      <c r="H67" s="1061">
        <f t="shared" si="4"/>
        <v>0</v>
      </c>
      <c r="I67" s="1114">
        <f t="shared" si="5"/>
        <v>0</v>
      </c>
      <c r="J67" s="1061">
        <f t="shared" si="6"/>
        <v>0</v>
      </c>
      <c r="K67" s="1061">
        <v>0</v>
      </c>
      <c r="L67" s="1061">
        <f t="shared" si="7"/>
        <v>0</v>
      </c>
      <c r="M67" s="1061">
        <f t="shared" si="8"/>
        <v>0</v>
      </c>
      <c r="N67" s="1051">
        <f>'[18]FY2012-13 Final'!K68</f>
        <v>6680</v>
      </c>
      <c r="O67" s="992">
        <f t="shared" si="9"/>
        <v>0</v>
      </c>
      <c r="P67" s="1117">
        <f t="shared" si="10"/>
        <v>0</v>
      </c>
      <c r="Q67" s="992">
        <f t="shared" si="11"/>
        <v>0</v>
      </c>
      <c r="R67" s="992">
        <v>0</v>
      </c>
      <c r="S67" s="992">
        <f t="shared" si="12"/>
        <v>0</v>
      </c>
      <c r="T67" s="992">
        <f t="shared" si="13"/>
        <v>0</v>
      </c>
      <c r="U67" s="993">
        <f t="shared" si="14"/>
        <v>0</v>
      </c>
      <c r="V67" s="993">
        <f t="shared" si="14"/>
        <v>0</v>
      </c>
    </row>
    <row r="68" spans="1:22">
      <c r="A68" s="994">
        <v>62</v>
      </c>
      <c r="B68" s="995" t="s">
        <v>155</v>
      </c>
      <c r="C68" s="1196">
        <f>'[2]ALL-Reformatted'!P67</f>
        <v>0</v>
      </c>
      <c r="D68" s="1003">
        <f>'Table 3 Levels 1&amp;2'!BN70+'Table 3 Levels 1&amp;2'!BV70</f>
        <v>5594.25143978908</v>
      </c>
      <c r="E68" s="1102">
        <f t="shared" si="2"/>
        <v>0</v>
      </c>
      <c r="F68" s="1102">
        <f>'Table 4 Level 3'!N67</f>
        <v>516.08000000000004</v>
      </c>
      <c r="G68" s="1102">
        <f t="shared" si="3"/>
        <v>0</v>
      </c>
      <c r="H68" s="1059">
        <f t="shared" si="4"/>
        <v>0</v>
      </c>
      <c r="I68" s="1112">
        <f t="shared" si="5"/>
        <v>0</v>
      </c>
      <c r="J68" s="1059">
        <f t="shared" si="6"/>
        <v>0</v>
      </c>
      <c r="K68" s="1059">
        <v>0</v>
      </c>
      <c r="L68" s="1059">
        <f t="shared" si="7"/>
        <v>0</v>
      </c>
      <c r="M68" s="1059">
        <f t="shared" si="8"/>
        <v>0</v>
      </c>
      <c r="N68" s="1051">
        <f>'[18]FY2012-13 Final'!K69</f>
        <v>1754</v>
      </c>
      <c r="O68" s="1053">
        <f t="shared" si="9"/>
        <v>0</v>
      </c>
      <c r="P68" s="1118">
        <f t="shared" si="10"/>
        <v>0</v>
      </c>
      <c r="Q68" s="1053">
        <f t="shared" si="11"/>
        <v>0</v>
      </c>
      <c r="R68" s="1053">
        <v>0</v>
      </c>
      <c r="S68" s="1053">
        <f t="shared" si="12"/>
        <v>0</v>
      </c>
      <c r="T68" s="1053">
        <f t="shared" si="13"/>
        <v>0</v>
      </c>
      <c r="U68" s="1054">
        <f t="shared" si="14"/>
        <v>0</v>
      </c>
      <c r="V68" s="1054">
        <f t="shared" si="14"/>
        <v>0</v>
      </c>
    </row>
    <row r="69" spans="1:22">
      <c r="A69" s="994">
        <v>63</v>
      </c>
      <c r="B69" s="995" t="s">
        <v>156</v>
      </c>
      <c r="C69" s="1196">
        <f>'[2]ALL-Reformatted'!P68</f>
        <v>0</v>
      </c>
      <c r="D69" s="1003">
        <f>'Table 3 Levels 1&amp;2'!BN71+'Table 3 Levels 1&amp;2'!BV71</f>
        <v>4318.8609300898834</v>
      </c>
      <c r="E69" s="1102">
        <f t="shared" si="2"/>
        <v>0</v>
      </c>
      <c r="F69" s="1102">
        <f>'Table 4 Level 3'!N68</f>
        <v>756.79</v>
      </c>
      <c r="G69" s="1102">
        <f t="shared" si="3"/>
        <v>0</v>
      </c>
      <c r="H69" s="1059">
        <f t="shared" si="4"/>
        <v>0</v>
      </c>
      <c r="I69" s="1112">
        <f t="shared" si="5"/>
        <v>0</v>
      </c>
      <c r="J69" s="1059">
        <f t="shared" si="6"/>
        <v>0</v>
      </c>
      <c r="K69" s="1059">
        <v>0</v>
      </c>
      <c r="L69" s="1059">
        <f t="shared" si="7"/>
        <v>0</v>
      </c>
      <c r="M69" s="1059">
        <f t="shared" si="8"/>
        <v>0</v>
      </c>
      <c r="N69" s="1051">
        <f>'[18]FY2012-13 Final'!K70</f>
        <v>7182</v>
      </c>
      <c r="O69" s="1053">
        <f t="shared" si="9"/>
        <v>0</v>
      </c>
      <c r="P69" s="1118">
        <f t="shared" si="10"/>
        <v>0</v>
      </c>
      <c r="Q69" s="1053">
        <f t="shared" si="11"/>
        <v>0</v>
      </c>
      <c r="R69" s="1053">
        <v>0</v>
      </c>
      <c r="S69" s="1053">
        <f t="shared" si="12"/>
        <v>0</v>
      </c>
      <c r="T69" s="1053">
        <f t="shared" si="13"/>
        <v>0</v>
      </c>
      <c r="U69" s="1054">
        <f t="shared" si="14"/>
        <v>0</v>
      </c>
      <c r="V69" s="1054">
        <f t="shared" si="14"/>
        <v>0</v>
      </c>
    </row>
    <row r="70" spans="1:22">
      <c r="A70" s="994">
        <v>64</v>
      </c>
      <c r="B70" s="995" t="s">
        <v>157</v>
      </c>
      <c r="C70" s="1196">
        <f>'[2]ALL-Reformatted'!P69</f>
        <v>0</v>
      </c>
      <c r="D70" s="1003">
        <f>'Table 3 Levels 1&amp;2'!BN72+'Table 3 Levels 1&amp;2'!BV72</f>
        <v>5921.7418933384488</v>
      </c>
      <c r="E70" s="1102">
        <f t="shared" si="2"/>
        <v>0</v>
      </c>
      <c r="F70" s="1102">
        <f>'Table 4 Level 3'!N69</f>
        <v>592.66</v>
      </c>
      <c r="G70" s="1102">
        <f t="shared" si="3"/>
        <v>0</v>
      </c>
      <c r="H70" s="1059">
        <f t="shared" si="4"/>
        <v>0</v>
      </c>
      <c r="I70" s="1112">
        <f t="shared" si="5"/>
        <v>0</v>
      </c>
      <c r="J70" s="1059">
        <f t="shared" si="6"/>
        <v>0</v>
      </c>
      <c r="K70" s="1059">
        <v>0</v>
      </c>
      <c r="L70" s="1059">
        <f t="shared" si="7"/>
        <v>0</v>
      </c>
      <c r="M70" s="1059">
        <f t="shared" si="8"/>
        <v>0</v>
      </c>
      <c r="N70" s="1051">
        <f>'[18]FY2012-13 Final'!K71</f>
        <v>2701</v>
      </c>
      <c r="O70" s="1053">
        <f t="shared" si="9"/>
        <v>0</v>
      </c>
      <c r="P70" s="1118">
        <f t="shared" si="10"/>
        <v>0</v>
      </c>
      <c r="Q70" s="1053">
        <f t="shared" si="11"/>
        <v>0</v>
      </c>
      <c r="R70" s="1053">
        <v>0</v>
      </c>
      <c r="S70" s="1053">
        <f t="shared" si="12"/>
        <v>0</v>
      </c>
      <c r="T70" s="1053">
        <f t="shared" si="13"/>
        <v>0</v>
      </c>
      <c r="U70" s="1054">
        <f t="shared" si="14"/>
        <v>0</v>
      </c>
      <c r="V70" s="1054">
        <f t="shared" si="14"/>
        <v>0</v>
      </c>
    </row>
    <row r="71" spans="1:22">
      <c r="A71" s="998">
        <v>65</v>
      </c>
      <c r="B71" s="999" t="s">
        <v>158</v>
      </c>
      <c r="C71" s="1197">
        <f>'[2]ALL-Reformatted'!P70</f>
        <v>3</v>
      </c>
      <c r="D71" s="1005">
        <f>'Table 3 Levels 1&amp;2'!BN73+'Table 3 Levels 1&amp;2'!BV73</f>
        <v>4578.9201269671275</v>
      </c>
      <c r="E71" s="1103">
        <f t="shared" si="2"/>
        <v>13736.760380901382</v>
      </c>
      <c r="F71" s="1103">
        <f>'Table 4 Level 3'!N70</f>
        <v>829.12</v>
      </c>
      <c r="G71" s="1103">
        <f t="shared" si="3"/>
        <v>2487.36</v>
      </c>
      <c r="H71" s="1060">
        <f t="shared" si="4"/>
        <v>16224.120380901382</v>
      </c>
      <c r="I71" s="1113">
        <f t="shared" si="5"/>
        <v>-40.560300952253456</v>
      </c>
      <c r="J71" s="1060">
        <f t="shared" si="6"/>
        <v>16183.560079949129</v>
      </c>
      <c r="K71" s="1060">
        <v>0</v>
      </c>
      <c r="L71" s="1060">
        <f t="shared" si="7"/>
        <v>16183.560079949129</v>
      </c>
      <c r="M71" s="1060">
        <f t="shared" si="8"/>
        <v>1348.6300066624274</v>
      </c>
      <c r="N71" s="1056">
        <f>'[18]FY2012-13 Final'!K72</f>
        <v>4813</v>
      </c>
      <c r="O71" s="1057">
        <f t="shared" si="9"/>
        <v>14439</v>
      </c>
      <c r="P71" s="1119">
        <f t="shared" si="10"/>
        <v>-36.097500000000004</v>
      </c>
      <c r="Q71" s="1057">
        <f t="shared" si="11"/>
        <v>14402.9025</v>
      </c>
      <c r="R71" s="1057">
        <v>0</v>
      </c>
      <c r="S71" s="1057">
        <f t="shared" si="12"/>
        <v>14402.9025</v>
      </c>
      <c r="T71" s="1057">
        <f t="shared" si="13"/>
        <v>1200.2418749999999</v>
      </c>
      <c r="U71" s="1058">
        <f t="shared" si="14"/>
        <v>30586.46257994913</v>
      </c>
      <c r="V71" s="1058">
        <f t="shared" si="14"/>
        <v>2548.8718816624273</v>
      </c>
    </row>
    <row r="72" spans="1:22">
      <c r="A72" s="987">
        <v>66</v>
      </c>
      <c r="B72" s="988" t="s">
        <v>159</v>
      </c>
      <c r="C72" s="1198">
        <f>'[2]ALL-Reformatted'!P71</f>
        <v>0</v>
      </c>
      <c r="D72" s="1007">
        <f>'Table 3 Levels 1&amp;2'!BN74+'Table 3 Levels 1&amp;2'!BV74</f>
        <v>6340.8763293271122</v>
      </c>
      <c r="E72" s="1104">
        <f t="shared" ref="E72:E76" si="15">C72*D72</f>
        <v>0</v>
      </c>
      <c r="F72" s="1104">
        <f>'Table 4 Level 3'!N71</f>
        <v>730.06</v>
      </c>
      <c r="G72" s="1104">
        <f t="shared" ref="G72:G76" si="16">C72*F72</f>
        <v>0</v>
      </c>
      <c r="H72" s="1061">
        <f t="shared" ref="H72:H76" si="17">E72+G72</f>
        <v>0</v>
      </c>
      <c r="I72" s="1114">
        <f t="shared" ref="I72:I76" si="18">-(0.25%*H72)</f>
        <v>0</v>
      </c>
      <c r="J72" s="1061">
        <f t="shared" ref="J72:J76" si="19">SUM(H72:I72)</f>
        <v>0</v>
      </c>
      <c r="K72" s="1061">
        <v>0</v>
      </c>
      <c r="L72" s="1061">
        <f t="shared" ref="L72:L76" si="20">SUM(J72:K72)</f>
        <v>0</v>
      </c>
      <c r="M72" s="1061">
        <f t="shared" ref="M72:M76" si="21">L72/12</f>
        <v>0</v>
      </c>
      <c r="N72" s="1051">
        <f>'[18]FY2012-13 Final'!K73</f>
        <v>3516</v>
      </c>
      <c r="O72" s="992">
        <f t="shared" ref="O72:O75" si="22">C72*N72</f>
        <v>0</v>
      </c>
      <c r="P72" s="1117">
        <f t="shared" ref="P72:P75" si="23">-(0.25%*O72)</f>
        <v>0</v>
      </c>
      <c r="Q72" s="992">
        <f t="shared" ref="Q72:Q75" si="24">SUM(O72:P72)</f>
        <v>0</v>
      </c>
      <c r="R72" s="992">
        <v>0</v>
      </c>
      <c r="S72" s="992">
        <f t="shared" ref="S72:S75" si="25">SUM(Q72:R72)</f>
        <v>0</v>
      </c>
      <c r="T72" s="992">
        <f t="shared" ref="T72:T75" si="26">S72/12</f>
        <v>0</v>
      </c>
      <c r="U72" s="993">
        <f t="shared" ref="U72:V76" si="27">L72+S72</f>
        <v>0</v>
      </c>
      <c r="V72" s="993">
        <f t="shared" si="27"/>
        <v>0</v>
      </c>
    </row>
    <row r="73" spans="1:22">
      <c r="A73" s="994">
        <v>67</v>
      </c>
      <c r="B73" s="995" t="s">
        <v>32</v>
      </c>
      <c r="C73" s="1196">
        <f>'[2]ALL-Reformatted'!P72</f>
        <v>0</v>
      </c>
      <c r="D73" s="1003">
        <f>'Table 3 Levels 1&amp;2'!BN75+'Table 3 Levels 1&amp;2'!BV75</f>
        <v>4984.1100297034172</v>
      </c>
      <c r="E73" s="1102">
        <f t="shared" si="15"/>
        <v>0</v>
      </c>
      <c r="F73" s="1102">
        <f>'Table 4 Level 3'!N72</f>
        <v>715.61</v>
      </c>
      <c r="G73" s="1102">
        <f t="shared" si="16"/>
        <v>0</v>
      </c>
      <c r="H73" s="1059">
        <f t="shared" si="17"/>
        <v>0</v>
      </c>
      <c r="I73" s="1112">
        <f t="shared" si="18"/>
        <v>0</v>
      </c>
      <c r="J73" s="1059">
        <f t="shared" si="19"/>
        <v>0</v>
      </c>
      <c r="K73" s="1059">
        <v>0</v>
      </c>
      <c r="L73" s="1059">
        <f t="shared" si="20"/>
        <v>0</v>
      </c>
      <c r="M73" s="1059">
        <f t="shared" si="21"/>
        <v>0</v>
      </c>
      <c r="N73" s="1051">
        <f>'[18]FY2012-13 Final'!K74</f>
        <v>5052</v>
      </c>
      <c r="O73" s="1053">
        <f t="shared" si="22"/>
        <v>0</v>
      </c>
      <c r="P73" s="1118">
        <f t="shared" si="23"/>
        <v>0</v>
      </c>
      <c r="Q73" s="1053">
        <f t="shared" si="24"/>
        <v>0</v>
      </c>
      <c r="R73" s="1053">
        <v>0</v>
      </c>
      <c r="S73" s="1053">
        <f t="shared" si="25"/>
        <v>0</v>
      </c>
      <c r="T73" s="1053">
        <f t="shared" si="26"/>
        <v>0</v>
      </c>
      <c r="U73" s="1054">
        <f t="shared" si="27"/>
        <v>0</v>
      </c>
      <c r="V73" s="1054">
        <f t="shared" si="27"/>
        <v>0</v>
      </c>
    </row>
    <row r="74" spans="1:22">
      <c r="A74" s="994">
        <v>68</v>
      </c>
      <c r="B74" s="995" t="s">
        <v>30</v>
      </c>
      <c r="C74" s="1196">
        <f>'[2]ALL-Reformatted'!P73</f>
        <v>0</v>
      </c>
      <c r="D74" s="1003">
        <f>'Table 3 Levels 1&amp;2'!BN76+'Table 3 Levels 1&amp;2'!BV76</f>
        <v>6012.7854305239725</v>
      </c>
      <c r="E74" s="1102">
        <f t="shared" si="15"/>
        <v>0</v>
      </c>
      <c r="F74" s="1102">
        <f>'Table 4 Level 3'!N73</f>
        <v>798.7</v>
      </c>
      <c r="G74" s="1102">
        <f t="shared" si="16"/>
        <v>0</v>
      </c>
      <c r="H74" s="1059">
        <f t="shared" si="17"/>
        <v>0</v>
      </c>
      <c r="I74" s="1112">
        <f t="shared" si="18"/>
        <v>0</v>
      </c>
      <c r="J74" s="1059">
        <f t="shared" si="19"/>
        <v>0</v>
      </c>
      <c r="K74" s="1059">
        <v>0</v>
      </c>
      <c r="L74" s="1059">
        <f t="shared" si="20"/>
        <v>0</v>
      </c>
      <c r="M74" s="1059">
        <f t="shared" si="21"/>
        <v>0</v>
      </c>
      <c r="N74" s="1051">
        <f>'[18]FY2012-13 Final'!K75</f>
        <v>2763</v>
      </c>
      <c r="O74" s="1053">
        <f t="shared" si="22"/>
        <v>0</v>
      </c>
      <c r="P74" s="1118">
        <f t="shared" si="23"/>
        <v>0</v>
      </c>
      <c r="Q74" s="1053">
        <f t="shared" si="24"/>
        <v>0</v>
      </c>
      <c r="R74" s="1053">
        <v>0</v>
      </c>
      <c r="S74" s="1053">
        <f t="shared" si="25"/>
        <v>0</v>
      </c>
      <c r="T74" s="1053">
        <f t="shared" si="26"/>
        <v>0</v>
      </c>
      <c r="U74" s="1054">
        <f t="shared" si="27"/>
        <v>0</v>
      </c>
      <c r="V74" s="1054">
        <f t="shared" si="27"/>
        <v>0</v>
      </c>
    </row>
    <row r="75" spans="1:22">
      <c r="A75" s="1232">
        <v>69</v>
      </c>
      <c r="B75" s="1233" t="s">
        <v>213</v>
      </c>
      <c r="C75" s="1234">
        <f>'[2]ALL-Reformatted'!P74</f>
        <v>0</v>
      </c>
      <c r="D75" s="1235">
        <f>'Table 3 Levels 1&amp;2'!BN77+'Table 3 Levels 1&amp;2'!BV77</f>
        <v>5559.7139008686299</v>
      </c>
      <c r="E75" s="1105">
        <f t="shared" si="15"/>
        <v>0</v>
      </c>
      <c r="F75" s="1236">
        <f>'Table 4 Level 3'!N74</f>
        <v>705.67</v>
      </c>
      <c r="G75" s="1105">
        <f t="shared" si="16"/>
        <v>0</v>
      </c>
      <c r="H75" s="1062">
        <f t="shared" si="17"/>
        <v>0</v>
      </c>
      <c r="I75" s="1237">
        <f t="shared" si="18"/>
        <v>0</v>
      </c>
      <c r="J75" s="1238">
        <f t="shared" si="19"/>
        <v>0</v>
      </c>
      <c r="K75" s="1238">
        <v>0</v>
      </c>
      <c r="L75" s="1238">
        <f t="shared" si="20"/>
        <v>0</v>
      </c>
      <c r="M75" s="1238">
        <f t="shared" si="21"/>
        <v>0</v>
      </c>
      <c r="N75" s="1051">
        <f>'[18]FY2012-13 Final'!K76</f>
        <v>3327</v>
      </c>
      <c r="O75" s="1063">
        <f t="shared" si="22"/>
        <v>0</v>
      </c>
      <c r="P75" s="1120">
        <f t="shared" si="23"/>
        <v>0</v>
      </c>
      <c r="Q75" s="1063">
        <f t="shared" si="24"/>
        <v>0</v>
      </c>
      <c r="R75" s="1063">
        <v>0</v>
      </c>
      <c r="S75" s="1063">
        <f t="shared" si="25"/>
        <v>0</v>
      </c>
      <c r="T75" s="1063">
        <f t="shared" si="26"/>
        <v>0</v>
      </c>
      <c r="U75" s="1064">
        <f t="shared" si="27"/>
        <v>0</v>
      </c>
      <c r="V75" s="1064">
        <f t="shared" si="27"/>
        <v>0</v>
      </c>
    </row>
    <row r="76" spans="1:22">
      <c r="A76" s="1220"/>
      <c r="B76" s="1221" t="s">
        <v>625</v>
      </c>
      <c r="C76" s="1231">
        <f>'[2]ALL-Reformatted'!P75</f>
        <v>1</v>
      </c>
      <c r="D76" s="1007">
        <f>'Table 3 Levels 1&amp;2'!BN64+'Table 3 Levels 1&amp;2'!BV64</f>
        <v>4924.9032059941637</v>
      </c>
      <c r="E76" s="1105">
        <f t="shared" si="15"/>
        <v>4924.9032059941637</v>
      </c>
      <c r="F76" s="1104">
        <f>'Table 4 Level 3'!N61</f>
        <v>614.66000000000008</v>
      </c>
      <c r="G76" s="1105">
        <f t="shared" si="16"/>
        <v>614.66000000000008</v>
      </c>
      <c r="H76" s="1062">
        <f t="shared" si="17"/>
        <v>5539.5632059941636</v>
      </c>
      <c r="I76" s="1237">
        <f t="shared" si="18"/>
        <v>-13.84890801498541</v>
      </c>
      <c r="J76" s="1238">
        <f t="shared" si="19"/>
        <v>5525.7142979791779</v>
      </c>
      <c r="K76" s="1238">
        <v>0</v>
      </c>
      <c r="L76" s="1238">
        <f t="shared" si="20"/>
        <v>5525.7142979791779</v>
      </c>
      <c r="M76" s="1238">
        <f t="shared" si="21"/>
        <v>460.47619149826482</v>
      </c>
      <c r="N76" s="1051"/>
      <c r="O76" s="1063"/>
      <c r="P76" s="1120"/>
      <c r="Q76" s="1063"/>
      <c r="R76" s="1063"/>
      <c r="S76" s="1063"/>
      <c r="T76" s="1063"/>
      <c r="U76" s="1064">
        <f t="shared" si="27"/>
        <v>5525.7142979791779</v>
      </c>
      <c r="V76" s="1064">
        <f t="shared" si="27"/>
        <v>460.47619149826482</v>
      </c>
    </row>
    <row r="77" spans="1:22" ht="13.5" thickBot="1">
      <c r="A77" s="1012"/>
      <c r="B77" s="1013" t="s">
        <v>160</v>
      </c>
      <c r="C77" s="1014">
        <f>SUM(C7:C76)</f>
        <v>548</v>
      </c>
      <c r="D77" s="1015"/>
      <c r="E77" s="1106">
        <f>SUM(E7:E76)</f>
        <v>2695478.9836766953</v>
      </c>
      <c r="F77" s="1106">
        <f>'Table 4 Level 3'!N75</f>
        <v>703.90028204588873</v>
      </c>
      <c r="G77" s="1106">
        <f t="shared" ref="G77:M77" si="28">SUM(G7:G76)</f>
        <v>338033.91</v>
      </c>
      <c r="H77" s="1016">
        <f t="shared" si="28"/>
        <v>3033512.8936766949</v>
      </c>
      <c r="I77" s="1116">
        <f t="shared" si="28"/>
        <v>-7583.7822341917381</v>
      </c>
      <c r="J77" s="1016">
        <f t="shared" si="28"/>
        <v>3025929.1114425031</v>
      </c>
      <c r="K77" s="1240">
        <f t="shared" si="28"/>
        <v>0</v>
      </c>
      <c r="L77" s="1016">
        <f t="shared" si="28"/>
        <v>3025929.1114425031</v>
      </c>
      <c r="M77" s="1016">
        <f t="shared" si="28"/>
        <v>252160.75928687525</v>
      </c>
      <c r="N77" s="1065"/>
      <c r="O77" s="1017">
        <f t="shared" ref="O77:V77" si="29">SUM(O7:O76)</f>
        <v>1538672</v>
      </c>
      <c r="P77" s="1121">
        <f t="shared" si="29"/>
        <v>-3846.68</v>
      </c>
      <c r="Q77" s="1017">
        <f t="shared" si="29"/>
        <v>1534825.32</v>
      </c>
      <c r="R77" s="1017">
        <f t="shared" si="29"/>
        <v>0</v>
      </c>
      <c r="S77" s="1017">
        <f t="shared" si="29"/>
        <v>1534825.32</v>
      </c>
      <c r="T77" s="1017">
        <f t="shared" si="29"/>
        <v>127902.11</v>
      </c>
      <c r="U77" s="1018">
        <f t="shared" si="29"/>
        <v>4560754.4314425029</v>
      </c>
      <c r="V77" s="1018">
        <f t="shared" si="29"/>
        <v>380062.86928687524</v>
      </c>
    </row>
    <row r="78" spans="1:22" ht="13.5" thickTop="1"/>
  </sheetData>
  <mergeCells count="19">
    <mergeCell ref="U2:U4"/>
    <mergeCell ref="V2:V4"/>
    <mergeCell ref="C3:C4"/>
    <mergeCell ref="D3:D4"/>
    <mergeCell ref="E3:E4"/>
    <mergeCell ref="F3:F4"/>
    <mergeCell ref="G3:G4"/>
    <mergeCell ref="Q3:Q4"/>
    <mergeCell ref="R3:R4"/>
    <mergeCell ref="S3:S4"/>
    <mergeCell ref="H3:H4"/>
    <mergeCell ref="J3:J4"/>
    <mergeCell ref="K3:K4"/>
    <mergeCell ref="L3:L4"/>
    <mergeCell ref="M3:M4"/>
    <mergeCell ref="N3:N4"/>
    <mergeCell ref="A2:B4"/>
    <mergeCell ref="C2:M2"/>
    <mergeCell ref="N2:T2"/>
  </mergeCells>
  <pageMargins left="0.31" right="0.35" top="0.75" bottom="0.75" header="0.3" footer="0.3"/>
  <pageSetup paperSize="5" scale="63" firstPageNumber="61" orientation="portrait" useFirstPageNumber="1" r:id="rId1"/>
  <headerFooter>
    <oddHeader>&amp;L&amp;"Arial,Bold"&amp;20Table 5C1-B: FY2013-14 MFP Budget Letter (Projection)
D'Arbonne Woods Charter School</oddHeader>
    <oddFooter>&amp;R&amp;P</oddFooter>
  </headerFooter>
  <colBreaks count="1" manualBreakCount="1">
    <brk id="13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7"/>
  <sheetViews>
    <sheetView view="pageBreakPreview" zoomScaleNormal="100" zoomScaleSheetLayoutView="100" workbookViewId="0">
      <pane xSplit="2" ySplit="6" topLeftCell="C7" activePane="bottomRight" state="frozen"/>
      <selection activeCell="A2" sqref="A2:B4"/>
      <selection pane="topRight" activeCell="A2" sqref="A2:B4"/>
      <selection pane="bottomLeft" activeCell="A2" sqref="A2:B4"/>
      <selection pane="bottomRight" activeCell="A2" sqref="A2:B4"/>
    </sheetView>
  </sheetViews>
  <sheetFormatPr defaultRowHeight="12.75"/>
  <cols>
    <col min="1" max="1" width="4.28515625" customWidth="1"/>
    <col min="2" max="2" width="17.85546875" bestFit="1" customWidth="1"/>
    <col min="3" max="3" width="12.5703125" customWidth="1"/>
    <col min="4" max="4" width="17" customWidth="1"/>
    <col min="5" max="5" width="11" bestFit="1" customWidth="1"/>
    <col min="6" max="6" width="12" customWidth="1"/>
    <col min="7" max="7" width="12.5703125" bestFit="1" customWidth="1"/>
    <col min="8" max="8" width="11.85546875" bestFit="1" customWidth="1"/>
    <col min="9" max="9" width="12.28515625" customWidth="1"/>
    <col min="10" max="10" width="12" bestFit="1" customWidth="1"/>
    <col min="11" max="11" width="13.42578125" bestFit="1" customWidth="1"/>
    <col min="12" max="12" width="13.5703125" bestFit="1" customWidth="1"/>
    <col min="13" max="13" width="9.28515625" bestFit="1" customWidth="1"/>
    <col min="14" max="14" width="17.28515625" customWidth="1"/>
    <col min="15" max="15" width="16.7109375" customWidth="1"/>
    <col min="16" max="16" width="13.7109375" customWidth="1"/>
    <col min="17" max="17" width="17" customWidth="1"/>
    <col min="18" max="18" width="15.28515625" customWidth="1"/>
    <col min="19" max="19" width="13.140625" customWidth="1"/>
    <col min="20" max="20" width="12" customWidth="1"/>
    <col min="21" max="21" width="11" customWidth="1"/>
    <col min="22" max="22" width="12.140625" customWidth="1"/>
  </cols>
  <sheetData>
    <row r="1" spans="1:22"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</row>
    <row r="2" spans="1:22" ht="45" customHeight="1">
      <c r="A2" s="2066" t="s">
        <v>672</v>
      </c>
      <c r="B2" s="2067"/>
      <c r="C2" s="2065" t="s">
        <v>661</v>
      </c>
      <c r="D2" s="2017"/>
      <c r="E2" s="2017"/>
      <c r="F2" s="2017"/>
      <c r="G2" s="2017"/>
      <c r="H2" s="2017"/>
      <c r="I2" s="2017"/>
      <c r="J2" s="2017"/>
      <c r="K2" s="2017"/>
      <c r="L2" s="2017"/>
      <c r="M2" s="2018"/>
      <c r="N2" s="1992" t="s">
        <v>1357</v>
      </c>
      <c r="O2" s="1993"/>
      <c r="P2" s="1993"/>
      <c r="Q2" s="1993"/>
      <c r="R2" s="1993"/>
      <c r="S2" s="1993"/>
      <c r="T2" s="1994"/>
      <c r="U2" s="1995" t="s">
        <v>1387</v>
      </c>
      <c r="V2" s="1995" t="s">
        <v>1355</v>
      </c>
    </row>
    <row r="3" spans="1:22" ht="117" customHeight="1">
      <c r="A3" s="2068"/>
      <c r="B3" s="2069"/>
      <c r="C3" s="2006" t="s">
        <v>1175</v>
      </c>
      <c r="D3" s="2008" t="s">
        <v>1392</v>
      </c>
      <c r="E3" s="2008" t="s">
        <v>1377</v>
      </c>
      <c r="F3" s="2006" t="s">
        <v>662</v>
      </c>
      <c r="G3" s="2006" t="s">
        <v>492</v>
      </c>
      <c r="H3" s="2006" t="s">
        <v>1378</v>
      </c>
      <c r="I3" s="1227" t="s">
        <v>510</v>
      </c>
      <c r="J3" s="2006" t="s">
        <v>1379</v>
      </c>
      <c r="K3" s="2006" t="s">
        <v>1230</v>
      </c>
      <c r="L3" s="2006" t="s">
        <v>1380</v>
      </c>
      <c r="M3" s="2008" t="s">
        <v>1356</v>
      </c>
      <c r="N3" s="2009" t="s">
        <v>693</v>
      </c>
      <c r="O3" s="1743" t="s">
        <v>1388</v>
      </c>
      <c r="P3" s="1229" t="s">
        <v>512</v>
      </c>
      <c r="Q3" s="2019" t="s">
        <v>1383</v>
      </c>
      <c r="R3" s="2019" t="s">
        <v>1230</v>
      </c>
      <c r="S3" s="2019" t="s">
        <v>1384</v>
      </c>
      <c r="T3" s="1743" t="s">
        <v>1385</v>
      </c>
      <c r="U3" s="1996"/>
      <c r="V3" s="1996"/>
    </row>
    <row r="4" spans="1:22" ht="22.5" customHeight="1">
      <c r="A4" s="2070"/>
      <c r="B4" s="2071"/>
      <c r="C4" s="2007"/>
      <c r="D4" s="2008"/>
      <c r="E4" s="2008"/>
      <c r="F4" s="2007"/>
      <c r="G4" s="2007"/>
      <c r="H4" s="2007"/>
      <c r="I4" s="1107">
        <v>2.5000000000000001E-3</v>
      </c>
      <c r="J4" s="2007"/>
      <c r="K4" s="2007"/>
      <c r="L4" s="2007"/>
      <c r="M4" s="2008"/>
      <c r="N4" s="2010"/>
      <c r="O4" s="1228"/>
      <c r="P4" s="1108">
        <v>2.5000000000000001E-3</v>
      </c>
      <c r="Q4" s="1999"/>
      <c r="R4" s="1999"/>
      <c r="S4" s="1999"/>
      <c r="T4" s="1228"/>
      <c r="U4" s="1997"/>
      <c r="V4" s="1997"/>
    </row>
    <row r="5" spans="1:22" ht="14.25" customHeight="1">
      <c r="A5" s="978"/>
      <c r="B5" s="979"/>
      <c r="C5" s="980">
        <v>1</v>
      </c>
      <c r="D5" s="980">
        <f t="shared" ref="D5" si="0">C5+1</f>
        <v>2</v>
      </c>
      <c r="E5" s="980">
        <f>D5+1</f>
        <v>3</v>
      </c>
      <c r="F5" s="980">
        <f t="shared" ref="F5:V5" si="1">E5+1</f>
        <v>4</v>
      </c>
      <c r="G5" s="980">
        <f t="shared" si="1"/>
        <v>5</v>
      </c>
      <c r="H5" s="980">
        <f t="shared" si="1"/>
        <v>6</v>
      </c>
      <c r="I5" s="980">
        <f t="shared" si="1"/>
        <v>7</v>
      </c>
      <c r="J5" s="980">
        <f t="shared" si="1"/>
        <v>8</v>
      </c>
      <c r="K5" s="980">
        <f t="shared" si="1"/>
        <v>9</v>
      </c>
      <c r="L5" s="980">
        <f t="shared" si="1"/>
        <v>10</v>
      </c>
      <c r="M5" s="980">
        <f t="shared" si="1"/>
        <v>11</v>
      </c>
      <c r="N5" s="980">
        <f t="shared" si="1"/>
        <v>12</v>
      </c>
      <c r="O5" s="980">
        <f t="shared" si="1"/>
        <v>13</v>
      </c>
      <c r="P5" s="980">
        <f t="shared" si="1"/>
        <v>14</v>
      </c>
      <c r="Q5" s="980">
        <f t="shared" si="1"/>
        <v>15</v>
      </c>
      <c r="R5" s="980">
        <f t="shared" si="1"/>
        <v>16</v>
      </c>
      <c r="S5" s="980">
        <f t="shared" si="1"/>
        <v>17</v>
      </c>
      <c r="T5" s="980">
        <f t="shared" si="1"/>
        <v>18</v>
      </c>
      <c r="U5" s="980">
        <f t="shared" si="1"/>
        <v>19</v>
      </c>
      <c r="V5" s="980">
        <f t="shared" si="1"/>
        <v>20</v>
      </c>
    </row>
    <row r="6" spans="1:22" ht="27" customHeight="1">
      <c r="A6" s="1041"/>
      <c r="B6" s="1042"/>
      <c r="C6" s="1042"/>
      <c r="D6" s="1042"/>
      <c r="E6" s="1042"/>
      <c r="F6" s="1042"/>
      <c r="G6" s="1042"/>
      <c r="H6" s="1042"/>
      <c r="I6" s="1042"/>
      <c r="J6" s="1042"/>
      <c r="K6" s="1042"/>
      <c r="L6" s="1042"/>
      <c r="M6" s="1042"/>
      <c r="N6" s="1042"/>
      <c r="O6" s="1042"/>
      <c r="P6" s="1042"/>
      <c r="Q6" s="1042"/>
      <c r="R6" s="1042"/>
      <c r="S6" s="1042"/>
      <c r="T6" s="1042"/>
      <c r="U6" s="1042"/>
      <c r="V6" s="1042"/>
    </row>
    <row r="7" spans="1:22">
      <c r="A7" s="987">
        <v>1</v>
      </c>
      <c r="B7" s="988" t="s">
        <v>95</v>
      </c>
      <c r="C7" s="989">
        <f>'[2]ALL-Reformatted'!S6</f>
        <v>0</v>
      </c>
      <c r="D7" s="990">
        <f>'Table 3 Levels 1&amp;2'!BN9+'Table 3 Levels 1&amp;2'!BV9</f>
        <v>4565.2108060165392</v>
      </c>
      <c r="E7" s="1099">
        <f>C7*D7</f>
        <v>0</v>
      </c>
      <c r="F7" s="1099">
        <f>'Table 4 Level 3'!N6</f>
        <v>777.48</v>
      </c>
      <c r="G7" s="1099">
        <f>C7*F7</f>
        <v>0</v>
      </c>
      <c r="H7" s="991">
        <f>E7+G7</f>
        <v>0</v>
      </c>
      <c r="I7" s="1109">
        <f>-(0.25%*H7)</f>
        <v>0</v>
      </c>
      <c r="J7" s="991">
        <f>SUM(H7:I7)</f>
        <v>0</v>
      </c>
      <c r="K7" s="991">
        <v>0</v>
      </c>
      <c r="L7" s="991">
        <f>SUM(J7:K7)</f>
        <v>0</v>
      </c>
      <c r="M7" s="991">
        <f>L7/12</f>
        <v>0</v>
      </c>
      <c r="N7" s="1051">
        <f>'[18]FY2012-13 Final'!D8</f>
        <v>2039</v>
      </c>
      <c r="O7" s="992">
        <f>C7*N7</f>
        <v>0</v>
      </c>
      <c r="P7" s="1117">
        <f>-(0.25%*O7)</f>
        <v>0</v>
      </c>
      <c r="Q7" s="992">
        <f>SUM(O7:P7)</f>
        <v>0</v>
      </c>
      <c r="R7" s="992">
        <v>0</v>
      </c>
      <c r="S7" s="992">
        <f>SUM(Q7:R7)</f>
        <v>0</v>
      </c>
      <c r="T7" s="992">
        <f>S7/12</f>
        <v>0</v>
      </c>
      <c r="U7" s="993">
        <f>L7+S7</f>
        <v>0</v>
      </c>
      <c r="V7" s="993">
        <f>M7+T7</f>
        <v>0</v>
      </c>
    </row>
    <row r="8" spans="1:22">
      <c r="A8" s="994">
        <v>2</v>
      </c>
      <c r="B8" s="995" t="s">
        <v>96</v>
      </c>
      <c r="C8" s="1193">
        <f>'[2]ALL-Reformatted'!S7</f>
        <v>0</v>
      </c>
      <c r="D8" s="997">
        <f>'Table 3 Levels 1&amp;2'!BN10+'Table 3 Levels 1&amp;2'!BV10</f>
        <v>6132.0480322513831</v>
      </c>
      <c r="E8" s="1100">
        <f t="shared" ref="E8:E71" si="2">C8*D8</f>
        <v>0</v>
      </c>
      <c r="F8" s="1100">
        <f>'Table 4 Level 3'!N7</f>
        <v>842.32</v>
      </c>
      <c r="G8" s="1100">
        <f t="shared" ref="G8:G71" si="3">C8*F8</f>
        <v>0</v>
      </c>
      <c r="H8" s="1052">
        <f t="shared" ref="H8:H71" si="4">E8+G8</f>
        <v>0</v>
      </c>
      <c r="I8" s="1110">
        <f t="shared" ref="I8:I71" si="5">-(0.25%*H8)</f>
        <v>0</v>
      </c>
      <c r="J8" s="1052">
        <f t="shared" ref="J8:J71" si="6">SUM(H8:I8)</f>
        <v>0</v>
      </c>
      <c r="K8" s="1052">
        <v>0</v>
      </c>
      <c r="L8" s="1052">
        <f t="shared" ref="L8:L71" si="7">SUM(J8:K8)</f>
        <v>0</v>
      </c>
      <c r="M8" s="1052">
        <f t="shared" ref="M8:M71" si="8">L8/12</f>
        <v>0</v>
      </c>
      <c r="N8" s="1051">
        <f>'[18]FY2012-13 Final'!D9</f>
        <v>2280</v>
      </c>
      <c r="O8" s="1053">
        <f t="shared" ref="O8:O71" si="9">C8*N8</f>
        <v>0</v>
      </c>
      <c r="P8" s="1118">
        <f t="shared" ref="P8:P71" si="10">-(0.25%*O8)</f>
        <v>0</v>
      </c>
      <c r="Q8" s="1053">
        <f t="shared" ref="Q8:Q71" si="11">SUM(O8:P8)</f>
        <v>0</v>
      </c>
      <c r="R8" s="1053">
        <v>0</v>
      </c>
      <c r="S8" s="1053">
        <f t="shared" ref="S8:S71" si="12">SUM(Q8:R8)</f>
        <v>0</v>
      </c>
      <c r="T8" s="1053">
        <f t="shared" ref="T8:T71" si="13">S8/12</f>
        <v>0</v>
      </c>
      <c r="U8" s="1054">
        <f t="shared" ref="U8:V71" si="14">L8+S8</f>
        <v>0</v>
      </c>
      <c r="V8" s="1054">
        <f t="shared" si="14"/>
        <v>0</v>
      </c>
    </row>
    <row r="9" spans="1:22">
      <c r="A9" s="994">
        <v>3</v>
      </c>
      <c r="B9" s="995" t="s">
        <v>97</v>
      </c>
      <c r="C9" s="1193">
        <f>'[2]ALL-Reformatted'!S8</f>
        <v>0</v>
      </c>
      <c r="D9" s="997">
        <f>'Table 3 Levels 1&amp;2'!BN11+'Table 3 Levels 1&amp;2'!BV11</f>
        <v>4186.9626187036429</v>
      </c>
      <c r="E9" s="1100">
        <f t="shared" si="2"/>
        <v>0</v>
      </c>
      <c r="F9" s="1100">
        <f>'Table 4 Level 3'!N8</f>
        <v>596.84</v>
      </c>
      <c r="G9" s="1100">
        <f t="shared" si="3"/>
        <v>0</v>
      </c>
      <c r="H9" s="1052">
        <f t="shared" si="4"/>
        <v>0</v>
      </c>
      <c r="I9" s="1110">
        <f t="shared" si="5"/>
        <v>0</v>
      </c>
      <c r="J9" s="1052">
        <f t="shared" si="6"/>
        <v>0</v>
      </c>
      <c r="K9" s="1052">
        <v>0</v>
      </c>
      <c r="L9" s="1052">
        <f t="shared" si="7"/>
        <v>0</v>
      </c>
      <c r="M9" s="1052">
        <f t="shared" si="8"/>
        <v>0</v>
      </c>
      <c r="N9" s="1051">
        <f>'[18]FY2012-13 Final'!D10</f>
        <v>4274</v>
      </c>
      <c r="O9" s="1053">
        <f t="shared" si="9"/>
        <v>0</v>
      </c>
      <c r="P9" s="1118">
        <f t="shared" si="10"/>
        <v>0</v>
      </c>
      <c r="Q9" s="1053">
        <f t="shared" si="11"/>
        <v>0</v>
      </c>
      <c r="R9" s="1053">
        <v>0</v>
      </c>
      <c r="S9" s="1053">
        <f t="shared" si="12"/>
        <v>0</v>
      </c>
      <c r="T9" s="1053">
        <f t="shared" si="13"/>
        <v>0</v>
      </c>
      <c r="U9" s="1054">
        <f t="shared" si="14"/>
        <v>0</v>
      </c>
      <c r="V9" s="1054">
        <f t="shared" si="14"/>
        <v>0</v>
      </c>
    </row>
    <row r="10" spans="1:22">
      <c r="A10" s="994">
        <v>4</v>
      </c>
      <c r="B10" s="995" t="s">
        <v>98</v>
      </c>
      <c r="C10" s="1193">
        <f>'[2]ALL-Reformatted'!S9</f>
        <v>0</v>
      </c>
      <c r="D10" s="997">
        <f>'Table 3 Levels 1&amp;2'!BN12+'Table 3 Levels 1&amp;2'!BV12</f>
        <v>5918.8798759182582</v>
      </c>
      <c r="E10" s="1100">
        <f t="shared" si="2"/>
        <v>0</v>
      </c>
      <c r="F10" s="1100">
        <f>'Table 4 Level 3'!N9</f>
        <v>585.76</v>
      </c>
      <c r="G10" s="1100">
        <f t="shared" si="3"/>
        <v>0</v>
      </c>
      <c r="H10" s="1052">
        <f t="shared" si="4"/>
        <v>0</v>
      </c>
      <c r="I10" s="1110">
        <f t="shared" si="5"/>
        <v>0</v>
      </c>
      <c r="J10" s="1052">
        <f t="shared" si="6"/>
        <v>0</v>
      </c>
      <c r="K10" s="1052">
        <v>0</v>
      </c>
      <c r="L10" s="1052">
        <f t="shared" si="7"/>
        <v>0</v>
      </c>
      <c r="M10" s="1052">
        <f t="shared" si="8"/>
        <v>0</v>
      </c>
      <c r="N10" s="1051">
        <f>'[18]FY2012-13 Final'!D11</f>
        <v>3445</v>
      </c>
      <c r="O10" s="1053">
        <f t="shared" si="9"/>
        <v>0</v>
      </c>
      <c r="P10" s="1118">
        <f t="shared" si="10"/>
        <v>0</v>
      </c>
      <c r="Q10" s="1053">
        <f t="shared" si="11"/>
        <v>0</v>
      </c>
      <c r="R10" s="1053">
        <v>0</v>
      </c>
      <c r="S10" s="1053">
        <f t="shared" si="12"/>
        <v>0</v>
      </c>
      <c r="T10" s="1053">
        <f t="shared" si="13"/>
        <v>0</v>
      </c>
      <c r="U10" s="1054">
        <f t="shared" si="14"/>
        <v>0</v>
      </c>
      <c r="V10" s="1054">
        <f t="shared" si="14"/>
        <v>0</v>
      </c>
    </row>
    <row r="11" spans="1:22">
      <c r="A11" s="998">
        <v>5</v>
      </c>
      <c r="B11" s="999" t="s">
        <v>99</v>
      </c>
      <c r="C11" s="1194">
        <f>'[2]ALL-Reformatted'!S10</f>
        <v>0</v>
      </c>
      <c r="D11" s="1001">
        <f>'Table 3 Levels 1&amp;2'!BN13+'Table 3 Levels 1&amp;2'!BV13</f>
        <v>4880.3484353147733</v>
      </c>
      <c r="E11" s="1101">
        <f t="shared" si="2"/>
        <v>0</v>
      </c>
      <c r="F11" s="1101">
        <f>'Table 4 Level 3'!N10</f>
        <v>555.91</v>
      </c>
      <c r="G11" s="1101">
        <f t="shared" si="3"/>
        <v>0</v>
      </c>
      <c r="H11" s="1055">
        <f t="shared" si="4"/>
        <v>0</v>
      </c>
      <c r="I11" s="1111">
        <f t="shared" si="5"/>
        <v>0</v>
      </c>
      <c r="J11" s="1055">
        <f t="shared" si="6"/>
        <v>0</v>
      </c>
      <c r="K11" s="1055">
        <v>0</v>
      </c>
      <c r="L11" s="1055">
        <f t="shared" si="7"/>
        <v>0</v>
      </c>
      <c r="M11" s="1055">
        <f t="shared" si="8"/>
        <v>0</v>
      </c>
      <c r="N11" s="1056">
        <f>'[18]FY2012-13 Final'!D12</f>
        <v>1353</v>
      </c>
      <c r="O11" s="1057">
        <f t="shared" si="9"/>
        <v>0</v>
      </c>
      <c r="P11" s="1119">
        <f t="shared" si="10"/>
        <v>0</v>
      </c>
      <c r="Q11" s="1057">
        <f t="shared" si="11"/>
        <v>0</v>
      </c>
      <c r="R11" s="1057">
        <v>0</v>
      </c>
      <c r="S11" s="1057">
        <f t="shared" si="12"/>
        <v>0</v>
      </c>
      <c r="T11" s="1057">
        <f t="shared" si="13"/>
        <v>0</v>
      </c>
      <c r="U11" s="1058">
        <f t="shared" si="14"/>
        <v>0</v>
      </c>
      <c r="V11" s="1058">
        <f t="shared" si="14"/>
        <v>0</v>
      </c>
    </row>
    <row r="12" spans="1:22">
      <c r="A12" s="987">
        <v>6</v>
      </c>
      <c r="B12" s="988" t="s">
        <v>100</v>
      </c>
      <c r="C12" s="1195">
        <f>'[2]ALL-Reformatted'!S11</f>
        <v>0</v>
      </c>
      <c r="D12" s="990">
        <f>'Table 3 Levels 1&amp;2'!BN14+'Table 3 Levels 1&amp;2'!BV14</f>
        <v>5379.7759718479856</v>
      </c>
      <c r="E12" s="1099">
        <f t="shared" si="2"/>
        <v>0</v>
      </c>
      <c r="F12" s="1099">
        <f>'Table 4 Level 3'!N11</f>
        <v>545.4799999999999</v>
      </c>
      <c r="G12" s="1099">
        <f t="shared" si="3"/>
        <v>0</v>
      </c>
      <c r="H12" s="991">
        <f t="shared" si="4"/>
        <v>0</v>
      </c>
      <c r="I12" s="1109">
        <f t="shared" si="5"/>
        <v>0</v>
      </c>
      <c r="J12" s="991">
        <f t="shared" si="6"/>
        <v>0</v>
      </c>
      <c r="K12" s="991">
        <v>0</v>
      </c>
      <c r="L12" s="991">
        <f t="shared" si="7"/>
        <v>0</v>
      </c>
      <c r="M12" s="991">
        <f t="shared" si="8"/>
        <v>0</v>
      </c>
      <c r="N12" s="1051">
        <f>'[18]FY2012-13 Final'!D13</f>
        <v>2970</v>
      </c>
      <c r="O12" s="992">
        <f t="shared" si="9"/>
        <v>0</v>
      </c>
      <c r="P12" s="1117">
        <f t="shared" si="10"/>
        <v>0</v>
      </c>
      <c r="Q12" s="992">
        <f t="shared" si="11"/>
        <v>0</v>
      </c>
      <c r="R12" s="992">
        <v>0</v>
      </c>
      <c r="S12" s="992">
        <f t="shared" si="12"/>
        <v>0</v>
      </c>
      <c r="T12" s="992">
        <f t="shared" si="13"/>
        <v>0</v>
      </c>
      <c r="U12" s="993">
        <f t="shared" si="14"/>
        <v>0</v>
      </c>
      <c r="V12" s="993">
        <f t="shared" si="14"/>
        <v>0</v>
      </c>
    </row>
    <row r="13" spans="1:22">
      <c r="A13" s="994">
        <v>7</v>
      </c>
      <c r="B13" s="995" t="s">
        <v>101</v>
      </c>
      <c r="C13" s="1193">
        <f>'[2]ALL-Reformatted'!S12</f>
        <v>0</v>
      </c>
      <c r="D13" s="997">
        <f>'Table 3 Levels 1&amp;2'!BN15+'Table 3 Levels 1&amp;2'!BV15</f>
        <v>1698.1351763907733</v>
      </c>
      <c r="E13" s="1100">
        <f t="shared" si="2"/>
        <v>0</v>
      </c>
      <c r="F13" s="1100">
        <f>'Table 4 Level 3'!N12</f>
        <v>756.91999999999985</v>
      </c>
      <c r="G13" s="1100">
        <f t="shared" si="3"/>
        <v>0</v>
      </c>
      <c r="H13" s="1052">
        <f t="shared" si="4"/>
        <v>0</v>
      </c>
      <c r="I13" s="1110">
        <f t="shared" si="5"/>
        <v>0</v>
      </c>
      <c r="J13" s="1052">
        <f t="shared" si="6"/>
        <v>0</v>
      </c>
      <c r="K13" s="1052">
        <v>0</v>
      </c>
      <c r="L13" s="1052">
        <f t="shared" si="7"/>
        <v>0</v>
      </c>
      <c r="M13" s="1052">
        <f t="shared" si="8"/>
        <v>0</v>
      </c>
      <c r="N13" s="1051">
        <f>'[18]FY2012-13 Final'!D14</f>
        <v>11770</v>
      </c>
      <c r="O13" s="1053">
        <f t="shared" si="9"/>
        <v>0</v>
      </c>
      <c r="P13" s="1118">
        <f t="shared" si="10"/>
        <v>0</v>
      </c>
      <c r="Q13" s="1053">
        <f t="shared" si="11"/>
        <v>0</v>
      </c>
      <c r="R13" s="1053">
        <v>0</v>
      </c>
      <c r="S13" s="1053">
        <f t="shared" si="12"/>
        <v>0</v>
      </c>
      <c r="T13" s="1053">
        <f t="shared" si="13"/>
        <v>0</v>
      </c>
      <c r="U13" s="1054">
        <f t="shared" si="14"/>
        <v>0</v>
      </c>
      <c r="V13" s="1054">
        <f t="shared" si="14"/>
        <v>0</v>
      </c>
    </row>
    <row r="14" spans="1:22">
      <c r="A14" s="994">
        <v>8</v>
      </c>
      <c r="B14" s="995" t="s">
        <v>102</v>
      </c>
      <c r="C14" s="1193">
        <f>'[2]ALL-Reformatted'!S13</f>
        <v>0</v>
      </c>
      <c r="D14" s="997">
        <f>'Table 3 Levels 1&amp;2'!BN16+'Table 3 Levels 1&amp;2'!BV16</f>
        <v>4239.8578920718974</v>
      </c>
      <c r="E14" s="1100">
        <f t="shared" si="2"/>
        <v>0</v>
      </c>
      <c r="F14" s="1100">
        <f>'Table 4 Level 3'!N13</f>
        <v>725.76</v>
      </c>
      <c r="G14" s="1100">
        <f t="shared" si="3"/>
        <v>0</v>
      </c>
      <c r="H14" s="1052">
        <f t="shared" si="4"/>
        <v>0</v>
      </c>
      <c r="I14" s="1110">
        <f t="shared" si="5"/>
        <v>0</v>
      </c>
      <c r="J14" s="1052">
        <f t="shared" si="6"/>
        <v>0</v>
      </c>
      <c r="K14" s="1052">
        <v>0</v>
      </c>
      <c r="L14" s="1052">
        <f t="shared" si="7"/>
        <v>0</v>
      </c>
      <c r="M14" s="1052">
        <f t="shared" si="8"/>
        <v>0</v>
      </c>
      <c r="N14" s="1051">
        <f>'[18]FY2012-13 Final'!D15</f>
        <v>3646</v>
      </c>
      <c r="O14" s="1053">
        <f t="shared" si="9"/>
        <v>0</v>
      </c>
      <c r="P14" s="1118">
        <f t="shared" si="10"/>
        <v>0</v>
      </c>
      <c r="Q14" s="1053">
        <f t="shared" si="11"/>
        <v>0</v>
      </c>
      <c r="R14" s="1053">
        <v>0</v>
      </c>
      <c r="S14" s="1053">
        <f t="shared" si="12"/>
        <v>0</v>
      </c>
      <c r="T14" s="1053">
        <f t="shared" si="13"/>
        <v>0</v>
      </c>
      <c r="U14" s="1054">
        <f t="shared" si="14"/>
        <v>0</v>
      </c>
      <c r="V14" s="1054">
        <f t="shared" si="14"/>
        <v>0</v>
      </c>
    </row>
    <row r="15" spans="1:22">
      <c r="A15" s="994">
        <v>9</v>
      </c>
      <c r="B15" s="995" t="s">
        <v>103</v>
      </c>
      <c r="C15" s="1193">
        <f>'[2]ALL-Reformatted'!S14</f>
        <v>0</v>
      </c>
      <c r="D15" s="997">
        <f>'Table 3 Levels 1&amp;2'!BN17+'Table 3 Levels 1&amp;2'!BV17</f>
        <v>4361.2752875373017</v>
      </c>
      <c r="E15" s="1100">
        <f t="shared" si="2"/>
        <v>0</v>
      </c>
      <c r="F15" s="1100">
        <f>'Table 4 Level 3'!N14</f>
        <v>744.76</v>
      </c>
      <c r="G15" s="1100">
        <f t="shared" si="3"/>
        <v>0</v>
      </c>
      <c r="H15" s="1052">
        <f t="shared" si="4"/>
        <v>0</v>
      </c>
      <c r="I15" s="1110">
        <f t="shared" si="5"/>
        <v>0</v>
      </c>
      <c r="J15" s="1052">
        <f t="shared" si="6"/>
        <v>0</v>
      </c>
      <c r="K15" s="1052">
        <v>0</v>
      </c>
      <c r="L15" s="1052">
        <f t="shared" si="7"/>
        <v>0</v>
      </c>
      <c r="M15" s="1052">
        <f t="shared" si="8"/>
        <v>0</v>
      </c>
      <c r="N15" s="1051">
        <f>'[18]FY2012-13 Final'!D16</f>
        <v>3933</v>
      </c>
      <c r="O15" s="1053">
        <f t="shared" si="9"/>
        <v>0</v>
      </c>
      <c r="P15" s="1118">
        <f t="shared" si="10"/>
        <v>0</v>
      </c>
      <c r="Q15" s="1053">
        <f t="shared" si="11"/>
        <v>0</v>
      </c>
      <c r="R15" s="1053">
        <v>0</v>
      </c>
      <c r="S15" s="1053">
        <f t="shared" si="12"/>
        <v>0</v>
      </c>
      <c r="T15" s="1053">
        <f t="shared" si="13"/>
        <v>0</v>
      </c>
      <c r="U15" s="1054">
        <f t="shared" si="14"/>
        <v>0</v>
      </c>
      <c r="V15" s="1054">
        <f t="shared" si="14"/>
        <v>0</v>
      </c>
    </row>
    <row r="16" spans="1:22">
      <c r="A16" s="998">
        <v>10</v>
      </c>
      <c r="B16" s="999" t="s">
        <v>104</v>
      </c>
      <c r="C16" s="1194">
        <f>'[2]ALL-Reformatted'!S15</f>
        <v>0</v>
      </c>
      <c r="D16" s="1001">
        <f>'Table 3 Levels 1&amp;2'!BN18+'Table 3 Levels 1&amp;2'!BV18</f>
        <v>4179.4641652904756</v>
      </c>
      <c r="E16" s="1101">
        <f t="shared" si="2"/>
        <v>0</v>
      </c>
      <c r="F16" s="1101">
        <f>'Table 4 Level 3'!N15</f>
        <v>608.04000000000008</v>
      </c>
      <c r="G16" s="1101">
        <f t="shared" si="3"/>
        <v>0</v>
      </c>
      <c r="H16" s="1055">
        <f t="shared" si="4"/>
        <v>0</v>
      </c>
      <c r="I16" s="1111">
        <f t="shared" si="5"/>
        <v>0</v>
      </c>
      <c r="J16" s="1055">
        <f t="shared" si="6"/>
        <v>0</v>
      </c>
      <c r="K16" s="1055">
        <v>0</v>
      </c>
      <c r="L16" s="1055">
        <f t="shared" si="7"/>
        <v>0</v>
      </c>
      <c r="M16" s="1055">
        <f t="shared" si="8"/>
        <v>0</v>
      </c>
      <c r="N16" s="1056">
        <f>'[18]FY2012-13 Final'!D17</f>
        <v>3670</v>
      </c>
      <c r="O16" s="1057">
        <f t="shared" si="9"/>
        <v>0</v>
      </c>
      <c r="P16" s="1119">
        <f t="shared" si="10"/>
        <v>0</v>
      </c>
      <c r="Q16" s="1057">
        <f t="shared" si="11"/>
        <v>0</v>
      </c>
      <c r="R16" s="1057">
        <v>0</v>
      </c>
      <c r="S16" s="1057">
        <f t="shared" si="12"/>
        <v>0</v>
      </c>
      <c r="T16" s="1057">
        <f t="shared" si="13"/>
        <v>0</v>
      </c>
      <c r="U16" s="1058">
        <f t="shared" si="14"/>
        <v>0</v>
      </c>
      <c r="V16" s="1058">
        <f t="shared" si="14"/>
        <v>0</v>
      </c>
    </row>
    <row r="17" spans="1:22">
      <c r="A17" s="987">
        <v>11</v>
      </c>
      <c r="B17" s="988" t="s">
        <v>105</v>
      </c>
      <c r="C17" s="1195">
        <f>'[2]ALL-Reformatted'!S16</f>
        <v>0</v>
      </c>
      <c r="D17" s="990">
        <f>'Table 3 Levels 1&amp;2'!BN19+'Table 3 Levels 1&amp;2'!BV19</f>
        <v>6825.0221851487568</v>
      </c>
      <c r="E17" s="1099">
        <f t="shared" si="2"/>
        <v>0</v>
      </c>
      <c r="F17" s="1099">
        <f>'Table 4 Level 3'!N16</f>
        <v>706.55</v>
      </c>
      <c r="G17" s="1099">
        <f t="shared" si="3"/>
        <v>0</v>
      </c>
      <c r="H17" s="991">
        <f t="shared" si="4"/>
        <v>0</v>
      </c>
      <c r="I17" s="1109">
        <f t="shared" si="5"/>
        <v>0</v>
      </c>
      <c r="J17" s="991">
        <f t="shared" si="6"/>
        <v>0</v>
      </c>
      <c r="K17" s="991">
        <v>0</v>
      </c>
      <c r="L17" s="991">
        <f t="shared" si="7"/>
        <v>0</v>
      </c>
      <c r="M17" s="991">
        <f t="shared" si="8"/>
        <v>0</v>
      </c>
      <c r="N17" s="1051">
        <f>'[18]FY2012-13 Final'!D18</f>
        <v>2476</v>
      </c>
      <c r="O17" s="992">
        <f t="shared" si="9"/>
        <v>0</v>
      </c>
      <c r="P17" s="1117">
        <f t="shared" si="10"/>
        <v>0</v>
      </c>
      <c r="Q17" s="992">
        <f t="shared" si="11"/>
        <v>0</v>
      </c>
      <c r="R17" s="992">
        <v>0</v>
      </c>
      <c r="S17" s="992">
        <f t="shared" si="12"/>
        <v>0</v>
      </c>
      <c r="T17" s="992">
        <f t="shared" si="13"/>
        <v>0</v>
      </c>
      <c r="U17" s="993">
        <f t="shared" si="14"/>
        <v>0</v>
      </c>
      <c r="V17" s="993">
        <f t="shared" si="14"/>
        <v>0</v>
      </c>
    </row>
    <row r="18" spans="1:22">
      <c r="A18" s="994">
        <v>12</v>
      </c>
      <c r="B18" s="995" t="s">
        <v>106</v>
      </c>
      <c r="C18" s="1193">
        <f>'[2]ALL-Reformatted'!S17</f>
        <v>0</v>
      </c>
      <c r="D18" s="997">
        <f>'Table 3 Levels 1&amp;2'!BN20+'Table 3 Levels 1&amp;2'!BV20</f>
        <v>1688.0492586490939</v>
      </c>
      <c r="E18" s="1100">
        <f t="shared" si="2"/>
        <v>0</v>
      </c>
      <c r="F18" s="1100">
        <f>'Table 4 Level 3'!N17</f>
        <v>1063.31</v>
      </c>
      <c r="G18" s="1100">
        <f t="shared" si="3"/>
        <v>0</v>
      </c>
      <c r="H18" s="1052">
        <f t="shared" si="4"/>
        <v>0</v>
      </c>
      <c r="I18" s="1110">
        <f t="shared" si="5"/>
        <v>0</v>
      </c>
      <c r="J18" s="1052">
        <f t="shared" si="6"/>
        <v>0</v>
      </c>
      <c r="K18" s="1052">
        <v>0</v>
      </c>
      <c r="L18" s="1052">
        <f t="shared" si="7"/>
        <v>0</v>
      </c>
      <c r="M18" s="1052">
        <f t="shared" si="8"/>
        <v>0</v>
      </c>
      <c r="N18" s="1051">
        <f>'[18]FY2012-13 Final'!D19</f>
        <v>11921</v>
      </c>
      <c r="O18" s="1053">
        <f t="shared" si="9"/>
        <v>0</v>
      </c>
      <c r="P18" s="1118">
        <f t="shared" si="10"/>
        <v>0</v>
      </c>
      <c r="Q18" s="1053">
        <f t="shared" si="11"/>
        <v>0</v>
      </c>
      <c r="R18" s="1053">
        <v>0</v>
      </c>
      <c r="S18" s="1053">
        <f t="shared" si="12"/>
        <v>0</v>
      </c>
      <c r="T18" s="1053">
        <f t="shared" si="13"/>
        <v>0</v>
      </c>
      <c r="U18" s="1054">
        <f t="shared" si="14"/>
        <v>0</v>
      </c>
      <c r="V18" s="1054">
        <f t="shared" si="14"/>
        <v>0</v>
      </c>
    </row>
    <row r="19" spans="1:22">
      <c r="A19" s="994">
        <v>13</v>
      </c>
      <c r="B19" s="995" t="s">
        <v>107</v>
      </c>
      <c r="C19" s="1193">
        <f>'[2]ALL-Reformatted'!S18</f>
        <v>0</v>
      </c>
      <c r="D19" s="997">
        <f>'Table 3 Levels 1&amp;2'!BN21+'Table 3 Levels 1&amp;2'!BV21</f>
        <v>6187.1651272387344</v>
      </c>
      <c r="E19" s="1100">
        <f t="shared" si="2"/>
        <v>0</v>
      </c>
      <c r="F19" s="1100">
        <f>'Table 4 Level 3'!N18</f>
        <v>749.43000000000006</v>
      </c>
      <c r="G19" s="1100">
        <f t="shared" si="3"/>
        <v>0</v>
      </c>
      <c r="H19" s="1052">
        <f t="shared" si="4"/>
        <v>0</v>
      </c>
      <c r="I19" s="1110">
        <f t="shared" si="5"/>
        <v>0</v>
      </c>
      <c r="J19" s="1052">
        <f t="shared" si="6"/>
        <v>0</v>
      </c>
      <c r="K19" s="1052">
        <v>0</v>
      </c>
      <c r="L19" s="1052">
        <f t="shared" si="7"/>
        <v>0</v>
      </c>
      <c r="M19" s="1052">
        <f t="shared" si="8"/>
        <v>0</v>
      </c>
      <c r="N19" s="1051">
        <f>'[18]FY2012-13 Final'!D20</f>
        <v>2408</v>
      </c>
      <c r="O19" s="1053">
        <f t="shared" si="9"/>
        <v>0</v>
      </c>
      <c r="P19" s="1118">
        <f t="shared" si="10"/>
        <v>0</v>
      </c>
      <c r="Q19" s="1053">
        <f t="shared" si="11"/>
        <v>0</v>
      </c>
      <c r="R19" s="1053">
        <v>0</v>
      </c>
      <c r="S19" s="1053">
        <f t="shared" si="12"/>
        <v>0</v>
      </c>
      <c r="T19" s="1053">
        <f t="shared" si="13"/>
        <v>0</v>
      </c>
      <c r="U19" s="1054">
        <f t="shared" si="14"/>
        <v>0</v>
      </c>
      <c r="V19" s="1054">
        <f t="shared" si="14"/>
        <v>0</v>
      </c>
    </row>
    <row r="20" spans="1:22">
      <c r="A20" s="994">
        <v>14</v>
      </c>
      <c r="B20" s="995" t="s">
        <v>108</v>
      </c>
      <c r="C20" s="1193">
        <f>'[2]ALL-Reformatted'!S19</f>
        <v>0</v>
      </c>
      <c r="D20" s="997">
        <f>'Table 3 Levels 1&amp;2'!BN22+'Table 3 Levels 1&amp;2'!BV22</f>
        <v>5339.1887414618923</v>
      </c>
      <c r="E20" s="1100">
        <f t="shared" si="2"/>
        <v>0</v>
      </c>
      <c r="F20" s="1100">
        <f>'Table 4 Level 3'!N19</f>
        <v>809.9799999999999</v>
      </c>
      <c r="G20" s="1100">
        <f t="shared" si="3"/>
        <v>0</v>
      </c>
      <c r="H20" s="1052">
        <f t="shared" si="4"/>
        <v>0</v>
      </c>
      <c r="I20" s="1110">
        <f t="shared" si="5"/>
        <v>0</v>
      </c>
      <c r="J20" s="1052">
        <f t="shared" si="6"/>
        <v>0</v>
      </c>
      <c r="K20" s="1052">
        <v>0</v>
      </c>
      <c r="L20" s="1052">
        <f t="shared" si="7"/>
        <v>0</v>
      </c>
      <c r="M20" s="1052">
        <f t="shared" si="8"/>
        <v>0</v>
      </c>
      <c r="N20" s="1051">
        <f>'[18]FY2012-13 Final'!D21</f>
        <v>3329</v>
      </c>
      <c r="O20" s="1053">
        <f t="shared" si="9"/>
        <v>0</v>
      </c>
      <c r="P20" s="1118">
        <f t="shared" si="10"/>
        <v>0</v>
      </c>
      <c r="Q20" s="1053">
        <f t="shared" si="11"/>
        <v>0</v>
      </c>
      <c r="R20" s="1053">
        <v>0</v>
      </c>
      <c r="S20" s="1053">
        <f t="shared" si="12"/>
        <v>0</v>
      </c>
      <c r="T20" s="1053">
        <f t="shared" si="13"/>
        <v>0</v>
      </c>
      <c r="U20" s="1054">
        <f t="shared" si="14"/>
        <v>0</v>
      </c>
      <c r="V20" s="1054">
        <f t="shared" si="14"/>
        <v>0</v>
      </c>
    </row>
    <row r="21" spans="1:22">
      <c r="A21" s="998">
        <v>15</v>
      </c>
      <c r="B21" s="999" t="s">
        <v>109</v>
      </c>
      <c r="C21" s="1194">
        <f>'[2]ALL-Reformatted'!S20</f>
        <v>0</v>
      </c>
      <c r="D21" s="1001">
        <f>'Table 3 Levels 1&amp;2'!BN23+'Table 3 Levels 1&amp;2'!BV23</f>
        <v>5492.5789412344011</v>
      </c>
      <c r="E21" s="1101">
        <f t="shared" si="2"/>
        <v>0</v>
      </c>
      <c r="F21" s="1101">
        <f>'Table 4 Level 3'!N20</f>
        <v>553.79999999999995</v>
      </c>
      <c r="G21" s="1101">
        <f t="shared" si="3"/>
        <v>0</v>
      </c>
      <c r="H21" s="1055">
        <f t="shared" si="4"/>
        <v>0</v>
      </c>
      <c r="I21" s="1111">
        <f t="shared" si="5"/>
        <v>0</v>
      </c>
      <c r="J21" s="1055">
        <f t="shared" si="6"/>
        <v>0</v>
      </c>
      <c r="K21" s="1055">
        <v>0</v>
      </c>
      <c r="L21" s="1055">
        <f t="shared" si="7"/>
        <v>0</v>
      </c>
      <c r="M21" s="1055">
        <f t="shared" si="8"/>
        <v>0</v>
      </c>
      <c r="N21" s="1056">
        <f>'[18]FY2012-13 Final'!D22</f>
        <v>2752</v>
      </c>
      <c r="O21" s="1057">
        <f t="shared" si="9"/>
        <v>0</v>
      </c>
      <c r="P21" s="1119">
        <f t="shared" si="10"/>
        <v>0</v>
      </c>
      <c r="Q21" s="1057">
        <f t="shared" si="11"/>
        <v>0</v>
      </c>
      <c r="R21" s="1057">
        <v>0</v>
      </c>
      <c r="S21" s="1057">
        <f t="shared" si="12"/>
        <v>0</v>
      </c>
      <c r="T21" s="1057">
        <f t="shared" si="13"/>
        <v>0</v>
      </c>
      <c r="U21" s="1058">
        <f t="shared" si="14"/>
        <v>0</v>
      </c>
      <c r="V21" s="1058">
        <f t="shared" si="14"/>
        <v>0</v>
      </c>
    </row>
    <row r="22" spans="1:22">
      <c r="A22" s="987">
        <v>16</v>
      </c>
      <c r="B22" s="988" t="s">
        <v>110</v>
      </c>
      <c r="C22" s="1195">
        <f>'[2]ALL-Reformatted'!S21</f>
        <v>0</v>
      </c>
      <c r="D22" s="990">
        <f>'Table 3 Levels 1&amp;2'!BN24+'Table 3 Levels 1&amp;2'!BV24</f>
        <v>1506.1153407945151</v>
      </c>
      <c r="E22" s="1099">
        <f t="shared" si="2"/>
        <v>0</v>
      </c>
      <c r="F22" s="1099">
        <f>'Table 4 Level 3'!N21</f>
        <v>686.73</v>
      </c>
      <c r="G22" s="1099">
        <f t="shared" si="3"/>
        <v>0</v>
      </c>
      <c r="H22" s="991">
        <f t="shared" si="4"/>
        <v>0</v>
      </c>
      <c r="I22" s="1109">
        <f t="shared" si="5"/>
        <v>0</v>
      </c>
      <c r="J22" s="991">
        <f t="shared" si="6"/>
        <v>0</v>
      </c>
      <c r="K22" s="991">
        <v>0</v>
      </c>
      <c r="L22" s="991">
        <f t="shared" si="7"/>
        <v>0</v>
      </c>
      <c r="M22" s="991">
        <f t="shared" si="8"/>
        <v>0</v>
      </c>
      <c r="N22" s="1051">
        <f>'[18]FY2012-13 Final'!D23</f>
        <v>13791</v>
      </c>
      <c r="O22" s="992">
        <f t="shared" si="9"/>
        <v>0</v>
      </c>
      <c r="P22" s="1117">
        <f t="shared" si="10"/>
        <v>0</v>
      </c>
      <c r="Q22" s="992">
        <f t="shared" si="11"/>
        <v>0</v>
      </c>
      <c r="R22" s="992">
        <v>0</v>
      </c>
      <c r="S22" s="992">
        <f t="shared" si="12"/>
        <v>0</v>
      </c>
      <c r="T22" s="992">
        <f t="shared" si="13"/>
        <v>0</v>
      </c>
      <c r="U22" s="993">
        <f t="shared" si="14"/>
        <v>0</v>
      </c>
      <c r="V22" s="993">
        <f t="shared" si="14"/>
        <v>0</v>
      </c>
    </row>
    <row r="23" spans="1:22">
      <c r="A23" s="994">
        <v>17</v>
      </c>
      <c r="B23" s="995" t="s">
        <v>111</v>
      </c>
      <c r="C23" s="1193">
        <f>'[2]ALL-Reformatted'!S22</f>
        <v>0</v>
      </c>
      <c r="D23" s="997">
        <f>'Table 3 Levels 1&amp;2'!BN25+'Table 3 Levels 1&amp;2'!BV25</f>
        <v>3311.610845996096</v>
      </c>
      <c r="E23" s="1100">
        <f t="shared" si="2"/>
        <v>0</v>
      </c>
      <c r="F23" s="1100">
        <f>'Table 5B2_RSD_LA'!F7</f>
        <v>801.47762416806802</v>
      </c>
      <c r="G23" s="1100">
        <f t="shared" si="3"/>
        <v>0</v>
      </c>
      <c r="H23" s="1052">
        <f t="shared" si="4"/>
        <v>0</v>
      </c>
      <c r="I23" s="1110">
        <f t="shared" si="5"/>
        <v>0</v>
      </c>
      <c r="J23" s="1052">
        <f t="shared" si="6"/>
        <v>0</v>
      </c>
      <c r="K23" s="1052">
        <v>0</v>
      </c>
      <c r="L23" s="1052">
        <f t="shared" si="7"/>
        <v>0</v>
      </c>
      <c r="M23" s="1052">
        <f t="shared" si="8"/>
        <v>0</v>
      </c>
      <c r="N23" s="1051">
        <f>'[18]FY2012-13 Final'!D24</f>
        <v>5688</v>
      </c>
      <c r="O23" s="1053">
        <f t="shared" si="9"/>
        <v>0</v>
      </c>
      <c r="P23" s="1118">
        <f t="shared" si="10"/>
        <v>0</v>
      </c>
      <c r="Q23" s="1053">
        <f t="shared" si="11"/>
        <v>0</v>
      </c>
      <c r="R23" s="1053">
        <v>0</v>
      </c>
      <c r="S23" s="1053">
        <f t="shared" si="12"/>
        <v>0</v>
      </c>
      <c r="T23" s="1053">
        <f t="shared" si="13"/>
        <v>0</v>
      </c>
      <c r="U23" s="1054">
        <f t="shared" si="14"/>
        <v>0</v>
      </c>
      <c r="V23" s="1054">
        <f t="shared" si="14"/>
        <v>0</v>
      </c>
    </row>
    <row r="24" spans="1:22">
      <c r="A24" s="994">
        <v>18</v>
      </c>
      <c r="B24" s="995" t="s">
        <v>112</v>
      </c>
      <c r="C24" s="1193">
        <f>'[2]ALL-Reformatted'!S23</f>
        <v>0</v>
      </c>
      <c r="D24" s="997">
        <f>'Table 3 Levels 1&amp;2'!BN26+'Table 3 Levels 1&amp;2'!BV26</f>
        <v>5964.3490202032081</v>
      </c>
      <c r="E24" s="1100">
        <f t="shared" si="2"/>
        <v>0</v>
      </c>
      <c r="F24" s="1100">
        <f>'Table 4 Level 3'!N23</f>
        <v>845.94999999999993</v>
      </c>
      <c r="G24" s="1100">
        <f t="shared" si="3"/>
        <v>0</v>
      </c>
      <c r="H24" s="1052">
        <f t="shared" si="4"/>
        <v>0</v>
      </c>
      <c r="I24" s="1110">
        <f t="shared" si="5"/>
        <v>0</v>
      </c>
      <c r="J24" s="1052">
        <f t="shared" si="6"/>
        <v>0</v>
      </c>
      <c r="K24" s="1052">
        <v>0</v>
      </c>
      <c r="L24" s="1052">
        <f t="shared" si="7"/>
        <v>0</v>
      </c>
      <c r="M24" s="1052">
        <f t="shared" si="8"/>
        <v>0</v>
      </c>
      <c r="N24" s="1051">
        <f>'[18]FY2012-13 Final'!D25</f>
        <v>2165</v>
      </c>
      <c r="O24" s="1053">
        <f t="shared" si="9"/>
        <v>0</v>
      </c>
      <c r="P24" s="1118">
        <f t="shared" si="10"/>
        <v>0</v>
      </c>
      <c r="Q24" s="1053">
        <f t="shared" si="11"/>
        <v>0</v>
      </c>
      <c r="R24" s="1053">
        <v>0</v>
      </c>
      <c r="S24" s="1053">
        <f t="shared" si="12"/>
        <v>0</v>
      </c>
      <c r="T24" s="1053">
        <f t="shared" si="13"/>
        <v>0</v>
      </c>
      <c r="U24" s="1054">
        <f t="shared" si="14"/>
        <v>0</v>
      </c>
      <c r="V24" s="1054">
        <f t="shared" si="14"/>
        <v>0</v>
      </c>
    </row>
    <row r="25" spans="1:22">
      <c r="A25" s="994">
        <v>19</v>
      </c>
      <c r="B25" s="995" t="s">
        <v>113</v>
      </c>
      <c r="C25" s="1193">
        <f>'[2]ALL-Reformatted'!S24</f>
        <v>0</v>
      </c>
      <c r="D25" s="997">
        <f>'Table 3 Levels 1&amp;2'!BN27+'Table 3 Levels 1&amp;2'!BV27</f>
        <v>5283.1088158476596</v>
      </c>
      <c r="E25" s="1100">
        <f t="shared" si="2"/>
        <v>0</v>
      </c>
      <c r="F25" s="1100">
        <f>'Table 4 Level 3'!N24</f>
        <v>905.43</v>
      </c>
      <c r="G25" s="1100">
        <f t="shared" si="3"/>
        <v>0</v>
      </c>
      <c r="H25" s="1052">
        <f t="shared" si="4"/>
        <v>0</v>
      </c>
      <c r="I25" s="1110">
        <f t="shared" si="5"/>
        <v>0</v>
      </c>
      <c r="J25" s="1052">
        <f t="shared" si="6"/>
        <v>0</v>
      </c>
      <c r="K25" s="1052">
        <v>0</v>
      </c>
      <c r="L25" s="1052">
        <f t="shared" si="7"/>
        <v>0</v>
      </c>
      <c r="M25" s="1052">
        <f t="shared" si="8"/>
        <v>0</v>
      </c>
      <c r="N25" s="1051">
        <f>'[18]FY2012-13 Final'!D26</f>
        <v>2729</v>
      </c>
      <c r="O25" s="1053">
        <f t="shared" si="9"/>
        <v>0</v>
      </c>
      <c r="P25" s="1118">
        <f t="shared" si="10"/>
        <v>0</v>
      </c>
      <c r="Q25" s="1053">
        <f t="shared" si="11"/>
        <v>0</v>
      </c>
      <c r="R25" s="1053">
        <v>0</v>
      </c>
      <c r="S25" s="1053">
        <f t="shared" si="12"/>
        <v>0</v>
      </c>
      <c r="T25" s="1053">
        <f t="shared" si="13"/>
        <v>0</v>
      </c>
      <c r="U25" s="1054">
        <f t="shared" si="14"/>
        <v>0</v>
      </c>
      <c r="V25" s="1054">
        <f t="shared" si="14"/>
        <v>0</v>
      </c>
    </row>
    <row r="26" spans="1:22">
      <c r="A26" s="998">
        <v>20</v>
      </c>
      <c r="B26" s="999" t="s">
        <v>114</v>
      </c>
      <c r="C26" s="1194">
        <f>'[2]ALL-Reformatted'!S25</f>
        <v>0</v>
      </c>
      <c r="D26" s="1001">
        <f>'Table 3 Levels 1&amp;2'!BN28+'Table 3 Levels 1&amp;2'!BV28</f>
        <v>5389.6047094824808</v>
      </c>
      <c r="E26" s="1101">
        <f t="shared" si="2"/>
        <v>0</v>
      </c>
      <c r="F26" s="1101">
        <f>'Table 4 Level 3'!N25</f>
        <v>586.16999999999996</v>
      </c>
      <c r="G26" s="1101">
        <f t="shared" si="3"/>
        <v>0</v>
      </c>
      <c r="H26" s="1055">
        <f t="shared" si="4"/>
        <v>0</v>
      </c>
      <c r="I26" s="1111">
        <f t="shared" si="5"/>
        <v>0</v>
      </c>
      <c r="J26" s="1055">
        <f t="shared" si="6"/>
        <v>0</v>
      </c>
      <c r="K26" s="1055">
        <v>0</v>
      </c>
      <c r="L26" s="1055">
        <f t="shared" si="7"/>
        <v>0</v>
      </c>
      <c r="M26" s="1055">
        <f t="shared" si="8"/>
        <v>0</v>
      </c>
      <c r="N26" s="1056">
        <f>'[18]FY2012-13 Final'!D27</f>
        <v>2263</v>
      </c>
      <c r="O26" s="1057">
        <f t="shared" si="9"/>
        <v>0</v>
      </c>
      <c r="P26" s="1119">
        <f t="shared" si="10"/>
        <v>0</v>
      </c>
      <c r="Q26" s="1057">
        <f t="shared" si="11"/>
        <v>0</v>
      </c>
      <c r="R26" s="1057">
        <v>0</v>
      </c>
      <c r="S26" s="1057">
        <f t="shared" si="12"/>
        <v>0</v>
      </c>
      <c r="T26" s="1057">
        <f t="shared" si="13"/>
        <v>0</v>
      </c>
      <c r="U26" s="1058">
        <f t="shared" si="14"/>
        <v>0</v>
      </c>
      <c r="V26" s="1058">
        <f t="shared" si="14"/>
        <v>0</v>
      </c>
    </row>
    <row r="27" spans="1:22">
      <c r="A27" s="987">
        <v>21</v>
      </c>
      <c r="B27" s="988" t="s">
        <v>115</v>
      </c>
      <c r="C27" s="1195">
        <f>'[2]ALL-Reformatted'!S26</f>
        <v>0</v>
      </c>
      <c r="D27" s="990">
        <f>'Table 3 Levels 1&amp;2'!BN29+'Table 3 Levels 1&amp;2'!BV29</f>
        <v>5659.8229810652783</v>
      </c>
      <c r="E27" s="1099">
        <f t="shared" si="2"/>
        <v>0</v>
      </c>
      <c r="F27" s="1099">
        <f>'Table 4 Level 3'!N26</f>
        <v>610.35</v>
      </c>
      <c r="G27" s="1099">
        <f t="shared" si="3"/>
        <v>0</v>
      </c>
      <c r="H27" s="991">
        <f t="shared" si="4"/>
        <v>0</v>
      </c>
      <c r="I27" s="1109">
        <f t="shared" si="5"/>
        <v>0</v>
      </c>
      <c r="J27" s="991">
        <f t="shared" si="6"/>
        <v>0</v>
      </c>
      <c r="K27" s="991">
        <v>0</v>
      </c>
      <c r="L27" s="991">
        <f t="shared" si="7"/>
        <v>0</v>
      </c>
      <c r="M27" s="991">
        <f t="shared" si="8"/>
        <v>0</v>
      </c>
      <c r="N27" s="1051">
        <f>'[18]FY2012-13 Final'!D28</f>
        <v>1517</v>
      </c>
      <c r="O27" s="992">
        <f t="shared" si="9"/>
        <v>0</v>
      </c>
      <c r="P27" s="1117">
        <f t="shared" si="10"/>
        <v>0</v>
      </c>
      <c r="Q27" s="992">
        <f t="shared" si="11"/>
        <v>0</v>
      </c>
      <c r="R27" s="992">
        <v>0</v>
      </c>
      <c r="S27" s="992">
        <f t="shared" si="12"/>
        <v>0</v>
      </c>
      <c r="T27" s="992">
        <f t="shared" si="13"/>
        <v>0</v>
      </c>
      <c r="U27" s="993">
        <f t="shared" si="14"/>
        <v>0</v>
      </c>
      <c r="V27" s="993">
        <f t="shared" si="14"/>
        <v>0</v>
      </c>
    </row>
    <row r="28" spans="1:22">
      <c r="A28" s="994">
        <v>22</v>
      </c>
      <c r="B28" s="995" t="s">
        <v>116</v>
      </c>
      <c r="C28" s="1193">
        <f>'[2]ALL-Reformatted'!S27</f>
        <v>0</v>
      </c>
      <c r="D28" s="997">
        <f>'Table 3 Levels 1&amp;2'!BN30+'Table 3 Levels 1&amp;2'!BV30</f>
        <v>6191.1997628958306</v>
      </c>
      <c r="E28" s="1100">
        <f t="shared" si="2"/>
        <v>0</v>
      </c>
      <c r="F28" s="1100">
        <f>'Table 4 Level 3'!N27</f>
        <v>496.36</v>
      </c>
      <c r="G28" s="1100">
        <f t="shared" si="3"/>
        <v>0</v>
      </c>
      <c r="H28" s="1052">
        <f t="shared" si="4"/>
        <v>0</v>
      </c>
      <c r="I28" s="1110">
        <f t="shared" si="5"/>
        <v>0</v>
      </c>
      <c r="J28" s="1052">
        <f t="shared" si="6"/>
        <v>0</v>
      </c>
      <c r="K28" s="1052">
        <v>0</v>
      </c>
      <c r="L28" s="1052">
        <f t="shared" si="7"/>
        <v>0</v>
      </c>
      <c r="M28" s="1052">
        <f t="shared" si="8"/>
        <v>0</v>
      </c>
      <c r="N28" s="1051">
        <f>'[18]FY2012-13 Final'!D29</f>
        <v>769</v>
      </c>
      <c r="O28" s="1053">
        <f t="shared" si="9"/>
        <v>0</v>
      </c>
      <c r="P28" s="1118">
        <f t="shared" si="10"/>
        <v>0</v>
      </c>
      <c r="Q28" s="1053">
        <f t="shared" si="11"/>
        <v>0</v>
      </c>
      <c r="R28" s="1053">
        <v>0</v>
      </c>
      <c r="S28" s="1053">
        <f t="shared" si="12"/>
        <v>0</v>
      </c>
      <c r="T28" s="1053">
        <f t="shared" si="13"/>
        <v>0</v>
      </c>
      <c r="U28" s="1054">
        <f t="shared" si="14"/>
        <v>0</v>
      </c>
      <c r="V28" s="1054">
        <f t="shared" si="14"/>
        <v>0</v>
      </c>
    </row>
    <row r="29" spans="1:22">
      <c r="A29" s="994">
        <v>23</v>
      </c>
      <c r="B29" s="995" t="s">
        <v>117</v>
      </c>
      <c r="C29" s="1193">
        <f>'[2]ALL-Reformatted'!S28</f>
        <v>0</v>
      </c>
      <c r="D29" s="997">
        <f>'Table 3 Levels 1&amp;2'!BN31+'Table 3 Levels 1&amp;2'!BV31</f>
        <v>4788.2881021645453</v>
      </c>
      <c r="E29" s="1100">
        <f t="shared" si="2"/>
        <v>0</v>
      </c>
      <c r="F29" s="1100">
        <f>'Table 4 Level 3'!N28</f>
        <v>688.58</v>
      </c>
      <c r="G29" s="1100">
        <f t="shared" si="3"/>
        <v>0</v>
      </c>
      <c r="H29" s="1052">
        <f t="shared" si="4"/>
        <v>0</v>
      </c>
      <c r="I29" s="1110">
        <f t="shared" si="5"/>
        <v>0</v>
      </c>
      <c r="J29" s="1052">
        <f t="shared" si="6"/>
        <v>0</v>
      </c>
      <c r="K29" s="1052">
        <v>0</v>
      </c>
      <c r="L29" s="1052">
        <f t="shared" si="7"/>
        <v>0</v>
      </c>
      <c r="M29" s="1052">
        <f t="shared" si="8"/>
        <v>0</v>
      </c>
      <c r="N29" s="1051">
        <f>'[18]FY2012-13 Final'!D30</f>
        <v>2496</v>
      </c>
      <c r="O29" s="1053">
        <f t="shared" si="9"/>
        <v>0</v>
      </c>
      <c r="P29" s="1118">
        <f t="shared" si="10"/>
        <v>0</v>
      </c>
      <c r="Q29" s="1053">
        <f t="shared" si="11"/>
        <v>0</v>
      </c>
      <c r="R29" s="1053">
        <v>0</v>
      </c>
      <c r="S29" s="1053">
        <f t="shared" si="12"/>
        <v>0</v>
      </c>
      <c r="T29" s="1053">
        <f t="shared" si="13"/>
        <v>0</v>
      </c>
      <c r="U29" s="1054">
        <f t="shared" si="14"/>
        <v>0</v>
      </c>
      <c r="V29" s="1054">
        <f t="shared" si="14"/>
        <v>0</v>
      </c>
    </row>
    <row r="30" spans="1:22">
      <c r="A30" s="994">
        <v>24</v>
      </c>
      <c r="B30" s="995" t="s">
        <v>118</v>
      </c>
      <c r="C30" s="1193">
        <f>'[2]ALL-Reformatted'!S29</f>
        <v>0</v>
      </c>
      <c r="D30" s="997">
        <f>'Table 3 Levels 1&amp;2'!BN32+'Table 3 Levels 1&amp;2'!BV32</f>
        <v>2743.328175824176</v>
      </c>
      <c r="E30" s="1100">
        <f t="shared" si="2"/>
        <v>0</v>
      </c>
      <c r="F30" s="1100">
        <f>'Table 4 Level 3'!N29</f>
        <v>854.24999999999989</v>
      </c>
      <c r="G30" s="1100">
        <f t="shared" si="3"/>
        <v>0</v>
      </c>
      <c r="H30" s="1052">
        <f t="shared" si="4"/>
        <v>0</v>
      </c>
      <c r="I30" s="1110">
        <f t="shared" si="5"/>
        <v>0</v>
      </c>
      <c r="J30" s="1052">
        <f t="shared" si="6"/>
        <v>0</v>
      </c>
      <c r="K30" s="1052">
        <v>0</v>
      </c>
      <c r="L30" s="1052">
        <f t="shared" si="7"/>
        <v>0</v>
      </c>
      <c r="M30" s="1052">
        <f t="shared" si="8"/>
        <v>0</v>
      </c>
      <c r="N30" s="1051">
        <f>'[18]FY2012-13 Final'!D31</f>
        <v>8616</v>
      </c>
      <c r="O30" s="1053">
        <f t="shared" si="9"/>
        <v>0</v>
      </c>
      <c r="P30" s="1118">
        <f t="shared" si="10"/>
        <v>0</v>
      </c>
      <c r="Q30" s="1053">
        <f t="shared" si="11"/>
        <v>0</v>
      </c>
      <c r="R30" s="1053">
        <v>0</v>
      </c>
      <c r="S30" s="1053">
        <f t="shared" si="12"/>
        <v>0</v>
      </c>
      <c r="T30" s="1053">
        <f t="shared" si="13"/>
        <v>0</v>
      </c>
      <c r="U30" s="1054">
        <f t="shared" si="14"/>
        <v>0</v>
      </c>
      <c r="V30" s="1054">
        <f t="shared" si="14"/>
        <v>0</v>
      </c>
    </row>
    <row r="31" spans="1:22">
      <c r="A31" s="998">
        <v>25</v>
      </c>
      <c r="B31" s="999" t="s">
        <v>119</v>
      </c>
      <c r="C31" s="1194">
        <f>'[2]ALL-Reformatted'!S30</f>
        <v>0</v>
      </c>
      <c r="D31" s="1001">
        <f>'Table 3 Levels 1&amp;2'!BN33+'Table 3 Levels 1&amp;2'!BV33</f>
        <v>3799.3890273447178</v>
      </c>
      <c r="E31" s="1101">
        <f t="shared" si="2"/>
        <v>0</v>
      </c>
      <c r="F31" s="1101">
        <f>'Table 4 Level 3'!N30</f>
        <v>653.73</v>
      </c>
      <c r="G31" s="1101">
        <f t="shared" si="3"/>
        <v>0</v>
      </c>
      <c r="H31" s="1055">
        <f t="shared" si="4"/>
        <v>0</v>
      </c>
      <c r="I31" s="1111">
        <f t="shared" si="5"/>
        <v>0</v>
      </c>
      <c r="J31" s="1055">
        <f t="shared" si="6"/>
        <v>0</v>
      </c>
      <c r="K31" s="1055">
        <v>0</v>
      </c>
      <c r="L31" s="1055">
        <f t="shared" si="7"/>
        <v>0</v>
      </c>
      <c r="M31" s="1055">
        <f t="shared" si="8"/>
        <v>0</v>
      </c>
      <c r="N31" s="1056">
        <f>'[18]FY2012-13 Final'!D32</f>
        <v>5191</v>
      </c>
      <c r="O31" s="1057">
        <f t="shared" si="9"/>
        <v>0</v>
      </c>
      <c r="P31" s="1119">
        <f t="shared" si="10"/>
        <v>0</v>
      </c>
      <c r="Q31" s="1057">
        <f t="shared" si="11"/>
        <v>0</v>
      </c>
      <c r="R31" s="1057">
        <v>0</v>
      </c>
      <c r="S31" s="1057">
        <f t="shared" si="12"/>
        <v>0</v>
      </c>
      <c r="T31" s="1057">
        <f t="shared" si="13"/>
        <v>0</v>
      </c>
      <c r="U31" s="1058">
        <f t="shared" si="14"/>
        <v>0</v>
      </c>
      <c r="V31" s="1058">
        <f t="shared" si="14"/>
        <v>0</v>
      </c>
    </row>
    <row r="32" spans="1:22">
      <c r="A32" s="987">
        <v>26</v>
      </c>
      <c r="B32" s="988" t="s">
        <v>120</v>
      </c>
      <c r="C32" s="1195">
        <f>'[2]ALL-Reformatted'!S31</f>
        <v>46</v>
      </c>
      <c r="D32" s="990">
        <f>'Table 3 Levels 1&amp;2'!BN34+'Table 3 Levels 1&amp;2'!BV34</f>
        <v>3320.7842100822745</v>
      </c>
      <c r="E32" s="1099">
        <f t="shared" si="2"/>
        <v>152756.07366378463</v>
      </c>
      <c r="F32" s="1099">
        <f>'Table 4 Level 3'!N31</f>
        <v>836.83</v>
      </c>
      <c r="G32" s="1099">
        <f t="shared" si="3"/>
        <v>38494.18</v>
      </c>
      <c r="H32" s="991">
        <f t="shared" si="4"/>
        <v>191250.25366378462</v>
      </c>
      <c r="I32" s="1109">
        <f t="shared" si="5"/>
        <v>-478.12563415946158</v>
      </c>
      <c r="J32" s="991">
        <f t="shared" si="6"/>
        <v>190772.12802962516</v>
      </c>
      <c r="K32" s="991">
        <v>0</v>
      </c>
      <c r="L32" s="991">
        <f t="shared" si="7"/>
        <v>190772.12802962516</v>
      </c>
      <c r="M32" s="991">
        <f t="shared" si="8"/>
        <v>15897.677335802096</v>
      </c>
      <c r="N32" s="1051">
        <f>'[18]FY2012-13 Final'!D33</f>
        <v>4507</v>
      </c>
      <c r="O32" s="992">
        <f t="shared" si="9"/>
        <v>207322</v>
      </c>
      <c r="P32" s="1117">
        <f t="shared" si="10"/>
        <v>-518.30500000000006</v>
      </c>
      <c r="Q32" s="992">
        <f t="shared" si="11"/>
        <v>206803.69500000001</v>
      </c>
      <c r="R32" s="992">
        <v>0</v>
      </c>
      <c r="S32" s="992">
        <f t="shared" si="12"/>
        <v>206803.69500000001</v>
      </c>
      <c r="T32" s="992">
        <f t="shared" si="13"/>
        <v>17233.641250000001</v>
      </c>
      <c r="U32" s="993">
        <f t="shared" si="14"/>
        <v>397575.82302962517</v>
      </c>
      <c r="V32" s="993">
        <f t="shared" si="14"/>
        <v>33131.318585802095</v>
      </c>
    </row>
    <row r="33" spans="1:22">
      <c r="A33" s="994">
        <v>27</v>
      </c>
      <c r="B33" s="995" t="s">
        <v>121</v>
      </c>
      <c r="C33" s="1196">
        <f>'[2]ALL-Reformatted'!S32</f>
        <v>0</v>
      </c>
      <c r="D33" s="1003">
        <f>'Table 3 Levels 1&amp;2'!BN35+'Table 3 Levels 1&amp;2'!BV35</f>
        <v>5636.5919457972805</v>
      </c>
      <c r="E33" s="1102">
        <f t="shared" si="2"/>
        <v>0</v>
      </c>
      <c r="F33" s="1102">
        <f>'Table 4 Level 3'!N32</f>
        <v>693.06</v>
      </c>
      <c r="G33" s="1102">
        <f t="shared" si="3"/>
        <v>0</v>
      </c>
      <c r="H33" s="1059">
        <f t="shared" si="4"/>
        <v>0</v>
      </c>
      <c r="I33" s="1112">
        <f t="shared" si="5"/>
        <v>0</v>
      </c>
      <c r="J33" s="1059">
        <f t="shared" si="6"/>
        <v>0</v>
      </c>
      <c r="K33" s="1059">
        <v>0</v>
      </c>
      <c r="L33" s="1059">
        <f t="shared" si="7"/>
        <v>0</v>
      </c>
      <c r="M33" s="1059">
        <f t="shared" si="8"/>
        <v>0</v>
      </c>
      <c r="N33" s="1051">
        <f>'[18]FY2012-13 Final'!D34</f>
        <v>2508</v>
      </c>
      <c r="O33" s="1053">
        <f t="shared" si="9"/>
        <v>0</v>
      </c>
      <c r="P33" s="1118">
        <f t="shared" si="10"/>
        <v>0</v>
      </c>
      <c r="Q33" s="1053">
        <f t="shared" si="11"/>
        <v>0</v>
      </c>
      <c r="R33" s="1053">
        <v>0</v>
      </c>
      <c r="S33" s="1053">
        <f t="shared" si="12"/>
        <v>0</v>
      </c>
      <c r="T33" s="1053">
        <f t="shared" si="13"/>
        <v>0</v>
      </c>
      <c r="U33" s="1054">
        <f t="shared" si="14"/>
        <v>0</v>
      </c>
      <c r="V33" s="1054">
        <f t="shared" si="14"/>
        <v>0</v>
      </c>
    </row>
    <row r="34" spans="1:22">
      <c r="A34" s="994">
        <v>28</v>
      </c>
      <c r="B34" s="995" t="s">
        <v>122</v>
      </c>
      <c r="C34" s="1196">
        <f>'[2]ALL-Reformatted'!S33</f>
        <v>0</v>
      </c>
      <c r="D34" s="1003">
        <f>'Table 3 Levels 1&amp;2'!BN36+'Table 3 Levels 1&amp;2'!BV36</f>
        <v>3106.8056522508969</v>
      </c>
      <c r="E34" s="1102">
        <f t="shared" si="2"/>
        <v>0</v>
      </c>
      <c r="F34" s="1102">
        <f>'Table 4 Level 3'!N33</f>
        <v>694.4</v>
      </c>
      <c r="G34" s="1102">
        <f t="shared" si="3"/>
        <v>0</v>
      </c>
      <c r="H34" s="1059">
        <f t="shared" si="4"/>
        <v>0</v>
      </c>
      <c r="I34" s="1112">
        <f t="shared" si="5"/>
        <v>0</v>
      </c>
      <c r="J34" s="1059">
        <f t="shared" si="6"/>
        <v>0</v>
      </c>
      <c r="K34" s="1059">
        <v>0</v>
      </c>
      <c r="L34" s="1059">
        <f t="shared" si="7"/>
        <v>0</v>
      </c>
      <c r="M34" s="1059">
        <f t="shared" si="8"/>
        <v>0</v>
      </c>
      <c r="N34" s="1051">
        <f>'[18]FY2012-13 Final'!D35</f>
        <v>4718</v>
      </c>
      <c r="O34" s="1053">
        <f t="shared" si="9"/>
        <v>0</v>
      </c>
      <c r="P34" s="1118">
        <f t="shared" si="10"/>
        <v>0</v>
      </c>
      <c r="Q34" s="1053">
        <f t="shared" si="11"/>
        <v>0</v>
      </c>
      <c r="R34" s="1053">
        <v>0</v>
      </c>
      <c r="S34" s="1053">
        <f t="shared" si="12"/>
        <v>0</v>
      </c>
      <c r="T34" s="1053">
        <f t="shared" si="13"/>
        <v>0</v>
      </c>
      <c r="U34" s="1054">
        <f t="shared" si="14"/>
        <v>0</v>
      </c>
      <c r="V34" s="1054">
        <f t="shared" si="14"/>
        <v>0</v>
      </c>
    </row>
    <row r="35" spans="1:22">
      <c r="A35" s="994">
        <v>29</v>
      </c>
      <c r="B35" s="995" t="s">
        <v>123</v>
      </c>
      <c r="C35" s="1196">
        <f>'[2]ALL-Reformatted'!S34</f>
        <v>0</v>
      </c>
      <c r="D35" s="1003">
        <f>'Table 3 Levels 1&amp;2'!BN37+'Table 3 Levels 1&amp;2'!BV37</f>
        <v>3912.1846976122315</v>
      </c>
      <c r="E35" s="1102">
        <f t="shared" si="2"/>
        <v>0</v>
      </c>
      <c r="F35" s="1102">
        <f>'Table 4 Level 3'!N34</f>
        <v>754.94999999999993</v>
      </c>
      <c r="G35" s="1102">
        <f t="shared" si="3"/>
        <v>0</v>
      </c>
      <c r="H35" s="1059">
        <f t="shared" si="4"/>
        <v>0</v>
      </c>
      <c r="I35" s="1112">
        <f t="shared" si="5"/>
        <v>0</v>
      </c>
      <c r="J35" s="1059">
        <f t="shared" si="6"/>
        <v>0</v>
      </c>
      <c r="K35" s="1059">
        <v>0</v>
      </c>
      <c r="L35" s="1059">
        <f t="shared" si="7"/>
        <v>0</v>
      </c>
      <c r="M35" s="1059">
        <f t="shared" si="8"/>
        <v>0</v>
      </c>
      <c r="N35" s="1051">
        <f>'[18]FY2012-13 Final'!D36</f>
        <v>3510</v>
      </c>
      <c r="O35" s="1053">
        <f t="shared" si="9"/>
        <v>0</v>
      </c>
      <c r="P35" s="1118">
        <f t="shared" si="10"/>
        <v>0</v>
      </c>
      <c r="Q35" s="1053">
        <f t="shared" si="11"/>
        <v>0</v>
      </c>
      <c r="R35" s="1053">
        <v>0</v>
      </c>
      <c r="S35" s="1053">
        <f t="shared" si="12"/>
        <v>0</v>
      </c>
      <c r="T35" s="1053">
        <f t="shared" si="13"/>
        <v>0</v>
      </c>
      <c r="U35" s="1054">
        <f t="shared" si="14"/>
        <v>0</v>
      </c>
      <c r="V35" s="1054">
        <f t="shared" si="14"/>
        <v>0</v>
      </c>
    </row>
    <row r="36" spans="1:22">
      <c r="A36" s="998">
        <v>30</v>
      </c>
      <c r="B36" s="999" t="s">
        <v>124</v>
      </c>
      <c r="C36" s="1197">
        <f>'[2]ALL-Reformatted'!S35</f>
        <v>0</v>
      </c>
      <c r="D36" s="1005">
        <f>'Table 3 Levels 1&amp;2'!BN38+'Table 3 Levels 1&amp;2'!BV38</f>
        <v>5594.0091640611508</v>
      </c>
      <c r="E36" s="1103">
        <f t="shared" si="2"/>
        <v>0</v>
      </c>
      <c r="F36" s="1103">
        <f>'Table 4 Level 3'!N35</f>
        <v>727.17</v>
      </c>
      <c r="G36" s="1103">
        <f t="shared" si="3"/>
        <v>0</v>
      </c>
      <c r="H36" s="1060">
        <f t="shared" si="4"/>
        <v>0</v>
      </c>
      <c r="I36" s="1113">
        <f t="shared" si="5"/>
        <v>0</v>
      </c>
      <c r="J36" s="1060">
        <f t="shared" si="6"/>
        <v>0</v>
      </c>
      <c r="K36" s="1060">
        <v>0</v>
      </c>
      <c r="L36" s="1060">
        <f t="shared" si="7"/>
        <v>0</v>
      </c>
      <c r="M36" s="1060">
        <f t="shared" si="8"/>
        <v>0</v>
      </c>
      <c r="N36" s="1056">
        <f>'[18]FY2012-13 Final'!D37</f>
        <v>2748</v>
      </c>
      <c r="O36" s="1057">
        <f t="shared" si="9"/>
        <v>0</v>
      </c>
      <c r="P36" s="1119">
        <f t="shared" si="10"/>
        <v>0</v>
      </c>
      <c r="Q36" s="1057">
        <f t="shared" si="11"/>
        <v>0</v>
      </c>
      <c r="R36" s="1057">
        <v>0</v>
      </c>
      <c r="S36" s="1057">
        <f t="shared" si="12"/>
        <v>0</v>
      </c>
      <c r="T36" s="1057">
        <f t="shared" si="13"/>
        <v>0</v>
      </c>
      <c r="U36" s="1058">
        <f t="shared" si="14"/>
        <v>0</v>
      </c>
      <c r="V36" s="1058">
        <f t="shared" si="14"/>
        <v>0</v>
      </c>
    </row>
    <row r="37" spans="1:22">
      <c r="A37" s="987">
        <v>31</v>
      </c>
      <c r="B37" s="988" t="s">
        <v>125</v>
      </c>
      <c r="C37" s="1198">
        <f>'[2]ALL-Reformatted'!S36</f>
        <v>0</v>
      </c>
      <c r="D37" s="1007">
        <f>'Table 3 Levels 1&amp;2'!BN39+'Table 3 Levels 1&amp;2'!BV39</f>
        <v>4320.114188911979</v>
      </c>
      <c r="E37" s="1104">
        <f t="shared" si="2"/>
        <v>0</v>
      </c>
      <c r="F37" s="1104">
        <f>'Table 4 Level 3'!N36</f>
        <v>620.83000000000004</v>
      </c>
      <c r="G37" s="1104">
        <f t="shared" si="3"/>
        <v>0</v>
      </c>
      <c r="H37" s="1061">
        <f t="shared" si="4"/>
        <v>0</v>
      </c>
      <c r="I37" s="1114">
        <f t="shared" si="5"/>
        <v>0</v>
      </c>
      <c r="J37" s="1061">
        <f t="shared" si="6"/>
        <v>0</v>
      </c>
      <c r="K37" s="1061">
        <v>0</v>
      </c>
      <c r="L37" s="1061">
        <f t="shared" si="7"/>
        <v>0</v>
      </c>
      <c r="M37" s="1061">
        <f t="shared" si="8"/>
        <v>0</v>
      </c>
      <c r="N37" s="1051">
        <f>'[18]FY2012-13 Final'!D38</f>
        <v>4123</v>
      </c>
      <c r="O37" s="992">
        <f t="shared" si="9"/>
        <v>0</v>
      </c>
      <c r="P37" s="1117">
        <f t="shared" si="10"/>
        <v>0</v>
      </c>
      <c r="Q37" s="992">
        <f t="shared" si="11"/>
        <v>0</v>
      </c>
      <c r="R37" s="992">
        <v>0</v>
      </c>
      <c r="S37" s="992">
        <f t="shared" si="12"/>
        <v>0</v>
      </c>
      <c r="T37" s="992">
        <f t="shared" si="13"/>
        <v>0</v>
      </c>
      <c r="U37" s="993">
        <f t="shared" si="14"/>
        <v>0</v>
      </c>
      <c r="V37" s="993">
        <f t="shared" si="14"/>
        <v>0</v>
      </c>
    </row>
    <row r="38" spans="1:22">
      <c r="A38" s="994">
        <v>32</v>
      </c>
      <c r="B38" s="995" t="s">
        <v>126</v>
      </c>
      <c r="C38" s="1196">
        <f>'[2]ALL-Reformatted'!S37</f>
        <v>0</v>
      </c>
      <c r="D38" s="1003">
        <f>'Table 3 Levels 1&amp;2'!BN40+'Table 3 Levels 1&amp;2'!BV40</f>
        <v>5504.4479209353676</v>
      </c>
      <c r="E38" s="1102">
        <f t="shared" si="2"/>
        <v>0</v>
      </c>
      <c r="F38" s="1102">
        <f>'Table 4 Level 3'!N37</f>
        <v>559.77</v>
      </c>
      <c r="G38" s="1102">
        <f t="shared" si="3"/>
        <v>0</v>
      </c>
      <c r="H38" s="1059">
        <f t="shared" si="4"/>
        <v>0</v>
      </c>
      <c r="I38" s="1112">
        <f t="shared" si="5"/>
        <v>0</v>
      </c>
      <c r="J38" s="1059">
        <f t="shared" si="6"/>
        <v>0</v>
      </c>
      <c r="K38" s="1059">
        <v>0</v>
      </c>
      <c r="L38" s="1059">
        <f t="shared" si="7"/>
        <v>0</v>
      </c>
      <c r="M38" s="1059">
        <f t="shared" si="8"/>
        <v>0</v>
      </c>
      <c r="N38" s="1051">
        <f>'[18]FY2012-13 Final'!D39</f>
        <v>1628</v>
      </c>
      <c r="O38" s="1053">
        <f t="shared" si="9"/>
        <v>0</v>
      </c>
      <c r="P38" s="1118">
        <f t="shared" si="10"/>
        <v>0</v>
      </c>
      <c r="Q38" s="1053">
        <f t="shared" si="11"/>
        <v>0</v>
      </c>
      <c r="R38" s="1053">
        <v>0</v>
      </c>
      <c r="S38" s="1053">
        <f t="shared" si="12"/>
        <v>0</v>
      </c>
      <c r="T38" s="1053">
        <f t="shared" si="13"/>
        <v>0</v>
      </c>
      <c r="U38" s="1054">
        <f t="shared" si="14"/>
        <v>0</v>
      </c>
      <c r="V38" s="1054">
        <f t="shared" si="14"/>
        <v>0</v>
      </c>
    </row>
    <row r="39" spans="1:22">
      <c r="A39" s="994">
        <v>33</v>
      </c>
      <c r="B39" s="995" t="s">
        <v>127</v>
      </c>
      <c r="C39" s="1196">
        <f>'[2]ALL-Reformatted'!S38</f>
        <v>0</v>
      </c>
      <c r="D39" s="1003">
        <f>'Table 3 Levels 1&amp;2'!BN41+'Table 3 Levels 1&amp;2'!BV41</f>
        <v>5322.07272511876</v>
      </c>
      <c r="E39" s="1102">
        <f t="shared" si="2"/>
        <v>0</v>
      </c>
      <c r="F39" s="1102">
        <f>'Table 4 Level 3'!N38</f>
        <v>655.31000000000006</v>
      </c>
      <c r="G39" s="1102">
        <f t="shared" si="3"/>
        <v>0</v>
      </c>
      <c r="H39" s="1059">
        <f t="shared" si="4"/>
        <v>0</v>
      </c>
      <c r="I39" s="1112">
        <f t="shared" si="5"/>
        <v>0</v>
      </c>
      <c r="J39" s="1059">
        <f t="shared" si="6"/>
        <v>0</v>
      </c>
      <c r="K39" s="1059">
        <v>0</v>
      </c>
      <c r="L39" s="1059">
        <f t="shared" si="7"/>
        <v>0</v>
      </c>
      <c r="M39" s="1059">
        <f t="shared" si="8"/>
        <v>0</v>
      </c>
      <c r="N39" s="1051">
        <f>'[18]FY2012-13 Final'!D40</f>
        <v>1465</v>
      </c>
      <c r="O39" s="1053">
        <f t="shared" si="9"/>
        <v>0</v>
      </c>
      <c r="P39" s="1118">
        <f t="shared" si="10"/>
        <v>0</v>
      </c>
      <c r="Q39" s="1053">
        <f t="shared" si="11"/>
        <v>0</v>
      </c>
      <c r="R39" s="1053">
        <v>0</v>
      </c>
      <c r="S39" s="1053">
        <f t="shared" si="12"/>
        <v>0</v>
      </c>
      <c r="T39" s="1053">
        <f t="shared" si="13"/>
        <v>0</v>
      </c>
      <c r="U39" s="1054">
        <f t="shared" si="14"/>
        <v>0</v>
      </c>
      <c r="V39" s="1054">
        <f t="shared" si="14"/>
        <v>0</v>
      </c>
    </row>
    <row r="40" spans="1:22">
      <c r="A40" s="994">
        <v>34</v>
      </c>
      <c r="B40" s="995" t="s">
        <v>128</v>
      </c>
      <c r="C40" s="1196">
        <f>'[2]ALL-Reformatted'!S39</f>
        <v>0</v>
      </c>
      <c r="D40" s="1003">
        <f>'Table 3 Levels 1&amp;2'!BN42+'Table 3 Levels 1&amp;2'!BV42</f>
        <v>5959.062840731639</v>
      </c>
      <c r="E40" s="1102">
        <f t="shared" si="2"/>
        <v>0</v>
      </c>
      <c r="F40" s="1102">
        <f>'Table 4 Level 3'!N39</f>
        <v>644.11000000000013</v>
      </c>
      <c r="G40" s="1102">
        <f t="shared" si="3"/>
        <v>0</v>
      </c>
      <c r="H40" s="1059">
        <f t="shared" si="4"/>
        <v>0</v>
      </c>
      <c r="I40" s="1112">
        <f t="shared" si="5"/>
        <v>0</v>
      </c>
      <c r="J40" s="1059">
        <f t="shared" si="6"/>
        <v>0</v>
      </c>
      <c r="K40" s="1059">
        <v>0</v>
      </c>
      <c r="L40" s="1059">
        <f t="shared" si="7"/>
        <v>0</v>
      </c>
      <c r="M40" s="1059">
        <f t="shared" si="8"/>
        <v>0</v>
      </c>
      <c r="N40" s="1051">
        <f>'[18]FY2012-13 Final'!D41</f>
        <v>2315</v>
      </c>
      <c r="O40" s="1053">
        <f t="shared" si="9"/>
        <v>0</v>
      </c>
      <c r="P40" s="1118">
        <f t="shared" si="10"/>
        <v>0</v>
      </c>
      <c r="Q40" s="1053">
        <f t="shared" si="11"/>
        <v>0</v>
      </c>
      <c r="R40" s="1053">
        <v>0</v>
      </c>
      <c r="S40" s="1053">
        <f t="shared" si="12"/>
        <v>0</v>
      </c>
      <c r="T40" s="1053">
        <f t="shared" si="13"/>
        <v>0</v>
      </c>
      <c r="U40" s="1054">
        <f t="shared" si="14"/>
        <v>0</v>
      </c>
      <c r="V40" s="1054">
        <f t="shared" si="14"/>
        <v>0</v>
      </c>
    </row>
    <row r="41" spans="1:22">
      <c r="A41" s="998">
        <v>35</v>
      </c>
      <c r="B41" s="999" t="s">
        <v>129</v>
      </c>
      <c r="C41" s="1197">
        <f>'[2]ALL-Reformatted'!S40</f>
        <v>0</v>
      </c>
      <c r="D41" s="1005">
        <f>'Table 3 Levels 1&amp;2'!BN43+'Table 3 Levels 1&amp;2'!BV43</f>
        <v>4571.947611490059</v>
      </c>
      <c r="E41" s="1103">
        <f t="shared" si="2"/>
        <v>0</v>
      </c>
      <c r="F41" s="1103">
        <f>'Table 4 Level 3'!N40</f>
        <v>537.96</v>
      </c>
      <c r="G41" s="1103">
        <f t="shared" si="3"/>
        <v>0</v>
      </c>
      <c r="H41" s="1060">
        <f t="shared" si="4"/>
        <v>0</v>
      </c>
      <c r="I41" s="1113">
        <f t="shared" si="5"/>
        <v>0</v>
      </c>
      <c r="J41" s="1060">
        <f t="shared" si="6"/>
        <v>0</v>
      </c>
      <c r="K41" s="1060">
        <v>0</v>
      </c>
      <c r="L41" s="1060">
        <f t="shared" si="7"/>
        <v>0</v>
      </c>
      <c r="M41" s="1060">
        <f t="shared" si="8"/>
        <v>0</v>
      </c>
      <c r="N41" s="1056">
        <f>'[18]FY2012-13 Final'!D42</f>
        <v>3206</v>
      </c>
      <c r="O41" s="1057">
        <f t="shared" si="9"/>
        <v>0</v>
      </c>
      <c r="P41" s="1119">
        <f t="shared" si="10"/>
        <v>0</v>
      </c>
      <c r="Q41" s="1057">
        <f t="shared" si="11"/>
        <v>0</v>
      </c>
      <c r="R41" s="1057">
        <v>0</v>
      </c>
      <c r="S41" s="1057">
        <f t="shared" si="12"/>
        <v>0</v>
      </c>
      <c r="T41" s="1057">
        <f t="shared" si="13"/>
        <v>0</v>
      </c>
      <c r="U41" s="1058">
        <f t="shared" si="14"/>
        <v>0</v>
      </c>
      <c r="V41" s="1058">
        <f t="shared" si="14"/>
        <v>0</v>
      </c>
    </row>
    <row r="42" spans="1:22">
      <c r="A42" s="987">
        <v>36</v>
      </c>
      <c r="B42" s="988" t="s">
        <v>130</v>
      </c>
      <c r="C42" s="1198">
        <f>'[2]ALL-Reformatted'!S41</f>
        <v>386</v>
      </c>
      <c r="D42" s="1007">
        <f>'Table 3 Levels 1&amp;2'!BN44+'Table 3 Levels 1&amp;2'!BV44</f>
        <v>3666.4136012725312</v>
      </c>
      <c r="E42" s="1104">
        <f t="shared" si="2"/>
        <v>1415235.6500911971</v>
      </c>
      <c r="F42" s="1104">
        <f>'Table 5B1_RSD_Orleans'!F78</f>
        <v>746.0335616438357</v>
      </c>
      <c r="G42" s="1104">
        <f t="shared" si="3"/>
        <v>287968.95479452057</v>
      </c>
      <c r="H42" s="1061">
        <f t="shared" si="4"/>
        <v>1703204.6048857176</v>
      </c>
      <c r="I42" s="1114">
        <f t="shared" si="5"/>
        <v>-4258.0115122142943</v>
      </c>
      <c r="J42" s="1061">
        <f t="shared" si="6"/>
        <v>1698946.5933735033</v>
      </c>
      <c r="K42" s="1239">
        <v>0</v>
      </c>
      <c r="L42" s="1061">
        <f t="shared" si="7"/>
        <v>1698946.5933735033</v>
      </c>
      <c r="M42" s="1061">
        <f t="shared" si="8"/>
        <v>141578.88278112528</v>
      </c>
      <c r="N42" s="1051">
        <f>'[18]FY2012-13 Final'!D43</f>
        <v>3929</v>
      </c>
      <c r="O42" s="992">
        <f t="shared" si="9"/>
        <v>1516594</v>
      </c>
      <c r="P42" s="1117">
        <f t="shared" si="10"/>
        <v>-3791.4850000000001</v>
      </c>
      <c r="Q42" s="992">
        <f t="shared" si="11"/>
        <v>1512802.5149999999</v>
      </c>
      <c r="R42" s="992">
        <v>0</v>
      </c>
      <c r="S42" s="992">
        <f t="shared" si="12"/>
        <v>1512802.5149999999</v>
      </c>
      <c r="T42" s="992">
        <f t="shared" si="13"/>
        <v>126066.87624999999</v>
      </c>
      <c r="U42" s="993">
        <f t="shared" si="14"/>
        <v>3211749.1083735032</v>
      </c>
      <c r="V42" s="993">
        <f t="shared" si="14"/>
        <v>267645.75903112529</v>
      </c>
    </row>
    <row r="43" spans="1:22">
      <c r="A43" s="994">
        <v>37</v>
      </c>
      <c r="B43" s="995" t="s">
        <v>131</v>
      </c>
      <c r="C43" s="1196">
        <f>'[2]ALL-Reformatted'!S42</f>
        <v>0</v>
      </c>
      <c r="D43" s="1003">
        <f>'Table 3 Levels 1&amp;2'!BN45+'Table 3 Levels 1&amp;2'!BV45</f>
        <v>5484.8089042263191</v>
      </c>
      <c r="E43" s="1102">
        <f t="shared" si="2"/>
        <v>0</v>
      </c>
      <c r="F43" s="1102">
        <f>'Table 4 Level 3'!N42</f>
        <v>653.61</v>
      </c>
      <c r="G43" s="1102">
        <f t="shared" si="3"/>
        <v>0</v>
      </c>
      <c r="H43" s="1059">
        <f t="shared" si="4"/>
        <v>0</v>
      </c>
      <c r="I43" s="1112">
        <f t="shared" si="5"/>
        <v>0</v>
      </c>
      <c r="J43" s="1059">
        <f t="shared" si="6"/>
        <v>0</v>
      </c>
      <c r="K43" s="1059">
        <v>0</v>
      </c>
      <c r="L43" s="1059">
        <f t="shared" si="7"/>
        <v>0</v>
      </c>
      <c r="M43" s="1059">
        <f t="shared" si="8"/>
        <v>0</v>
      </c>
      <c r="N43" s="1051">
        <f>'[18]FY2012-13 Final'!D44</f>
        <v>2795</v>
      </c>
      <c r="O43" s="1053">
        <f t="shared" si="9"/>
        <v>0</v>
      </c>
      <c r="P43" s="1118">
        <f t="shared" si="10"/>
        <v>0</v>
      </c>
      <c r="Q43" s="1053">
        <f t="shared" si="11"/>
        <v>0</v>
      </c>
      <c r="R43" s="1053">
        <v>0</v>
      </c>
      <c r="S43" s="1053">
        <f t="shared" si="12"/>
        <v>0</v>
      </c>
      <c r="T43" s="1053">
        <f t="shared" si="13"/>
        <v>0</v>
      </c>
      <c r="U43" s="1054">
        <f t="shared" si="14"/>
        <v>0</v>
      </c>
      <c r="V43" s="1054">
        <f t="shared" si="14"/>
        <v>0</v>
      </c>
    </row>
    <row r="44" spans="1:22">
      <c r="A44" s="994">
        <v>38</v>
      </c>
      <c r="B44" s="995" t="s">
        <v>132</v>
      </c>
      <c r="C44" s="1196">
        <f>'[2]ALL-Reformatted'!S43</f>
        <v>0</v>
      </c>
      <c r="D44" s="1003">
        <f>'Table 3 Levels 1&amp;2'!BN46+'Table 3 Levels 1&amp;2'!BV46</f>
        <v>2078.5917829727841</v>
      </c>
      <c r="E44" s="1102">
        <f t="shared" si="2"/>
        <v>0</v>
      </c>
      <c r="F44" s="1102">
        <f>'Table 4 Level 3'!N43</f>
        <v>829.92000000000007</v>
      </c>
      <c r="G44" s="1102">
        <f t="shared" si="3"/>
        <v>0</v>
      </c>
      <c r="H44" s="1059">
        <f t="shared" si="4"/>
        <v>0</v>
      </c>
      <c r="I44" s="1112">
        <f t="shared" si="5"/>
        <v>0</v>
      </c>
      <c r="J44" s="1059">
        <f t="shared" si="6"/>
        <v>0</v>
      </c>
      <c r="K44" s="1059">
        <v>0</v>
      </c>
      <c r="L44" s="1059">
        <f t="shared" si="7"/>
        <v>0</v>
      </c>
      <c r="M44" s="1059">
        <f t="shared" si="8"/>
        <v>0</v>
      </c>
      <c r="N44" s="1051">
        <f>'[18]FY2012-13 Final'!D45</f>
        <v>9674</v>
      </c>
      <c r="O44" s="1053">
        <f t="shared" si="9"/>
        <v>0</v>
      </c>
      <c r="P44" s="1118">
        <f t="shared" si="10"/>
        <v>0</v>
      </c>
      <c r="Q44" s="1053">
        <f t="shared" si="11"/>
        <v>0</v>
      </c>
      <c r="R44" s="1053">
        <v>0</v>
      </c>
      <c r="S44" s="1053">
        <f t="shared" si="12"/>
        <v>0</v>
      </c>
      <c r="T44" s="1053">
        <f t="shared" si="13"/>
        <v>0</v>
      </c>
      <c r="U44" s="1054">
        <f t="shared" si="14"/>
        <v>0</v>
      </c>
      <c r="V44" s="1054">
        <f t="shared" si="14"/>
        <v>0</v>
      </c>
    </row>
    <row r="45" spans="1:22">
      <c r="A45" s="994">
        <v>39</v>
      </c>
      <c r="B45" s="995" t="s">
        <v>133</v>
      </c>
      <c r="C45" s="1196">
        <f>'[2]ALL-Reformatted'!S44</f>
        <v>0</v>
      </c>
      <c r="D45" s="1003">
        <f>'Table 3 Levels 1&amp;2'!BN47+'Table 3 Levels 1&amp;2'!BV47</f>
        <v>3622.4878999042335</v>
      </c>
      <c r="E45" s="1102">
        <f t="shared" si="2"/>
        <v>0</v>
      </c>
      <c r="F45" s="1102">
        <f>'Table 5B2_RSD_LA'!F21</f>
        <v>779.65573042776441</v>
      </c>
      <c r="G45" s="1102">
        <f t="shared" si="3"/>
        <v>0</v>
      </c>
      <c r="H45" s="1059">
        <f t="shared" si="4"/>
        <v>0</v>
      </c>
      <c r="I45" s="1112">
        <f t="shared" si="5"/>
        <v>0</v>
      </c>
      <c r="J45" s="1059">
        <f t="shared" si="6"/>
        <v>0</v>
      </c>
      <c r="K45" s="1059">
        <v>0</v>
      </c>
      <c r="L45" s="1059">
        <f t="shared" si="7"/>
        <v>0</v>
      </c>
      <c r="M45" s="1059">
        <f t="shared" si="8"/>
        <v>0</v>
      </c>
      <c r="N45" s="1051">
        <f>'[18]FY2012-13 Final'!D46</f>
        <v>4145</v>
      </c>
      <c r="O45" s="1053">
        <f t="shared" si="9"/>
        <v>0</v>
      </c>
      <c r="P45" s="1118">
        <f t="shared" si="10"/>
        <v>0</v>
      </c>
      <c r="Q45" s="1053">
        <f t="shared" si="11"/>
        <v>0</v>
      </c>
      <c r="R45" s="1053">
        <v>0</v>
      </c>
      <c r="S45" s="1053">
        <f t="shared" si="12"/>
        <v>0</v>
      </c>
      <c r="T45" s="1053">
        <f t="shared" si="13"/>
        <v>0</v>
      </c>
      <c r="U45" s="1054">
        <f t="shared" si="14"/>
        <v>0</v>
      </c>
      <c r="V45" s="1054">
        <f t="shared" si="14"/>
        <v>0</v>
      </c>
    </row>
    <row r="46" spans="1:22">
      <c r="A46" s="998">
        <v>40</v>
      </c>
      <c r="B46" s="999" t="s">
        <v>134</v>
      </c>
      <c r="C46" s="1197">
        <f>'[2]ALL-Reformatted'!S45</f>
        <v>0</v>
      </c>
      <c r="D46" s="1005">
        <f>'Table 3 Levels 1&amp;2'!BN48+'Table 3 Levels 1&amp;2'!BV48</f>
        <v>4885.6387343180086</v>
      </c>
      <c r="E46" s="1103">
        <f t="shared" si="2"/>
        <v>0</v>
      </c>
      <c r="F46" s="1103">
        <f>'Table 4 Level 3'!N45</f>
        <v>700.2700000000001</v>
      </c>
      <c r="G46" s="1103">
        <f t="shared" si="3"/>
        <v>0</v>
      </c>
      <c r="H46" s="1060">
        <f t="shared" si="4"/>
        <v>0</v>
      </c>
      <c r="I46" s="1113">
        <f t="shared" si="5"/>
        <v>0</v>
      </c>
      <c r="J46" s="1060">
        <f t="shared" si="6"/>
        <v>0</v>
      </c>
      <c r="K46" s="1060">
        <v>0</v>
      </c>
      <c r="L46" s="1060">
        <f t="shared" si="7"/>
        <v>0</v>
      </c>
      <c r="M46" s="1060">
        <f t="shared" si="8"/>
        <v>0</v>
      </c>
      <c r="N46" s="1056">
        <f>'[18]FY2012-13 Final'!D47</f>
        <v>2558</v>
      </c>
      <c r="O46" s="1057">
        <f t="shared" si="9"/>
        <v>0</v>
      </c>
      <c r="P46" s="1119">
        <f t="shared" si="10"/>
        <v>0</v>
      </c>
      <c r="Q46" s="1057">
        <f t="shared" si="11"/>
        <v>0</v>
      </c>
      <c r="R46" s="1057">
        <v>0</v>
      </c>
      <c r="S46" s="1057">
        <f t="shared" si="12"/>
        <v>0</v>
      </c>
      <c r="T46" s="1057">
        <f t="shared" si="13"/>
        <v>0</v>
      </c>
      <c r="U46" s="1058">
        <f t="shared" si="14"/>
        <v>0</v>
      </c>
      <c r="V46" s="1058">
        <f t="shared" si="14"/>
        <v>0</v>
      </c>
    </row>
    <row r="47" spans="1:22">
      <c r="A47" s="987">
        <v>41</v>
      </c>
      <c r="B47" s="988" t="s">
        <v>135</v>
      </c>
      <c r="C47" s="1198">
        <f>'[2]ALL-Reformatted'!S46</f>
        <v>0</v>
      </c>
      <c r="D47" s="1007">
        <f>'Table 3 Levels 1&amp;2'!BN49+'Table 3 Levels 1&amp;2'!BV49</f>
        <v>1602.0398121899364</v>
      </c>
      <c r="E47" s="1104">
        <f t="shared" si="2"/>
        <v>0</v>
      </c>
      <c r="F47" s="1104">
        <f>'Table 4 Level 3'!N46</f>
        <v>886.22</v>
      </c>
      <c r="G47" s="1104">
        <f t="shared" si="3"/>
        <v>0</v>
      </c>
      <c r="H47" s="1061">
        <f t="shared" si="4"/>
        <v>0</v>
      </c>
      <c r="I47" s="1114">
        <f t="shared" si="5"/>
        <v>0</v>
      </c>
      <c r="J47" s="1061">
        <f t="shared" si="6"/>
        <v>0</v>
      </c>
      <c r="K47" s="1061">
        <v>0</v>
      </c>
      <c r="L47" s="1061">
        <f t="shared" si="7"/>
        <v>0</v>
      </c>
      <c r="M47" s="1061">
        <f t="shared" si="8"/>
        <v>0</v>
      </c>
      <c r="N47" s="1051">
        <f>'[18]FY2012-13 Final'!D48</f>
        <v>11442</v>
      </c>
      <c r="O47" s="992">
        <f t="shared" si="9"/>
        <v>0</v>
      </c>
      <c r="P47" s="1117">
        <f t="shared" si="10"/>
        <v>0</v>
      </c>
      <c r="Q47" s="992">
        <f t="shared" si="11"/>
        <v>0</v>
      </c>
      <c r="R47" s="992">
        <v>0</v>
      </c>
      <c r="S47" s="992">
        <f t="shared" si="12"/>
        <v>0</v>
      </c>
      <c r="T47" s="992">
        <f t="shared" si="13"/>
        <v>0</v>
      </c>
      <c r="U47" s="993">
        <f t="shared" si="14"/>
        <v>0</v>
      </c>
      <c r="V47" s="993">
        <f t="shared" si="14"/>
        <v>0</v>
      </c>
    </row>
    <row r="48" spans="1:22">
      <c r="A48" s="994">
        <v>42</v>
      </c>
      <c r="B48" s="995" t="s">
        <v>136</v>
      </c>
      <c r="C48" s="1196">
        <f>'[2]ALL-Reformatted'!S47</f>
        <v>0</v>
      </c>
      <c r="D48" s="1003">
        <f>'Table 3 Levels 1&amp;2'!BN50+'Table 3 Levels 1&amp;2'!BV50</f>
        <v>5098.6172346404755</v>
      </c>
      <c r="E48" s="1102">
        <f t="shared" si="2"/>
        <v>0</v>
      </c>
      <c r="F48" s="1102">
        <f>'Table 4 Level 3'!N47</f>
        <v>534.28</v>
      </c>
      <c r="G48" s="1102">
        <f t="shared" si="3"/>
        <v>0</v>
      </c>
      <c r="H48" s="1059">
        <f t="shared" si="4"/>
        <v>0</v>
      </c>
      <c r="I48" s="1112">
        <f t="shared" si="5"/>
        <v>0</v>
      </c>
      <c r="J48" s="1059">
        <f t="shared" si="6"/>
        <v>0</v>
      </c>
      <c r="K48" s="1059">
        <v>0</v>
      </c>
      <c r="L48" s="1059">
        <f t="shared" si="7"/>
        <v>0</v>
      </c>
      <c r="M48" s="1059">
        <f t="shared" si="8"/>
        <v>0</v>
      </c>
      <c r="N48" s="1051">
        <f>'[18]FY2012-13 Final'!D49</f>
        <v>2229</v>
      </c>
      <c r="O48" s="1053">
        <f t="shared" si="9"/>
        <v>0</v>
      </c>
      <c r="P48" s="1118">
        <f t="shared" si="10"/>
        <v>0</v>
      </c>
      <c r="Q48" s="1053">
        <f t="shared" si="11"/>
        <v>0</v>
      </c>
      <c r="R48" s="1053">
        <v>0</v>
      </c>
      <c r="S48" s="1053">
        <f t="shared" si="12"/>
        <v>0</v>
      </c>
      <c r="T48" s="1053">
        <f t="shared" si="13"/>
        <v>0</v>
      </c>
      <c r="U48" s="1054">
        <f t="shared" si="14"/>
        <v>0</v>
      </c>
      <c r="V48" s="1054">
        <f t="shared" si="14"/>
        <v>0</v>
      </c>
    </row>
    <row r="49" spans="1:22">
      <c r="A49" s="994">
        <v>43</v>
      </c>
      <c r="B49" s="995" t="s">
        <v>137</v>
      </c>
      <c r="C49" s="1196">
        <f>'[2]ALL-Reformatted'!S48</f>
        <v>0</v>
      </c>
      <c r="D49" s="1003">
        <f>'Table 3 Levels 1&amp;2'!BN51+'Table 3 Levels 1&amp;2'!BV51</f>
        <v>4701.3362575004667</v>
      </c>
      <c r="E49" s="1102">
        <f t="shared" si="2"/>
        <v>0</v>
      </c>
      <c r="F49" s="1102">
        <f>'Table 4 Level 3'!N48</f>
        <v>574.6099999999999</v>
      </c>
      <c r="G49" s="1102">
        <f t="shared" si="3"/>
        <v>0</v>
      </c>
      <c r="H49" s="1059">
        <f t="shared" si="4"/>
        <v>0</v>
      </c>
      <c r="I49" s="1112">
        <f t="shared" si="5"/>
        <v>0</v>
      </c>
      <c r="J49" s="1059">
        <f t="shared" si="6"/>
        <v>0</v>
      </c>
      <c r="K49" s="1059">
        <v>0</v>
      </c>
      <c r="L49" s="1059">
        <f t="shared" si="7"/>
        <v>0</v>
      </c>
      <c r="M49" s="1059">
        <f t="shared" si="8"/>
        <v>0</v>
      </c>
      <c r="N49" s="1051">
        <f>'[18]FY2012-13 Final'!D50</f>
        <v>4649</v>
      </c>
      <c r="O49" s="1053">
        <f t="shared" si="9"/>
        <v>0</v>
      </c>
      <c r="P49" s="1118">
        <f t="shared" si="10"/>
        <v>0</v>
      </c>
      <c r="Q49" s="1053">
        <f t="shared" si="11"/>
        <v>0</v>
      </c>
      <c r="R49" s="1053">
        <v>0</v>
      </c>
      <c r="S49" s="1053">
        <f t="shared" si="12"/>
        <v>0</v>
      </c>
      <c r="T49" s="1053">
        <f t="shared" si="13"/>
        <v>0</v>
      </c>
      <c r="U49" s="1054">
        <f t="shared" si="14"/>
        <v>0</v>
      </c>
      <c r="V49" s="1054">
        <f t="shared" si="14"/>
        <v>0</v>
      </c>
    </row>
    <row r="50" spans="1:22">
      <c r="A50" s="994">
        <v>44</v>
      </c>
      <c r="B50" s="995" t="s">
        <v>138</v>
      </c>
      <c r="C50" s="1196">
        <f>'[2]ALL-Reformatted'!S49</f>
        <v>4</v>
      </c>
      <c r="D50" s="1003">
        <f>'Table 3 Levels 1&amp;2'!BN52+'Table 3 Levels 1&amp;2'!BV52</f>
        <v>4649.5559521248724</v>
      </c>
      <c r="E50" s="1102">
        <f t="shared" si="2"/>
        <v>18598.22380849949</v>
      </c>
      <c r="F50" s="1102">
        <f>'Table 4 Level 3'!N49</f>
        <v>663.16000000000008</v>
      </c>
      <c r="G50" s="1102">
        <f t="shared" si="3"/>
        <v>2652.6400000000003</v>
      </c>
      <c r="H50" s="1059">
        <f t="shared" si="4"/>
        <v>21250.863808499489</v>
      </c>
      <c r="I50" s="1112">
        <f t="shared" si="5"/>
        <v>-53.127159521248721</v>
      </c>
      <c r="J50" s="1059">
        <f t="shared" si="6"/>
        <v>21197.73664897824</v>
      </c>
      <c r="K50" s="1059">
        <v>0</v>
      </c>
      <c r="L50" s="1059">
        <f t="shared" si="7"/>
        <v>21197.73664897824</v>
      </c>
      <c r="M50" s="1059">
        <f t="shared" si="8"/>
        <v>1766.47805408152</v>
      </c>
      <c r="N50" s="1051">
        <f>'[18]FY2012-13 Final'!D51</f>
        <v>3660</v>
      </c>
      <c r="O50" s="1053">
        <f t="shared" si="9"/>
        <v>14640</v>
      </c>
      <c r="P50" s="1118">
        <f t="shared" si="10"/>
        <v>-36.6</v>
      </c>
      <c r="Q50" s="1053">
        <f t="shared" si="11"/>
        <v>14603.4</v>
      </c>
      <c r="R50" s="1053">
        <v>0</v>
      </c>
      <c r="S50" s="1053">
        <f t="shared" si="12"/>
        <v>14603.4</v>
      </c>
      <c r="T50" s="1053">
        <f t="shared" si="13"/>
        <v>1216.95</v>
      </c>
      <c r="U50" s="1054">
        <f t="shared" si="14"/>
        <v>35801.136648978238</v>
      </c>
      <c r="V50" s="1054">
        <f t="shared" si="14"/>
        <v>2983.4280540815198</v>
      </c>
    </row>
    <row r="51" spans="1:22">
      <c r="A51" s="998">
        <v>45</v>
      </c>
      <c r="B51" s="999" t="s">
        <v>139</v>
      </c>
      <c r="C51" s="1197">
        <f>'[2]ALL-Reformatted'!S50</f>
        <v>2</v>
      </c>
      <c r="D51" s="1005">
        <f>'Table 3 Levels 1&amp;2'!BN53+'Table 3 Levels 1&amp;2'!BV53</f>
        <v>2159.257884231537</v>
      </c>
      <c r="E51" s="1103">
        <f t="shared" si="2"/>
        <v>4318.515768463074</v>
      </c>
      <c r="F51" s="1103">
        <f>'Table 4 Level 3'!N50</f>
        <v>753.96000000000015</v>
      </c>
      <c r="G51" s="1103">
        <f t="shared" si="3"/>
        <v>1507.9200000000003</v>
      </c>
      <c r="H51" s="1060">
        <f t="shared" si="4"/>
        <v>5826.4357684630741</v>
      </c>
      <c r="I51" s="1113">
        <f t="shared" si="5"/>
        <v>-14.566089421157685</v>
      </c>
      <c r="J51" s="1060">
        <f t="shared" si="6"/>
        <v>5811.8696790419162</v>
      </c>
      <c r="K51" s="1060">
        <v>0</v>
      </c>
      <c r="L51" s="1060">
        <f t="shared" si="7"/>
        <v>5811.8696790419162</v>
      </c>
      <c r="M51" s="1060">
        <f t="shared" si="8"/>
        <v>484.322473253493</v>
      </c>
      <c r="N51" s="1056">
        <f>'[18]FY2012-13 Final'!D52</f>
        <v>11141</v>
      </c>
      <c r="O51" s="1057">
        <f t="shared" si="9"/>
        <v>22282</v>
      </c>
      <c r="P51" s="1119">
        <f t="shared" si="10"/>
        <v>-55.704999999999998</v>
      </c>
      <c r="Q51" s="1057">
        <f t="shared" si="11"/>
        <v>22226.294999999998</v>
      </c>
      <c r="R51" s="1057">
        <v>0</v>
      </c>
      <c r="S51" s="1057">
        <f t="shared" si="12"/>
        <v>22226.294999999998</v>
      </c>
      <c r="T51" s="1057">
        <f t="shared" si="13"/>
        <v>1852.1912499999999</v>
      </c>
      <c r="U51" s="1058">
        <f t="shared" si="14"/>
        <v>28038.164679041914</v>
      </c>
      <c r="V51" s="1058">
        <f t="shared" si="14"/>
        <v>2336.513723253493</v>
      </c>
    </row>
    <row r="52" spans="1:22">
      <c r="A52" s="987">
        <v>46</v>
      </c>
      <c r="B52" s="988" t="s">
        <v>140</v>
      </c>
      <c r="C52" s="1198">
        <f>'[2]ALL-Reformatted'!S51</f>
        <v>0</v>
      </c>
      <c r="D52" s="1007">
        <f>'Table 3 Levels 1&amp;2'!BN54+'Table 3 Levels 1&amp;2'!BV54</f>
        <v>5578.7258135108641</v>
      </c>
      <c r="E52" s="1104">
        <f t="shared" si="2"/>
        <v>0</v>
      </c>
      <c r="F52" s="1104">
        <f>'Table 4 Level 3'!N51</f>
        <v>728.06</v>
      </c>
      <c r="G52" s="1104">
        <f t="shared" si="3"/>
        <v>0</v>
      </c>
      <c r="H52" s="1061">
        <f t="shared" si="4"/>
        <v>0</v>
      </c>
      <c r="I52" s="1114">
        <f t="shared" si="5"/>
        <v>0</v>
      </c>
      <c r="J52" s="1061">
        <f t="shared" si="6"/>
        <v>0</v>
      </c>
      <c r="K52" s="1061">
        <v>0</v>
      </c>
      <c r="L52" s="1061">
        <f t="shared" si="7"/>
        <v>0</v>
      </c>
      <c r="M52" s="1061">
        <f t="shared" si="8"/>
        <v>0</v>
      </c>
      <c r="N52" s="1051">
        <f>'[18]FY2012-13 Final'!D53</f>
        <v>1098</v>
      </c>
      <c r="O52" s="992">
        <f t="shared" si="9"/>
        <v>0</v>
      </c>
      <c r="P52" s="1117">
        <f t="shared" si="10"/>
        <v>0</v>
      </c>
      <c r="Q52" s="992">
        <f t="shared" si="11"/>
        <v>0</v>
      </c>
      <c r="R52" s="992">
        <v>0</v>
      </c>
      <c r="S52" s="992">
        <f t="shared" si="12"/>
        <v>0</v>
      </c>
      <c r="T52" s="992">
        <f t="shared" si="13"/>
        <v>0</v>
      </c>
      <c r="U52" s="993">
        <f t="shared" si="14"/>
        <v>0</v>
      </c>
      <c r="V52" s="993">
        <f t="shared" si="14"/>
        <v>0</v>
      </c>
    </row>
    <row r="53" spans="1:22">
      <c r="A53" s="994">
        <v>47</v>
      </c>
      <c r="B53" s="995" t="s">
        <v>141</v>
      </c>
      <c r="C53" s="1196">
        <f>'[2]ALL-Reformatted'!S52</f>
        <v>0</v>
      </c>
      <c r="D53" s="1003">
        <f>'Table 3 Levels 1&amp;2'!BN55+'Table 3 Levels 1&amp;2'!BV55</f>
        <v>2709.058014721415</v>
      </c>
      <c r="E53" s="1102">
        <f t="shared" si="2"/>
        <v>0</v>
      </c>
      <c r="F53" s="1102">
        <f>'Table 4 Level 3'!N52</f>
        <v>910.76</v>
      </c>
      <c r="G53" s="1102">
        <f t="shared" si="3"/>
        <v>0</v>
      </c>
      <c r="H53" s="1059">
        <f t="shared" si="4"/>
        <v>0</v>
      </c>
      <c r="I53" s="1112">
        <f t="shared" si="5"/>
        <v>0</v>
      </c>
      <c r="J53" s="1059">
        <f t="shared" si="6"/>
        <v>0</v>
      </c>
      <c r="K53" s="1059">
        <v>0</v>
      </c>
      <c r="L53" s="1059">
        <f t="shared" si="7"/>
        <v>0</v>
      </c>
      <c r="M53" s="1059">
        <f t="shared" si="8"/>
        <v>0</v>
      </c>
      <c r="N53" s="1051">
        <f>'[18]FY2012-13 Final'!D54</f>
        <v>8954</v>
      </c>
      <c r="O53" s="1053">
        <f t="shared" si="9"/>
        <v>0</v>
      </c>
      <c r="P53" s="1118">
        <f t="shared" si="10"/>
        <v>0</v>
      </c>
      <c r="Q53" s="1053">
        <f t="shared" si="11"/>
        <v>0</v>
      </c>
      <c r="R53" s="1053">
        <v>0</v>
      </c>
      <c r="S53" s="1053">
        <f t="shared" si="12"/>
        <v>0</v>
      </c>
      <c r="T53" s="1053">
        <f t="shared" si="13"/>
        <v>0</v>
      </c>
      <c r="U53" s="1054">
        <f t="shared" si="14"/>
        <v>0</v>
      </c>
      <c r="V53" s="1054">
        <f t="shared" si="14"/>
        <v>0</v>
      </c>
    </row>
    <row r="54" spans="1:22">
      <c r="A54" s="994">
        <v>48</v>
      </c>
      <c r="B54" s="995" t="s">
        <v>202</v>
      </c>
      <c r="C54" s="1196">
        <f>'[2]ALL-Reformatted'!S53</f>
        <v>2</v>
      </c>
      <c r="D54" s="1003">
        <f>'Table 3 Levels 1&amp;2'!BN56+'Table 3 Levels 1&amp;2'!BV56</f>
        <v>4259.4136153508553</v>
      </c>
      <c r="E54" s="1102">
        <f t="shared" si="2"/>
        <v>8518.8272307017105</v>
      </c>
      <c r="F54" s="1102">
        <f>'Table 4 Level 3'!N53</f>
        <v>871.07</v>
      </c>
      <c r="G54" s="1102">
        <f t="shared" si="3"/>
        <v>1742.14</v>
      </c>
      <c r="H54" s="1059">
        <f t="shared" si="4"/>
        <v>10260.96723070171</v>
      </c>
      <c r="I54" s="1112">
        <f t="shared" si="5"/>
        <v>-25.652418076754277</v>
      </c>
      <c r="J54" s="1059">
        <f t="shared" si="6"/>
        <v>10235.314812624956</v>
      </c>
      <c r="K54" s="1059">
        <v>0</v>
      </c>
      <c r="L54" s="1059">
        <f t="shared" si="7"/>
        <v>10235.314812624956</v>
      </c>
      <c r="M54" s="1059">
        <f t="shared" si="8"/>
        <v>852.94290105207972</v>
      </c>
      <c r="N54" s="1051">
        <f>'[18]FY2012-13 Final'!D55</f>
        <v>4645</v>
      </c>
      <c r="O54" s="1053">
        <f t="shared" si="9"/>
        <v>9290</v>
      </c>
      <c r="P54" s="1118">
        <f t="shared" si="10"/>
        <v>-23.225000000000001</v>
      </c>
      <c r="Q54" s="1053">
        <f t="shared" si="11"/>
        <v>9266.7749999999996</v>
      </c>
      <c r="R54" s="1053">
        <v>0</v>
      </c>
      <c r="S54" s="1053">
        <f t="shared" si="12"/>
        <v>9266.7749999999996</v>
      </c>
      <c r="T54" s="1053">
        <f t="shared" si="13"/>
        <v>772.23124999999993</v>
      </c>
      <c r="U54" s="1054">
        <f t="shared" si="14"/>
        <v>19502.089812624956</v>
      </c>
      <c r="V54" s="1054">
        <f t="shared" si="14"/>
        <v>1625.1741510520797</v>
      </c>
    </row>
    <row r="55" spans="1:22">
      <c r="A55" s="994">
        <v>49</v>
      </c>
      <c r="B55" s="995" t="s">
        <v>142</v>
      </c>
      <c r="C55" s="1196">
        <f>'[2]ALL-Reformatted'!S54</f>
        <v>0</v>
      </c>
      <c r="D55" s="1003">
        <f>'Table 3 Levels 1&amp;2'!BN57+'Table 3 Levels 1&amp;2'!BV57</f>
        <v>4790.0513947378495</v>
      </c>
      <c r="E55" s="1102">
        <f t="shared" si="2"/>
        <v>0</v>
      </c>
      <c r="F55" s="1102">
        <f>'Table 4 Level 3'!N54</f>
        <v>574.43999999999994</v>
      </c>
      <c r="G55" s="1102">
        <f t="shared" si="3"/>
        <v>0</v>
      </c>
      <c r="H55" s="1059">
        <f t="shared" si="4"/>
        <v>0</v>
      </c>
      <c r="I55" s="1112">
        <f t="shared" si="5"/>
        <v>0</v>
      </c>
      <c r="J55" s="1059">
        <f t="shared" si="6"/>
        <v>0</v>
      </c>
      <c r="K55" s="1059">
        <v>0</v>
      </c>
      <c r="L55" s="1059">
        <f t="shared" si="7"/>
        <v>0</v>
      </c>
      <c r="M55" s="1059">
        <f t="shared" si="8"/>
        <v>0</v>
      </c>
      <c r="N55" s="1051">
        <f>'[18]FY2012-13 Final'!D56</f>
        <v>2335</v>
      </c>
      <c r="O55" s="1053">
        <f t="shared" si="9"/>
        <v>0</v>
      </c>
      <c r="P55" s="1118">
        <f t="shared" si="10"/>
        <v>0</v>
      </c>
      <c r="Q55" s="1053">
        <f t="shared" si="11"/>
        <v>0</v>
      </c>
      <c r="R55" s="1053">
        <v>0</v>
      </c>
      <c r="S55" s="1053">
        <f t="shared" si="12"/>
        <v>0</v>
      </c>
      <c r="T55" s="1053">
        <f t="shared" si="13"/>
        <v>0</v>
      </c>
      <c r="U55" s="1054">
        <f t="shared" si="14"/>
        <v>0</v>
      </c>
      <c r="V55" s="1054">
        <f t="shared" si="14"/>
        <v>0</v>
      </c>
    </row>
    <row r="56" spans="1:22">
      <c r="A56" s="998">
        <v>50</v>
      </c>
      <c r="B56" s="999" t="s">
        <v>143</v>
      </c>
      <c r="C56" s="1197">
        <f>'[2]ALL-Reformatted'!S55</f>
        <v>0</v>
      </c>
      <c r="D56" s="1005">
        <f>'Table 3 Levels 1&amp;2'!BN58+'Table 3 Levels 1&amp;2'!BV58</f>
        <v>4954.3375045905796</v>
      </c>
      <c r="E56" s="1103">
        <f t="shared" si="2"/>
        <v>0</v>
      </c>
      <c r="F56" s="1103">
        <f>'Table 4 Level 3'!N55</f>
        <v>634.46</v>
      </c>
      <c r="G56" s="1103">
        <f t="shared" si="3"/>
        <v>0</v>
      </c>
      <c r="H56" s="1060">
        <f t="shared" si="4"/>
        <v>0</v>
      </c>
      <c r="I56" s="1113">
        <f t="shared" si="5"/>
        <v>0</v>
      </c>
      <c r="J56" s="1060">
        <f t="shared" si="6"/>
        <v>0</v>
      </c>
      <c r="K56" s="1060">
        <v>0</v>
      </c>
      <c r="L56" s="1060">
        <f t="shared" si="7"/>
        <v>0</v>
      </c>
      <c r="M56" s="1060">
        <f t="shared" si="8"/>
        <v>0</v>
      </c>
      <c r="N56" s="1056">
        <f>'[18]FY2012-13 Final'!D57</f>
        <v>2131</v>
      </c>
      <c r="O56" s="1057">
        <f t="shared" si="9"/>
        <v>0</v>
      </c>
      <c r="P56" s="1119">
        <f t="shared" si="10"/>
        <v>0</v>
      </c>
      <c r="Q56" s="1057">
        <f t="shared" si="11"/>
        <v>0</v>
      </c>
      <c r="R56" s="1057">
        <v>0</v>
      </c>
      <c r="S56" s="1057">
        <f t="shared" si="12"/>
        <v>0</v>
      </c>
      <c r="T56" s="1057">
        <f t="shared" si="13"/>
        <v>0</v>
      </c>
      <c r="U56" s="1058">
        <f t="shared" si="14"/>
        <v>0</v>
      </c>
      <c r="V56" s="1058">
        <f t="shared" si="14"/>
        <v>0</v>
      </c>
    </row>
    <row r="57" spans="1:22">
      <c r="A57" s="987">
        <v>51</v>
      </c>
      <c r="B57" s="988" t="s">
        <v>144</v>
      </c>
      <c r="C57" s="1198">
        <f>'[2]ALL-Reformatted'!S56</f>
        <v>0</v>
      </c>
      <c r="D57" s="1007">
        <f>'Table 3 Levels 1&amp;2'!BN59+'Table 3 Levels 1&amp;2'!BV59</f>
        <v>4290.3461727150461</v>
      </c>
      <c r="E57" s="1104">
        <f t="shared" si="2"/>
        <v>0</v>
      </c>
      <c r="F57" s="1104">
        <f>'Table 4 Level 3'!N56</f>
        <v>706.66</v>
      </c>
      <c r="G57" s="1104">
        <f t="shared" si="3"/>
        <v>0</v>
      </c>
      <c r="H57" s="1061">
        <f t="shared" si="4"/>
        <v>0</v>
      </c>
      <c r="I57" s="1114">
        <f t="shared" si="5"/>
        <v>0</v>
      </c>
      <c r="J57" s="1061">
        <f t="shared" si="6"/>
        <v>0</v>
      </c>
      <c r="K57" s="1061">
        <v>0</v>
      </c>
      <c r="L57" s="1061">
        <f t="shared" si="7"/>
        <v>0</v>
      </c>
      <c r="M57" s="1061">
        <f t="shared" si="8"/>
        <v>0</v>
      </c>
      <c r="N57" s="1051">
        <f>'[18]FY2012-13 Final'!D58</f>
        <v>3850</v>
      </c>
      <c r="O57" s="992">
        <f t="shared" si="9"/>
        <v>0</v>
      </c>
      <c r="P57" s="1117">
        <f t="shared" si="10"/>
        <v>0</v>
      </c>
      <c r="Q57" s="992">
        <f t="shared" si="11"/>
        <v>0</v>
      </c>
      <c r="R57" s="992">
        <v>0</v>
      </c>
      <c r="S57" s="992">
        <f t="shared" si="12"/>
        <v>0</v>
      </c>
      <c r="T57" s="992">
        <f t="shared" si="13"/>
        <v>0</v>
      </c>
      <c r="U57" s="993">
        <f t="shared" si="14"/>
        <v>0</v>
      </c>
      <c r="V57" s="993">
        <f t="shared" si="14"/>
        <v>0</v>
      </c>
    </row>
    <row r="58" spans="1:22">
      <c r="A58" s="994">
        <v>52</v>
      </c>
      <c r="B58" s="995" t="s">
        <v>145</v>
      </c>
      <c r="C58" s="1196">
        <f>'[2]ALL-Reformatted'!S57</f>
        <v>3</v>
      </c>
      <c r="D58" s="1003">
        <f>'Table 3 Levels 1&amp;2'!BN60+'Table 3 Levels 1&amp;2'!BV60</f>
        <v>4988.6415961118701</v>
      </c>
      <c r="E58" s="1102">
        <f t="shared" si="2"/>
        <v>14965.924788335611</v>
      </c>
      <c r="F58" s="1102">
        <f>'Table 4 Level 3'!N57</f>
        <v>658.37</v>
      </c>
      <c r="G58" s="1102">
        <f t="shared" si="3"/>
        <v>1975.1100000000001</v>
      </c>
      <c r="H58" s="1059">
        <f t="shared" si="4"/>
        <v>16941.034788335612</v>
      </c>
      <c r="I58" s="1112">
        <f t="shared" si="5"/>
        <v>-42.352586970839027</v>
      </c>
      <c r="J58" s="1059">
        <f t="shared" si="6"/>
        <v>16898.682201364772</v>
      </c>
      <c r="K58" s="1059">
        <v>0</v>
      </c>
      <c r="L58" s="1059">
        <f t="shared" si="7"/>
        <v>16898.682201364772</v>
      </c>
      <c r="M58" s="1059">
        <f t="shared" si="8"/>
        <v>1408.2235167803976</v>
      </c>
      <c r="N58" s="1051">
        <f>'[18]FY2012-13 Final'!D59</f>
        <v>4041</v>
      </c>
      <c r="O58" s="1053">
        <f t="shared" si="9"/>
        <v>12123</v>
      </c>
      <c r="P58" s="1118">
        <f t="shared" si="10"/>
        <v>-30.307500000000001</v>
      </c>
      <c r="Q58" s="1053">
        <f t="shared" si="11"/>
        <v>12092.692499999999</v>
      </c>
      <c r="R58" s="1053">
        <v>0</v>
      </c>
      <c r="S58" s="1053">
        <f t="shared" si="12"/>
        <v>12092.692499999999</v>
      </c>
      <c r="T58" s="1053">
        <f t="shared" si="13"/>
        <v>1007.7243749999999</v>
      </c>
      <c r="U58" s="1054">
        <f t="shared" si="14"/>
        <v>28991.374701364774</v>
      </c>
      <c r="V58" s="1054">
        <f t="shared" si="14"/>
        <v>2415.9478917803976</v>
      </c>
    </row>
    <row r="59" spans="1:22">
      <c r="A59" s="994">
        <v>53</v>
      </c>
      <c r="B59" s="995" t="s">
        <v>146</v>
      </c>
      <c r="C59" s="1196">
        <f>'[2]ALL-Reformatted'!S58</f>
        <v>0</v>
      </c>
      <c r="D59" s="1003">
        <f>'Table 3 Levels 1&amp;2'!BN61+'Table 3 Levels 1&amp;2'!BV61</f>
        <v>4739.7077057162423</v>
      </c>
      <c r="E59" s="1102">
        <f t="shared" si="2"/>
        <v>0</v>
      </c>
      <c r="F59" s="1102">
        <f>'Table 4 Level 3'!N58</f>
        <v>689.74</v>
      </c>
      <c r="G59" s="1102">
        <f t="shared" si="3"/>
        <v>0</v>
      </c>
      <c r="H59" s="1059">
        <f t="shared" si="4"/>
        <v>0</v>
      </c>
      <c r="I59" s="1112">
        <f t="shared" si="5"/>
        <v>0</v>
      </c>
      <c r="J59" s="1059">
        <f t="shared" si="6"/>
        <v>0</v>
      </c>
      <c r="K59" s="1059">
        <v>0</v>
      </c>
      <c r="L59" s="1059">
        <f t="shared" si="7"/>
        <v>0</v>
      </c>
      <c r="M59" s="1059">
        <f t="shared" si="8"/>
        <v>0</v>
      </c>
      <c r="N59" s="1051">
        <f>'[18]FY2012-13 Final'!D60</f>
        <v>1422</v>
      </c>
      <c r="O59" s="1053">
        <f t="shared" si="9"/>
        <v>0</v>
      </c>
      <c r="P59" s="1118">
        <f t="shared" si="10"/>
        <v>0</v>
      </c>
      <c r="Q59" s="1053">
        <f t="shared" si="11"/>
        <v>0</v>
      </c>
      <c r="R59" s="1053">
        <v>0</v>
      </c>
      <c r="S59" s="1053">
        <f t="shared" si="12"/>
        <v>0</v>
      </c>
      <c r="T59" s="1053">
        <f t="shared" si="13"/>
        <v>0</v>
      </c>
      <c r="U59" s="1054">
        <f t="shared" si="14"/>
        <v>0</v>
      </c>
      <c r="V59" s="1054">
        <f t="shared" si="14"/>
        <v>0</v>
      </c>
    </row>
    <row r="60" spans="1:22">
      <c r="A60" s="994">
        <v>54</v>
      </c>
      <c r="B60" s="995" t="s">
        <v>147</v>
      </c>
      <c r="C60" s="1196">
        <f>'[2]ALL-Reformatted'!S59</f>
        <v>0</v>
      </c>
      <c r="D60" s="1003">
        <f>'Table 3 Levels 1&amp;2'!BN62+'Table 3 Levels 1&amp;2'!BV62</f>
        <v>5907.1276437932838</v>
      </c>
      <c r="E60" s="1102">
        <f t="shared" si="2"/>
        <v>0</v>
      </c>
      <c r="F60" s="1102">
        <f>'Table 4 Level 3'!N59</f>
        <v>951.45</v>
      </c>
      <c r="G60" s="1102">
        <f t="shared" si="3"/>
        <v>0</v>
      </c>
      <c r="H60" s="1059">
        <f t="shared" si="4"/>
        <v>0</v>
      </c>
      <c r="I60" s="1112">
        <f t="shared" si="5"/>
        <v>0</v>
      </c>
      <c r="J60" s="1059">
        <f t="shared" si="6"/>
        <v>0</v>
      </c>
      <c r="K60" s="1059">
        <v>0</v>
      </c>
      <c r="L60" s="1059">
        <f t="shared" si="7"/>
        <v>0</v>
      </c>
      <c r="M60" s="1059">
        <f t="shared" si="8"/>
        <v>0</v>
      </c>
      <c r="N60" s="1051">
        <f>'[18]FY2012-13 Final'!D61</f>
        <v>3382</v>
      </c>
      <c r="O60" s="1053">
        <f t="shared" si="9"/>
        <v>0</v>
      </c>
      <c r="P60" s="1118">
        <f t="shared" si="10"/>
        <v>0</v>
      </c>
      <c r="Q60" s="1053">
        <f t="shared" si="11"/>
        <v>0</v>
      </c>
      <c r="R60" s="1053">
        <v>0</v>
      </c>
      <c r="S60" s="1053">
        <f t="shared" si="12"/>
        <v>0</v>
      </c>
      <c r="T60" s="1053">
        <f t="shared" si="13"/>
        <v>0</v>
      </c>
      <c r="U60" s="1054">
        <f t="shared" si="14"/>
        <v>0</v>
      </c>
      <c r="V60" s="1054">
        <f t="shared" si="14"/>
        <v>0</v>
      </c>
    </row>
    <row r="61" spans="1:22">
      <c r="A61" s="998">
        <v>55</v>
      </c>
      <c r="B61" s="999" t="s">
        <v>148</v>
      </c>
      <c r="C61" s="1197">
        <f>'[2]ALL-Reformatted'!S60</f>
        <v>0</v>
      </c>
      <c r="D61" s="1005">
        <f>'Table 3 Levels 1&amp;2'!BN63+'Table 3 Levels 1&amp;2'!BV63</f>
        <v>4115.0954812679902</v>
      </c>
      <c r="E61" s="1103">
        <f t="shared" si="2"/>
        <v>0</v>
      </c>
      <c r="F61" s="1103">
        <f>'Table 4 Level 3'!N60</f>
        <v>795.14</v>
      </c>
      <c r="G61" s="1103">
        <f t="shared" si="3"/>
        <v>0</v>
      </c>
      <c r="H61" s="1060">
        <f t="shared" si="4"/>
        <v>0</v>
      </c>
      <c r="I61" s="1113">
        <f t="shared" si="5"/>
        <v>0</v>
      </c>
      <c r="J61" s="1060">
        <f t="shared" si="6"/>
        <v>0</v>
      </c>
      <c r="K61" s="1060">
        <v>0</v>
      </c>
      <c r="L61" s="1060">
        <f t="shared" si="7"/>
        <v>0</v>
      </c>
      <c r="M61" s="1060">
        <f t="shared" si="8"/>
        <v>0</v>
      </c>
      <c r="N61" s="1056">
        <f>'[18]FY2012-13 Final'!D62</f>
        <v>3127</v>
      </c>
      <c r="O61" s="1057">
        <f t="shared" si="9"/>
        <v>0</v>
      </c>
      <c r="P61" s="1119">
        <f t="shared" si="10"/>
        <v>0</v>
      </c>
      <c r="Q61" s="1057">
        <f t="shared" si="11"/>
        <v>0</v>
      </c>
      <c r="R61" s="1057">
        <v>0</v>
      </c>
      <c r="S61" s="1057">
        <f t="shared" si="12"/>
        <v>0</v>
      </c>
      <c r="T61" s="1057">
        <f t="shared" si="13"/>
        <v>0</v>
      </c>
      <c r="U61" s="1058">
        <f t="shared" si="14"/>
        <v>0</v>
      </c>
      <c r="V61" s="1058">
        <f t="shared" si="14"/>
        <v>0</v>
      </c>
    </row>
    <row r="62" spans="1:22">
      <c r="A62" s="987">
        <v>56</v>
      </c>
      <c r="B62" s="988" t="s">
        <v>149</v>
      </c>
      <c r="C62" s="1198">
        <f>'[2]ALL-Reformatted'!S61</f>
        <v>0</v>
      </c>
      <c r="D62" s="1007">
        <f>'Table 3 Levels 1&amp;2'!BN64+'Table 3 Levels 1&amp;2'!BV64</f>
        <v>4924.9032059941637</v>
      </c>
      <c r="E62" s="1104">
        <f t="shared" si="2"/>
        <v>0</v>
      </c>
      <c r="F62" s="1104">
        <f>'Table 4 Level 3'!N61</f>
        <v>614.66000000000008</v>
      </c>
      <c r="G62" s="1104">
        <f t="shared" si="3"/>
        <v>0</v>
      </c>
      <c r="H62" s="1061">
        <f t="shared" si="4"/>
        <v>0</v>
      </c>
      <c r="I62" s="1114">
        <f t="shared" si="5"/>
        <v>0</v>
      </c>
      <c r="J62" s="1061">
        <f t="shared" si="6"/>
        <v>0</v>
      </c>
      <c r="K62" s="1061">
        <v>0</v>
      </c>
      <c r="L62" s="1061">
        <f t="shared" si="7"/>
        <v>0</v>
      </c>
      <c r="M62" s="1061">
        <f t="shared" si="8"/>
        <v>0</v>
      </c>
      <c r="N62" s="1051">
        <f>'[18]FY2012-13 Final'!D63</f>
        <v>2768</v>
      </c>
      <c r="O62" s="992">
        <f t="shared" si="9"/>
        <v>0</v>
      </c>
      <c r="P62" s="1117">
        <f t="shared" si="10"/>
        <v>0</v>
      </c>
      <c r="Q62" s="992">
        <f t="shared" si="11"/>
        <v>0</v>
      </c>
      <c r="R62" s="992">
        <v>0</v>
      </c>
      <c r="S62" s="992">
        <f t="shared" si="12"/>
        <v>0</v>
      </c>
      <c r="T62" s="992">
        <f t="shared" si="13"/>
        <v>0</v>
      </c>
      <c r="U62" s="993">
        <f t="shared" si="14"/>
        <v>0</v>
      </c>
      <c r="V62" s="993">
        <f t="shared" si="14"/>
        <v>0</v>
      </c>
    </row>
    <row r="63" spans="1:22">
      <c r="A63" s="994">
        <v>57</v>
      </c>
      <c r="B63" s="995" t="s">
        <v>150</v>
      </c>
      <c r="C63" s="1196">
        <f>'[2]ALL-Reformatted'!S62</f>
        <v>0</v>
      </c>
      <c r="D63" s="1003">
        <f>'Table 3 Levels 1&amp;2'!BN65+'Table 3 Levels 1&amp;2'!BV65</f>
        <v>4434.5516744018987</v>
      </c>
      <c r="E63" s="1102">
        <f t="shared" si="2"/>
        <v>0</v>
      </c>
      <c r="F63" s="1102">
        <f>'Table 4 Level 3'!N62</f>
        <v>764.51</v>
      </c>
      <c r="G63" s="1102">
        <f t="shared" si="3"/>
        <v>0</v>
      </c>
      <c r="H63" s="1059">
        <f t="shared" si="4"/>
        <v>0</v>
      </c>
      <c r="I63" s="1112">
        <f t="shared" si="5"/>
        <v>0</v>
      </c>
      <c r="J63" s="1059">
        <f t="shared" si="6"/>
        <v>0</v>
      </c>
      <c r="K63" s="1059">
        <v>0</v>
      </c>
      <c r="L63" s="1059">
        <f t="shared" si="7"/>
        <v>0</v>
      </c>
      <c r="M63" s="1059">
        <f t="shared" si="8"/>
        <v>0</v>
      </c>
      <c r="N63" s="1051">
        <f>'[18]FY2012-13 Final'!D64</f>
        <v>2987</v>
      </c>
      <c r="O63" s="1053">
        <f t="shared" si="9"/>
        <v>0</v>
      </c>
      <c r="P63" s="1118">
        <f t="shared" si="10"/>
        <v>0</v>
      </c>
      <c r="Q63" s="1053">
        <f t="shared" si="11"/>
        <v>0</v>
      </c>
      <c r="R63" s="1053">
        <v>0</v>
      </c>
      <c r="S63" s="1053">
        <f t="shared" si="12"/>
        <v>0</v>
      </c>
      <c r="T63" s="1053">
        <f t="shared" si="13"/>
        <v>0</v>
      </c>
      <c r="U63" s="1054">
        <f t="shared" si="14"/>
        <v>0</v>
      </c>
      <c r="V63" s="1054">
        <f t="shared" si="14"/>
        <v>0</v>
      </c>
    </row>
    <row r="64" spans="1:22">
      <c r="A64" s="994">
        <v>58</v>
      </c>
      <c r="B64" s="995" t="s">
        <v>151</v>
      </c>
      <c r="C64" s="1196">
        <f>'[2]ALL-Reformatted'!S63</f>
        <v>0</v>
      </c>
      <c r="D64" s="1003">
        <f>'Table 3 Levels 1&amp;2'!BN66+'Table 3 Levels 1&amp;2'!BV66</f>
        <v>5434.7170435013286</v>
      </c>
      <c r="E64" s="1102">
        <f t="shared" si="2"/>
        <v>0</v>
      </c>
      <c r="F64" s="1102">
        <f>'Table 4 Level 3'!N63</f>
        <v>697.04</v>
      </c>
      <c r="G64" s="1102">
        <f t="shared" si="3"/>
        <v>0</v>
      </c>
      <c r="H64" s="1059">
        <f t="shared" si="4"/>
        <v>0</v>
      </c>
      <c r="I64" s="1112">
        <f t="shared" si="5"/>
        <v>0</v>
      </c>
      <c r="J64" s="1059">
        <f t="shared" si="6"/>
        <v>0</v>
      </c>
      <c r="K64" s="1059">
        <v>0</v>
      </c>
      <c r="L64" s="1059">
        <f t="shared" si="7"/>
        <v>0</v>
      </c>
      <c r="M64" s="1059">
        <f t="shared" si="8"/>
        <v>0</v>
      </c>
      <c r="N64" s="1051">
        <f>'[18]FY2012-13 Final'!D65</f>
        <v>1657</v>
      </c>
      <c r="O64" s="1053">
        <f t="shared" si="9"/>
        <v>0</v>
      </c>
      <c r="P64" s="1118">
        <f t="shared" si="10"/>
        <v>0</v>
      </c>
      <c r="Q64" s="1053">
        <f t="shared" si="11"/>
        <v>0</v>
      </c>
      <c r="R64" s="1053">
        <v>0</v>
      </c>
      <c r="S64" s="1053">
        <f t="shared" si="12"/>
        <v>0</v>
      </c>
      <c r="T64" s="1053">
        <f t="shared" si="13"/>
        <v>0</v>
      </c>
      <c r="U64" s="1054">
        <f t="shared" si="14"/>
        <v>0</v>
      </c>
      <c r="V64" s="1054">
        <f t="shared" si="14"/>
        <v>0</v>
      </c>
    </row>
    <row r="65" spans="1:22">
      <c r="A65" s="994">
        <v>59</v>
      </c>
      <c r="B65" s="995" t="s">
        <v>152</v>
      </c>
      <c r="C65" s="1196">
        <f>'[2]ALL-Reformatted'!S64</f>
        <v>0</v>
      </c>
      <c r="D65" s="1003">
        <f>'Table 3 Levels 1&amp;2'!BN67+'Table 3 Levels 1&amp;2'!BV67</f>
        <v>6252.2385330184643</v>
      </c>
      <c r="E65" s="1102">
        <f t="shared" si="2"/>
        <v>0</v>
      </c>
      <c r="F65" s="1102">
        <f>'Table 4 Level 3'!N64</f>
        <v>689.52</v>
      </c>
      <c r="G65" s="1102">
        <f t="shared" si="3"/>
        <v>0</v>
      </c>
      <c r="H65" s="1059">
        <f t="shared" si="4"/>
        <v>0</v>
      </c>
      <c r="I65" s="1112">
        <f t="shared" si="5"/>
        <v>0</v>
      </c>
      <c r="J65" s="1059">
        <f t="shared" si="6"/>
        <v>0</v>
      </c>
      <c r="K65" s="1059">
        <v>0</v>
      </c>
      <c r="L65" s="1059">
        <f t="shared" si="7"/>
        <v>0</v>
      </c>
      <c r="M65" s="1059">
        <f t="shared" si="8"/>
        <v>0</v>
      </c>
      <c r="N65" s="1051">
        <f>'[18]FY2012-13 Final'!D66</f>
        <v>1105</v>
      </c>
      <c r="O65" s="1053">
        <f t="shared" si="9"/>
        <v>0</v>
      </c>
      <c r="P65" s="1118">
        <f t="shared" si="10"/>
        <v>0</v>
      </c>
      <c r="Q65" s="1053">
        <f t="shared" si="11"/>
        <v>0</v>
      </c>
      <c r="R65" s="1053">
        <v>0</v>
      </c>
      <c r="S65" s="1053">
        <f t="shared" si="12"/>
        <v>0</v>
      </c>
      <c r="T65" s="1053">
        <f t="shared" si="13"/>
        <v>0</v>
      </c>
      <c r="U65" s="1054">
        <f t="shared" si="14"/>
        <v>0</v>
      </c>
      <c r="V65" s="1054">
        <f t="shared" si="14"/>
        <v>0</v>
      </c>
    </row>
    <row r="66" spans="1:22">
      <c r="A66" s="998">
        <v>60</v>
      </c>
      <c r="B66" s="999" t="s">
        <v>153</v>
      </c>
      <c r="C66" s="1197">
        <f>'[2]ALL-Reformatted'!S65</f>
        <v>0</v>
      </c>
      <c r="D66" s="1005">
        <f>'Table 3 Levels 1&amp;2'!BN68+'Table 3 Levels 1&amp;2'!BV68</f>
        <v>4902.6575100268701</v>
      </c>
      <c r="E66" s="1103">
        <f t="shared" si="2"/>
        <v>0</v>
      </c>
      <c r="F66" s="1103">
        <f>'Table 4 Level 3'!N65</f>
        <v>594.04</v>
      </c>
      <c r="G66" s="1103">
        <f t="shared" si="3"/>
        <v>0</v>
      </c>
      <c r="H66" s="1060">
        <f t="shared" si="4"/>
        <v>0</v>
      </c>
      <c r="I66" s="1113">
        <f t="shared" si="5"/>
        <v>0</v>
      </c>
      <c r="J66" s="1060">
        <f t="shared" si="6"/>
        <v>0</v>
      </c>
      <c r="K66" s="1060">
        <v>0</v>
      </c>
      <c r="L66" s="1060">
        <f t="shared" si="7"/>
        <v>0</v>
      </c>
      <c r="M66" s="1060">
        <f t="shared" si="8"/>
        <v>0</v>
      </c>
      <c r="N66" s="1056">
        <f>'[18]FY2012-13 Final'!D67</f>
        <v>2808</v>
      </c>
      <c r="O66" s="1057">
        <f t="shared" si="9"/>
        <v>0</v>
      </c>
      <c r="P66" s="1119">
        <f t="shared" si="10"/>
        <v>0</v>
      </c>
      <c r="Q66" s="1057">
        <f t="shared" si="11"/>
        <v>0</v>
      </c>
      <c r="R66" s="1057">
        <v>0</v>
      </c>
      <c r="S66" s="1057">
        <f t="shared" si="12"/>
        <v>0</v>
      </c>
      <c r="T66" s="1057">
        <f t="shared" si="13"/>
        <v>0</v>
      </c>
      <c r="U66" s="1058">
        <f t="shared" si="14"/>
        <v>0</v>
      </c>
      <c r="V66" s="1058">
        <f t="shared" si="14"/>
        <v>0</v>
      </c>
    </row>
    <row r="67" spans="1:22">
      <c r="A67" s="987">
        <v>61</v>
      </c>
      <c r="B67" s="988" t="s">
        <v>154</v>
      </c>
      <c r="C67" s="1198">
        <f>'[2]ALL-Reformatted'!S66</f>
        <v>0</v>
      </c>
      <c r="D67" s="1007">
        <f>'Table 3 Levels 1&amp;2'!BN69+'Table 3 Levels 1&amp;2'!BV69</f>
        <v>2872.7719101339244</v>
      </c>
      <c r="E67" s="1104">
        <f t="shared" si="2"/>
        <v>0</v>
      </c>
      <c r="F67" s="1104">
        <f>'Table 4 Level 3'!N66</f>
        <v>833.70999999999992</v>
      </c>
      <c r="G67" s="1104">
        <f t="shared" si="3"/>
        <v>0</v>
      </c>
      <c r="H67" s="1061">
        <f t="shared" si="4"/>
        <v>0</v>
      </c>
      <c r="I67" s="1114">
        <f t="shared" si="5"/>
        <v>0</v>
      </c>
      <c r="J67" s="1061">
        <f t="shared" si="6"/>
        <v>0</v>
      </c>
      <c r="K67" s="1061">
        <v>0</v>
      </c>
      <c r="L67" s="1061">
        <f t="shared" si="7"/>
        <v>0</v>
      </c>
      <c r="M67" s="1061">
        <f t="shared" si="8"/>
        <v>0</v>
      </c>
      <c r="N67" s="1051">
        <f>'[18]FY2012-13 Final'!D68</f>
        <v>6300</v>
      </c>
      <c r="O67" s="992">
        <f t="shared" si="9"/>
        <v>0</v>
      </c>
      <c r="P67" s="1117">
        <f t="shared" si="10"/>
        <v>0</v>
      </c>
      <c r="Q67" s="992">
        <f t="shared" si="11"/>
        <v>0</v>
      </c>
      <c r="R67" s="992">
        <v>0</v>
      </c>
      <c r="S67" s="992">
        <f t="shared" si="12"/>
        <v>0</v>
      </c>
      <c r="T67" s="992">
        <f t="shared" si="13"/>
        <v>0</v>
      </c>
      <c r="U67" s="993">
        <f t="shared" si="14"/>
        <v>0</v>
      </c>
      <c r="V67" s="993">
        <f t="shared" si="14"/>
        <v>0</v>
      </c>
    </row>
    <row r="68" spans="1:22">
      <c r="A68" s="994">
        <v>62</v>
      </c>
      <c r="B68" s="995" t="s">
        <v>155</v>
      </c>
      <c r="C68" s="1196">
        <f>'[2]ALL-Reformatted'!S67</f>
        <v>0</v>
      </c>
      <c r="D68" s="1003">
        <f>'Table 3 Levels 1&amp;2'!BN70+'Table 3 Levels 1&amp;2'!BV70</f>
        <v>5594.25143978908</v>
      </c>
      <c r="E68" s="1102">
        <f t="shared" si="2"/>
        <v>0</v>
      </c>
      <c r="F68" s="1102">
        <f>'Table 4 Level 3'!N67</f>
        <v>516.08000000000004</v>
      </c>
      <c r="G68" s="1102">
        <f t="shared" si="3"/>
        <v>0</v>
      </c>
      <c r="H68" s="1059">
        <f t="shared" si="4"/>
        <v>0</v>
      </c>
      <c r="I68" s="1112">
        <f t="shared" si="5"/>
        <v>0</v>
      </c>
      <c r="J68" s="1059">
        <f t="shared" si="6"/>
        <v>0</v>
      </c>
      <c r="K68" s="1059">
        <v>0</v>
      </c>
      <c r="L68" s="1059">
        <f t="shared" si="7"/>
        <v>0</v>
      </c>
      <c r="M68" s="1059">
        <f t="shared" si="8"/>
        <v>0</v>
      </c>
      <c r="N68" s="1051">
        <f>'[18]FY2012-13 Final'!D69</f>
        <v>1754</v>
      </c>
      <c r="O68" s="1053">
        <f t="shared" si="9"/>
        <v>0</v>
      </c>
      <c r="P68" s="1118">
        <f t="shared" si="10"/>
        <v>0</v>
      </c>
      <c r="Q68" s="1053">
        <f t="shared" si="11"/>
        <v>0</v>
      </c>
      <c r="R68" s="1053">
        <v>0</v>
      </c>
      <c r="S68" s="1053">
        <f t="shared" si="12"/>
        <v>0</v>
      </c>
      <c r="T68" s="1053">
        <f t="shared" si="13"/>
        <v>0</v>
      </c>
      <c r="U68" s="1054">
        <f t="shared" si="14"/>
        <v>0</v>
      </c>
      <c r="V68" s="1054">
        <f t="shared" si="14"/>
        <v>0</v>
      </c>
    </row>
    <row r="69" spans="1:22">
      <c r="A69" s="994">
        <v>63</v>
      </c>
      <c r="B69" s="995" t="s">
        <v>156</v>
      </c>
      <c r="C69" s="1196">
        <f>'[2]ALL-Reformatted'!S68</f>
        <v>0</v>
      </c>
      <c r="D69" s="1003">
        <f>'Table 3 Levels 1&amp;2'!BN71+'Table 3 Levels 1&amp;2'!BV71</f>
        <v>4318.8609300898834</v>
      </c>
      <c r="E69" s="1102">
        <f t="shared" si="2"/>
        <v>0</v>
      </c>
      <c r="F69" s="1102">
        <f>'Table 4 Level 3'!N68</f>
        <v>756.79</v>
      </c>
      <c r="G69" s="1102">
        <f t="shared" si="3"/>
        <v>0</v>
      </c>
      <c r="H69" s="1059">
        <f t="shared" si="4"/>
        <v>0</v>
      </c>
      <c r="I69" s="1112">
        <f t="shared" si="5"/>
        <v>0</v>
      </c>
      <c r="J69" s="1059">
        <f t="shared" si="6"/>
        <v>0</v>
      </c>
      <c r="K69" s="1059">
        <v>0</v>
      </c>
      <c r="L69" s="1059">
        <f t="shared" si="7"/>
        <v>0</v>
      </c>
      <c r="M69" s="1059">
        <f t="shared" si="8"/>
        <v>0</v>
      </c>
      <c r="N69" s="1051">
        <f>'[18]FY2012-13 Final'!D70</f>
        <v>6670</v>
      </c>
      <c r="O69" s="1053">
        <f t="shared" si="9"/>
        <v>0</v>
      </c>
      <c r="P69" s="1118">
        <f t="shared" si="10"/>
        <v>0</v>
      </c>
      <c r="Q69" s="1053">
        <f t="shared" si="11"/>
        <v>0</v>
      </c>
      <c r="R69" s="1053">
        <v>0</v>
      </c>
      <c r="S69" s="1053">
        <f t="shared" si="12"/>
        <v>0</v>
      </c>
      <c r="T69" s="1053">
        <f t="shared" si="13"/>
        <v>0</v>
      </c>
      <c r="U69" s="1054">
        <f t="shared" si="14"/>
        <v>0</v>
      </c>
      <c r="V69" s="1054">
        <f t="shared" si="14"/>
        <v>0</v>
      </c>
    </row>
    <row r="70" spans="1:22">
      <c r="A70" s="994">
        <v>64</v>
      </c>
      <c r="B70" s="995" t="s">
        <v>157</v>
      </c>
      <c r="C70" s="1196">
        <f>'[2]ALL-Reformatted'!S69</f>
        <v>0</v>
      </c>
      <c r="D70" s="1003">
        <f>'Table 3 Levels 1&amp;2'!BN72+'Table 3 Levels 1&amp;2'!BV72</f>
        <v>5921.7418933384488</v>
      </c>
      <c r="E70" s="1102">
        <f t="shared" si="2"/>
        <v>0</v>
      </c>
      <c r="F70" s="1102">
        <f>'Table 4 Level 3'!N69</f>
        <v>592.66</v>
      </c>
      <c r="G70" s="1102">
        <f t="shared" si="3"/>
        <v>0</v>
      </c>
      <c r="H70" s="1059">
        <f t="shared" si="4"/>
        <v>0</v>
      </c>
      <c r="I70" s="1112">
        <f t="shared" si="5"/>
        <v>0</v>
      </c>
      <c r="J70" s="1059">
        <f t="shared" si="6"/>
        <v>0</v>
      </c>
      <c r="K70" s="1059">
        <v>0</v>
      </c>
      <c r="L70" s="1059">
        <f t="shared" si="7"/>
        <v>0</v>
      </c>
      <c r="M70" s="1059">
        <f t="shared" si="8"/>
        <v>0</v>
      </c>
      <c r="N70" s="1051">
        <f>'[18]FY2012-13 Final'!D71</f>
        <v>2130</v>
      </c>
      <c r="O70" s="1053">
        <f t="shared" si="9"/>
        <v>0</v>
      </c>
      <c r="P70" s="1118">
        <f t="shared" si="10"/>
        <v>0</v>
      </c>
      <c r="Q70" s="1053">
        <f t="shared" si="11"/>
        <v>0</v>
      </c>
      <c r="R70" s="1053">
        <v>0</v>
      </c>
      <c r="S70" s="1053">
        <f t="shared" si="12"/>
        <v>0</v>
      </c>
      <c r="T70" s="1053">
        <f t="shared" si="13"/>
        <v>0</v>
      </c>
      <c r="U70" s="1054">
        <f t="shared" si="14"/>
        <v>0</v>
      </c>
      <c r="V70" s="1054">
        <f t="shared" si="14"/>
        <v>0</v>
      </c>
    </row>
    <row r="71" spans="1:22">
      <c r="A71" s="998">
        <v>65</v>
      </c>
      <c r="B71" s="999" t="s">
        <v>158</v>
      </c>
      <c r="C71" s="1197">
        <f>'[2]ALL-Reformatted'!S70</f>
        <v>0</v>
      </c>
      <c r="D71" s="1005">
        <f>'Table 3 Levels 1&amp;2'!BN73+'Table 3 Levels 1&amp;2'!BV73</f>
        <v>4578.9201269671275</v>
      </c>
      <c r="E71" s="1103">
        <f t="shared" si="2"/>
        <v>0</v>
      </c>
      <c r="F71" s="1103">
        <f>'Table 4 Level 3'!N70</f>
        <v>829.12</v>
      </c>
      <c r="G71" s="1103">
        <f t="shared" si="3"/>
        <v>0</v>
      </c>
      <c r="H71" s="1060">
        <f t="shared" si="4"/>
        <v>0</v>
      </c>
      <c r="I71" s="1113">
        <f t="shared" si="5"/>
        <v>0</v>
      </c>
      <c r="J71" s="1060">
        <f t="shared" si="6"/>
        <v>0</v>
      </c>
      <c r="K71" s="1060">
        <v>0</v>
      </c>
      <c r="L71" s="1060">
        <f t="shared" si="7"/>
        <v>0</v>
      </c>
      <c r="M71" s="1060">
        <f t="shared" si="8"/>
        <v>0</v>
      </c>
      <c r="N71" s="1056">
        <f>'[18]FY2012-13 Final'!D72</f>
        <v>4144</v>
      </c>
      <c r="O71" s="1057">
        <f t="shared" si="9"/>
        <v>0</v>
      </c>
      <c r="P71" s="1119">
        <f t="shared" si="10"/>
        <v>0</v>
      </c>
      <c r="Q71" s="1057">
        <f t="shared" si="11"/>
        <v>0</v>
      </c>
      <c r="R71" s="1057">
        <v>0</v>
      </c>
      <c r="S71" s="1057">
        <f t="shared" si="12"/>
        <v>0</v>
      </c>
      <c r="T71" s="1057">
        <f t="shared" si="13"/>
        <v>0</v>
      </c>
      <c r="U71" s="1058">
        <f t="shared" si="14"/>
        <v>0</v>
      </c>
      <c r="V71" s="1058">
        <f t="shared" si="14"/>
        <v>0</v>
      </c>
    </row>
    <row r="72" spans="1:22">
      <c r="A72" s="987">
        <v>66</v>
      </c>
      <c r="B72" s="988" t="s">
        <v>159</v>
      </c>
      <c r="C72" s="1198">
        <f>'[2]ALL-Reformatted'!S71</f>
        <v>0</v>
      </c>
      <c r="D72" s="1007">
        <f>'Table 3 Levels 1&amp;2'!BN74+'Table 3 Levels 1&amp;2'!BV74</f>
        <v>6340.8763293271122</v>
      </c>
      <c r="E72" s="1104">
        <f t="shared" ref="E72:E75" si="15">C72*D72</f>
        <v>0</v>
      </c>
      <c r="F72" s="1104">
        <f>'Table 4 Level 3'!N71</f>
        <v>730.06</v>
      </c>
      <c r="G72" s="1104">
        <f t="shared" ref="G72:G75" si="16">C72*F72</f>
        <v>0</v>
      </c>
      <c r="H72" s="1061">
        <f t="shared" ref="H72:H75" si="17">E72+G72</f>
        <v>0</v>
      </c>
      <c r="I72" s="1114">
        <f t="shared" ref="I72:I75" si="18">-(0.25%*H72)</f>
        <v>0</v>
      </c>
      <c r="J72" s="1061">
        <f t="shared" ref="J72:J75" si="19">SUM(H72:I72)</f>
        <v>0</v>
      </c>
      <c r="K72" s="1061">
        <v>0</v>
      </c>
      <c r="L72" s="1061">
        <f t="shared" ref="L72:L75" si="20">SUM(J72:K72)</f>
        <v>0</v>
      </c>
      <c r="M72" s="1061">
        <f t="shared" ref="M72:M75" si="21">L72/12</f>
        <v>0</v>
      </c>
      <c r="N72" s="1051">
        <f>'[18]FY2012-13 Final'!D73</f>
        <v>3516</v>
      </c>
      <c r="O72" s="992">
        <f t="shared" ref="O72:O75" si="22">C72*N72</f>
        <v>0</v>
      </c>
      <c r="P72" s="1117">
        <f t="shared" ref="P72:P75" si="23">-(0.25%*O72)</f>
        <v>0</v>
      </c>
      <c r="Q72" s="992">
        <f t="shared" ref="Q72:Q75" si="24">SUM(O72:P72)</f>
        <v>0</v>
      </c>
      <c r="R72" s="992">
        <v>0</v>
      </c>
      <c r="S72" s="992">
        <f t="shared" ref="S72:S75" si="25">SUM(Q72:R72)</f>
        <v>0</v>
      </c>
      <c r="T72" s="992">
        <f t="shared" ref="T72:T75" si="26">S72/12</f>
        <v>0</v>
      </c>
      <c r="U72" s="993">
        <f t="shared" ref="U72:V75" si="27">L72+S72</f>
        <v>0</v>
      </c>
      <c r="V72" s="993">
        <f t="shared" si="27"/>
        <v>0</v>
      </c>
    </row>
    <row r="73" spans="1:22">
      <c r="A73" s="994">
        <v>67</v>
      </c>
      <c r="B73" s="995" t="s">
        <v>32</v>
      </c>
      <c r="C73" s="1196">
        <f>'[2]ALL-Reformatted'!S72</f>
        <v>0</v>
      </c>
      <c r="D73" s="1003">
        <f>'Table 3 Levels 1&amp;2'!BN75+'Table 3 Levels 1&amp;2'!BV75</f>
        <v>4984.1100297034172</v>
      </c>
      <c r="E73" s="1102">
        <f t="shared" si="15"/>
        <v>0</v>
      </c>
      <c r="F73" s="1102">
        <f>'Table 4 Level 3'!N72</f>
        <v>715.61</v>
      </c>
      <c r="G73" s="1102">
        <f t="shared" si="16"/>
        <v>0</v>
      </c>
      <c r="H73" s="1059">
        <f t="shared" si="17"/>
        <v>0</v>
      </c>
      <c r="I73" s="1112">
        <f t="shared" si="18"/>
        <v>0</v>
      </c>
      <c r="J73" s="1059">
        <f t="shared" si="19"/>
        <v>0</v>
      </c>
      <c r="K73" s="1059">
        <v>0</v>
      </c>
      <c r="L73" s="1059">
        <f t="shared" si="20"/>
        <v>0</v>
      </c>
      <c r="M73" s="1059">
        <f t="shared" si="21"/>
        <v>0</v>
      </c>
      <c r="N73" s="1051">
        <f>'[18]FY2012-13 Final'!D74</f>
        <v>3737</v>
      </c>
      <c r="O73" s="1053">
        <f t="shared" si="22"/>
        <v>0</v>
      </c>
      <c r="P73" s="1118">
        <f t="shared" si="23"/>
        <v>0</v>
      </c>
      <c r="Q73" s="1053">
        <f t="shared" si="24"/>
        <v>0</v>
      </c>
      <c r="R73" s="1053">
        <v>0</v>
      </c>
      <c r="S73" s="1053">
        <f t="shared" si="25"/>
        <v>0</v>
      </c>
      <c r="T73" s="1053">
        <f t="shared" si="26"/>
        <v>0</v>
      </c>
      <c r="U73" s="1054">
        <f t="shared" si="27"/>
        <v>0</v>
      </c>
      <c r="V73" s="1054">
        <f t="shared" si="27"/>
        <v>0</v>
      </c>
    </row>
    <row r="74" spans="1:22">
      <c r="A74" s="994">
        <v>68</v>
      </c>
      <c r="B74" s="995" t="s">
        <v>30</v>
      </c>
      <c r="C74" s="1196">
        <f>'[2]ALL-Reformatted'!S73</f>
        <v>0</v>
      </c>
      <c r="D74" s="1003">
        <f>'Table 3 Levels 1&amp;2'!BN76+'Table 3 Levels 1&amp;2'!BV76</f>
        <v>6012.7854305239725</v>
      </c>
      <c r="E74" s="1102">
        <f t="shared" si="15"/>
        <v>0</v>
      </c>
      <c r="F74" s="1102">
        <f>'Table 4 Level 3'!N73</f>
        <v>798.7</v>
      </c>
      <c r="G74" s="1102">
        <f t="shared" si="16"/>
        <v>0</v>
      </c>
      <c r="H74" s="1059">
        <f t="shared" si="17"/>
        <v>0</v>
      </c>
      <c r="I74" s="1112">
        <f t="shared" si="18"/>
        <v>0</v>
      </c>
      <c r="J74" s="1059">
        <f t="shared" si="19"/>
        <v>0</v>
      </c>
      <c r="K74" s="1059">
        <v>0</v>
      </c>
      <c r="L74" s="1059">
        <f t="shared" si="20"/>
        <v>0</v>
      </c>
      <c r="M74" s="1059">
        <f t="shared" si="21"/>
        <v>0</v>
      </c>
      <c r="N74" s="1051">
        <f>'[18]FY2012-13 Final'!D75</f>
        <v>2763</v>
      </c>
      <c r="O74" s="1053">
        <f t="shared" si="22"/>
        <v>0</v>
      </c>
      <c r="P74" s="1118">
        <f t="shared" si="23"/>
        <v>0</v>
      </c>
      <c r="Q74" s="1053">
        <f t="shared" si="24"/>
        <v>0</v>
      </c>
      <c r="R74" s="1053">
        <v>0</v>
      </c>
      <c r="S74" s="1053">
        <f t="shared" si="25"/>
        <v>0</v>
      </c>
      <c r="T74" s="1053">
        <f t="shared" si="26"/>
        <v>0</v>
      </c>
      <c r="U74" s="1054">
        <f t="shared" si="27"/>
        <v>0</v>
      </c>
      <c r="V74" s="1054">
        <f t="shared" si="27"/>
        <v>0</v>
      </c>
    </row>
    <row r="75" spans="1:22">
      <c r="A75" s="1008">
        <v>69</v>
      </c>
      <c r="B75" s="1009" t="s">
        <v>213</v>
      </c>
      <c r="C75" s="1199">
        <f>'[2]ALL-Reformatted'!S74</f>
        <v>0</v>
      </c>
      <c r="D75" s="1011">
        <f>'Table 3 Levels 1&amp;2'!BN77+'Table 3 Levels 1&amp;2'!BV77</f>
        <v>5559.7139008686299</v>
      </c>
      <c r="E75" s="1105">
        <f t="shared" si="15"/>
        <v>0</v>
      </c>
      <c r="F75" s="1105">
        <f>'Table 4 Level 3'!N74</f>
        <v>705.67</v>
      </c>
      <c r="G75" s="1105">
        <f t="shared" si="16"/>
        <v>0</v>
      </c>
      <c r="H75" s="1062">
        <f t="shared" si="17"/>
        <v>0</v>
      </c>
      <c r="I75" s="1115">
        <f t="shared" si="18"/>
        <v>0</v>
      </c>
      <c r="J75" s="1062">
        <f t="shared" si="19"/>
        <v>0</v>
      </c>
      <c r="K75" s="1062">
        <v>0</v>
      </c>
      <c r="L75" s="1062">
        <f t="shared" si="20"/>
        <v>0</v>
      </c>
      <c r="M75" s="1062">
        <f t="shared" si="21"/>
        <v>0</v>
      </c>
      <c r="N75" s="1051">
        <f>'[18]FY2012-13 Final'!D76</f>
        <v>2397</v>
      </c>
      <c r="O75" s="1063">
        <f t="shared" si="22"/>
        <v>0</v>
      </c>
      <c r="P75" s="1120">
        <f t="shared" si="23"/>
        <v>0</v>
      </c>
      <c r="Q75" s="1063">
        <f t="shared" si="24"/>
        <v>0</v>
      </c>
      <c r="R75" s="1063">
        <v>0</v>
      </c>
      <c r="S75" s="1063">
        <f t="shared" si="25"/>
        <v>0</v>
      </c>
      <c r="T75" s="1063">
        <f t="shared" si="26"/>
        <v>0</v>
      </c>
      <c r="U75" s="1064">
        <f t="shared" si="27"/>
        <v>0</v>
      </c>
      <c r="V75" s="1064">
        <f t="shared" si="27"/>
        <v>0</v>
      </c>
    </row>
    <row r="76" spans="1:22" ht="13.5" thickBot="1">
      <c r="A76" s="1012"/>
      <c r="B76" s="1013" t="s">
        <v>160</v>
      </c>
      <c r="C76" s="1014">
        <f>SUM(C7:C75)</f>
        <v>443</v>
      </c>
      <c r="D76" s="1015"/>
      <c r="E76" s="1106">
        <f>SUM(E7:E75)</f>
        <v>1614393.2153509816</v>
      </c>
      <c r="F76" s="1106">
        <f>'Table 4 Level 3'!N75</f>
        <v>703.90028204588873</v>
      </c>
      <c r="G76" s="1106">
        <f t="shared" ref="G76:L76" si="28">SUM(G7:G75)</f>
        <v>334340.94479452056</v>
      </c>
      <c r="H76" s="1016">
        <f t="shared" si="28"/>
        <v>1948734.1601455023</v>
      </c>
      <c r="I76" s="1116">
        <f t="shared" si="28"/>
        <v>-4871.835400363756</v>
      </c>
      <c r="J76" s="1016">
        <f t="shared" si="28"/>
        <v>1943862.3247451384</v>
      </c>
      <c r="K76" s="1240">
        <f t="shared" si="28"/>
        <v>0</v>
      </c>
      <c r="L76" s="1016">
        <f t="shared" si="28"/>
        <v>1943862.3247451384</v>
      </c>
      <c r="M76" s="1016">
        <f>SUM(M7:M75)</f>
        <v>161988.52706209486</v>
      </c>
      <c r="N76" s="1065"/>
      <c r="O76" s="1017">
        <f t="shared" ref="O76:V76" si="29">SUM(O7:O75)</f>
        <v>1782251</v>
      </c>
      <c r="P76" s="1121">
        <f t="shared" si="29"/>
        <v>-4455.6275000000005</v>
      </c>
      <c r="Q76" s="1017">
        <f t="shared" si="29"/>
        <v>1777795.3724999996</v>
      </c>
      <c r="R76" s="1017">
        <f t="shared" si="29"/>
        <v>0</v>
      </c>
      <c r="S76" s="1017">
        <f t="shared" si="29"/>
        <v>1777795.3724999996</v>
      </c>
      <c r="T76" s="1017">
        <f t="shared" si="29"/>
        <v>148149.614375</v>
      </c>
      <c r="U76" s="1018">
        <f t="shared" si="29"/>
        <v>3721657.6972451382</v>
      </c>
      <c r="V76" s="1018">
        <f t="shared" si="29"/>
        <v>310138.14143709489</v>
      </c>
    </row>
    <row r="77" spans="1:22" ht="13.5" thickTop="1"/>
  </sheetData>
  <mergeCells count="19">
    <mergeCell ref="U2:U4"/>
    <mergeCell ref="V2:V4"/>
    <mergeCell ref="C3:C4"/>
    <mergeCell ref="D3:D4"/>
    <mergeCell ref="E3:E4"/>
    <mergeCell ref="F3:F4"/>
    <mergeCell ref="G3:G4"/>
    <mergeCell ref="Q3:Q4"/>
    <mergeCell ref="R3:R4"/>
    <mergeCell ref="S3:S4"/>
    <mergeCell ref="H3:H4"/>
    <mergeCell ref="J3:J4"/>
    <mergeCell ref="K3:K4"/>
    <mergeCell ref="L3:L4"/>
    <mergeCell ref="M3:M4"/>
    <mergeCell ref="N3:N4"/>
    <mergeCell ref="A2:B4"/>
    <mergeCell ref="C2:M2"/>
    <mergeCell ref="N2:T2"/>
  </mergeCells>
  <pageMargins left="0.33" right="0.35" top="0.75" bottom="0.75" header="0.3" footer="0.3"/>
  <pageSetup paperSize="5" scale="63" firstPageNumber="63" orientation="portrait" useFirstPageNumber="1" r:id="rId1"/>
  <headerFooter>
    <oddHeader>&amp;L&amp;"Arial,Bold"&amp;20Table 5C1-C: FY2013-14 MFP Budget Letter (Projection)
International High School of New Orleans</oddHeader>
    <oddFooter>&amp;R&amp;P</oddFooter>
  </headerFooter>
  <colBreaks count="1" manualBreakCount="1">
    <brk id="13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7"/>
  <sheetViews>
    <sheetView view="pageBreakPreview" zoomScaleNormal="100" zoomScaleSheetLayoutView="100" workbookViewId="0">
      <pane xSplit="2" ySplit="6" topLeftCell="C7" activePane="bottomRight" state="frozen"/>
      <selection activeCell="A2" sqref="A2:B4"/>
      <selection pane="topRight" activeCell="A2" sqref="A2:B4"/>
      <selection pane="bottomLeft" activeCell="A2" sqref="A2:B4"/>
      <selection pane="bottomRight" activeCell="A2" sqref="A2:B4"/>
    </sheetView>
  </sheetViews>
  <sheetFormatPr defaultRowHeight="12.75"/>
  <cols>
    <col min="1" max="1" width="4.28515625" customWidth="1"/>
    <col min="2" max="2" width="17.85546875" bestFit="1" customWidth="1"/>
    <col min="3" max="3" width="12.5703125" customWidth="1"/>
    <col min="4" max="4" width="17" customWidth="1"/>
    <col min="5" max="5" width="11.140625" customWidth="1"/>
    <col min="6" max="6" width="12" customWidth="1"/>
    <col min="7" max="7" width="13.28515625" customWidth="1"/>
    <col min="8" max="8" width="14.5703125" customWidth="1"/>
    <col min="9" max="9" width="12.28515625" customWidth="1"/>
    <col min="10" max="10" width="12" bestFit="1" customWidth="1"/>
    <col min="11" max="11" width="15.5703125" customWidth="1"/>
    <col min="12" max="12" width="14" customWidth="1"/>
    <col min="13" max="13" width="9.85546875" customWidth="1"/>
    <col min="14" max="14" width="17.28515625" customWidth="1"/>
    <col min="15" max="15" width="16.7109375" customWidth="1"/>
    <col min="16" max="16" width="13.7109375" customWidth="1"/>
    <col min="17" max="17" width="17" customWidth="1"/>
    <col min="18" max="18" width="15.28515625" customWidth="1"/>
    <col min="19" max="19" width="13.140625" customWidth="1"/>
    <col min="20" max="20" width="12" customWidth="1"/>
    <col min="21" max="21" width="11" customWidth="1"/>
    <col min="22" max="22" width="10.140625" customWidth="1"/>
    <col min="24" max="24" width="10.5703125" customWidth="1"/>
  </cols>
  <sheetData>
    <row r="1" spans="1:22"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</row>
    <row r="2" spans="1:22" ht="45" customHeight="1">
      <c r="A2" s="2072" t="s">
        <v>671</v>
      </c>
      <c r="B2" s="2073"/>
      <c r="C2" s="2065" t="s">
        <v>661</v>
      </c>
      <c r="D2" s="2017"/>
      <c r="E2" s="2017"/>
      <c r="F2" s="2017"/>
      <c r="G2" s="2017"/>
      <c r="H2" s="2017"/>
      <c r="I2" s="2017"/>
      <c r="J2" s="2017"/>
      <c r="K2" s="2017"/>
      <c r="L2" s="2017"/>
      <c r="M2" s="2018"/>
      <c r="N2" s="1992" t="s">
        <v>1357</v>
      </c>
      <c r="O2" s="1993"/>
      <c r="P2" s="1993"/>
      <c r="Q2" s="1993"/>
      <c r="R2" s="1993"/>
      <c r="S2" s="1993"/>
      <c r="T2" s="1994"/>
      <c r="U2" s="1995" t="s">
        <v>1387</v>
      </c>
      <c r="V2" s="1995" t="s">
        <v>1355</v>
      </c>
    </row>
    <row r="3" spans="1:22" ht="115.5" customHeight="1">
      <c r="A3" s="2074"/>
      <c r="B3" s="2075"/>
      <c r="C3" s="2006" t="s">
        <v>1175</v>
      </c>
      <c r="D3" s="2008" t="s">
        <v>1392</v>
      </c>
      <c r="E3" s="2008" t="s">
        <v>1377</v>
      </c>
      <c r="F3" s="2006" t="s">
        <v>662</v>
      </c>
      <c r="G3" s="2006" t="s">
        <v>492</v>
      </c>
      <c r="H3" s="2006" t="s">
        <v>1378</v>
      </c>
      <c r="I3" s="1227" t="s">
        <v>510</v>
      </c>
      <c r="J3" s="2006" t="s">
        <v>1379</v>
      </c>
      <c r="K3" s="2006" t="s">
        <v>1230</v>
      </c>
      <c r="L3" s="2006" t="s">
        <v>1380</v>
      </c>
      <c r="M3" s="2008" t="s">
        <v>1356</v>
      </c>
      <c r="N3" s="2019" t="s">
        <v>694</v>
      </c>
      <c r="O3" s="1743" t="s">
        <v>1382</v>
      </c>
      <c r="P3" s="1229" t="s">
        <v>512</v>
      </c>
      <c r="Q3" s="2019" t="s">
        <v>1383</v>
      </c>
      <c r="R3" s="2019" t="s">
        <v>1230</v>
      </c>
      <c r="S3" s="2019" t="s">
        <v>1384</v>
      </c>
      <c r="T3" s="1743" t="s">
        <v>1385</v>
      </c>
      <c r="U3" s="1996"/>
      <c r="V3" s="1996"/>
    </row>
    <row r="4" spans="1:22" ht="22.5" customHeight="1">
      <c r="A4" s="2076"/>
      <c r="B4" s="2077"/>
      <c r="C4" s="2007"/>
      <c r="D4" s="2008"/>
      <c r="E4" s="2008"/>
      <c r="F4" s="2007"/>
      <c r="G4" s="2007"/>
      <c r="H4" s="2007"/>
      <c r="I4" s="1107">
        <v>2.5000000000000001E-3</v>
      </c>
      <c r="J4" s="2007"/>
      <c r="K4" s="2007"/>
      <c r="L4" s="2007"/>
      <c r="M4" s="2008"/>
      <c r="N4" s="1999"/>
      <c r="O4" s="1228"/>
      <c r="P4" s="1108">
        <v>2.5000000000000001E-3</v>
      </c>
      <c r="Q4" s="1999"/>
      <c r="R4" s="1999"/>
      <c r="S4" s="1999"/>
      <c r="T4" s="1228"/>
      <c r="U4" s="1997"/>
      <c r="V4" s="1997"/>
    </row>
    <row r="5" spans="1:22" ht="14.25" customHeight="1">
      <c r="A5" s="978"/>
      <c r="B5" s="979"/>
      <c r="C5" s="980">
        <v>1</v>
      </c>
      <c r="D5" s="980">
        <f t="shared" ref="D5" si="0">C5+1</f>
        <v>2</v>
      </c>
      <c r="E5" s="980">
        <f>D5+1</f>
        <v>3</v>
      </c>
      <c r="F5" s="980">
        <f t="shared" ref="F5:V5" si="1">E5+1</f>
        <v>4</v>
      </c>
      <c r="G5" s="980">
        <f t="shared" si="1"/>
        <v>5</v>
      </c>
      <c r="H5" s="980">
        <f t="shared" si="1"/>
        <v>6</v>
      </c>
      <c r="I5" s="980">
        <f t="shared" si="1"/>
        <v>7</v>
      </c>
      <c r="J5" s="980">
        <f t="shared" si="1"/>
        <v>8</v>
      </c>
      <c r="K5" s="980">
        <f t="shared" si="1"/>
        <v>9</v>
      </c>
      <c r="L5" s="980">
        <f t="shared" si="1"/>
        <v>10</v>
      </c>
      <c r="M5" s="980">
        <f t="shared" si="1"/>
        <v>11</v>
      </c>
      <c r="N5" s="980">
        <f t="shared" si="1"/>
        <v>12</v>
      </c>
      <c r="O5" s="980">
        <f t="shared" si="1"/>
        <v>13</v>
      </c>
      <c r="P5" s="980">
        <f t="shared" si="1"/>
        <v>14</v>
      </c>
      <c r="Q5" s="980">
        <f t="shared" si="1"/>
        <v>15</v>
      </c>
      <c r="R5" s="980">
        <f t="shared" si="1"/>
        <v>16</v>
      </c>
      <c r="S5" s="980">
        <f t="shared" si="1"/>
        <v>17</v>
      </c>
      <c r="T5" s="980">
        <f t="shared" si="1"/>
        <v>18</v>
      </c>
      <c r="U5" s="980">
        <f t="shared" si="1"/>
        <v>19</v>
      </c>
      <c r="V5" s="980">
        <f t="shared" si="1"/>
        <v>20</v>
      </c>
    </row>
    <row r="6" spans="1:22" ht="27" customHeight="1">
      <c r="A6" s="1041"/>
      <c r="B6" s="1042"/>
      <c r="C6" s="1042"/>
      <c r="D6" s="1042"/>
      <c r="E6" s="1042"/>
      <c r="F6" s="1042"/>
      <c r="G6" s="1042"/>
      <c r="H6" s="1042"/>
      <c r="I6" s="1042"/>
      <c r="J6" s="1042"/>
      <c r="K6" s="1042"/>
      <c r="L6" s="1042"/>
      <c r="M6" s="1042"/>
      <c r="N6" s="1042"/>
      <c r="O6" s="1042"/>
      <c r="P6" s="1042"/>
      <c r="Q6" s="1042"/>
      <c r="R6" s="1042"/>
      <c r="S6" s="1042"/>
      <c r="T6" s="1042"/>
      <c r="U6" s="1042"/>
      <c r="V6" s="1042"/>
    </row>
    <row r="7" spans="1:22">
      <c r="A7" s="987">
        <v>1</v>
      </c>
      <c r="B7" s="988" t="s">
        <v>95</v>
      </c>
      <c r="C7" s="989">
        <f>'[2]ALL-Reformatted'!W6</f>
        <v>0</v>
      </c>
      <c r="D7" s="990">
        <f>'Table 3 Levels 1&amp;2'!BN9+'Table 3 Levels 1&amp;2'!BV9</f>
        <v>4565.2108060165392</v>
      </c>
      <c r="E7" s="1099">
        <f>C7*D7</f>
        <v>0</v>
      </c>
      <c r="F7" s="1099">
        <f>'Table 4 Level 3'!N6</f>
        <v>777.48</v>
      </c>
      <c r="G7" s="1099">
        <f>C7*F7</f>
        <v>0</v>
      </c>
      <c r="H7" s="991">
        <f>E7+G7</f>
        <v>0</v>
      </c>
      <c r="I7" s="1109">
        <f>-(0.25%*H7)</f>
        <v>0</v>
      </c>
      <c r="J7" s="991">
        <f>SUM(H7:I7)</f>
        <v>0</v>
      </c>
      <c r="K7" s="991">
        <v>0</v>
      </c>
      <c r="L7" s="991">
        <f>SUM(J7:K7)</f>
        <v>0</v>
      </c>
      <c r="M7" s="991">
        <f>L7/12</f>
        <v>0</v>
      </c>
      <c r="N7" s="1051">
        <f>'[18]FY2012-13 Final'!K8</f>
        <v>2112</v>
      </c>
      <c r="O7" s="992">
        <f>C7*N7</f>
        <v>0</v>
      </c>
      <c r="P7" s="1117">
        <f>-(0.25%*O7)</f>
        <v>0</v>
      </c>
      <c r="Q7" s="992">
        <f>SUM(O7:P7)</f>
        <v>0</v>
      </c>
      <c r="R7" s="992">
        <v>0</v>
      </c>
      <c r="S7" s="992">
        <f>SUM(Q7:R7)</f>
        <v>0</v>
      </c>
      <c r="T7" s="992">
        <f>S7/12</f>
        <v>0</v>
      </c>
      <c r="U7" s="993">
        <f>L7+S7</f>
        <v>0</v>
      </c>
      <c r="V7" s="993">
        <f>M7+T7</f>
        <v>0</v>
      </c>
    </row>
    <row r="8" spans="1:22">
      <c r="A8" s="994">
        <v>2</v>
      </c>
      <c r="B8" s="995" t="s">
        <v>96</v>
      </c>
      <c r="C8" s="1193">
        <f>'[2]ALL-Reformatted'!W7</f>
        <v>0</v>
      </c>
      <c r="D8" s="997">
        <f>'Table 3 Levels 1&amp;2'!BN10+'Table 3 Levels 1&amp;2'!BV10</f>
        <v>6132.0480322513831</v>
      </c>
      <c r="E8" s="1100">
        <f t="shared" ref="E8:E71" si="2">C8*D8</f>
        <v>0</v>
      </c>
      <c r="F8" s="1100">
        <f>'Table 4 Level 3'!N7</f>
        <v>842.32</v>
      </c>
      <c r="G8" s="1100">
        <f t="shared" ref="G8:G71" si="3">C8*F8</f>
        <v>0</v>
      </c>
      <c r="H8" s="1052">
        <f t="shared" ref="H8:H71" si="4">E8+G8</f>
        <v>0</v>
      </c>
      <c r="I8" s="1110">
        <f t="shared" ref="I8:I71" si="5">-(0.25%*H8)</f>
        <v>0</v>
      </c>
      <c r="J8" s="1052">
        <f t="shared" ref="J8:J71" si="6">SUM(H8:I8)</f>
        <v>0</v>
      </c>
      <c r="K8" s="1052">
        <v>0</v>
      </c>
      <c r="L8" s="1052">
        <f t="shared" ref="L8:L71" si="7">SUM(J8:K8)</f>
        <v>0</v>
      </c>
      <c r="M8" s="1052">
        <f t="shared" ref="M8:M71" si="8">L8/12</f>
        <v>0</v>
      </c>
      <c r="N8" s="1051">
        <f>'[18]FY2012-13 Final'!K9</f>
        <v>2584</v>
      </c>
      <c r="O8" s="1053">
        <f t="shared" ref="O8:O71" si="9">C8*N8</f>
        <v>0</v>
      </c>
      <c r="P8" s="1118">
        <f t="shared" ref="P8:P71" si="10">-(0.25%*O8)</f>
        <v>0</v>
      </c>
      <c r="Q8" s="1053">
        <f t="shared" ref="Q8:Q71" si="11">SUM(O8:P8)</f>
        <v>0</v>
      </c>
      <c r="R8" s="1053">
        <v>0</v>
      </c>
      <c r="S8" s="1053">
        <f t="shared" ref="S8:S71" si="12">SUM(Q8:R8)</f>
        <v>0</v>
      </c>
      <c r="T8" s="1053">
        <f t="shared" ref="T8:T71" si="13">S8/12</f>
        <v>0</v>
      </c>
      <c r="U8" s="1054">
        <f t="shared" ref="U8:V71" si="14">L8+S8</f>
        <v>0</v>
      </c>
      <c r="V8" s="1054">
        <f t="shared" si="14"/>
        <v>0</v>
      </c>
    </row>
    <row r="9" spans="1:22">
      <c r="A9" s="994">
        <v>3</v>
      </c>
      <c r="B9" s="995" t="s">
        <v>97</v>
      </c>
      <c r="C9" s="1193">
        <f>'[2]ALL-Reformatted'!W8</f>
        <v>0</v>
      </c>
      <c r="D9" s="997">
        <f>'Table 3 Levels 1&amp;2'!BN11+'Table 3 Levels 1&amp;2'!BV11</f>
        <v>4186.9626187036429</v>
      </c>
      <c r="E9" s="1100">
        <f t="shared" si="2"/>
        <v>0</v>
      </c>
      <c r="F9" s="1100">
        <f>'Table 4 Level 3'!N8</f>
        <v>596.84</v>
      </c>
      <c r="G9" s="1100">
        <f t="shared" si="3"/>
        <v>0</v>
      </c>
      <c r="H9" s="1052">
        <f t="shared" si="4"/>
        <v>0</v>
      </c>
      <c r="I9" s="1110">
        <f t="shared" si="5"/>
        <v>0</v>
      </c>
      <c r="J9" s="1052">
        <f t="shared" si="6"/>
        <v>0</v>
      </c>
      <c r="K9" s="1052">
        <v>0</v>
      </c>
      <c r="L9" s="1052">
        <f t="shared" si="7"/>
        <v>0</v>
      </c>
      <c r="M9" s="1052">
        <f t="shared" si="8"/>
        <v>0</v>
      </c>
      <c r="N9" s="1051">
        <f>'[18]FY2012-13 Final'!K10</f>
        <v>4966</v>
      </c>
      <c r="O9" s="1053">
        <f t="shared" si="9"/>
        <v>0</v>
      </c>
      <c r="P9" s="1118">
        <f t="shared" si="10"/>
        <v>0</v>
      </c>
      <c r="Q9" s="1053">
        <f t="shared" si="11"/>
        <v>0</v>
      </c>
      <c r="R9" s="1053">
        <v>0</v>
      </c>
      <c r="S9" s="1053">
        <f t="shared" si="12"/>
        <v>0</v>
      </c>
      <c r="T9" s="1053">
        <f t="shared" si="13"/>
        <v>0</v>
      </c>
      <c r="U9" s="1054">
        <f t="shared" si="14"/>
        <v>0</v>
      </c>
      <c r="V9" s="1054">
        <f t="shared" si="14"/>
        <v>0</v>
      </c>
    </row>
    <row r="10" spans="1:22">
      <c r="A10" s="994">
        <v>4</v>
      </c>
      <c r="B10" s="995" t="s">
        <v>98</v>
      </c>
      <c r="C10" s="1193">
        <f>'[2]ALL-Reformatted'!W9</f>
        <v>0</v>
      </c>
      <c r="D10" s="997">
        <f>'Table 3 Levels 1&amp;2'!BN12+'Table 3 Levels 1&amp;2'!BV12</f>
        <v>5918.8798759182582</v>
      </c>
      <c r="E10" s="1100">
        <f t="shared" si="2"/>
        <v>0</v>
      </c>
      <c r="F10" s="1100">
        <f>'Table 4 Level 3'!N9</f>
        <v>585.76</v>
      </c>
      <c r="G10" s="1100">
        <f t="shared" si="3"/>
        <v>0</v>
      </c>
      <c r="H10" s="1052">
        <f t="shared" si="4"/>
        <v>0</v>
      </c>
      <c r="I10" s="1110">
        <f t="shared" si="5"/>
        <v>0</v>
      </c>
      <c r="J10" s="1052">
        <f t="shared" si="6"/>
        <v>0</v>
      </c>
      <c r="K10" s="1052">
        <v>0</v>
      </c>
      <c r="L10" s="1052">
        <f t="shared" si="7"/>
        <v>0</v>
      </c>
      <c r="M10" s="1052">
        <f t="shared" si="8"/>
        <v>0</v>
      </c>
      <c r="N10" s="1051">
        <f>'[18]FY2012-13 Final'!K11</f>
        <v>3445</v>
      </c>
      <c r="O10" s="1053">
        <f t="shared" si="9"/>
        <v>0</v>
      </c>
      <c r="P10" s="1118">
        <f t="shared" si="10"/>
        <v>0</v>
      </c>
      <c r="Q10" s="1053">
        <f t="shared" si="11"/>
        <v>0</v>
      </c>
      <c r="R10" s="1053">
        <v>0</v>
      </c>
      <c r="S10" s="1053">
        <f t="shared" si="12"/>
        <v>0</v>
      </c>
      <c r="T10" s="1053">
        <f t="shared" si="13"/>
        <v>0</v>
      </c>
      <c r="U10" s="1054">
        <f t="shared" si="14"/>
        <v>0</v>
      </c>
      <c r="V10" s="1054">
        <f t="shared" si="14"/>
        <v>0</v>
      </c>
    </row>
    <row r="11" spans="1:22">
      <c r="A11" s="998">
        <v>5</v>
      </c>
      <c r="B11" s="999" t="s">
        <v>99</v>
      </c>
      <c r="C11" s="1194">
        <f>'[2]ALL-Reformatted'!W10</f>
        <v>0</v>
      </c>
      <c r="D11" s="1001">
        <f>'Table 3 Levels 1&amp;2'!BN13+'Table 3 Levels 1&amp;2'!BV13</f>
        <v>4880.3484353147733</v>
      </c>
      <c r="E11" s="1101">
        <f t="shared" si="2"/>
        <v>0</v>
      </c>
      <c r="F11" s="1101">
        <f>'Table 4 Level 3'!N10</f>
        <v>555.91</v>
      </c>
      <c r="G11" s="1101">
        <f t="shared" si="3"/>
        <v>0</v>
      </c>
      <c r="H11" s="1055">
        <f t="shared" si="4"/>
        <v>0</v>
      </c>
      <c r="I11" s="1111">
        <f t="shared" si="5"/>
        <v>0</v>
      </c>
      <c r="J11" s="1055">
        <f t="shared" si="6"/>
        <v>0</v>
      </c>
      <c r="K11" s="1055">
        <v>0</v>
      </c>
      <c r="L11" s="1055">
        <f t="shared" si="7"/>
        <v>0</v>
      </c>
      <c r="M11" s="1055">
        <f t="shared" si="8"/>
        <v>0</v>
      </c>
      <c r="N11" s="1056">
        <f>'[18]FY2012-13 Final'!K12</f>
        <v>1353</v>
      </c>
      <c r="O11" s="1057">
        <f t="shared" si="9"/>
        <v>0</v>
      </c>
      <c r="P11" s="1119">
        <f t="shared" si="10"/>
        <v>0</v>
      </c>
      <c r="Q11" s="1057">
        <f t="shared" si="11"/>
        <v>0</v>
      </c>
      <c r="R11" s="1057">
        <v>0</v>
      </c>
      <c r="S11" s="1057">
        <f t="shared" si="12"/>
        <v>0</v>
      </c>
      <c r="T11" s="1057">
        <f t="shared" si="13"/>
        <v>0</v>
      </c>
      <c r="U11" s="1058">
        <f t="shared" si="14"/>
        <v>0</v>
      </c>
      <c r="V11" s="1058">
        <f t="shared" si="14"/>
        <v>0</v>
      </c>
    </row>
    <row r="12" spans="1:22">
      <c r="A12" s="987">
        <v>6</v>
      </c>
      <c r="B12" s="988" t="s">
        <v>100</v>
      </c>
      <c r="C12" s="1195">
        <f>'[2]ALL-Reformatted'!W11</f>
        <v>0</v>
      </c>
      <c r="D12" s="990">
        <f>'Table 3 Levels 1&amp;2'!BN14+'Table 3 Levels 1&amp;2'!BV14</f>
        <v>5379.7759718479856</v>
      </c>
      <c r="E12" s="1099">
        <f t="shared" si="2"/>
        <v>0</v>
      </c>
      <c r="F12" s="1099">
        <f>'Table 4 Level 3'!N11</f>
        <v>545.4799999999999</v>
      </c>
      <c r="G12" s="1099">
        <f t="shared" si="3"/>
        <v>0</v>
      </c>
      <c r="H12" s="991">
        <f t="shared" si="4"/>
        <v>0</v>
      </c>
      <c r="I12" s="1109">
        <f t="shared" si="5"/>
        <v>0</v>
      </c>
      <c r="J12" s="991">
        <f t="shared" si="6"/>
        <v>0</v>
      </c>
      <c r="K12" s="991">
        <v>0</v>
      </c>
      <c r="L12" s="991">
        <f t="shared" si="7"/>
        <v>0</v>
      </c>
      <c r="M12" s="991">
        <f t="shared" si="8"/>
        <v>0</v>
      </c>
      <c r="N12" s="1051">
        <f>'[18]FY2012-13 Final'!K13</f>
        <v>3576</v>
      </c>
      <c r="O12" s="992">
        <f t="shared" si="9"/>
        <v>0</v>
      </c>
      <c r="P12" s="1117">
        <f t="shared" si="10"/>
        <v>0</v>
      </c>
      <c r="Q12" s="992">
        <f t="shared" si="11"/>
        <v>0</v>
      </c>
      <c r="R12" s="992">
        <v>0</v>
      </c>
      <c r="S12" s="992">
        <f t="shared" si="12"/>
        <v>0</v>
      </c>
      <c r="T12" s="992">
        <f t="shared" si="13"/>
        <v>0</v>
      </c>
      <c r="U12" s="993">
        <f t="shared" si="14"/>
        <v>0</v>
      </c>
      <c r="V12" s="993">
        <f t="shared" si="14"/>
        <v>0</v>
      </c>
    </row>
    <row r="13" spans="1:22">
      <c r="A13" s="994">
        <v>7</v>
      </c>
      <c r="B13" s="995" t="s">
        <v>101</v>
      </c>
      <c r="C13" s="1193">
        <f>'[2]ALL-Reformatted'!W12</f>
        <v>0</v>
      </c>
      <c r="D13" s="997">
        <f>'Table 3 Levels 1&amp;2'!BN15+'Table 3 Levels 1&amp;2'!BV15</f>
        <v>1698.1351763907733</v>
      </c>
      <c r="E13" s="1100">
        <f t="shared" si="2"/>
        <v>0</v>
      </c>
      <c r="F13" s="1100">
        <f>'Table 4 Level 3'!N12</f>
        <v>756.91999999999985</v>
      </c>
      <c r="G13" s="1100">
        <f t="shared" si="3"/>
        <v>0</v>
      </c>
      <c r="H13" s="1052">
        <f t="shared" si="4"/>
        <v>0</v>
      </c>
      <c r="I13" s="1110">
        <f t="shared" si="5"/>
        <v>0</v>
      </c>
      <c r="J13" s="1052">
        <f t="shared" si="6"/>
        <v>0</v>
      </c>
      <c r="K13" s="1052">
        <v>0</v>
      </c>
      <c r="L13" s="1052">
        <f t="shared" si="7"/>
        <v>0</v>
      </c>
      <c r="M13" s="1052">
        <f t="shared" si="8"/>
        <v>0</v>
      </c>
      <c r="N13" s="1051">
        <f>'[18]FY2012-13 Final'!K14</f>
        <v>12465</v>
      </c>
      <c r="O13" s="1053">
        <f t="shared" si="9"/>
        <v>0</v>
      </c>
      <c r="P13" s="1118">
        <f t="shared" si="10"/>
        <v>0</v>
      </c>
      <c r="Q13" s="1053">
        <f t="shared" si="11"/>
        <v>0</v>
      </c>
      <c r="R13" s="1053">
        <v>0</v>
      </c>
      <c r="S13" s="1053">
        <f t="shared" si="12"/>
        <v>0</v>
      </c>
      <c r="T13" s="1053">
        <f t="shared" si="13"/>
        <v>0</v>
      </c>
      <c r="U13" s="1054">
        <f t="shared" si="14"/>
        <v>0</v>
      </c>
      <c r="V13" s="1054">
        <f t="shared" si="14"/>
        <v>0</v>
      </c>
    </row>
    <row r="14" spans="1:22">
      <c r="A14" s="994">
        <v>8</v>
      </c>
      <c r="B14" s="995" t="s">
        <v>102</v>
      </c>
      <c r="C14" s="1193">
        <f>'[2]ALL-Reformatted'!W13</f>
        <v>0</v>
      </c>
      <c r="D14" s="997">
        <f>'Table 3 Levels 1&amp;2'!BN16+'Table 3 Levels 1&amp;2'!BV16</f>
        <v>4239.8578920718974</v>
      </c>
      <c r="E14" s="1100">
        <f t="shared" si="2"/>
        <v>0</v>
      </c>
      <c r="F14" s="1100">
        <f>'Table 4 Level 3'!N13</f>
        <v>725.76</v>
      </c>
      <c r="G14" s="1100">
        <f t="shared" si="3"/>
        <v>0</v>
      </c>
      <c r="H14" s="1052">
        <f t="shared" si="4"/>
        <v>0</v>
      </c>
      <c r="I14" s="1110">
        <f t="shared" si="5"/>
        <v>0</v>
      </c>
      <c r="J14" s="1052">
        <f t="shared" si="6"/>
        <v>0</v>
      </c>
      <c r="K14" s="1052">
        <v>0</v>
      </c>
      <c r="L14" s="1052">
        <f t="shared" si="7"/>
        <v>0</v>
      </c>
      <c r="M14" s="1052">
        <f t="shared" si="8"/>
        <v>0</v>
      </c>
      <c r="N14" s="1051">
        <f>'[18]FY2012-13 Final'!K15</f>
        <v>4184</v>
      </c>
      <c r="O14" s="1053">
        <f t="shared" si="9"/>
        <v>0</v>
      </c>
      <c r="P14" s="1118">
        <f t="shared" si="10"/>
        <v>0</v>
      </c>
      <c r="Q14" s="1053">
        <f t="shared" si="11"/>
        <v>0</v>
      </c>
      <c r="R14" s="1053">
        <v>0</v>
      </c>
      <c r="S14" s="1053">
        <f t="shared" si="12"/>
        <v>0</v>
      </c>
      <c r="T14" s="1053">
        <f t="shared" si="13"/>
        <v>0</v>
      </c>
      <c r="U14" s="1054">
        <f t="shared" si="14"/>
        <v>0</v>
      </c>
      <c r="V14" s="1054">
        <f t="shared" si="14"/>
        <v>0</v>
      </c>
    </row>
    <row r="15" spans="1:22">
      <c r="A15" s="994">
        <v>9</v>
      </c>
      <c r="B15" s="995" t="s">
        <v>103</v>
      </c>
      <c r="C15" s="1193">
        <f>'[2]ALL-Reformatted'!W14</f>
        <v>0</v>
      </c>
      <c r="D15" s="997">
        <f>'Table 3 Levels 1&amp;2'!BN17+'Table 3 Levels 1&amp;2'!BV17</f>
        <v>4361.2752875373017</v>
      </c>
      <c r="E15" s="1100">
        <f t="shared" si="2"/>
        <v>0</v>
      </c>
      <c r="F15" s="1100">
        <f>'Table 4 Level 3'!N14</f>
        <v>744.76</v>
      </c>
      <c r="G15" s="1100">
        <f t="shared" si="3"/>
        <v>0</v>
      </c>
      <c r="H15" s="1052">
        <f t="shared" si="4"/>
        <v>0</v>
      </c>
      <c r="I15" s="1110">
        <f t="shared" si="5"/>
        <v>0</v>
      </c>
      <c r="J15" s="1052">
        <f t="shared" si="6"/>
        <v>0</v>
      </c>
      <c r="K15" s="1052">
        <v>0</v>
      </c>
      <c r="L15" s="1052">
        <f t="shared" si="7"/>
        <v>0</v>
      </c>
      <c r="M15" s="1052">
        <f t="shared" si="8"/>
        <v>0</v>
      </c>
      <c r="N15" s="1051">
        <f>'[18]FY2012-13 Final'!K16</f>
        <v>4640</v>
      </c>
      <c r="O15" s="1053">
        <f t="shared" si="9"/>
        <v>0</v>
      </c>
      <c r="P15" s="1118">
        <f t="shared" si="10"/>
        <v>0</v>
      </c>
      <c r="Q15" s="1053">
        <f t="shared" si="11"/>
        <v>0</v>
      </c>
      <c r="R15" s="1053">
        <v>0</v>
      </c>
      <c r="S15" s="1053">
        <f t="shared" si="12"/>
        <v>0</v>
      </c>
      <c r="T15" s="1053">
        <f t="shared" si="13"/>
        <v>0</v>
      </c>
      <c r="U15" s="1054">
        <f t="shared" si="14"/>
        <v>0</v>
      </c>
      <c r="V15" s="1054">
        <f t="shared" si="14"/>
        <v>0</v>
      </c>
    </row>
    <row r="16" spans="1:22">
      <c r="A16" s="998">
        <v>10</v>
      </c>
      <c r="B16" s="999" t="s">
        <v>104</v>
      </c>
      <c r="C16" s="1194">
        <f>'[2]ALL-Reformatted'!W15</f>
        <v>0</v>
      </c>
      <c r="D16" s="1001">
        <f>'Table 3 Levels 1&amp;2'!BN18+'Table 3 Levels 1&amp;2'!BV18</f>
        <v>4179.4641652904756</v>
      </c>
      <c r="E16" s="1101">
        <f t="shared" si="2"/>
        <v>0</v>
      </c>
      <c r="F16" s="1101">
        <f>'Table 4 Level 3'!N15</f>
        <v>608.04000000000008</v>
      </c>
      <c r="G16" s="1101">
        <f t="shared" si="3"/>
        <v>0</v>
      </c>
      <c r="H16" s="1055">
        <f t="shared" si="4"/>
        <v>0</v>
      </c>
      <c r="I16" s="1111">
        <f t="shared" si="5"/>
        <v>0</v>
      </c>
      <c r="J16" s="1055">
        <f t="shared" si="6"/>
        <v>0</v>
      </c>
      <c r="K16" s="1055">
        <v>0</v>
      </c>
      <c r="L16" s="1055">
        <f t="shared" si="7"/>
        <v>0</v>
      </c>
      <c r="M16" s="1055">
        <f t="shared" si="8"/>
        <v>0</v>
      </c>
      <c r="N16" s="1056">
        <f>'[18]FY2012-13 Final'!K17</f>
        <v>4391</v>
      </c>
      <c r="O16" s="1057">
        <f t="shared" si="9"/>
        <v>0</v>
      </c>
      <c r="P16" s="1119">
        <f t="shared" si="10"/>
        <v>0</v>
      </c>
      <c r="Q16" s="1057">
        <f t="shared" si="11"/>
        <v>0</v>
      </c>
      <c r="R16" s="1057">
        <v>0</v>
      </c>
      <c r="S16" s="1057">
        <f t="shared" si="12"/>
        <v>0</v>
      </c>
      <c r="T16" s="1057">
        <f t="shared" si="13"/>
        <v>0</v>
      </c>
      <c r="U16" s="1058">
        <f t="shared" si="14"/>
        <v>0</v>
      </c>
      <c r="V16" s="1058">
        <f t="shared" si="14"/>
        <v>0</v>
      </c>
    </row>
    <row r="17" spans="1:22">
      <c r="A17" s="987">
        <v>11</v>
      </c>
      <c r="B17" s="988" t="s">
        <v>105</v>
      </c>
      <c r="C17" s="1195">
        <f>'[2]ALL-Reformatted'!W16</f>
        <v>0</v>
      </c>
      <c r="D17" s="990">
        <f>'Table 3 Levels 1&amp;2'!BN19+'Table 3 Levels 1&amp;2'!BV19</f>
        <v>6825.0221851487568</v>
      </c>
      <c r="E17" s="1099">
        <f t="shared" si="2"/>
        <v>0</v>
      </c>
      <c r="F17" s="1099">
        <f>'Table 4 Level 3'!N16</f>
        <v>706.55</v>
      </c>
      <c r="G17" s="1099">
        <f t="shared" si="3"/>
        <v>0</v>
      </c>
      <c r="H17" s="991">
        <f t="shared" si="4"/>
        <v>0</v>
      </c>
      <c r="I17" s="1109">
        <f t="shared" si="5"/>
        <v>0</v>
      </c>
      <c r="J17" s="991">
        <f t="shared" si="6"/>
        <v>0</v>
      </c>
      <c r="K17" s="991">
        <v>0</v>
      </c>
      <c r="L17" s="991">
        <f t="shared" si="7"/>
        <v>0</v>
      </c>
      <c r="M17" s="991">
        <f t="shared" si="8"/>
        <v>0</v>
      </c>
      <c r="N17" s="1051">
        <f>'[18]FY2012-13 Final'!K18</f>
        <v>3430</v>
      </c>
      <c r="O17" s="992">
        <f t="shared" si="9"/>
        <v>0</v>
      </c>
      <c r="P17" s="1117">
        <f t="shared" si="10"/>
        <v>0</v>
      </c>
      <c r="Q17" s="992">
        <f t="shared" si="11"/>
        <v>0</v>
      </c>
      <c r="R17" s="992">
        <v>0</v>
      </c>
      <c r="S17" s="992">
        <f t="shared" si="12"/>
        <v>0</v>
      </c>
      <c r="T17" s="992">
        <f t="shared" si="13"/>
        <v>0</v>
      </c>
      <c r="U17" s="993">
        <f t="shared" si="14"/>
        <v>0</v>
      </c>
      <c r="V17" s="993">
        <f t="shared" si="14"/>
        <v>0</v>
      </c>
    </row>
    <row r="18" spans="1:22">
      <c r="A18" s="994">
        <v>12</v>
      </c>
      <c r="B18" s="995" t="s">
        <v>106</v>
      </c>
      <c r="C18" s="1193">
        <f>'[2]ALL-Reformatted'!W17</f>
        <v>0</v>
      </c>
      <c r="D18" s="997">
        <f>'Table 3 Levels 1&amp;2'!BN20+'Table 3 Levels 1&amp;2'!BV20</f>
        <v>1688.0492586490939</v>
      </c>
      <c r="E18" s="1100">
        <f t="shared" si="2"/>
        <v>0</v>
      </c>
      <c r="F18" s="1100">
        <f>'Table 4 Level 3'!N17</f>
        <v>1063.31</v>
      </c>
      <c r="G18" s="1100">
        <f t="shared" si="3"/>
        <v>0</v>
      </c>
      <c r="H18" s="1052">
        <f t="shared" si="4"/>
        <v>0</v>
      </c>
      <c r="I18" s="1110">
        <f t="shared" si="5"/>
        <v>0</v>
      </c>
      <c r="J18" s="1052">
        <f t="shared" si="6"/>
        <v>0</v>
      </c>
      <c r="K18" s="1052">
        <v>0</v>
      </c>
      <c r="L18" s="1052">
        <f t="shared" si="7"/>
        <v>0</v>
      </c>
      <c r="M18" s="1052">
        <f t="shared" si="8"/>
        <v>0</v>
      </c>
      <c r="N18" s="1051">
        <f>'[18]FY2012-13 Final'!K19</f>
        <v>12558</v>
      </c>
      <c r="O18" s="1053">
        <f t="shared" si="9"/>
        <v>0</v>
      </c>
      <c r="P18" s="1118">
        <f t="shared" si="10"/>
        <v>0</v>
      </c>
      <c r="Q18" s="1053">
        <f t="shared" si="11"/>
        <v>0</v>
      </c>
      <c r="R18" s="1053">
        <v>0</v>
      </c>
      <c r="S18" s="1053">
        <f t="shared" si="12"/>
        <v>0</v>
      </c>
      <c r="T18" s="1053">
        <f t="shared" si="13"/>
        <v>0</v>
      </c>
      <c r="U18" s="1054">
        <f t="shared" si="14"/>
        <v>0</v>
      </c>
      <c r="V18" s="1054">
        <f t="shared" si="14"/>
        <v>0</v>
      </c>
    </row>
    <row r="19" spans="1:22">
      <c r="A19" s="994">
        <v>13</v>
      </c>
      <c r="B19" s="995" t="s">
        <v>107</v>
      </c>
      <c r="C19" s="1193">
        <f>'[2]ALL-Reformatted'!W18</f>
        <v>0</v>
      </c>
      <c r="D19" s="997">
        <f>'Table 3 Levels 1&amp;2'!BN21+'Table 3 Levels 1&amp;2'!BV21</f>
        <v>6187.1651272387344</v>
      </c>
      <c r="E19" s="1100">
        <f t="shared" si="2"/>
        <v>0</v>
      </c>
      <c r="F19" s="1100">
        <f>'Table 4 Level 3'!N18</f>
        <v>749.43000000000006</v>
      </c>
      <c r="G19" s="1100">
        <f t="shared" si="3"/>
        <v>0</v>
      </c>
      <c r="H19" s="1052">
        <f t="shared" si="4"/>
        <v>0</v>
      </c>
      <c r="I19" s="1110">
        <f t="shared" si="5"/>
        <v>0</v>
      </c>
      <c r="J19" s="1052">
        <f t="shared" si="6"/>
        <v>0</v>
      </c>
      <c r="K19" s="1052">
        <v>0</v>
      </c>
      <c r="L19" s="1052">
        <f t="shared" si="7"/>
        <v>0</v>
      </c>
      <c r="M19" s="1052">
        <f t="shared" si="8"/>
        <v>0</v>
      </c>
      <c r="N19" s="1051">
        <f>'[18]FY2012-13 Final'!K20</f>
        <v>2536</v>
      </c>
      <c r="O19" s="1053">
        <f t="shared" si="9"/>
        <v>0</v>
      </c>
      <c r="P19" s="1118">
        <f t="shared" si="10"/>
        <v>0</v>
      </c>
      <c r="Q19" s="1053">
        <f t="shared" si="11"/>
        <v>0</v>
      </c>
      <c r="R19" s="1053">
        <v>0</v>
      </c>
      <c r="S19" s="1053">
        <f t="shared" si="12"/>
        <v>0</v>
      </c>
      <c r="T19" s="1053">
        <f t="shared" si="13"/>
        <v>0</v>
      </c>
      <c r="U19" s="1054">
        <f t="shared" si="14"/>
        <v>0</v>
      </c>
      <c r="V19" s="1054">
        <f t="shared" si="14"/>
        <v>0</v>
      </c>
    </row>
    <row r="20" spans="1:22">
      <c r="A20" s="994">
        <v>14</v>
      </c>
      <c r="B20" s="995" t="s">
        <v>108</v>
      </c>
      <c r="C20" s="1193">
        <f>'[2]ALL-Reformatted'!W19</f>
        <v>0</v>
      </c>
      <c r="D20" s="997">
        <f>'Table 3 Levels 1&amp;2'!BN22+'Table 3 Levels 1&amp;2'!BV22</f>
        <v>5339.1887414618923</v>
      </c>
      <c r="E20" s="1100">
        <f t="shared" si="2"/>
        <v>0</v>
      </c>
      <c r="F20" s="1100">
        <f>'Table 4 Level 3'!N19</f>
        <v>809.9799999999999</v>
      </c>
      <c r="G20" s="1100">
        <f t="shared" si="3"/>
        <v>0</v>
      </c>
      <c r="H20" s="1052">
        <f t="shared" si="4"/>
        <v>0</v>
      </c>
      <c r="I20" s="1110">
        <f t="shared" si="5"/>
        <v>0</v>
      </c>
      <c r="J20" s="1052">
        <f t="shared" si="6"/>
        <v>0</v>
      </c>
      <c r="K20" s="1052">
        <v>0</v>
      </c>
      <c r="L20" s="1052">
        <f t="shared" si="7"/>
        <v>0</v>
      </c>
      <c r="M20" s="1052">
        <f t="shared" si="8"/>
        <v>0</v>
      </c>
      <c r="N20" s="1051">
        <f>'[18]FY2012-13 Final'!K21</f>
        <v>3888</v>
      </c>
      <c r="O20" s="1053">
        <f t="shared" si="9"/>
        <v>0</v>
      </c>
      <c r="P20" s="1118">
        <f t="shared" si="10"/>
        <v>0</v>
      </c>
      <c r="Q20" s="1053">
        <f t="shared" si="11"/>
        <v>0</v>
      </c>
      <c r="R20" s="1053">
        <v>0</v>
      </c>
      <c r="S20" s="1053">
        <f t="shared" si="12"/>
        <v>0</v>
      </c>
      <c r="T20" s="1053">
        <f t="shared" si="13"/>
        <v>0</v>
      </c>
      <c r="U20" s="1054">
        <f t="shared" si="14"/>
        <v>0</v>
      </c>
      <c r="V20" s="1054">
        <f t="shared" si="14"/>
        <v>0</v>
      </c>
    </row>
    <row r="21" spans="1:22">
      <c r="A21" s="998">
        <v>15</v>
      </c>
      <c r="B21" s="999" t="s">
        <v>109</v>
      </c>
      <c r="C21" s="1194">
        <f>'[2]ALL-Reformatted'!W20</f>
        <v>0</v>
      </c>
      <c r="D21" s="1001">
        <f>'Table 3 Levels 1&amp;2'!BN23+'Table 3 Levels 1&amp;2'!BV23</f>
        <v>5492.5789412344011</v>
      </c>
      <c r="E21" s="1101">
        <f t="shared" si="2"/>
        <v>0</v>
      </c>
      <c r="F21" s="1101">
        <f>'Table 4 Level 3'!N20</f>
        <v>553.79999999999995</v>
      </c>
      <c r="G21" s="1101">
        <f t="shared" si="3"/>
        <v>0</v>
      </c>
      <c r="H21" s="1055">
        <f t="shared" si="4"/>
        <v>0</v>
      </c>
      <c r="I21" s="1111">
        <f t="shared" si="5"/>
        <v>0</v>
      </c>
      <c r="J21" s="1055">
        <f t="shared" si="6"/>
        <v>0</v>
      </c>
      <c r="K21" s="1055">
        <v>0</v>
      </c>
      <c r="L21" s="1055">
        <f t="shared" si="7"/>
        <v>0</v>
      </c>
      <c r="M21" s="1055">
        <f t="shared" si="8"/>
        <v>0</v>
      </c>
      <c r="N21" s="1056">
        <f>'[18]FY2012-13 Final'!K22</f>
        <v>2752</v>
      </c>
      <c r="O21" s="1057">
        <f t="shared" si="9"/>
        <v>0</v>
      </c>
      <c r="P21" s="1119">
        <f t="shared" si="10"/>
        <v>0</v>
      </c>
      <c r="Q21" s="1057">
        <f t="shared" si="11"/>
        <v>0</v>
      </c>
      <c r="R21" s="1057">
        <v>0</v>
      </c>
      <c r="S21" s="1057">
        <f t="shared" si="12"/>
        <v>0</v>
      </c>
      <c r="T21" s="1057">
        <f t="shared" si="13"/>
        <v>0</v>
      </c>
      <c r="U21" s="1058">
        <f t="shared" si="14"/>
        <v>0</v>
      </c>
      <c r="V21" s="1058">
        <f t="shared" si="14"/>
        <v>0</v>
      </c>
    </row>
    <row r="22" spans="1:22">
      <c r="A22" s="987">
        <v>16</v>
      </c>
      <c r="B22" s="988" t="s">
        <v>110</v>
      </c>
      <c r="C22" s="1195">
        <f>'[2]ALL-Reformatted'!W21</f>
        <v>0</v>
      </c>
      <c r="D22" s="990">
        <f>'Table 3 Levels 1&amp;2'!BN24+'Table 3 Levels 1&amp;2'!BV24</f>
        <v>1506.1153407945151</v>
      </c>
      <c r="E22" s="1099">
        <f t="shared" si="2"/>
        <v>0</v>
      </c>
      <c r="F22" s="1099">
        <f>'Table 4 Level 3'!N21</f>
        <v>686.73</v>
      </c>
      <c r="G22" s="1099">
        <f t="shared" si="3"/>
        <v>0</v>
      </c>
      <c r="H22" s="991">
        <f t="shared" si="4"/>
        <v>0</v>
      </c>
      <c r="I22" s="1109">
        <f t="shared" si="5"/>
        <v>0</v>
      </c>
      <c r="J22" s="991">
        <f t="shared" si="6"/>
        <v>0</v>
      </c>
      <c r="K22" s="991">
        <v>0</v>
      </c>
      <c r="L22" s="991">
        <f t="shared" si="7"/>
        <v>0</v>
      </c>
      <c r="M22" s="991">
        <f t="shared" si="8"/>
        <v>0</v>
      </c>
      <c r="N22" s="1051">
        <f>'[18]FY2012-13 Final'!K23</f>
        <v>15092</v>
      </c>
      <c r="O22" s="992">
        <f t="shared" si="9"/>
        <v>0</v>
      </c>
      <c r="P22" s="1117">
        <f t="shared" si="10"/>
        <v>0</v>
      </c>
      <c r="Q22" s="992">
        <f t="shared" si="11"/>
        <v>0</v>
      </c>
      <c r="R22" s="992">
        <v>0</v>
      </c>
      <c r="S22" s="992">
        <f t="shared" si="12"/>
        <v>0</v>
      </c>
      <c r="T22" s="992">
        <f t="shared" si="13"/>
        <v>0</v>
      </c>
      <c r="U22" s="993">
        <f t="shared" si="14"/>
        <v>0</v>
      </c>
      <c r="V22" s="993">
        <f t="shared" si="14"/>
        <v>0</v>
      </c>
    </row>
    <row r="23" spans="1:22">
      <c r="A23" s="994">
        <v>17</v>
      </c>
      <c r="B23" s="995" t="s">
        <v>111</v>
      </c>
      <c r="C23" s="1193">
        <f>'[2]ALL-Reformatted'!W22</f>
        <v>0</v>
      </c>
      <c r="D23" s="997">
        <f>'Table 3 Levels 1&amp;2'!BN25+'Table 3 Levels 1&amp;2'!BV25</f>
        <v>3311.610845996096</v>
      </c>
      <c r="E23" s="1100">
        <f t="shared" si="2"/>
        <v>0</v>
      </c>
      <c r="F23" s="1100">
        <f>'Table 5B2_RSD_LA'!F7</f>
        <v>801.47762416806802</v>
      </c>
      <c r="G23" s="1100">
        <f t="shared" si="3"/>
        <v>0</v>
      </c>
      <c r="H23" s="1052">
        <f t="shared" si="4"/>
        <v>0</v>
      </c>
      <c r="I23" s="1110">
        <f t="shared" si="5"/>
        <v>0</v>
      </c>
      <c r="J23" s="1052">
        <f t="shared" si="6"/>
        <v>0</v>
      </c>
      <c r="K23" s="1052">
        <v>0</v>
      </c>
      <c r="L23" s="1052">
        <f t="shared" si="7"/>
        <v>0</v>
      </c>
      <c r="M23" s="1052">
        <f t="shared" si="8"/>
        <v>0</v>
      </c>
      <c r="N23" s="1051">
        <f>'[18]FY2012-13 Final'!K24</f>
        <v>6551</v>
      </c>
      <c r="O23" s="1053">
        <f t="shared" si="9"/>
        <v>0</v>
      </c>
      <c r="P23" s="1118">
        <f t="shared" si="10"/>
        <v>0</v>
      </c>
      <c r="Q23" s="1053">
        <f t="shared" si="11"/>
        <v>0</v>
      </c>
      <c r="R23" s="1053">
        <v>0</v>
      </c>
      <c r="S23" s="1053">
        <f t="shared" si="12"/>
        <v>0</v>
      </c>
      <c r="T23" s="1053">
        <f t="shared" si="13"/>
        <v>0</v>
      </c>
      <c r="U23" s="1054">
        <f t="shared" si="14"/>
        <v>0</v>
      </c>
      <c r="V23" s="1054">
        <f t="shared" si="14"/>
        <v>0</v>
      </c>
    </row>
    <row r="24" spans="1:22">
      <c r="A24" s="994">
        <v>18</v>
      </c>
      <c r="B24" s="995" t="s">
        <v>112</v>
      </c>
      <c r="C24" s="1193">
        <f>'[2]ALL-Reformatted'!W23</f>
        <v>0</v>
      </c>
      <c r="D24" s="997">
        <f>'Table 3 Levels 1&amp;2'!BN26+'Table 3 Levels 1&amp;2'!BV26</f>
        <v>5964.3490202032081</v>
      </c>
      <c r="E24" s="1100">
        <f t="shared" si="2"/>
        <v>0</v>
      </c>
      <c r="F24" s="1100">
        <f>'Table 4 Level 3'!N23</f>
        <v>845.94999999999993</v>
      </c>
      <c r="G24" s="1100">
        <f t="shared" si="3"/>
        <v>0</v>
      </c>
      <c r="H24" s="1052">
        <f t="shared" si="4"/>
        <v>0</v>
      </c>
      <c r="I24" s="1110">
        <f t="shared" si="5"/>
        <v>0</v>
      </c>
      <c r="J24" s="1052">
        <f t="shared" si="6"/>
        <v>0</v>
      </c>
      <c r="K24" s="1052">
        <v>0</v>
      </c>
      <c r="L24" s="1052">
        <f t="shared" si="7"/>
        <v>0</v>
      </c>
      <c r="M24" s="1052">
        <f t="shared" si="8"/>
        <v>0</v>
      </c>
      <c r="N24" s="1051">
        <f>'[18]FY2012-13 Final'!K25</f>
        <v>2165</v>
      </c>
      <c r="O24" s="1053">
        <f t="shared" si="9"/>
        <v>0</v>
      </c>
      <c r="P24" s="1118">
        <f t="shared" si="10"/>
        <v>0</v>
      </c>
      <c r="Q24" s="1053">
        <f t="shared" si="11"/>
        <v>0</v>
      </c>
      <c r="R24" s="1053">
        <v>0</v>
      </c>
      <c r="S24" s="1053">
        <f t="shared" si="12"/>
        <v>0</v>
      </c>
      <c r="T24" s="1053">
        <f t="shared" si="13"/>
        <v>0</v>
      </c>
      <c r="U24" s="1054">
        <f t="shared" si="14"/>
        <v>0</v>
      </c>
      <c r="V24" s="1054">
        <f t="shared" si="14"/>
        <v>0</v>
      </c>
    </row>
    <row r="25" spans="1:22">
      <c r="A25" s="994">
        <v>19</v>
      </c>
      <c r="B25" s="995" t="s">
        <v>113</v>
      </c>
      <c r="C25" s="1193">
        <f>'[2]ALL-Reformatted'!W24</f>
        <v>0</v>
      </c>
      <c r="D25" s="997">
        <f>'Table 3 Levels 1&amp;2'!BN27+'Table 3 Levels 1&amp;2'!BV27</f>
        <v>5283.1088158476596</v>
      </c>
      <c r="E25" s="1100">
        <f t="shared" si="2"/>
        <v>0</v>
      </c>
      <c r="F25" s="1100">
        <f>'Table 4 Level 3'!N24</f>
        <v>905.43</v>
      </c>
      <c r="G25" s="1100">
        <f t="shared" si="3"/>
        <v>0</v>
      </c>
      <c r="H25" s="1052">
        <f t="shared" si="4"/>
        <v>0</v>
      </c>
      <c r="I25" s="1110">
        <f t="shared" si="5"/>
        <v>0</v>
      </c>
      <c r="J25" s="1052">
        <f t="shared" si="6"/>
        <v>0</v>
      </c>
      <c r="K25" s="1052">
        <v>0</v>
      </c>
      <c r="L25" s="1052">
        <f t="shared" si="7"/>
        <v>0</v>
      </c>
      <c r="M25" s="1052">
        <f t="shared" si="8"/>
        <v>0</v>
      </c>
      <c r="N25" s="1051">
        <f>'[18]FY2012-13 Final'!K26</f>
        <v>2729</v>
      </c>
      <c r="O25" s="1053">
        <f t="shared" si="9"/>
        <v>0</v>
      </c>
      <c r="P25" s="1118">
        <f t="shared" si="10"/>
        <v>0</v>
      </c>
      <c r="Q25" s="1053">
        <f t="shared" si="11"/>
        <v>0</v>
      </c>
      <c r="R25" s="1053">
        <v>0</v>
      </c>
      <c r="S25" s="1053">
        <f t="shared" si="12"/>
        <v>0</v>
      </c>
      <c r="T25" s="1053">
        <f t="shared" si="13"/>
        <v>0</v>
      </c>
      <c r="U25" s="1054">
        <f t="shared" si="14"/>
        <v>0</v>
      </c>
      <c r="V25" s="1054">
        <f t="shared" si="14"/>
        <v>0</v>
      </c>
    </row>
    <row r="26" spans="1:22">
      <c r="A26" s="998">
        <v>20</v>
      </c>
      <c r="B26" s="999" t="s">
        <v>114</v>
      </c>
      <c r="C26" s="1194">
        <f>'[2]ALL-Reformatted'!W25</f>
        <v>0</v>
      </c>
      <c r="D26" s="1001">
        <f>'Table 3 Levels 1&amp;2'!BN28+'Table 3 Levels 1&amp;2'!BV28</f>
        <v>5389.6047094824808</v>
      </c>
      <c r="E26" s="1101">
        <f t="shared" si="2"/>
        <v>0</v>
      </c>
      <c r="F26" s="1101">
        <f>'Table 4 Level 3'!N25</f>
        <v>586.16999999999996</v>
      </c>
      <c r="G26" s="1101">
        <f t="shared" si="3"/>
        <v>0</v>
      </c>
      <c r="H26" s="1055">
        <f t="shared" si="4"/>
        <v>0</v>
      </c>
      <c r="I26" s="1111">
        <f t="shared" si="5"/>
        <v>0</v>
      </c>
      <c r="J26" s="1055">
        <f t="shared" si="6"/>
        <v>0</v>
      </c>
      <c r="K26" s="1055">
        <v>0</v>
      </c>
      <c r="L26" s="1055">
        <f t="shared" si="7"/>
        <v>0</v>
      </c>
      <c r="M26" s="1055">
        <f t="shared" si="8"/>
        <v>0</v>
      </c>
      <c r="N26" s="1056">
        <f>'[18]FY2012-13 Final'!K27</f>
        <v>2334</v>
      </c>
      <c r="O26" s="1057">
        <f t="shared" si="9"/>
        <v>0</v>
      </c>
      <c r="P26" s="1119">
        <f t="shared" si="10"/>
        <v>0</v>
      </c>
      <c r="Q26" s="1057">
        <f t="shared" si="11"/>
        <v>0</v>
      </c>
      <c r="R26" s="1057">
        <v>0</v>
      </c>
      <c r="S26" s="1057">
        <f t="shared" si="12"/>
        <v>0</v>
      </c>
      <c r="T26" s="1057">
        <f t="shared" si="13"/>
        <v>0</v>
      </c>
      <c r="U26" s="1058">
        <f t="shared" si="14"/>
        <v>0</v>
      </c>
      <c r="V26" s="1058">
        <f t="shared" si="14"/>
        <v>0</v>
      </c>
    </row>
    <row r="27" spans="1:22">
      <c r="A27" s="987">
        <v>21</v>
      </c>
      <c r="B27" s="988" t="s">
        <v>115</v>
      </c>
      <c r="C27" s="1195">
        <f>'[2]ALL-Reformatted'!W26</f>
        <v>0</v>
      </c>
      <c r="D27" s="990">
        <f>'Table 3 Levels 1&amp;2'!BN29+'Table 3 Levels 1&amp;2'!BV29</f>
        <v>5659.8229810652783</v>
      </c>
      <c r="E27" s="1099">
        <f t="shared" si="2"/>
        <v>0</v>
      </c>
      <c r="F27" s="1099">
        <f>'Table 4 Level 3'!N26</f>
        <v>610.35</v>
      </c>
      <c r="G27" s="1099">
        <f t="shared" si="3"/>
        <v>0</v>
      </c>
      <c r="H27" s="991">
        <f t="shared" si="4"/>
        <v>0</v>
      </c>
      <c r="I27" s="1109">
        <f t="shared" si="5"/>
        <v>0</v>
      </c>
      <c r="J27" s="991">
        <f t="shared" si="6"/>
        <v>0</v>
      </c>
      <c r="K27" s="991">
        <v>0</v>
      </c>
      <c r="L27" s="991">
        <f t="shared" si="7"/>
        <v>0</v>
      </c>
      <c r="M27" s="991">
        <f t="shared" si="8"/>
        <v>0</v>
      </c>
      <c r="N27" s="1051">
        <f>'[18]FY2012-13 Final'!K28</f>
        <v>2233</v>
      </c>
      <c r="O27" s="992">
        <f t="shared" si="9"/>
        <v>0</v>
      </c>
      <c r="P27" s="1117">
        <f t="shared" si="10"/>
        <v>0</v>
      </c>
      <c r="Q27" s="992">
        <f t="shared" si="11"/>
        <v>0</v>
      </c>
      <c r="R27" s="992">
        <v>0</v>
      </c>
      <c r="S27" s="992">
        <f t="shared" si="12"/>
        <v>0</v>
      </c>
      <c r="T27" s="992">
        <f t="shared" si="13"/>
        <v>0</v>
      </c>
      <c r="U27" s="993">
        <f t="shared" si="14"/>
        <v>0</v>
      </c>
      <c r="V27" s="993">
        <f t="shared" si="14"/>
        <v>0</v>
      </c>
    </row>
    <row r="28" spans="1:22">
      <c r="A28" s="994">
        <v>22</v>
      </c>
      <c r="B28" s="995" t="s">
        <v>116</v>
      </c>
      <c r="C28" s="1193">
        <f>'[2]ALL-Reformatted'!W27</f>
        <v>0</v>
      </c>
      <c r="D28" s="997">
        <f>'Table 3 Levels 1&amp;2'!BN30+'Table 3 Levels 1&amp;2'!BV30</f>
        <v>6191.1997628958306</v>
      </c>
      <c r="E28" s="1100">
        <f t="shared" si="2"/>
        <v>0</v>
      </c>
      <c r="F28" s="1100">
        <f>'Table 4 Level 3'!N27</f>
        <v>496.36</v>
      </c>
      <c r="G28" s="1100">
        <f t="shared" si="3"/>
        <v>0</v>
      </c>
      <c r="H28" s="1052">
        <f t="shared" si="4"/>
        <v>0</v>
      </c>
      <c r="I28" s="1110">
        <f t="shared" si="5"/>
        <v>0</v>
      </c>
      <c r="J28" s="1052">
        <f t="shared" si="6"/>
        <v>0</v>
      </c>
      <c r="K28" s="1052">
        <v>0</v>
      </c>
      <c r="L28" s="1052">
        <f t="shared" si="7"/>
        <v>0</v>
      </c>
      <c r="M28" s="1052">
        <f t="shared" si="8"/>
        <v>0</v>
      </c>
      <c r="N28" s="1051">
        <f>'[18]FY2012-13 Final'!K29</f>
        <v>1410</v>
      </c>
      <c r="O28" s="1053">
        <f t="shared" si="9"/>
        <v>0</v>
      </c>
      <c r="P28" s="1118">
        <f t="shared" si="10"/>
        <v>0</v>
      </c>
      <c r="Q28" s="1053">
        <f t="shared" si="11"/>
        <v>0</v>
      </c>
      <c r="R28" s="1053">
        <v>0</v>
      </c>
      <c r="S28" s="1053">
        <f t="shared" si="12"/>
        <v>0</v>
      </c>
      <c r="T28" s="1053">
        <f t="shared" si="13"/>
        <v>0</v>
      </c>
      <c r="U28" s="1054">
        <f t="shared" si="14"/>
        <v>0</v>
      </c>
      <c r="V28" s="1054">
        <f t="shared" si="14"/>
        <v>0</v>
      </c>
    </row>
    <row r="29" spans="1:22">
      <c r="A29" s="994">
        <v>23</v>
      </c>
      <c r="B29" s="995" t="s">
        <v>117</v>
      </c>
      <c r="C29" s="1193">
        <f>'[2]ALL-Reformatted'!W28</f>
        <v>0</v>
      </c>
      <c r="D29" s="997">
        <f>'Table 3 Levels 1&amp;2'!BN31+'Table 3 Levels 1&amp;2'!BV31</f>
        <v>4788.2881021645453</v>
      </c>
      <c r="E29" s="1100">
        <f t="shared" si="2"/>
        <v>0</v>
      </c>
      <c r="F29" s="1100">
        <f>'Table 4 Level 3'!N28</f>
        <v>688.58</v>
      </c>
      <c r="G29" s="1100">
        <f t="shared" si="3"/>
        <v>0</v>
      </c>
      <c r="H29" s="1052">
        <f t="shared" si="4"/>
        <v>0</v>
      </c>
      <c r="I29" s="1110">
        <f t="shared" si="5"/>
        <v>0</v>
      </c>
      <c r="J29" s="1052">
        <f t="shared" si="6"/>
        <v>0</v>
      </c>
      <c r="K29" s="1052">
        <v>0</v>
      </c>
      <c r="L29" s="1052">
        <f t="shared" si="7"/>
        <v>0</v>
      </c>
      <c r="M29" s="1052">
        <f t="shared" si="8"/>
        <v>0</v>
      </c>
      <c r="N29" s="1051">
        <f>'[18]FY2012-13 Final'!K30</f>
        <v>3258</v>
      </c>
      <c r="O29" s="1053">
        <f t="shared" si="9"/>
        <v>0</v>
      </c>
      <c r="P29" s="1118">
        <f t="shared" si="10"/>
        <v>0</v>
      </c>
      <c r="Q29" s="1053">
        <f t="shared" si="11"/>
        <v>0</v>
      </c>
      <c r="R29" s="1053">
        <v>0</v>
      </c>
      <c r="S29" s="1053">
        <f t="shared" si="12"/>
        <v>0</v>
      </c>
      <c r="T29" s="1053">
        <f t="shared" si="13"/>
        <v>0</v>
      </c>
      <c r="U29" s="1054">
        <f t="shared" si="14"/>
        <v>0</v>
      </c>
      <c r="V29" s="1054">
        <f t="shared" si="14"/>
        <v>0</v>
      </c>
    </row>
    <row r="30" spans="1:22">
      <c r="A30" s="994">
        <v>24</v>
      </c>
      <c r="B30" s="995" t="s">
        <v>118</v>
      </c>
      <c r="C30" s="1193">
        <f>'[2]ALL-Reformatted'!W29</f>
        <v>0</v>
      </c>
      <c r="D30" s="997">
        <f>'Table 3 Levels 1&amp;2'!BN32+'Table 3 Levels 1&amp;2'!BV32</f>
        <v>2743.328175824176</v>
      </c>
      <c r="E30" s="1100">
        <f t="shared" si="2"/>
        <v>0</v>
      </c>
      <c r="F30" s="1100">
        <f>'Table 4 Level 3'!N29</f>
        <v>854.24999999999989</v>
      </c>
      <c r="G30" s="1100">
        <f t="shared" si="3"/>
        <v>0</v>
      </c>
      <c r="H30" s="1052">
        <f t="shared" si="4"/>
        <v>0</v>
      </c>
      <c r="I30" s="1110">
        <f t="shared" si="5"/>
        <v>0</v>
      </c>
      <c r="J30" s="1052">
        <f t="shared" si="6"/>
        <v>0</v>
      </c>
      <c r="K30" s="1052">
        <v>0</v>
      </c>
      <c r="L30" s="1052">
        <f t="shared" si="7"/>
        <v>0</v>
      </c>
      <c r="M30" s="1052">
        <f t="shared" si="8"/>
        <v>0</v>
      </c>
      <c r="N30" s="1051">
        <f>'[18]FY2012-13 Final'!K31</f>
        <v>9280</v>
      </c>
      <c r="O30" s="1053">
        <f t="shared" si="9"/>
        <v>0</v>
      </c>
      <c r="P30" s="1118">
        <f t="shared" si="10"/>
        <v>0</v>
      </c>
      <c r="Q30" s="1053">
        <f t="shared" si="11"/>
        <v>0</v>
      </c>
      <c r="R30" s="1053">
        <v>0</v>
      </c>
      <c r="S30" s="1053">
        <f t="shared" si="12"/>
        <v>0</v>
      </c>
      <c r="T30" s="1053">
        <f t="shared" si="13"/>
        <v>0</v>
      </c>
      <c r="U30" s="1054">
        <f t="shared" si="14"/>
        <v>0</v>
      </c>
      <c r="V30" s="1054">
        <f t="shared" si="14"/>
        <v>0</v>
      </c>
    </row>
    <row r="31" spans="1:22">
      <c r="A31" s="998">
        <v>25</v>
      </c>
      <c r="B31" s="999" t="s">
        <v>119</v>
      </c>
      <c r="C31" s="1194">
        <f>'[2]ALL-Reformatted'!W30</f>
        <v>0</v>
      </c>
      <c r="D31" s="1001">
        <f>'Table 3 Levels 1&amp;2'!BN33+'Table 3 Levels 1&amp;2'!BV33</f>
        <v>3799.3890273447178</v>
      </c>
      <c r="E31" s="1101">
        <f t="shared" si="2"/>
        <v>0</v>
      </c>
      <c r="F31" s="1101">
        <f>'Table 4 Level 3'!N30</f>
        <v>653.73</v>
      </c>
      <c r="G31" s="1101">
        <f t="shared" si="3"/>
        <v>0</v>
      </c>
      <c r="H31" s="1055">
        <f t="shared" si="4"/>
        <v>0</v>
      </c>
      <c r="I31" s="1111">
        <f t="shared" si="5"/>
        <v>0</v>
      </c>
      <c r="J31" s="1055">
        <f t="shared" si="6"/>
        <v>0</v>
      </c>
      <c r="K31" s="1055">
        <v>0</v>
      </c>
      <c r="L31" s="1055">
        <f t="shared" si="7"/>
        <v>0</v>
      </c>
      <c r="M31" s="1055">
        <f t="shared" si="8"/>
        <v>0</v>
      </c>
      <c r="N31" s="1056">
        <f>'[18]FY2012-13 Final'!K32</f>
        <v>5351</v>
      </c>
      <c r="O31" s="1057">
        <f t="shared" si="9"/>
        <v>0</v>
      </c>
      <c r="P31" s="1119">
        <f t="shared" si="10"/>
        <v>0</v>
      </c>
      <c r="Q31" s="1057">
        <f t="shared" si="11"/>
        <v>0</v>
      </c>
      <c r="R31" s="1057">
        <v>0</v>
      </c>
      <c r="S31" s="1057">
        <f t="shared" si="12"/>
        <v>0</v>
      </c>
      <c r="T31" s="1057">
        <f t="shared" si="13"/>
        <v>0</v>
      </c>
      <c r="U31" s="1058">
        <f t="shared" si="14"/>
        <v>0</v>
      </c>
      <c r="V31" s="1058">
        <f t="shared" si="14"/>
        <v>0</v>
      </c>
    </row>
    <row r="32" spans="1:22">
      <c r="A32" s="987">
        <v>26</v>
      </c>
      <c r="B32" s="988" t="s">
        <v>120</v>
      </c>
      <c r="C32" s="1195">
        <f>'[2]ALL-Reformatted'!W31</f>
        <v>110</v>
      </c>
      <c r="D32" s="990">
        <f>'Table 3 Levels 1&amp;2'!BN34+'Table 3 Levels 1&amp;2'!BV34</f>
        <v>3320.7842100822745</v>
      </c>
      <c r="E32" s="1099">
        <f t="shared" si="2"/>
        <v>365286.26310905023</v>
      </c>
      <c r="F32" s="1099">
        <f>'Table 4 Level 3'!N31</f>
        <v>836.83</v>
      </c>
      <c r="G32" s="1099">
        <f t="shared" si="3"/>
        <v>92051.3</v>
      </c>
      <c r="H32" s="991">
        <f t="shared" si="4"/>
        <v>457337.56310905021</v>
      </c>
      <c r="I32" s="1109">
        <f t="shared" si="5"/>
        <v>-1143.3439077726255</v>
      </c>
      <c r="J32" s="991">
        <f t="shared" si="6"/>
        <v>456194.21920127759</v>
      </c>
      <c r="K32" s="1241">
        <f>'[1]Adjusted Amounts'!$C$126+'[1]Adjusted Amounts'!$H$126</f>
        <v>3987.1779009796828</v>
      </c>
      <c r="L32" s="991">
        <f t="shared" si="7"/>
        <v>460181.3971022573</v>
      </c>
      <c r="M32" s="991">
        <f t="shared" si="8"/>
        <v>38348.449758521441</v>
      </c>
      <c r="N32" s="1051">
        <f>'[18]FY2012-13 Final'!K33</f>
        <v>5100</v>
      </c>
      <c r="O32" s="992">
        <f t="shared" si="9"/>
        <v>561000</v>
      </c>
      <c r="P32" s="1117">
        <f t="shared" si="10"/>
        <v>-1402.5</v>
      </c>
      <c r="Q32" s="992">
        <f t="shared" si="11"/>
        <v>559597.5</v>
      </c>
      <c r="R32" s="1242">
        <f>'[1]Adjusted Amounts'!$K$126+'[1]Adjusted Amounts'!$P$126</f>
        <v>4648</v>
      </c>
      <c r="S32" s="992">
        <f t="shared" si="12"/>
        <v>564245.5</v>
      </c>
      <c r="T32" s="992">
        <f t="shared" si="13"/>
        <v>47020.458333333336</v>
      </c>
      <c r="U32" s="993">
        <f t="shared" si="14"/>
        <v>1024426.8971022572</v>
      </c>
      <c r="V32" s="993">
        <f t="shared" si="14"/>
        <v>85368.90809185477</v>
      </c>
    </row>
    <row r="33" spans="1:22">
      <c r="A33" s="994">
        <v>27</v>
      </c>
      <c r="B33" s="995" t="s">
        <v>121</v>
      </c>
      <c r="C33" s="1196">
        <f>'[2]ALL-Reformatted'!W32</f>
        <v>0</v>
      </c>
      <c r="D33" s="1003">
        <f>'Table 3 Levels 1&amp;2'!BN35+'Table 3 Levels 1&amp;2'!BV35</f>
        <v>5636.5919457972805</v>
      </c>
      <c r="E33" s="1102">
        <f t="shared" si="2"/>
        <v>0</v>
      </c>
      <c r="F33" s="1102">
        <f>'Table 4 Level 3'!N32</f>
        <v>693.06</v>
      </c>
      <c r="G33" s="1102">
        <f t="shared" si="3"/>
        <v>0</v>
      </c>
      <c r="H33" s="1059">
        <f t="shared" si="4"/>
        <v>0</v>
      </c>
      <c r="I33" s="1112">
        <f t="shared" si="5"/>
        <v>0</v>
      </c>
      <c r="J33" s="1059">
        <f t="shared" si="6"/>
        <v>0</v>
      </c>
      <c r="K33" s="1059">
        <v>0</v>
      </c>
      <c r="L33" s="1059">
        <f t="shared" si="7"/>
        <v>0</v>
      </c>
      <c r="M33" s="1059">
        <f t="shared" si="8"/>
        <v>0</v>
      </c>
      <c r="N33" s="1051">
        <f>'[18]FY2012-13 Final'!K34</f>
        <v>3091</v>
      </c>
      <c r="O33" s="1053">
        <f t="shared" si="9"/>
        <v>0</v>
      </c>
      <c r="P33" s="1118">
        <f t="shared" si="10"/>
        <v>0</v>
      </c>
      <c r="Q33" s="1053">
        <f t="shared" si="11"/>
        <v>0</v>
      </c>
      <c r="R33" s="1053">
        <v>0</v>
      </c>
      <c r="S33" s="1053">
        <f t="shared" si="12"/>
        <v>0</v>
      </c>
      <c r="T33" s="1053">
        <f t="shared" si="13"/>
        <v>0</v>
      </c>
      <c r="U33" s="1054">
        <f t="shared" si="14"/>
        <v>0</v>
      </c>
      <c r="V33" s="1054">
        <f t="shared" si="14"/>
        <v>0</v>
      </c>
    </row>
    <row r="34" spans="1:22">
      <c r="A34" s="994">
        <v>28</v>
      </c>
      <c r="B34" s="995" t="s">
        <v>122</v>
      </c>
      <c r="C34" s="1196">
        <f>'[2]ALL-Reformatted'!W33</f>
        <v>0</v>
      </c>
      <c r="D34" s="1003">
        <f>'Table 3 Levels 1&amp;2'!BN36+'Table 3 Levels 1&amp;2'!BV36</f>
        <v>3106.8056522508969</v>
      </c>
      <c r="E34" s="1102">
        <f t="shared" si="2"/>
        <v>0</v>
      </c>
      <c r="F34" s="1102">
        <f>'Table 4 Level 3'!N33</f>
        <v>694.4</v>
      </c>
      <c r="G34" s="1102">
        <f t="shared" si="3"/>
        <v>0</v>
      </c>
      <c r="H34" s="1059">
        <f t="shared" si="4"/>
        <v>0</v>
      </c>
      <c r="I34" s="1112">
        <f t="shared" si="5"/>
        <v>0</v>
      </c>
      <c r="J34" s="1059">
        <f t="shared" si="6"/>
        <v>0</v>
      </c>
      <c r="K34" s="1059">
        <v>0</v>
      </c>
      <c r="L34" s="1059">
        <f t="shared" si="7"/>
        <v>0</v>
      </c>
      <c r="M34" s="1059">
        <f t="shared" si="8"/>
        <v>0</v>
      </c>
      <c r="N34" s="1051">
        <f>'[18]FY2012-13 Final'!K35</f>
        <v>5323</v>
      </c>
      <c r="O34" s="1053">
        <f t="shared" si="9"/>
        <v>0</v>
      </c>
      <c r="P34" s="1118">
        <f t="shared" si="10"/>
        <v>0</v>
      </c>
      <c r="Q34" s="1053">
        <f t="shared" si="11"/>
        <v>0</v>
      </c>
      <c r="R34" s="1053">
        <v>0</v>
      </c>
      <c r="S34" s="1053">
        <f t="shared" si="12"/>
        <v>0</v>
      </c>
      <c r="T34" s="1053">
        <f t="shared" si="13"/>
        <v>0</v>
      </c>
      <c r="U34" s="1054">
        <f t="shared" si="14"/>
        <v>0</v>
      </c>
      <c r="V34" s="1054">
        <f t="shared" si="14"/>
        <v>0</v>
      </c>
    </row>
    <row r="35" spans="1:22">
      <c r="A35" s="994">
        <v>29</v>
      </c>
      <c r="B35" s="995" t="s">
        <v>123</v>
      </c>
      <c r="C35" s="1196">
        <f>'[2]ALL-Reformatted'!W34</f>
        <v>0</v>
      </c>
      <c r="D35" s="1003">
        <f>'Table 3 Levels 1&amp;2'!BN37+'Table 3 Levels 1&amp;2'!BV37</f>
        <v>3912.1846976122315</v>
      </c>
      <c r="E35" s="1102">
        <f t="shared" si="2"/>
        <v>0</v>
      </c>
      <c r="F35" s="1102">
        <f>'Table 4 Level 3'!N34</f>
        <v>754.94999999999993</v>
      </c>
      <c r="G35" s="1102">
        <f t="shared" si="3"/>
        <v>0</v>
      </c>
      <c r="H35" s="1059">
        <f t="shared" si="4"/>
        <v>0</v>
      </c>
      <c r="I35" s="1112">
        <f t="shared" si="5"/>
        <v>0</v>
      </c>
      <c r="J35" s="1059">
        <f t="shared" si="6"/>
        <v>0</v>
      </c>
      <c r="K35" s="1059">
        <v>0</v>
      </c>
      <c r="L35" s="1059">
        <f t="shared" si="7"/>
        <v>0</v>
      </c>
      <c r="M35" s="1059">
        <f t="shared" si="8"/>
        <v>0</v>
      </c>
      <c r="N35" s="1051">
        <f>'[18]FY2012-13 Final'!K36</f>
        <v>4388</v>
      </c>
      <c r="O35" s="1053">
        <f t="shared" si="9"/>
        <v>0</v>
      </c>
      <c r="P35" s="1118">
        <f t="shared" si="10"/>
        <v>0</v>
      </c>
      <c r="Q35" s="1053">
        <f t="shared" si="11"/>
        <v>0</v>
      </c>
      <c r="R35" s="1053">
        <v>0</v>
      </c>
      <c r="S35" s="1053">
        <f t="shared" si="12"/>
        <v>0</v>
      </c>
      <c r="T35" s="1053">
        <f t="shared" si="13"/>
        <v>0</v>
      </c>
      <c r="U35" s="1054">
        <f t="shared" si="14"/>
        <v>0</v>
      </c>
      <c r="V35" s="1054">
        <f t="shared" si="14"/>
        <v>0</v>
      </c>
    </row>
    <row r="36" spans="1:22">
      <c r="A36" s="998">
        <v>30</v>
      </c>
      <c r="B36" s="999" t="s">
        <v>124</v>
      </c>
      <c r="C36" s="1197">
        <f>'[2]ALL-Reformatted'!W35</f>
        <v>0</v>
      </c>
      <c r="D36" s="1005">
        <f>'Table 3 Levels 1&amp;2'!BN38+'Table 3 Levels 1&amp;2'!BV38</f>
        <v>5594.0091640611508</v>
      </c>
      <c r="E36" s="1103">
        <f t="shared" si="2"/>
        <v>0</v>
      </c>
      <c r="F36" s="1103">
        <f>'Table 4 Level 3'!N35</f>
        <v>727.17</v>
      </c>
      <c r="G36" s="1103">
        <f t="shared" si="3"/>
        <v>0</v>
      </c>
      <c r="H36" s="1060">
        <f t="shared" si="4"/>
        <v>0</v>
      </c>
      <c r="I36" s="1113">
        <f t="shared" si="5"/>
        <v>0</v>
      </c>
      <c r="J36" s="1060">
        <f t="shared" si="6"/>
        <v>0</v>
      </c>
      <c r="K36" s="1060">
        <v>0</v>
      </c>
      <c r="L36" s="1060">
        <f t="shared" si="7"/>
        <v>0</v>
      </c>
      <c r="M36" s="1060">
        <f t="shared" si="8"/>
        <v>0</v>
      </c>
      <c r="N36" s="1056">
        <f>'[18]FY2012-13 Final'!K37</f>
        <v>3702</v>
      </c>
      <c r="O36" s="1057">
        <f t="shared" si="9"/>
        <v>0</v>
      </c>
      <c r="P36" s="1119">
        <f t="shared" si="10"/>
        <v>0</v>
      </c>
      <c r="Q36" s="1057">
        <f t="shared" si="11"/>
        <v>0</v>
      </c>
      <c r="R36" s="1057">
        <v>0</v>
      </c>
      <c r="S36" s="1057">
        <f t="shared" si="12"/>
        <v>0</v>
      </c>
      <c r="T36" s="1057">
        <f t="shared" si="13"/>
        <v>0</v>
      </c>
      <c r="U36" s="1058">
        <f t="shared" si="14"/>
        <v>0</v>
      </c>
      <c r="V36" s="1058">
        <f t="shared" si="14"/>
        <v>0</v>
      </c>
    </row>
    <row r="37" spans="1:22">
      <c r="A37" s="987">
        <v>31</v>
      </c>
      <c r="B37" s="988" t="s">
        <v>125</v>
      </c>
      <c r="C37" s="1198">
        <f>'[2]ALL-Reformatted'!W36</f>
        <v>0</v>
      </c>
      <c r="D37" s="1007">
        <f>'Table 3 Levels 1&amp;2'!BN39+'Table 3 Levels 1&amp;2'!BV39</f>
        <v>4320.114188911979</v>
      </c>
      <c r="E37" s="1104">
        <f t="shared" si="2"/>
        <v>0</v>
      </c>
      <c r="F37" s="1104">
        <f>'Table 4 Level 3'!N36</f>
        <v>620.83000000000004</v>
      </c>
      <c r="G37" s="1104">
        <f t="shared" si="3"/>
        <v>0</v>
      </c>
      <c r="H37" s="1061">
        <f t="shared" si="4"/>
        <v>0</v>
      </c>
      <c r="I37" s="1114">
        <f t="shared" si="5"/>
        <v>0</v>
      </c>
      <c r="J37" s="1061">
        <f t="shared" si="6"/>
        <v>0</v>
      </c>
      <c r="K37" s="1061">
        <v>0</v>
      </c>
      <c r="L37" s="1061">
        <f t="shared" si="7"/>
        <v>0</v>
      </c>
      <c r="M37" s="1061">
        <f t="shared" si="8"/>
        <v>0</v>
      </c>
      <c r="N37" s="1051">
        <f>'[18]FY2012-13 Final'!K38</f>
        <v>4669</v>
      </c>
      <c r="O37" s="992">
        <f t="shared" si="9"/>
        <v>0</v>
      </c>
      <c r="P37" s="1117">
        <f t="shared" si="10"/>
        <v>0</v>
      </c>
      <c r="Q37" s="992">
        <f t="shared" si="11"/>
        <v>0</v>
      </c>
      <c r="R37" s="992">
        <v>0</v>
      </c>
      <c r="S37" s="992">
        <f t="shared" si="12"/>
        <v>0</v>
      </c>
      <c r="T37" s="992">
        <f t="shared" si="13"/>
        <v>0</v>
      </c>
      <c r="U37" s="993">
        <f t="shared" si="14"/>
        <v>0</v>
      </c>
      <c r="V37" s="993">
        <f t="shared" si="14"/>
        <v>0</v>
      </c>
    </row>
    <row r="38" spans="1:22">
      <c r="A38" s="994">
        <v>32</v>
      </c>
      <c r="B38" s="995" t="s">
        <v>126</v>
      </c>
      <c r="C38" s="1196">
        <f>'[2]ALL-Reformatted'!W37</f>
        <v>0</v>
      </c>
      <c r="D38" s="1003">
        <f>'Table 3 Levels 1&amp;2'!BN40+'Table 3 Levels 1&amp;2'!BV40</f>
        <v>5504.4479209353676</v>
      </c>
      <c r="E38" s="1102">
        <f t="shared" si="2"/>
        <v>0</v>
      </c>
      <c r="F38" s="1102">
        <f>'Table 4 Level 3'!N37</f>
        <v>559.77</v>
      </c>
      <c r="G38" s="1102">
        <f t="shared" si="3"/>
        <v>0</v>
      </c>
      <c r="H38" s="1059">
        <f t="shared" si="4"/>
        <v>0</v>
      </c>
      <c r="I38" s="1112">
        <f t="shared" si="5"/>
        <v>0</v>
      </c>
      <c r="J38" s="1059">
        <f t="shared" si="6"/>
        <v>0</v>
      </c>
      <c r="K38" s="1059">
        <v>0</v>
      </c>
      <c r="L38" s="1059">
        <f t="shared" si="7"/>
        <v>0</v>
      </c>
      <c r="M38" s="1059">
        <f t="shared" si="8"/>
        <v>0</v>
      </c>
      <c r="N38" s="1051">
        <f>'[18]FY2012-13 Final'!K39</f>
        <v>1965</v>
      </c>
      <c r="O38" s="1053">
        <f t="shared" si="9"/>
        <v>0</v>
      </c>
      <c r="P38" s="1118">
        <f t="shared" si="10"/>
        <v>0</v>
      </c>
      <c r="Q38" s="1053">
        <f t="shared" si="11"/>
        <v>0</v>
      </c>
      <c r="R38" s="1053">
        <v>0</v>
      </c>
      <c r="S38" s="1053">
        <f t="shared" si="12"/>
        <v>0</v>
      </c>
      <c r="T38" s="1053">
        <f t="shared" si="13"/>
        <v>0</v>
      </c>
      <c r="U38" s="1054">
        <f t="shared" si="14"/>
        <v>0</v>
      </c>
      <c r="V38" s="1054">
        <f t="shared" si="14"/>
        <v>0</v>
      </c>
    </row>
    <row r="39" spans="1:22">
      <c r="A39" s="994">
        <v>33</v>
      </c>
      <c r="B39" s="995" t="s">
        <v>127</v>
      </c>
      <c r="C39" s="1196">
        <f>'[2]ALL-Reformatted'!W38</f>
        <v>0</v>
      </c>
      <c r="D39" s="1003">
        <f>'Table 3 Levels 1&amp;2'!BN41+'Table 3 Levels 1&amp;2'!BV41</f>
        <v>5322.07272511876</v>
      </c>
      <c r="E39" s="1102">
        <f t="shared" si="2"/>
        <v>0</v>
      </c>
      <c r="F39" s="1102">
        <f>'Table 4 Level 3'!N38</f>
        <v>655.31000000000006</v>
      </c>
      <c r="G39" s="1102">
        <f t="shared" si="3"/>
        <v>0</v>
      </c>
      <c r="H39" s="1059">
        <f t="shared" si="4"/>
        <v>0</v>
      </c>
      <c r="I39" s="1112">
        <f t="shared" si="5"/>
        <v>0</v>
      </c>
      <c r="J39" s="1059">
        <f t="shared" si="6"/>
        <v>0</v>
      </c>
      <c r="K39" s="1059">
        <v>0</v>
      </c>
      <c r="L39" s="1059">
        <f t="shared" si="7"/>
        <v>0</v>
      </c>
      <c r="M39" s="1059">
        <f t="shared" si="8"/>
        <v>0</v>
      </c>
      <c r="N39" s="1051">
        <f>'[18]FY2012-13 Final'!K40</f>
        <v>2771</v>
      </c>
      <c r="O39" s="1053">
        <f t="shared" si="9"/>
        <v>0</v>
      </c>
      <c r="P39" s="1118">
        <f t="shared" si="10"/>
        <v>0</v>
      </c>
      <c r="Q39" s="1053">
        <f t="shared" si="11"/>
        <v>0</v>
      </c>
      <c r="R39" s="1053">
        <v>0</v>
      </c>
      <c r="S39" s="1053">
        <f t="shared" si="12"/>
        <v>0</v>
      </c>
      <c r="T39" s="1053">
        <f t="shared" si="13"/>
        <v>0</v>
      </c>
      <c r="U39" s="1054">
        <f t="shared" si="14"/>
        <v>0</v>
      </c>
      <c r="V39" s="1054">
        <f t="shared" si="14"/>
        <v>0</v>
      </c>
    </row>
    <row r="40" spans="1:22">
      <c r="A40" s="994">
        <v>34</v>
      </c>
      <c r="B40" s="995" t="s">
        <v>128</v>
      </c>
      <c r="C40" s="1196">
        <f>'[2]ALL-Reformatted'!W39</f>
        <v>0</v>
      </c>
      <c r="D40" s="1003">
        <f>'Table 3 Levels 1&amp;2'!BN42+'Table 3 Levels 1&amp;2'!BV42</f>
        <v>5959.062840731639</v>
      </c>
      <c r="E40" s="1102">
        <f t="shared" si="2"/>
        <v>0</v>
      </c>
      <c r="F40" s="1102">
        <f>'Table 4 Level 3'!N39</f>
        <v>644.11000000000013</v>
      </c>
      <c r="G40" s="1102">
        <f t="shared" si="3"/>
        <v>0</v>
      </c>
      <c r="H40" s="1059">
        <f t="shared" si="4"/>
        <v>0</v>
      </c>
      <c r="I40" s="1112">
        <f t="shared" si="5"/>
        <v>0</v>
      </c>
      <c r="J40" s="1059">
        <f t="shared" si="6"/>
        <v>0</v>
      </c>
      <c r="K40" s="1059">
        <v>0</v>
      </c>
      <c r="L40" s="1059">
        <f t="shared" si="7"/>
        <v>0</v>
      </c>
      <c r="M40" s="1059">
        <f t="shared" si="8"/>
        <v>0</v>
      </c>
      <c r="N40" s="1051">
        <f>'[18]FY2012-13 Final'!K41</f>
        <v>2758</v>
      </c>
      <c r="O40" s="1053">
        <f t="shared" si="9"/>
        <v>0</v>
      </c>
      <c r="P40" s="1118">
        <f t="shared" si="10"/>
        <v>0</v>
      </c>
      <c r="Q40" s="1053">
        <f t="shared" si="11"/>
        <v>0</v>
      </c>
      <c r="R40" s="1053">
        <v>0</v>
      </c>
      <c r="S40" s="1053">
        <f t="shared" si="12"/>
        <v>0</v>
      </c>
      <c r="T40" s="1053">
        <f t="shared" si="13"/>
        <v>0</v>
      </c>
      <c r="U40" s="1054">
        <f t="shared" si="14"/>
        <v>0</v>
      </c>
      <c r="V40" s="1054">
        <f t="shared" si="14"/>
        <v>0</v>
      </c>
    </row>
    <row r="41" spans="1:22">
      <c r="A41" s="998">
        <v>35</v>
      </c>
      <c r="B41" s="999" t="s">
        <v>129</v>
      </c>
      <c r="C41" s="1197">
        <f>'[2]ALL-Reformatted'!W40</f>
        <v>0</v>
      </c>
      <c r="D41" s="1005">
        <f>'Table 3 Levels 1&amp;2'!BN43+'Table 3 Levels 1&amp;2'!BV43</f>
        <v>4571.947611490059</v>
      </c>
      <c r="E41" s="1103">
        <f t="shared" si="2"/>
        <v>0</v>
      </c>
      <c r="F41" s="1103">
        <f>'Table 4 Level 3'!N40</f>
        <v>537.96</v>
      </c>
      <c r="G41" s="1103">
        <f t="shared" si="3"/>
        <v>0</v>
      </c>
      <c r="H41" s="1060">
        <f t="shared" si="4"/>
        <v>0</v>
      </c>
      <c r="I41" s="1113">
        <f t="shared" si="5"/>
        <v>0</v>
      </c>
      <c r="J41" s="1060">
        <f t="shared" si="6"/>
        <v>0</v>
      </c>
      <c r="K41" s="1060">
        <v>0</v>
      </c>
      <c r="L41" s="1060">
        <f t="shared" si="7"/>
        <v>0</v>
      </c>
      <c r="M41" s="1060">
        <f t="shared" si="8"/>
        <v>0</v>
      </c>
      <c r="N41" s="1056">
        <f>'[18]FY2012-13 Final'!K42</f>
        <v>3603</v>
      </c>
      <c r="O41" s="1057">
        <f t="shared" si="9"/>
        <v>0</v>
      </c>
      <c r="P41" s="1119">
        <f t="shared" si="10"/>
        <v>0</v>
      </c>
      <c r="Q41" s="1057">
        <f t="shared" si="11"/>
        <v>0</v>
      </c>
      <c r="R41" s="1057">
        <v>0</v>
      </c>
      <c r="S41" s="1057">
        <f t="shared" si="12"/>
        <v>0</v>
      </c>
      <c r="T41" s="1057">
        <f t="shared" si="13"/>
        <v>0</v>
      </c>
      <c r="U41" s="1058">
        <f t="shared" si="14"/>
        <v>0</v>
      </c>
      <c r="V41" s="1058">
        <f t="shared" si="14"/>
        <v>0</v>
      </c>
    </row>
    <row r="42" spans="1:22">
      <c r="A42" s="987">
        <v>36</v>
      </c>
      <c r="B42" s="988" t="s">
        <v>130</v>
      </c>
      <c r="C42" s="1198">
        <f>'[2]ALL-Reformatted'!W41</f>
        <v>104</v>
      </c>
      <c r="D42" s="1007">
        <f>'Table 3 Levels 1&amp;2'!BN44+'Table 3 Levels 1&amp;2'!BV44</f>
        <v>3666.4136012725312</v>
      </c>
      <c r="E42" s="1104">
        <f t="shared" si="2"/>
        <v>381307.01453234325</v>
      </c>
      <c r="F42" s="1104">
        <f>'Table 5B1_RSD_Orleans'!F78</f>
        <v>746.0335616438357</v>
      </c>
      <c r="G42" s="1104">
        <f t="shared" si="3"/>
        <v>77587.490410958912</v>
      </c>
      <c r="H42" s="1061">
        <f t="shared" si="4"/>
        <v>458894.50494330213</v>
      </c>
      <c r="I42" s="1114">
        <f t="shared" si="5"/>
        <v>-1147.2362623582553</v>
      </c>
      <c r="J42" s="1061">
        <f t="shared" si="6"/>
        <v>457747.26868094387</v>
      </c>
      <c r="K42" s="1061">
        <v>0</v>
      </c>
      <c r="L42" s="1061">
        <f t="shared" si="7"/>
        <v>457747.26868094387</v>
      </c>
      <c r="M42" s="1061">
        <f t="shared" si="8"/>
        <v>38145.605723411987</v>
      </c>
      <c r="N42" s="1051">
        <f>'[18]FY2012-13 Final'!K43</f>
        <v>4601</v>
      </c>
      <c r="O42" s="992">
        <f t="shared" si="9"/>
        <v>478504</v>
      </c>
      <c r="P42" s="1117">
        <f t="shared" si="10"/>
        <v>-1196.26</v>
      </c>
      <c r="Q42" s="992">
        <f t="shared" si="11"/>
        <v>477307.74</v>
      </c>
      <c r="R42" s="992">
        <v>0</v>
      </c>
      <c r="S42" s="992">
        <f t="shared" si="12"/>
        <v>477307.74</v>
      </c>
      <c r="T42" s="992">
        <f t="shared" si="13"/>
        <v>39775.644999999997</v>
      </c>
      <c r="U42" s="993">
        <f t="shared" si="14"/>
        <v>935055.00868094387</v>
      </c>
      <c r="V42" s="993">
        <f t="shared" si="14"/>
        <v>77921.250723411984</v>
      </c>
    </row>
    <row r="43" spans="1:22">
      <c r="A43" s="994">
        <v>37</v>
      </c>
      <c r="B43" s="995" t="s">
        <v>131</v>
      </c>
      <c r="C43" s="1196">
        <f>'[2]ALL-Reformatted'!W42</f>
        <v>0</v>
      </c>
      <c r="D43" s="1003">
        <f>'Table 3 Levels 1&amp;2'!BN45+'Table 3 Levels 1&amp;2'!BV45</f>
        <v>5484.8089042263191</v>
      </c>
      <c r="E43" s="1102">
        <f t="shared" si="2"/>
        <v>0</v>
      </c>
      <c r="F43" s="1102">
        <f>'Table 4 Level 3'!N42</f>
        <v>653.61</v>
      </c>
      <c r="G43" s="1102">
        <f t="shared" si="3"/>
        <v>0</v>
      </c>
      <c r="H43" s="1059">
        <f t="shared" si="4"/>
        <v>0</v>
      </c>
      <c r="I43" s="1112">
        <f t="shared" si="5"/>
        <v>0</v>
      </c>
      <c r="J43" s="1059">
        <f t="shared" si="6"/>
        <v>0</v>
      </c>
      <c r="K43" s="1059">
        <v>0</v>
      </c>
      <c r="L43" s="1059">
        <f t="shared" si="7"/>
        <v>0</v>
      </c>
      <c r="M43" s="1059">
        <f t="shared" si="8"/>
        <v>0</v>
      </c>
      <c r="N43" s="1051">
        <f>'[18]FY2012-13 Final'!K44</f>
        <v>3099</v>
      </c>
      <c r="O43" s="1053">
        <f t="shared" si="9"/>
        <v>0</v>
      </c>
      <c r="P43" s="1118">
        <f t="shared" si="10"/>
        <v>0</v>
      </c>
      <c r="Q43" s="1053">
        <f t="shared" si="11"/>
        <v>0</v>
      </c>
      <c r="R43" s="1053">
        <v>0</v>
      </c>
      <c r="S43" s="1053">
        <f t="shared" si="12"/>
        <v>0</v>
      </c>
      <c r="T43" s="1053">
        <f t="shared" si="13"/>
        <v>0</v>
      </c>
      <c r="U43" s="1054">
        <f t="shared" si="14"/>
        <v>0</v>
      </c>
      <c r="V43" s="1054">
        <f t="shared" si="14"/>
        <v>0</v>
      </c>
    </row>
    <row r="44" spans="1:22">
      <c r="A44" s="994">
        <v>38</v>
      </c>
      <c r="B44" s="995" t="s">
        <v>132</v>
      </c>
      <c r="C44" s="1196">
        <f>'[2]ALL-Reformatted'!W43</f>
        <v>8</v>
      </c>
      <c r="D44" s="1003">
        <f>'Table 3 Levels 1&amp;2'!BN46+'Table 3 Levels 1&amp;2'!BV46</f>
        <v>2078.5917829727841</v>
      </c>
      <c r="E44" s="1102">
        <f t="shared" si="2"/>
        <v>16628.734263782273</v>
      </c>
      <c r="F44" s="1102">
        <f>'Table 4 Level 3'!N43</f>
        <v>829.92000000000007</v>
      </c>
      <c r="G44" s="1102">
        <f t="shared" si="3"/>
        <v>6639.3600000000006</v>
      </c>
      <c r="H44" s="1059">
        <f t="shared" si="4"/>
        <v>23268.094263782274</v>
      </c>
      <c r="I44" s="1112">
        <f t="shared" si="5"/>
        <v>-58.170235659455685</v>
      </c>
      <c r="J44" s="1059">
        <f t="shared" si="6"/>
        <v>23209.924028122819</v>
      </c>
      <c r="K44" s="1059">
        <v>0</v>
      </c>
      <c r="L44" s="1059">
        <f t="shared" si="7"/>
        <v>23209.924028122819</v>
      </c>
      <c r="M44" s="1059">
        <f t="shared" si="8"/>
        <v>1934.1603356769017</v>
      </c>
      <c r="N44" s="1051">
        <f>'[18]FY2012-13 Final'!K45</f>
        <v>9674</v>
      </c>
      <c r="O44" s="1053">
        <f t="shared" si="9"/>
        <v>77392</v>
      </c>
      <c r="P44" s="1118">
        <f t="shared" si="10"/>
        <v>-193.48000000000002</v>
      </c>
      <c r="Q44" s="1053">
        <f t="shared" si="11"/>
        <v>77198.52</v>
      </c>
      <c r="R44" s="1053">
        <v>0</v>
      </c>
      <c r="S44" s="1053">
        <f t="shared" si="12"/>
        <v>77198.52</v>
      </c>
      <c r="T44" s="1053">
        <f t="shared" si="13"/>
        <v>6433.21</v>
      </c>
      <c r="U44" s="1054">
        <f t="shared" si="14"/>
        <v>100408.44402812282</v>
      </c>
      <c r="V44" s="1054">
        <f t="shared" si="14"/>
        <v>8367.370335676902</v>
      </c>
    </row>
    <row r="45" spans="1:22">
      <c r="A45" s="994">
        <v>39</v>
      </c>
      <c r="B45" s="995" t="s">
        <v>133</v>
      </c>
      <c r="C45" s="1196">
        <f>'[2]ALL-Reformatted'!W44</f>
        <v>0</v>
      </c>
      <c r="D45" s="1003">
        <f>'Table 3 Levels 1&amp;2'!BN47+'Table 3 Levels 1&amp;2'!BV47</f>
        <v>3622.4878999042335</v>
      </c>
      <c r="E45" s="1102">
        <f t="shared" si="2"/>
        <v>0</v>
      </c>
      <c r="F45" s="1102">
        <f>'Table 5B2_RSD_LA'!F21</f>
        <v>779.65573042776441</v>
      </c>
      <c r="G45" s="1102">
        <f t="shared" si="3"/>
        <v>0</v>
      </c>
      <c r="H45" s="1059">
        <f t="shared" si="4"/>
        <v>0</v>
      </c>
      <c r="I45" s="1112">
        <f t="shared" si="5"/>
        <v>0</v>
      </c>
      <c r="J45" s="1059">
        <f t="shared" si="6"/>
        <v>0</v>
      </c>
      <c r="K45" s="1059">
        <v>0</v>
      </c>
      <c r="L45" s="1059">
        <f t="shared" si="7"/>
        <v>0</v>
      </c>
      <c r="M45" s="1059">
        <f t="shared" si="8"/>
        <v>0</v>
      </c>
      <c r="N45" s="1051">
        <f>'[18]FY2012-13 Final'!K46</f>
        <v>4277</v>
      </c>
      <c r="O45" s="1053">
        <f t="shared" si="9"/>
        <v>0</v>
      </c>
      <c r="P45" s="1118">
        <f t="shared" si="10"/>
        <v>0</v>
      </c>
      <c r="Q45" s="1053">
        <f t="shared" si="11"/>
        <v>0</v>
      </c>
      <c r="R45" s="1053">
        <v>0</v>
      </c>
      <c r="S45" s="1053">
        <f t="shared" si="12"/>
        <v>0</v>
      </c>
      <c r="T45" s="1053">
        <f t="shared" si="13"/>
        <v>0</v>
      </c>
      <c r="U45" s="1054">
        <f t="shared" si="14"/>
        <v>0</v>
      </c>
      <c r="V45" s="1054">
        <f t="shared" si="14"/>
        <v>0</v>
      </c>
    </row>
    <row r="46" spans="1:22">
      <c r="A46" s="998">
        <v>40</v>
      </c>
      <c r="B46" s="999" t="s">
        <v>134</v>
      </c>
      <c r="C46" s="1197">
        <f>'[2]ALL-Reformatted'!W45</f>
        <v>0</v>
      </c>
      <c r="D46" s="1005">
        <f>'Table 3 Levels 1&amp;2'!BN48+'Table 3 Levels 1&amp;2'!BV48</f>
        <v>4885.6387343180086</v>
      </c>
      <c r="E46" s="1103">
        <f t="shared" si="2"/>
        <v>0</v>
      </c>
      <c r="F46" s="1103">
        <f>'Table 4 Level 3'!N45</f>
        <v>700.2700000000001</v>
      </c>
      <c r="G46" s="1103">
        <f t="shared" si="3"/>
        <v>0</v>
      </c>
      <c r="H46" s="1060">
        <f t="shared" si="4"/>
        <v>0</v>
      </c>
      <c r="I46" s="1113">
        <f t="shared" si="5"/>
        <v>0</v>
      </c>
      <c r="J46" s="1060">
        <f t="shared" si="6"/>
        <v>0</v>
      </c>
      <c r="K46" s="1060">
        <v>0</v>
      </c>
      <c r="L46" s="1060">
        <f t="shared" si="7"/>
        <v>0</v>
      </c>
      <c r="M46" s="1060">
        <f t="shared" si="8"/>
        <v>0</v>
      </c>
      <c r="N46" s="1056">
        <f>'[18]FY2012-13 Final'!K47</f>
        <v>2921</v>
      </c>
      <c r="O46" s="1057">
        <f t="shared" si="9"/>
        <v>0</v>
      </c>
      <c r="P46" s="1119">
        <f t="shared" si="10"/>
        <v>0</v>
      </c>
      <c r="Q46" s="1057">
        <f t="shared" si="11"/>
        <v>0</v>
      </c>
      <c r="R46" s="1057">
        <v>0</v>
      </c>
      <c r="S46" s="1057">
        <f t="shared" si="12"/>
        <v>0</v>
      </c>
      <c r="T46" s="1057">
        <f t="shared" si="13"/>
        <v>0</v>
      </c>
      <c r="U46" s="1058">
        <f t="shared" si="14"/>
        <v>0</v>
      </c>
      <c r="V46" s="1058">
        <f t="shared" si="14"/>
        <v>0</v>
      </c>
    </row>
    <row r="47" spans="1:22">
      <c r="A47" s="987">
        <v>41</v>
      </c>
      <c r="B47" s="988" t="s">
        <v>135</v>
      </c>
      <c r="C47" s="1198">
        <f>'[2]ALL-Reformatted'!W46</f>
        <v>0</v>
      </c>
      <c r="D47" s="1007">
        <f>'Table 3 Levels 1&amp;2'!BN49+'Table 3 Levels 1&amp;2'!BV49</f>
        <v>1602.0398121899364</v>
      </c>
      <c r="E47" s="1104">
        <f t="shared" si="2"/>
        <v>0</v>
      </c>
      <c r="F47" s="1104">
        <f>'Table 4 Level 3'!N46</f>
        <v>886.22</v>
      </c>
      <c r="G47" s="1104">
        <f t="shared" si="3"/>
        <v>0</v>
      </c>
      <c r="H47" s="1061">
        <f t="shared" si="4"/>
        <v>0</v>
      </c>
      <c r="I47" s="1114">
        <f t="shared" si="5"/>
        <v>0</v>
      </c>
      <c r="J47" s="1061">
        <f t="shared" si="6"/>
        <v>0</v>
      </c>
      <c r="K47" s="1061">
        <v>0</v>
      </c>
      <c r="L47" s="1061">
        <f t="shared" si="7"/>
        <v>0</v>
      </c>
      <c r="M47" s="1061">
        <f t="shared" si="8"/>
        <v>0</v>
      </c>
      <c r="N47" s="1051">
        <f>'[18]FY2012-13 Final'!K48</f>
        <v>12026</v>
      </c>
      <c r="O47" s="992">
        <f t="shared" si="9"/>
        <v>0</v>
      </c>
      <c r="P47" s="1117">
        <f t="shared" si="10"/>
        <v>0</v>
      </c>
      <c r="Q47" s="992">
        <f t="shared" si="11"/>
        <v>0</v>
      </c>
      <c r="R47" s="992">
        <v>0</v>
      </c>
      <c r="S47" s="992">
        <f t="shared" si="12"/>
        <v>0</v>
      </c>
      <c r="T47" s="992">
        <f t="shared" si="13"/>
        <v>0</v>
      </c>
      <c r="U47" s="993">
        <f t="shared" si="14"/>
        <v>0</v>
      </c>
      <c r="V47" s="993">
        <f t="shared" si="14"/>
        <v>0</v>
      </c>
    </row>
    <row r="48" spans="1:22">
      <c r="A48" s="994">
        <v>42</v>
      </c>
      <c r="B48" s="995" t="s">
        <v>136</v>
      </c>
      <c r="C48" s="1196">
        <f>'[2]ALL-Reformatted'!W47</f>
        <v>0</v>
      </c>
      <c r="D48" s="1003">
        <f>'Table 3 Levels 1&amp;2'!BN50+'Table 3 Levels 1&amp;2'!BV50</f>
        <v>5098.6172346404755</v>
      </c>
      <c r="E48" s="1102">
        <f t="shared" si="2"/>
        <v>0</v>
      </c>
      <c r="F48" s="1102">
        <f>'Table 4 Level 3'!N47</f>
        <v>534.28</v>
      </c>
      <c r="G48" s="1102">
        <f t="shared" si="3"/>
        <v>0</v>
      </c>
      <c r="H48" s="1059">
        <f t="shared" si="4"/>
        <v>0</v>
      </c>
      <c r="I48" s="1112">
        <f t="shared" si="5"/>
        <v>0</v>
      </c>
      <c r="J48" s="1059">
        <f t="shared" si="6"/>
        <v>0</v>
      </c>
      <c r="K48" s="1059">
        <v>0</v>
      </c>
      <c r="L48" s="1059">
        <f t="shared" si="7"/>
        <v>0</v>
      </c>
      <c r="M48" s="1059">
        <f t="shared" si="8"/>
        <v>0</v>
      </c>
      <c r="N48" s="1051">
        <f>'[18]FY2012-13 Final'!K49</f>
        <v>2554</v>
      </c>
      <c r="O48" s="1053">
        <f t="shared" si="9"/>
        <v>0</v>
      </c>
      <c r="P48" s="1118">
        <f t="shared" si="10"/>
        <v>0</v>
      </c>
      <c r="Q48" s="1053">
        <f t="shared" si="11"/>
        <v>0</v>
      </c>
      <c r="R48" s="1053">
        <v>0</v>
      </c>
      <c r="S48" s="1053">
        <f t="shared" si="12"/>
        <v>0</v>
      </c>
      <c r="T48" s="1053">
        <f t="shared" si="13"/>
        <v>0</v>
      </c>
      <c r="U48" s="1054">
        <f t="shared" si="14"/>
        <v>0</v>
      </c>
      <c r="V48" s="1054">
        <f t="shared" si="14"/>
        <v>0</v>
      </c>
    </row>
    <row r="49" spans="1:22">
      <c r="A49" s="994">
        <v>43</v>
      </c>
      <c r="B49" s="995" t="s">
        <v>137</v>
      </c>
      <c r="C49" s="1196">
        <f>'[2]ALL-Reformatted'!W48</f>
        <v>0</v>
      </c>
      <c r="D49" s="1003">
        <f>'Table 3 Levels 1&amp;2'!BN51+'Table 3 Levels 1&amp;2'!BV51</f>
        <v>4701.3362575004667</v>
      </c>
      <c r="E49" s="1102">
        <f t="shared" si="2"/>
        <v>0</v>
      </c>
      <c r="F49" s="1102">
        <f>'Table 4 Level 3'!N48</f>
        <v>574.6099999999999</v>
      </c>
      <c r="G49" s="1102">
        <f t="shared" si="3"/>
        <v>0</v>
      </c>
      <c r="H49" s="1059">
        <f t="shared" si="4"/>
        <v>0</v>
      </c>
      <c r="I49" s="1112">
        <f t="shared" si="5"/>
        <v>0</v>
      </c>
      <c r="J49" s="1059">
        <f t="shared" si="6"/>
        <v>0</v>
      </c>
      <c r="K49" s="1059">
        <v>0</v>
      </c>
      <c r="L49" s="1059">
        <f t="shared" si="7"/>
        <v>0</v>
      </c>
      <c r="M49" s="1059">
        <f t="shared" si="8"/>
        <v>0</v>
      </c>
      <c r="N49" s="1051">
        <f>'[18]FY2012-13 Final'!K50</f>
        <v>5265</v>
      </c>
      <c r="O49" s="1053">
        <f t="shared" si="9"/>
        <v>0</v>
      </c>
      <c r="P49" s="1118">
        <f t="shared" si="10"/>
        <v>0</v>
      </c>
      <c r="Q49" s="1053">
        <f t="shared" si="11"/>
        <v>0</v>
      </c>
      <c r="R49" s="1053">
        <v>0</v>
      </c>
      <c r="S49" s="1053">
        <f t="shared" si="12"/>
        <v>0</v>
      </c>
      <c r="T49" s="1053">
        <f t="shared" si="13"/>
        <v>0</v>
      </c>
      <c r="U49" s="1054">
        <f t="shared" si="14"/>
        <v>0</v>
      </c>
      <c r="V49" s="1054">
        <f t="shared" si="14"/>
        <v>0</v>
      </c>
    </row>
    <row r="50" spans="1:22">
      <c r="A50" s="994">
        <v>44</v>
      </c>
      <c r="B50" s="995" t="s">
        <v>138</v>
      </c>
      <c r="C50" s="1196">
        <f>'[2]ALL-Reformatted'!W49</f>
        <v>2</v>
      </c>
      <c r="D50" s="1003">
        <f>'Table 3 Levels 1&amp;2'!BN52+'Table 3 Levels 1&amp;2'!BV52</f>
        <v>4649.5559521248724</v>
      </c>
      <c r="E50" s="1102">
        <f t="shared" si="2"/>
        <v>9299.1119042497448</v>
      </c>
      <c r="F50" s="1102">
        <f>'Table 4 Level 3'!N49</f>
        <v>663.16000000000008</v>
      </c>
      <c r="G50" s="1102">
        <f t="shared" si="3"/>
        <v>1326.3200000000002</v>
      </c>
      <c r="H50" s="1059">
        <f t="shared" si="4"/>
        <v>10625.431904249745</v>
      </c>
      <c r="I50" s="1112">
        <f t="shared" si="5"/>
        <v>-26.563579760624361</v>
      </c>
      <c r="J50" s="1059">
        <f t="shared" si="6"/>
        <v>10598.86832448912</v>
      </c>
      <c r="K50" s="1059">
        <v>0</v>
      </c>
      <c r="L50" s="1059">
        <f t="shared" si="7"/>
        <v>10598.86832448912</v>
      </c>
      <c r="M50" s="1059">
        <f t="shared" si="8"/>
        <v>883.23902704075999</v>
      </c>
      <c r="N50" s="1051">
        <f>'[18]FY2012-13 Final'!K51</f>
        <v>4109</v>
      </c>
      <c r="O50" s="1053">
        <f t="shared" si="9"/>
        <v>8218</v>
      </c>
      <c r="P50" s="1118">
        <f t="shared" si="10"/>
        <v>-20.545000000000002</v>
      </c>
      <c r="Q50" s="1053">
        <f t="shared" si="11"/>
        <v>8197.4549999999999</v>
      </c>
      <c r="R50" s="1053">
        <v>0</v>
      </c>
      <c r="S50" s="1053">
        <f t="shared" si="12"/>
        <v>8197.4549999999999</v>
      </c>
      <c r="T50" s="1053">
        <f t="shared" si="13"/>
        <v>683.12125000000003</v>
      </c>
      <c r="U50" s="1054">
        <f t="shared" si="14"/>
        <v>18796.32332448912</v>
      </c>
      <c r="V50" s="1054">
        <f t="shared" si="14"/>
        <v>1566.3602770407601</v>
      </c>
    </row>
    <row r="51" spans="1:22">
      <c r="A51" s="998">
        <v>45</v>
      </c>
      <c r="B51" s="999" t="s">
        <v>139</v>
      </c>
      <c r="C51" s="1197">
        <f>'[2]ALL-Reformatted'!W50</f>
        <v>0</v>
      </c>
      <c r="D51" s="1005">
        <f>'Table 3 Levels 1&amp;2'!BN53+'Table 3 Levels 1&amp;2'!BV53</f>
        <v>2159.257884231537</v>
      </c>
      <c r="E51" s="1103">
        <f t="shared" si="2"/>
        <v>0</v>
      </c>
      <c r="F51" s="1103">
        <f>'Table 4 Level 3'!N50</f>
        <v>753.96000000000015</v>
      </c>
      <c r="G51" s="1103">
        <f t="shared" si="3"/>
        <v>0</v>
      </c>
      <c r="H51" s="1060">
        <f t="shared" si="4"/>
        <v>0</v>
      </c>
      <c r="I51" s="1113">
        <f t="shared" si="5"/>
        <v>0</v>
      </c>
      <c r="J51" s="1060">
        <f t="shared" si="6"/>
        <v>0</v>
      </c>
      <c r="K51" s="1060">
        <v>0</v>
      </c>
      <c r="L51" s="1060">
        <f t="shared" si="7"/>
        <v>0</v>
      </c>
      <c r="M51" s="1060">
        <f t="shared" si="8"/>
        <v>0</v>
      </c>
      <c r="N51" s="1056">
        <f>'[18]FY2012-13 Final'!K52</f>
        <v>12427</v>
      </c>
      <c r="O51" s="1057">
        <f t="shared" si="9"/>
        <v>0</v>
      </c>
      <c r="P51" s="1119">
        <f t="shared" si="10"/>
        <v>0</v>
      </c>
      <c r="Q51" s="1057">
        <f t="shared" si="11"/>
        <v>0</v>
      </c>
      <c r="R51" s="1057">
        <v>0</v>
      </c>
      <c r="S51" s="1057">
        <f t="shared" si="12"/>
        <v>0</v>
      </c>
      <c r="T51" s="1057">
        <f t="shared" si="13"/>
        <v>0</v>
      </c>
      <c r="U51" s="1058">
        <f t="shared" si="14"/>
        <v>0</v>
      </c>
      <c r="V51" s="1058">
        <f t="shared" si="14"/>
        <v>0</v>
      </c>
    </row>
    <row r="52" spans="1:22">
      <c r="A52" s="987">
        <v>46</v>
      </c>
      <c r="B52" s="988" t="s">
        <v>140</v>
      </c>
      <c r="C52" s="1198">
        <f>'[2]ALL-Reformatted'!W51</f>
        <v>0</v>
      </c>
      <c r="D52" s="1007">
        <f>'Table 3 Levels 1&amp;2'!BN54+'Table 3 Levels 1&amp;2'!BV54</f>
        <v>5578.7258135108641</v>
      </c>
      <c r="E52" s="1104">
        <f t="shared" si="2"/>
        <v>0</v>
      </c>
      <c r="F52" s="1104">
        <f>'Table 4 Level 3'!N51</f>
        <v>728.06</v>
      </c>
      <c r="G52" s="1104">
        <f t="shared" si="3"/>
        <v>0</v>
      </c>
      <c r="H52" s="1061">
        <f t="shared" si="4"/>
        <v>0</v>
      </c>
      <c r="I52" s="1114">
        <f t="shared" si="5"/>
        <v>0</v>
      </c>
      <c r="J52" s="1061">
        <f t="shared" si="6"/>
        <v>0</v>
      </c>
      <c r="K52" s="1061">
        <v>0</v>
      </c>
      <c r="L52" s="1061">
        <f t="shared" si="7"/>
        <v>0</v>
      </c>
      <c r="M52" s="1061">
        <f t="shared" si="8"/>
        <v>0</v>
      </c>
      <c r="N52" s="1051">
        <f>'[18]FY2012-13 Final'!K53</f>
        <v>1968</v>
      </c>
      <c r="O52" s="992">
        <f t="shared" si="9"/>
        <v>0</v>
      </c>
      <c r="P52" s="1117">
        <f t="shared" si="10"/>
        <v>0</v>
      </c>
      <c r="Q52" s="992">
        <f t="shared" si="11"/>
        <v>0</v>
      </c>
      <c r="R52" s="992">
        <v>0</v>
      </c>
      <c r="S52" s="992">
        <f t="shared" si="12"/>
        <v>0</v>
      </c>
      <c r="T52" s="992">
        <f t="shared" si="13"/>
        <v>0</v>
      </c>
      <c r="U52" s="993">
        <f t="shared" si="14"/>
        <v>0</v>
      </c>
      <c r="V52" s="993">
        <f t="shared" si="14"/>
        <v>0</v>
      </c>
    </row>
    <row r="53" spans="1:22">
      <c r="A53" s="994">
        <v>47</v>
      </c>
      <c r="B53" s="995" t="s">
        <v>141</v>
      </c>
      <c r="C53" s="1196">
        <f>'[2]ALL-Reformatted'!W52</f>
        <v>0</v>
      </c>
      <c r="D53" s="1003">
        <f>'Table 3 Levels 1&amp;2'!BN55+'Table 3 Levels 1&amp;2'!BV55</f>
        <v>2709.058014721415</v>
      </c>
      <c r="E53" s="1102">
        <f t="shared" si="2"/>
        <v>0</v>
      </c>
      <c r="F53" s="1102">
        <f>'Table 4 Level 3'!N52</f>
        <v>910.76</v>
      </c>
      <c r="G53" s="1102">
        <f t="shared" si="3"/>
        <v>0</v>
      </c>
      <c r="H53" s="1059">
        <f t="shared" si="4"/>
        <v>0</v>
      </c>
      <c r="I53" s="1112">
        <f t="shared" si="5"/>
        <v>0</v>
      </c>
      <c r="J53" s="1059">
        <f t="shared" si="6"/>
        <v>0</v>
      </c>
      <c r="K53" s="1059">
        <v>0</v>
      </c>
      <c r="L53" s="1059">
        <f t="shared" si="7"/>
        <v>0</v>
      </c>
      <c r="M53" s="1059">
        <f t="shared" si="8"/>
        <v>0</v>
      </c>
      <c r="N53" s="1051">
        <f>'[18]FY2012-13 Final'!K54</f>
        <v>10049</v>
      </c>
      <c r="O53" s="1053">
        <f t="shared" si="9"/>
        <v>0</v>
      </c>
      <c r="P53" s="1118">
        <f t="shared" si="10"/>
        <v>0</v>
      </c>
      <c r="Q53" s="1053">
        <f t="shared" si="11"/>
        <v>0</v>
      </c>
      <c r="R53" s="1053">
        <v>0</v>
      </c>
      <c r="S53" s="1053">
        <f t="shared" si="12"/>
        <v>0</v>
      </c>
      <c r="T53" s="1053">
        <f t="shared" si="13"/>
        <v>0</v>
      </c>
      <c r="U53" s="1054">
        <f t="shared" si="14"/>
        <v>0</v>
      </c>
      <c r="V53" s="1054">
        <f t="shared" si="14"/>
        <v>0</v>
      </c>
    </row>
    <row r="54" spans="1:22">
      <c r="A54" s="994">
        <v>48</v>
      </c>
      <c r="B54" s="995" t="s">
        <v>202</v>
      </c>
      <c r="C54" s="1196">
        <f>'[2]ALL-Reformatted'!W53</f>
        <v>0</v>
      </c>
      <c r="D54" s="1003">
        <f>'Table 3 Levels 1&amp;2'!BN56+'Table 3 Levels 1&amp;2'!BV56</f>
        <v>4259.4136153508553</v>
      </c>
      <c r="E54" s="1102">
        <f t="shared" si="2"/>
        <v>0</v>
      </c>
      <c r="F54" s="1102">
        <f>'Table 4 Level 3'!N53</f>
        <v>871.07</v>
      </c>
      <c r="G54" s="1102">
        <f t="shared" si="3"/>
        <v>0</v>
      </c>
      <c r="H54" s="1059">
        <f t="shared" si="4"/>
        <v>0</v>
      </c>
      <c r="I54" s="1112">
        <f t="shared" si="5"/>
        <v>0</v>
      </c>
      <c r="J54" s="1059">
        <f t="shared" si="6"/>
        <v>0</v>
      </c>
      <c r="K54" s="1059">
        <v>0</v>
      </c>
      <c r="L54" s="1059">
        <f t="shared" si="7"/>
        <v>0</v>
      </c>
      <c r="M54" s="1059">
        <f t="shared" si="8"/>
        <v>0</v>
      </c>
      <c r="N54" s="1051">
        <f>'[18]FY2012-13 Final'!K55</f>
        <v>5755</v>
      </c>
      <c r="O54" s="1053">
        <f t="shared" si="9"/>
        <v>0</v>
      </c>
      <c r="P54" s="1118">
        <f t="shared" si="10"/>
        <v>0</v>
      </c>
      <c r="Q54" s="1053">
        <f t="shared" si="11"/>
        <v>0</v>
      </c>
      <c r="R54" s="1053">
        <v>0</v>
      </c>
      <c r="S54" s="1053">
        <f t="shared" si="12"/>
        <v>0</v>
      </c>
      <c r="T54" s="1053">
        <f t="shared" si="13"/>
        <v>0</v>
      </c>
      <c r="U54" s="1054">
        <f t="shared" si="14"/>
        <v>0</v>
      </c>
      <c r="V54" s="1054">
        <f t="shared" si="14"/>
        <v>0</v>
      </c>
    </row>
    <row r="55" spans="1:22">
      <c r="A55" s="994">
        <v>49</v>
      </c>
      <c r="B55" s="995" t="s">
        <v>142</v>
      </c>
      <c r="C55" s="1196">
        <f>'[2]ALL-Reformatted'!W54</f>
        <v>0</v>
      </c>
      <c r="D55" s="1003">
        <f>'Table 3 Levels 1&amp;2'!BN57+'Table 3 Levels 1&amp;2'!BV57</f>
        <v>4790.0513947378495</v>
      </c>
      <c r="E55" s="1102">
        <f t="shared" si="2"/>
        <v>0</v>
      </c>
      <c r="F55" s="1102">
        <f>'Table 4 Level 3'!N54</f>
        <v>574.43999999999994</v>
      </c>
      <c r="G55" s="1102">
        <f t="shared" si="3"/>
        <v>0</v>
      </c>
      <c r="H55" s="1059">
        <f t="shared" si="4"/>
        <v>0</v>
      </c>
      <c r="I55" s="1112">
        <f t="shared" si="5"/>
        <v>0</v>
      </c>
      <c r="J55" s="1059">
        <f t="shared" si="6"/>
        <v>0</v>
      </c>
      <c r="K55" s="1059">
        <v>0</v>
      </c>
      <c r="L55" s="1059">
        <f t="shared" si="7"/>
        <v>0</v>
      </c>
      <c r="M55" s="1059">
        <f t="shared" si="8"/>
        <v>0</v>
      </c>
      <c r="N55" s="1051">
        <f>'[18]FY2012-13 Final'!K56</f>
        <v>2335</v>
      </c>
      <c r="O55" s="1053">
        <f t="shared" si="9"/>
        <v>0</v>
      </c>
      <c r="P55" s="1118">
        <f t="shared" si="10"/>
        <v>0</v>
      </c>
      <c r="Q55" s="1053">
        <f t="shared" si="11"/>
        <v>0</v>
      </c>
      <c r="R55" s="1053">
        <v>0</v>
      </c>
      <c r="S55" s="1053">
        <f t="shared" si="12"/>
        <v>0</v>
      </c>
      <c r="T55" s="1053">
        <f t="shared" si="13"/>
        <v>0</v>
      </c>
      <c r="U55" s="1054">
        <f t="shared" si="14"/>
        <v>0</v>
      </c>
      <c r="V55" s="1054">
        <f t="shared" si="14"/>
        <v>0</v>
      </c>
    </row>
    <row r="56" spans="1:22">
      <c r="A56" s="998">
        <v>50</v>
      </c>
      <c r="B56" s="999" t="s">
        <v>143</v>
      </c>
      <c r="C56" s="1197">
        <f>'[2]ALL-Reformatted'!W55</f>
        <v>0</v>
      </c>
      <c r="D56" s="1005">
        <f>'Table 3 Levels 1&amp;2'!BN58+'Table 3 Levels 1&amp;2'!BV58</f>
        <v>4954.3375045905796</v>
      </c>
      <c r="E56" s="1103">
        <f t="shared" si="2"/>
        <v>0</v>
      </c>
      <c r="F56" s="1103">
        <f>'Table 4 Level 3'!N55</f>
        <v>634.46</v>
      </c>
      <c r="G56" s="1103">
        <f t="shared" si="3"/>
        <v>0</v>
      </c>
      <c r="H56" s="1060">
        <f t="shared" si="4"/>
        <v>0</v>
      </c>
      <c r="I56" s="1113">
        <f t="shared" si="5"/>
        <v>0</v>
      </c>
      <c r="J56" s="1060">
        <f t="shared" si="6"/>
        <v>0</v>
      </c>
      <c r="K56" s="1060">
        <v>0</v>
      </c>
      <c r="L56" s="1060">
        <f t="shared" si="7"/>
        <v>0</v>
      </c>
      <c r="M56" s="1060">
        <f t="shared" si="8"/>
        <v>0</v>
      </c>
      <c r="N56" s="1056">
        <f>'[18]FY2012-13 Final'!K57</f>
        <v>2801</v>
      </c>
      <c r="O56" s="1057">
        <f t="shared" si="9"/>
        <v>0</v>
      </c>
      <c r="P56" s="1119">
        <f t="shared" si="10"/>
        <v>0</v>
      </c>
      <c r="Q56" s="1057">
        <f t="shared" si="11"/>
        <v>0</v>
      </c>
      <c r="R56" s="1057">
        <v>0</v>
      </c>
      <c r="S56" s="1057">
        <f t="shared" si="12"/>
        <v>0</v>
      </c>
      <c r="T56" s="1057">
        <f t="shared" si="13"/>
        <v>0</v>
      </c>
      <c r="U56" s="1058">
        <f t="shared" si="14"/>
        <v>0</v>
      </c>
      <c r="V56" s="1058">
        <f t="shared" si="14"/>
        <v>0</v>
      </c>
    </row>
    <row r="57" spans="1:22">
      <c r="A57" s="987">
        <v>51</v>
      </c>
      <c r="B57" s="988" t="s">
        <v>144</v>
      </c>
      <c r="C57" s="1198">
        <f>'[2]ALL-Reformatted'!W56</f>
        <v>0</v>
      </c>
      <c r="D57" s="1007">
        <f>'Table 3 Levels 1&amp;2'!BN59+'Table 3 Levels 1&amp;2'!BV59</f>
        <v>4290.3461727150461</v>
      </c>
      <c r="E57" s="1104">
        <f t="shared" si="2"/>
        <v>0</v>
      </c>
      <c r="F57" s="1104">
        <f>'Table 4 Level 3'!N56</f>
        <v>706.66</v>
      </c>
      <c r="G57" s="1104">
        <f t="shared" si="3"/>
        <v>0</v>
      </c>
      <c r="H57" s="1061">
        <f t="shared" si="4"/>
        <v>0</v>
      </c>
      <c r="I57" s="1114">
        <f t="shared" si="5"/>
        <v>0</v>
      </c>
      <c r="J57" s="1061">
        <f t="shared" si="6"/>
        <v>0</v>
      </c>
      <c r="K57" s="1061">
        <v>0</v>
      </c>
      <c r="L57" s="1061">
        <f t="shared" si="7"/>
        <v>0</v>
      </c>
      <c r="M57" s="1061">
        <f t="shared" si="8"/>
        <v>0</v>
      </c>
      <c r="N57" s="1051">
        <f>'[18]FY2012-13 Final'!K58</f>
        <v>4053</v>
      </c>
      <c r="O57" s="992">
        <f t="shared" si="9"/>
        <v>0</v>
      </c>
      <c r="P57" s="1117">
        <f t="shared" si="10"/>
        <v>0</v>
      </c>
      <c r="Q57" s="992">
        <f t="shared" si="11"/>
        <v>0</v>
      </c>
      <c r="R57" s="992">
        <v>0</v>
      </c>
      <c r="S57" s="992">
        <f t="shared" si="12"/>
        <v>0</v>
      </c>
      <c r="T57" s="992">
        <f t="shared" si="13"/>
        <v>0</v>
      </c>
      <c r="U57" s="993">
        <f t="shared" si="14"/>
        <v>0</v>
      </c>
      <c r="V57" s="993">
        <f t="shared" si="14"/>
        <v>0</v>
      </c>
    </row>
    <row r="58" spans="1:22">
      <c r="A58" s="994">
        <v>52</v>
      </c>
      <c r="B58" s="995" t="s">
        <v>145</v>
      </c>
      <c r="C58" s="1196">
        <f>'[2]ALL-Reformatted'!W57</f>
        <v>0</v>
      </c>
      <c r="D58" s="1003">
        <f>'Table 3 Levels 1&amp;2'!BN60+'Table 3 Levels 1&amp;2'!BV60</f>
        <v>4988.6415961118701</v>
      </c>
      <c r="E58" s="1102">
        <f t="shared" si="2"/>
        <v>0</v>
      </c>
      <c r="F58" s="1102">
        <f>'Table 4 Level 3'!N57</f>
        <v>658.37</v>
      </c>
      <c r="G58" s="1102">
        <f t="shared" si="3"/>
        <v>0</v>
      </c>
      <c r="H58" s="1059">
        <f t="shared" si="4"/>
        <v>0</v>
      </c>
      <c r="I58" s="1112">
        <f t="shared" si="5"/>
        <v>0</v>
      </c>
      <c r="J58" s="1059">
        <f t="shared" si="6"/>
        <v>0</v>
      </c>
      <c r="K58" s="1059">
        <v>0</v>
      </c>
      <c r="L58" s="1059">
        <f t="shared" si="7"/>
        <v>0</v>
      </c>
      <c r="M58" s="1059">
        <f t="shared" si="8"/>
        <v>0</v>
      </c>
      <c r="N58" s="1051">
        <f>'[18]FY2012-13 Final'!K59</f>
        <v>4886</v>
      </c>
      <c r="O58" s="1053">
        <f t="shared" si="9"/>
        <v>0</v>
      </c>
      <c r="P58" s="1118">
        <f t="shared" si="10"/>
        <v>0</v>
      </c>
      <c r="Q58" s="1053">
        <f t="shared" si="11"/>
        <v>0</v>
      </c>
      <c r="R58" s="1053">
        <v>0</v>
      </c>
      <c r="S58" s="1053">
        <f t="shared" si="12"/>
        <v>0</v>
      </c>
      <c r="T58" s="1053">
        <f t="shared" si="13"/>
        <v>0</v>
      </c>
      <c r="U58" s="1054">
        <f t="shared" si="14"/>
        <v>0</v>
      </c>
      <c r="V58" s="1054">
        <f t="shared" si="14"/>
        <v>0</v>
      </c>
    </row>
    <row r="59" spans="1:22">
      <c r="A59" s="994">
        <v>53</v>
      </c>
      <c r="B59" s="995" t="s">
        <v>146</v>
      </c>
      <c r="C59" s="1196">
        <f>'[2]ALL-Reformatted'!W58</f>
        <v>0</v>
      </c>
      <c r="D59" s="1003">
        <f>'Table 3 Levels 1&amp;2'!BN61+'Table 3 Levels 1&amp;2'!BV61</f>
        <v>4739.7077057162423</v>
      </c>
      <c r="E59" s="1102">
        <f t="shared" si="2"/>
        <v>0</v>
      </c>
      <c r="F59" s="1102">
        <f>'Table 4 Level 3'!N58</f>
        <v>689.74</v>
      </c>
      <c r="G59" s="1102">
        <f t="shared" si="3"/>
        <v>0</v>
      </c>
      <c r="H59" s="1059">
        <f t="shared" si="4"/>
        <v>0</v>
      </c>
      <c r="I59" s="1112">
        <f t="shared" si="5"/>
        <v>0</v>
      </c>
      <c r="J59" s="1059">
        <f t="shared" si="6"/>
        <v>0</v>
      </c>
      <c r="K59" s="1059">
        <v>0</v>
      </c>
      <c r="L59" s="1059">
        <f t="shared" si="7"/>
        <v>0</v>
      </c>
      <c r="M59" s="1059">
        <f t="shared" si="8"/>
        <v>0</v>
      </c>
      <c r="N59" s="1051">
        <f>'[18]FY2012-13 Final'!K60</f>
        <v>1929</v>
      </c>
      <c r="O59" s="1053">
        <f t="shared" si="9"/>
        <v>0</v>
      </c>
      <c r="P59" s="1118">
        <f t="shared" si="10"/>
        <v>0</v>
      </c>
      <c r="Q59" s="1053">
        <f t="shared" si="11"/>
        <v>0</v>
      </c>
      <c r="R59" s="1053">
        <v>0</v>
      </c>
      <c r="S59" s="1053">
        <f t="shared" si="12"/>
        <v>0</v>
      </c>
      <c r="T59" s="1053">
        <f t="shared" si="13"/>
        <v>0</v>
      </c>
      <c r="U59" s="1054">
        <f t="shared" si="14"/>
        <v>0</v>
      </c>
      <c r="V59" s="1054">
        <f t="shared" si="14"/>
        <v>0</v>
      </c>
    </row>
    <row r="60" spans="1:22">
      <c r="A60" s="994">
        <v>54</v>
      </c>
      <c r="B60" s="995" t="s">
        <v>147</v>
      </c>
      <c r="C60" s="1196">
        <f>'[2]ALL-Reformatted'!W59</f>
        <v>0</v>
      </c>
      <c r="D60" s="1003">
        <f>'Table 3 Levels 1&amp;2'!BN62+'Table 3 Levels 1&amp;2'!BV62</f>
        <v>5907.1276437932838</v>
      </c>
      <c r="E60" s="1102">
        <f t="shared" si="2"/>
        <v>0</v>
      </c>
      <c r="F60" s="1102">
        <f>'Table 4 Level 3'!N59</f>
        <v>951.45</v>
      </c>
      <c r="G60" s="1102">
        <f t="shared" si="3"/>
        <v>0</v>
      </c>
      <c r="H60" s="1059">
        <f t="shared" si="4"/>
        <v>0</v>
      </c>
      <c r="I60" s="1112">
        <f t="shared" si="5"/>
        <v>0</v>
      </c>
      <c r="J60" s="1059">
        <f t="shared" si="6"/>
        <v>0</v>
      </c>
      <c r="K60" s="1059">
        <v>0</v>
      </c>
      <c r="L60" s="1059">
        <f t="shared" si="7"/>
        <v>0</v>
      </c>
      <c r="M60" s="1059">
        <f t="shared" si="8"/>
        <v>0</v>
      </c>
      <c r="N60" s="1051">
        <f>'[18]FY2012-13 Final'!K61</f>
        <v>3382</v>
      </c>
      <c r="O60" s="1053">
        <f t="shared" si="9"/>
        <v>0</v>
      </c>
      <c r="P60" s="1118">
        <f t="shared" si="10"/>
        <v>0</v>
      </c>
      <c r="Q60" s="1053">
        <f t="shared" si="11"/>
        <v>0</v>
      </c>
      <c r="R60" s="1053">
        <v>0</v>
      </c>
      <c r="S60" s="1053">
        <f t="shared" si="12"/>
        <v>0</v>
      </c>
      <c r="T60" s="1053">
        <f t="shared" si="13"/>
        <v>0</v>
      </c>
      <c r="U60" s="1054">
        <f t="shared" si="14"/>
        <v>0</v>
      </c>
      <c r="V60" s="1054">
        <f t="shared" si="14"/>
        <v>0</v>
      </c>
    </row>
    <row r="61" spans="1:22">
      <c r="A61" s="998">
        <v>55</v>
      </c>
      <c r="B61" s="999" t="s">
        <v>148</v>
      </c>
      <c r="C61" s="1197">
        <f>'[2]ALL-Reformatted'!W60</f>
        <v>0</v>
      </c>
      <c r="D61" s="1005">
        <f>'Table 3 Levels 1&amp;2'!BN63+'Table 3 Levels 1&amp;2'!BV63</f>
        <v>4115.0954812679902</v>
      </c>
      <c r="E61" s="1103">
        <f t="shared" si="2"/>
        <v>0</v>
      </c>
      <c r="F61" s="1103">
        <f>'Table 4 Level 3'!N60</f>
        <v>795.14</v>
      </c>
      <c r="G61" s="1103">
        <f t="shared" si="3"/>
        <v>0</v>
      </c>
      <c r="H61" s="1060">
        <f t="shared" si="4"/>
        <v>0</v>
      </c>
      <c r="I61" s="1113">
        <f t="shared" si="5"/>
        <v>0</v>
      </c>
      <c r="J61" s="1060">
        <f t="shared" si="6"/>
        <v>0</v>
      </c>
      <c r="K61" s="1060">
        <v>0</v>
      </c>
      <c r="L61" s="1060">
        <f t="shared" si="7"/>
        <v>0</v>
      </c>
      <c r="M61" s="1060">
        <f t="shared" si="8"/>
        <v>0</v>
      </c>
      <c r="N61" s="1056">
        <f>'[18]FY2012-13 Final'!K62</f>
        <v>3127</v>
      </c>
      <c r="O61" s="1057">
        <f t="shared" si="9"/>
        <v>0</v>
      </c>
      <c r="P61" s="1119">
        <f t="shared" si="10"/>
        <v>0</v>
      </c>
      <c r="Q61" s="1057">
        <f t="shared" si="11"/>
        <v>0</v>
      </c>
      <c r="R61" s="1057">
        <v>0</v>
      </c>
      <c r="S61" s="1057">
        <f t="shared" si="12"/>
        <v>0</v>
      </c>
      <c r="T61" s="1057">
        <f t="shared" si="13"/>
        <v>0</v>
      </c>
      <c r="U61" s="1058">
        <f t="shared" si="14"/>
        <v>0</v>
      </c>
      <c r="V61" s="1058">
        <f t="shared" si="14"/>
        <v>0</v>
      </c>
    </row>
    <row r="62" spans="1:22">
      <c r="A62" s="987">
        <v>56</v>
      </c>
      <c r="B62" s="988" t="s">
        <v>149</v>
      </c>
      <c r="C62" s="1198">
        <f>'[2]ALL-Reformatted'!W61</f>
        <v>0</v>
      </c>
      <c r="D62" s="1007">
        <f>'Table 3 Levels 1&amp;2'!BN64+'Table 3 Levels 1&amp;2'!BV64</f>
        <v>4924.9032059941637</v>
      </c>
      <c r="E62" s="1104">
        <f t="shared" si="2"/>
        <v>0</v>
      </c>
      <c r="F62" s="1104">
        <f>'Table 4 Level 3'!N61</f>
        <v>614.66000000000008</v>
      </c>
      <c r="G62" s="1104">
        <f t="shared" si="3"/>
        <v>0</v>
      </c>
      <c r="H62" s="1061">
        <f t="shared" si="4"/>
        <v>0</v>
      </c>
      <c r="I62" s="1114">
        <f t="shared" si="5"/>
        <v>0</v>
      </c>
      <c r="J62" s="1061">
        <f t="shared" si="6"/>
        <v>0</v>
      </c>
      <c r="K62" s="1061">
        <v>0</v>
      </c>
      <c r="L62" s="1061">
        <f t="shared" si="7"/>
        <v>0</v>
      </c>
      <c r="M62" s="1061">
        <f t="shared" si="8"/>
        <v>0</v>
      </c>
      <c r="N62" s="1051">
        <f>'[18]FY2012-13 Final'!K63</f>
        <v>2768</v>
      </c>
      <c r="O62" s="992">
        <f t="shared" si="9"/>
        <v>0</v>
      </c>
      <c r="P62" s="1117">
        <f t="shared" si="10"/>
        <v>0</v>
      </c>
      <c r="Q62" s="992">
        <f t="shared" si="11"/>
        <v>0</v>
      </c>
      <c r="R62" s="992">
        <v>0</v>
      </c>
      <c r="S62" s="992">
        <f t="shared" si="12"/>
        <v>0</v>
      </c>
      <c r="T62" s="992">
        <f t="shared" si="13"/>
        <v>0</v>
      </c>
      <c r="U62" s="993">
        <f t="shared" si="14"/>
        <v>0</v>
      </c>
      <c r="V62" s="993">
        <f t="shared" si="14"/>
        <v>0</v>
      </c>
    </row>
    <row r="63" spans="1:22">
      <c r="A63" s="994">
        <v>57</v>
      </c>
      <c r="B63" s="995" t="s">
        <v>150</v>
      </c>
      <c r="C63" s="1196">
        <f>'[2]ALL-Reformatted'!W62</f>
        <v>0</v>
      </c>
      <c r="D63" s="1003">
        <f>'Table 3 Levels 1&amp;2'!BN65+'Table 3 Levels 1&amp;2'!BV65</f>
        <v>4434.5516744018987</v>
      </c>
      <c r="E63" s="1102">
        <f t="shared" si="2"/>
        <v>0</v>
      </c>
      <c r="F63" s="1102">
        <f>'Table 4 Level 3'!N62</f>
        <v>764.51</v>
      </c>
      <c r="G63" s="1102">
        <f t="shared" si="3"/>
        <v>0</v>
      </c>
      <c r="H63" s="1059">
        <f t="shared" si="4"/>
        <v>0</v>
      </c>
      <c r="I63" s="1112">
        <f t="shared" si="5"/>
        <v>0</v>
      </c>
      <c r="J63" s="1059">
        <f t="shared" si="6"/>
        <v>0</v>
      </c>
      <c r="K63" s="1059">
        <v>0</v>
      </c>
      <c r="L63" s="1059">
        <f t="shared" si="7"/>
        <v>0</v>
      </c>
      <c r="M63" s="1059">
        <f t="shared" si="8"/>
        <v>0</v>
      </c>
      <c r="N63" s="1051">
        <f>'[18]FY2012-13 Final'!K64</f>
        <v>2987</v>
      </c>
      <c r="O63" s="1053">
        <f t="shared" si="9"/>
        <v>0</v>
      </c>
      <c r="P63" s="1118">
        <f t="shared" si="10"/>
        <v>0</v>
      </c>
      <c r="Q63" s="1053">
        <f t="shared" si="11"/>
        <v>0</v>
      </c>
      <c r="R63" s="1053">
        <v>0</v>
      </c>
      <c r="S63" s="1053">
        <f t="shared" si="12"/>
        <v>0</v>
      </c>
      <c r="T63" s="1053">
        <f t="shared" si="13"/>
        <v>0</v>
      </c>
      <c r="U63" s="1054">
        <f t="shared" si="14"/>
        <v>0</v>
      </c>
      <c r="V63" s="1054">
        <f t="shared" si="14"/>
        <v>0</v>
      </c>
    </row>
    <row r="64" spans="1:22">
      <c r="A64" s="994">
        <v>58</v>
      </c>
      <c r="B64" s="995" t="s">
        <v>151</v>
      </c>
      <c r="C64" s="1196">
        <f>'[2]ALL-Reformatted'!W63</f>
        <v>0</v>
      </c>
      <c r="D64" s="1003">
        <f>'Table 3 Levels 1&amp;2'!BN66+'Table 3 Levels 1&amp;2'!BV66</f>
        <v>5434.7170435013286</v>
      </c>
      <c r="E64" s="1102">
        <f t="shared" si="2"/>
        <v>0</v>
      </c>
      <c r="F64" s="1102">
        <f>'Table 4 Level 3'!N63</f>
        <v>697.04</v>
      </c>
      <c r="G64" s="1102">
        <f t="shared" si="3"/>
        <v>0</v>
      </c>
      <c r="H64" s="1059">
        <f t="shared" si="4"/>
        <v>0</v>
      </c>
      <c r="I64" s="1112">
        <f t="shared" si="5"/>
        <v>0</v>
      </c>
      <c r="J64" s="1059">
        <f t="shared" si="6"/>
        <v>0</v>
      </c>
      <c r="K64" s="1059">
        <v>0</v>
      </c>
      <c r="L64" s="1059">
        <f t="shared" si="7"/>
        <v>0</v>
      </c>
      <c r="M64" s="1059">
        <f t="shared" si="8"/>
        <v>0</v>
      </c>
      <c r="N64" s="1051">
        <f>'[18]FY2012-13 Final'!K65</f>
        <v>2055</v>
      </c>
      <c r="O64" s="1053">
        <f t="shared" si="9"/>
        <v>0</v>
      </c>
      <c r="P64" s="1118">
        <f t="shared" si="10"/>
        <v>0</v>
      </c>
      <c r="Q64" s="1053">
        <f t="shared" si="11"/>
        <v>0</v>
      </c>
      <c r="R64" s="1053">
        <v>0</v>
      </c>
      <c r="S64" s="1053">
        <f t="shared" si="12"/>
        <v>0</v>
      </c>
      <c r="T64" s="1053">
        <f t="shared" si="13"/>
        <v>0</v>
      </c>
      <c r="U64" s="1054">
        <f t="shared" si="14"/>
        <v>0</v>
      </c>
      <c r="V64" s="1054">
        <f t="shared" si="14"/>
        <v>0</v>
      </c>
    </row>
    <row r="65" spans="1:22">
      <c r="A65" s="994">
        <v>59</v>
      </c>
      <c r="B65" s="995" t="s">
        <v>152</v>
      </c>
      <c r="C65" s="1196">
        <f>'[2]ALL-Reformatted'!W64</f>
        <v>0</v>
      </c>
      <c r="D65" s="1003">
        <f>'Table 3 Levels 1&amp;2'!BN67+'Table 3 Levels 1&amp;2'!BV67</f>
        <v>6252.2385330184643</v>
      </c>
      <c r="E65" s="1102">
        <f t="shared" si="2"/>
        <v>0</v>
      </c>
      <c r="F65" s="1102">
        <f>'Table 4 Level 3'!N64</f>
        <v>689.52</v>
      </c>
      <c r="G65" s="1102">
        <f t="shared" si="3"/>
        <v>0</v>
      </c>
      <c r="H65" s="1059">
        <f t="shared" si="4"/>
        <v>0</v>
      </c>
      <c r="I65" s="1112">
        <f t="shared" si="5"/>
        <v>0</v>
      </c>
      <c r="J65" s="1059">
        <f t="shared" si="6"/>
        <v>0</v>
      </c>
      <c r="K65" s="1059">
        <v>0</v>
      </c>
      <c r="L65" s="1059">
        <f t="shared" si="7"/>
        <v>0</v>
      </c>
      <c r="M65" s="1059">
        <f t="shared" si="8"/>
        <v>0</v>
      </c>
      <c r="N65" s="1051">
        <f>'[18]FY2012-13 Final'!K66</f>
        <v>1528</v>
      </c>
      <c r="O65" s="1053">
        <f t="shared" si="9"/>
        <v>0</v>
      </c>
      <c r="P65" s="1118">
        <f t="shared" si="10"/>
        <v>0</v>
      </c>
      <c r="Q65" s="1053">
        <f t="shared" si="11"/>
        <v>0</v>
      </c>
      <c r="R65" s="1053">
        <v>0</v>
      </c>
      <c r="S65" s="1053">
        <f t="shared" si="12"/>
        <v>0</v>
      </c>
      <c r="T65" s="1053">
        <f t="shared" si="13"/>
        <v>0</v>
      </c>
      <c r="U65" s="1054">
        <f t="shared" si="14"/>
        <v>0</v>
      </c>
      <c r="V65" s="1054">
        <f t="shared" si="14"/>
        <v>0</v>
      </c>
    </row>
    <row r="66" spans="1:22">
      <c r="A66" s="998">
        <v>60</v>
      </c>
      <c r="B66" s="999" t="s">
        <v>153</v>
      </c>
      <c r="C66" s="1197">
        <f>'[2]ALL-Reformatted'!W65</f>
        <v>0</v>
      </c>
      <c r="D66" s="1005">
        <f>'Table 3 Levels 1&amp;2'!BN68+'Table 3 Levels 1&amp;2'!BV68</f>
        <v>4902.6575100268701</v>
      </c>
      <c r="E66" s="1103">
        <f t="shared" si="2"/>
        <v>0</v>
      </c>
      <c r="F66" s="1103">
        <f>'Table 4 Level 3'!N65</f>
        <v>594.04</v>
      </c>
      <c r="G66" s="1103">
        <f t="shared" si="3"/>
        <v>0</v>
      </c>
      <c r="H66" s="1060">
        <f t="shared" si="4"/>
        <v>0</v>
      </c>
      <c r="I66" s="1113">
        <f t="shared" si="5"/>
        <v>0</v>
      </c>
      <c r="J66" s="1060">
        <f t="shared" si="6"/>
        <v>0</v>
      </c>
      <c r="K66" s="1060">
        <v>0</v>
      </c>
      <c r="L66" s="1060">
        <f t="shared" si="7"/>
        <v>0</v>
      </c>
      <c r="M66" s="1060">
        <f t="shared" si="8"/>
        <v>0</v>
      </c>
      <c r="N66" s="1056">
        <f>'[18]FY2012-13 Final'!K67</f>
        <v>3918</v>
      </c>
      <c r="O66" s="1057">
        <f t="shared" si="9"/>
        <v>0</v>
      </c>
      <c r="P66" s="1119">
        <f t="shared" si="10"/>
        <v>0</v>
      </c>
      <c r="Q66" s="1057">
        <f t="shared" si="11"/>
        <v>0</v>
      </c>
      <c r="R66" s="1057">
        <v>0</v>
      </c>
      <c r="S66" s="1057">
        <f t="shared" si="12"/>
        <v>0</v>
      </c>
      <c r="T66" s="1057">
        <f t="shared" si="13"/>
        <v>0</v>
      </c>
      <c r="U66" s="1058">
        <f t="shared" si="14"/>
        <v>0</v>
      </c>
      <c r="V66" s="1058">
        <f t="shared" si="14"/>
        <v>0</v>
      </c>
    </row>
    <row r="67" spans="1:22">
      <c r="A67" s="987">
        <v>61</v>
      </c>
      <c r="B67" s="988" t="s">
        <v>154</v>
      </c>
      <c r="C67" s="1198">
        <f>'[2]ALL-Reformatted'!W66</f>
        <v>0</v>
      </c>
      <c r="D67" s="1007">
        <f>'Table 3 Levels 1&amp;2'!BN69+'Table 3 Levels 1&amp;2'!BV69</f>
        <v>2872.7719101339244</v>
      </c>
      <c r="E67" s="1104">
        <f t="shared" si="2"/>
        <v>0</v>
      </c>
      <c r="F67" s="1104">
        <f>'Table 4 Level 3'!N66</f>
        <v>833.70999999999992</v>
      </c>
      <c r="G67" s="1104">
        <f t="shared" si="3"/>
        <v>0</v>
      </c>
      <c r="H67" s="1061">
        <f t="shared" si="4"/>
        <v>0</v>
      </c>
      <c r="I67" s="1114">
        <f t="shared" si="5"/>
        <v>0</v>
      </c>
      <c r="J67" s="1061">
        <f t="shared" si="6"/>
        <v>0</v>
      </c>
      <c r="K67" s="1061">
        <v>0</v>
      </c>
      <c r="L67" s="1061">
        <f t="shared" si="7"/>
        <v>0</v>
      </c>
      <c r="M67" s="1061">
        <f t="shared" si="8"/>
        <v>0</v>
      </c>
      <c r="N67" s="1051">
        <f>'[18]FY2012-13 Final'!K68</f>
        <v>6680</v>
      </c>
      <c r="O67" s="992">
        <f t="shared" si="9"/>
        <v>0</v>
      </c>
      <c r="P67" s="1117">
        <f t="shared" si="10"/>
        <v>0</v>
      </c>
      <c r="Q67" s="992">
        <f t="shared" si="11"/>
        <v>0</v>
      </c>
      <c r="R67" s="992">
        <v>0</v>
      </c>
      <c r="S67" s="992">
        <f t="shared" si="12"/>
        <v>0</v>
      </c>
      <c r="T67" s="992">
        <f t="shared" si="13"/>
        <v>0</v>
      </c>
      <c r="U67" s="993">
        <f t="shared" si="14"/>
        <v>0</v>
      </c>
      <c r="V67" s="993">
        <f t="shared" si="14"/>
        <v>0</v>
      </c>
    </row>
    <row r="68" spans="1:22">
      <c r="A68" s="994">
        <v>62</v>
      </c>
      <c r="B68" s="995" t="s">
        <v>155</v>
      </c>
      <c r="C68" s="1196">
        <f>'[2]ALL-Reformatted'!W67</f>
        <v>0</v>
      </c>
      <c r="D68" s="1003">
        <f>'Table 3 Levels 1&amp;2'!BN70+'Table 3 Levels 1&amp;2'!BV70</f>
        <v>5594.25143978908</v>
      </c>
      <c r="E68" s="1102">
        <f t="shared" si="2"/>
        <v>0</v>
      </c>
      <c r="F68" s="1102">
        <f>'Table 4 Level 3'!N67</f>
        <v>516.08000000000004</v>
      </c>
      <c r="G68" s="1102">
        <f t="shared" si="3"/>
        <v>0</v>
      </c>
      <c r="H68" s="1059">
        <f t="shared" si="4"/>
        <v>0</v>
      </c>
      <c r="I68" s="1112">
        <f t="shared" si="5"/>
        <v>0</v>
      </c>
      <c r="J68" s="1059">
        <f t="shared" si="6"/>
        <v>0</v>
      </c>
      <c r="K68" s="1059">
        <v>0</v>
      </c>
      <c r="L68" s="1059">
        <f t="shared" si="7"/>
        <v>0</v>
      </c>
      <c r="M68" s="1059">
        <f t="shared" si="8"/>
        <v>0</v>
      </c>
      <c r="N68" s="1051">
        <f>'[18]FY2012-13 Final'!K69</f>
        <v>1754</v>
      </c>
      <c r="O68" s="1053">
        <f t="shared" si="9"/>
        <v>0</v>
      </c>
      <c r="P68" s="1118">
        <f t="shared" si="10"/>
        <v>0</v>
      </c>
      <c r="Q68" s="1053">
        <f t="shared" si="11"/>
        <v>0</v>
      </c>
      <c r="R68" s="1053">
        <v>0</v>
      </c>
      <c r="S68" s="1053">
        <f t="shared" si="12"/>
        <v>0</v>
      </c>
      <c r="T68" s="1053">
        <f t="shared" si="13"/>
        <v>0</v>
      </c>
      <c r="U68" s="1054">
        <f t="shared" si="14"/>
        <v>0</v>
      </c>
      <c r="V68" s="1054">
        <f t="shared" si="14"/>
        <v>0</v>
      </c>
    </row>
    <row r="69" spans="1:22">
      <c r="A69" s="994">
        <v>63</v>
      </c>
      <c r="B69" s="995" t="s">
        <v>156</v>
      </c>
      <c r="C69" s="1196">
        <f>'[2]ALL-Reformatted'!W68</f>
        <v>0</v>
      </c>
      <c r="D69" s="1003">
        <f>'Table 3 Levels 1&amp;2'!BN71+'Table 3 Levels 1&amp;2'!BV71</f>
        <v>4318.8609300898834</v>
      </c>
      <c r="E69" s="1102">
        <f t="shared" si="2"/>
        <v>0</v>
      </c>
      <c r="F69" s="1102">
        <f>'Table 4 Level 3'!N68</f>
        <v>756.79</v>
      </c>
      <c r="G69" s="1102">
        <f t="shared" si="3"/>
        <v>0</v>
      </c>
      <c r="H69" s="1059">
        <f t="shared" si="4"/>
        <v>0</v>
      </c>
      <c r="I69" s="1112">
        <f t="shared" si="5"/>
        <v>0</v>
      </c>
      <c r="J69" s="1059">
        <f t="shared" si="6"/>
        <v>0</v>
      </c>
      <c r="K69" s="1059">
        <v>0</v>
      </c>
      <c r="L69" s="1059">
        <f t="shared" si="7"/>
        <v>0</v>
      </c>
      <c r="M69" s="1059">
        <f t="shared" si="8"/>
        <v>0</v>
      </c>
      <c r="N69" s="1051">
        <f>'[18]FY2012-13 Final'!K70</f>
        <v>7182</v>
      </c>
      <c r="O69" s="1053">
        <f t="shared" si="9"/>
        <v>0</v>
      </c>
      <c r="P69" s="1118">
        <f t="shared" si="10"/>
        <v>0</v>
      </c>
      <c r="Q69" s="1053">
        <f t="shared" si="11"/>
        <v>0</v>
      </c>
      <c r="R69" s="1053">
        <v>0</v>
      </c>
      <c r="S69" s="1053">
        <f t="shared" si="12"/>
        <v>0</v>
      </c>
      <c r="T69" s="1053">
        <f t="shared" si="13"/>
        <v>0</v>
      </c>
      <c r="U69" s="1054">
        <f t="shared" si="14"/>
        <v>0</v>
      </c>
      <c r="V69" s="1054">
        <f t="shared" si="14"/>
        <v>0</v>
      </c>
    </row>
    <row r="70" spans="1:22">
      <c r="A70" s="994">
        <v>64</v>
      </c>
      <c r="B70" s="995" t="s">
        <v>157</v>
      </c>
      <c r="C70" s="1196">
        <f>'[2]ALL-Reformatted'!W69</f>
        <v>0</v>
      </c>
      <c r="D70" s="1003">
        <f>'Table 3 Levels 1&amp;2'!BN72+'Table 3 Levels 1&amp;2'!BV72</f>
        <v>5921.7418933384488</v>
      </c>
      <c r="E70" s="1102">
        <f t="shared" si="2"/>
        <v>0</v>
      </c>
      <c r="F70" s="1102">
        <f>'Table 4 Level 3'!N69</f>
        <v>592.66</v>
      </c>
      <c r="G70" s="1102">
        <f t="shared" si="3"/>
        <v>0</v>
      </c>
      <c r="H70" s="1059">
        <f t="shared" si="4"/>
        <v>0</v>
      </c>
      <c r="I70" s="1112">
        <f t="shared" si="5"/>
        <v>0</v>
      </c>
      <c r="J70" s="1059">
        <f t="shared" si="6"/>
        <v>0</v>
      </c>
      <c r="K70" s="1059">
        <v>0</v>
      </c>
      <c r="L70" s="1059">
        <f t="shared" si="7"/>
        <v>0</v>
      </c>
      <c r="M70" s="1059">
        <f t="shared" si="8"/>
        <v>0</v>
      </c>
      <c r="N70" s="1051">
        <f>'[18]FY2012-13 Final'!K71</f>
        <v>2701</v>
      </c>
      <c r="O70" s="1053">
        <f t="shared" si="9"/>
        <v>0</v>
      </c>
      <c r="P70" s="1118">
        <f t="shared" si="10"/>
        <v>0</v>
      </c>
      <c r="Q70" s="1053">
        <f t="shared" si="11"/>
        <v>0</v>
      </c>
      <c r="R70" s="1053">
        <v>0</v>
      </c>
      <c r="S70" s="1053">
        <f t="shared" si="12"/>
        <v>0</v>
      </c>
      <c r="T70" s="1053">
        <f t="shared" si="13"/>
        <v>0</v>
      </c>
      <c r="U70" s="1054">
        <f t="shared" si="14"/>
        <v>0</v>
      </c>
      <c r="V70" s="1054">
        <f t="shared" si="14"/>
        <v>0</v>
      </c>
    </row>
    <row r="71" spans="1:22">
      <c r="A71" s="998">
        <v>65</v>
      </c>
      <c r="B71" s="999" t="s">
        <v>158</v>
      </c>
      <c r="C71" s="1197">
        <f>'[2]ALL-Reformatted'!W70</f>
        <v>0</v>
      </c>
      <c r="D71" s="1005">
        <f>'Table 3 Levels 1&amp;2'!BN73+'Table 3 Levels 1&amp;2'!BV73</f>
        <v>4578.9201269671275</v>
      </c>
      <c r="E71" s="1103">
        <f t="shared" si="2"/>
        <v>0</v>
      </c>
      <c r="F71" s="1103">
        <f>'Table 4 Level 3'!N70</f>
        <v>829.12</v>
      </c>
      <c r="G71" s="1103">
        <f t="shared" si="3"/>
        <v>0</v>
      </c>
      <c r="H71" s="1060">
        <f t="shared" si="4"/>
        <v>0</v>
      </c>
      <c r="I71" s="1113">
        <f t="shared" si="5"/>
        <v>0</v>
      </c>
      <c r="J71" s="1060">
        <f t="shared" si="6"/>
        <v>0</v>
      </c>
      <c r="K71" s="1060">
        <v>0</v>
      </c>
      <c r="L71" s="1060">
        <f t="shared" si="7"/>
        <v>0</v>
      </c>
      <c r="M71" s="1060">
        <f t="shared" si="8"/>
        <v>0</v>
      </c>
      <c r="N71" s="1056">
        <f>'[18]FY2012-13 Final'!K72</f>
        <v>4813</v>
      </c>
      <c r="O71" s="1057">
        <f t="shared" si="9"/>
        <v>0</v>
      </c>
      <c r="P71" s="1119">
        <f t="shared" si="10"/>
        <v>0</v>
      </c>
      <c r="Q71" s="1057">
        <f t="shared" si="11"/>
        <v>0</v>
      </c>
      <c r="R71" s="1057">
        <v>0</v>
      </c>
      <c r="S71" s="1057">
        <f t="shared" si="12"/>
        <v>0</v>
      </c>
      <c r="T71" s="1057">
        <f t="shared" si="13"/>
        <v>0</v>
      </c>
      <c r="U71" s="1058">
        <f t="shared" si="14"/>
        <v>0</v>
      </c>
      <c r="V71" s="1058">
        <f t="shared" si="14"/>
        <v>0</v>
      </c>
    </row>
    <row r="72" spans="1:22">
      <c r="A72" s="987">
        <v>66</v>
      </c>
      <c r="B72" s="988" t="s">
        <v>159</v>
      </c>
      <c r="C72" s="1198">
        <f>'[2]ALL-Reformatted'!W71</f>
        <v>0</v>
      </c>
      <c r="D72" s="1007">
        <f>'Table 3 Levels 1&amp;2'!BN74+'Table 3 Levels 1&amp;2'!BV74</f>
        <v>6340.8763293271122</v>
      </c>
      <c r="E72" s="1104">
        <f t="shared" ref="E72:E75" si="15">C72*D72</f>
        <v>0</v>
      </c>
      <c r="F72" s="1104">
        <f>'Table 4 Level 3'!N71</f>
        <v>730.06</v>
      </c>
      <c r="G72" s="1104">
        <f t="shared" ref="G72:G75" si="16">C72*F72</f>
        <v>0</v>
      </c>
      <c r="H72" s="1061">
        <f t="shared" ref="H72:H75" si="17">E72+G72</f>
        <v>0</v>
      </c>
      <c r="I72" s="1114">
        <f t="shared" ref="I72:I75" si="18">-(0.25%*H72)</f>
        <v>0</v>
      </c>
      <c r="J72" s="1061">
        <f t="shared" ref="J72:J75" si="19">SUM(H72:I72)</f>
        <v>0</v>
      </c>
      <c r="K72" s="1061">
        <v>0</v>
      </c>
      <c r="L72" s="1061">
        <f t="shared" ref="L72:L75" si="20">SUM(J72:K72)</f>
        <v>0</v>
      </c>
      <c r="M72" s="1061">
        <f t="shared" ref="M72:M75" si="21">L72/12</f>
        <v>0</v>
      </c>
      <c r="N72" s="1051">
        <f>'[18]FY2012-13 Final'!K73</f>
        <v>3516</v>
      </c>
      <c r="O72" s="992">
        <f t="shared" ref="O72:O75" si="22">C72*N72</f>
        <v>0</v>
      </c>
      <c r="P72" s="1117">
        <f t="shared" ref="P72:P75" si="23">-(0.25%*O72)</f>
        <v>0</v>
      </c>
      <c r="Q72" s="992">
        <f t="shared" ref="Q72:Q75" si="24">SUM(O72:P72)</f>
        <v>0</v>
      </c>
      <c r="R72" s="992">
        <v>0</v>
      </c>
      <c r="S72" s="992">
        <f t="shared" ref="S72:S75" si="25">SUM(Q72:R72)</f>
        <v>0</v>
      </c>
      <c r="T72" s="992">
        <f t="shared" ref="T72:T75" si="26">S72/12</f>
        <v>0</v>
      </c>
      <c r="U72" s="993">
        <f t="shared" ref="U72:V75" si="27">L72+S72</f>
        <v>0</v>
      </c>
      <c r="V72" s="993">
        <f t="shared" si="27"/>
        <v>0</v>
      </c>
    </row>
    <row r="73" spans="1:22">
      <c r="A73" s="994">
        <v>67</v>
      </c>
      <c r="B73" s="995" t="s">
        <v>32</v>
      </c>
      <c r="C73" s="1196">
        <f>'[2]ALL-Reformatted'!W72</f>
        <v>0</v>
      </c>
      <c r="D73" s="1003">
        <f>'Table 3 Levels 1&amp;2'!BN75+'Table 3 Levels 1&amp;2'!BV75</f>
        <v>4984.1100297034172</v>
      </c>
      <c r="E73" s="1102">
        <f t="shared" si="15"/>
        <v>0</v>
      </c>
      <c r="F73" s="1102">
        <f>'Table 4 Level 3'!N72</f>
        <v>715.61</v>
      </c>
      <c r="G73" s="1102">
        <f t="shared" si="16"/>
        <v>0</v>
      </c>
      <c r="H73" s="1059">
        <f t="shared" si="17"/>
        <v>0</v>
      </c>
      <c r="I73" s="1112">
        <f t="shared" si="18"/>
        <v>0</v>
      </c>
      <c r="J73" s="1059">
        <f t="shared" si="19"/>
        <v>0</v>
      </c>
      <c r="K73" s="1059">
        <v>0</v>
      </c>
      <c r="L73" s="1059">
        <f t="shared" si="20"/>
        <v>0</v>
      </c>
      <c r="M73" s="1059">
        <f t="shared" si="21"/>
        <v>0</v>
      </c>
      <c r="N73" s="1051">
        <f>'[18]FY2012-13 Final'!K74</f>
        <v>5052</v>
      </c>
      <c r="O73" s="1053">
        <f t="shared" si="22"/>
        <v>0</v>
      </c>
      <c r="P73" s="1118">
        <f t="shared" si="23"/>
        <v>0</v>
      </c>
      <c r="Q73" s="1053">
        <f t="shared" si="24"/>
        <v>0</v>
      </c>
      <c r="R73" s="1053">
        <v>0</v>
      </c>
      <c r="S73" s="1053">
        <f t="shared" si="25"/>
        <v>0</v>
      </c>
      <c r="T73" s="1053">
        <f t="shared" si="26"/>
        <v>0</v>
      </c>
      <c r="U73" s="1054">
        <f t="shared" si="27"/>
        <v>0</v>
      </c>
      <c r="V73" s="1054">
        <f t="shared" si="27"/>
        <v>0</v>
      </c>
    </row>
    <row r="74" spans="1:22">
      <c r="A74" s="994">
        <v>68</v>
      </c>
      <c r="B74" s="995" t="s">
        <v>30</v>
      </c>
      <c r="C74" s="1196">
        <f>'[2]ALL-Reformatted'!W73</f>
        <v>0</v>
      </c>
      <c r="D74" s="1003">
        <f>'Table 3 Levels 1&amp;2'!BN76+'Table 3 Levels 1&amp;2'!BV76</f>
        <v>6012.7854305239725</v>
      </c>
      <c r="E74" s="1102">
        <f t="shared" si="15"/>
        <v>0</v>
      </c>
      <c r="F74" s="1102">
        <f>'Table 4 Level 3'!N73</f>
        <v>798.7</v>
      </c>
      <c r="G74" s="1102">
        <f t="shared" si="16"/>
        <v>0</v>
      </c>
      <c r="H74" s="1059">
        <f t="shared" si="17"/>
        <v>0</v>
      </c>
      <c r="I74" s="1112">
        <f t="shared" si="18"/>
        <v>0</v>
      </c>
      <c r="J74" s="1059">
        <f t="shared" si="19"/>
        <v>0</v>
      </c>
      <c r="K74" s="1059">
        <v>0</v>
      </c>
      <c r="L74" s="1059">
        <f t="shared" si="20"/>
        <v>0</v>
      </c>
      <c r="M74" s="1059">
        <f t="shared" si="21"/>
        <v>0</v>
      </c>
      <c r="N74" s="1051">
        <f>'[18]FY2012-13 Final'!K75</f>
        <v>2763</v>
      </c>
      <c r="O74" s="1053">
        <f t="shared" si="22"/>
        <v>0</v>
      </c>
      <c r="P74" s="1118">
        <f t="shared" si="23"/>
        <v>0</v>
      </c>
      <c r="Q74" s="1053">
        <f t="shared" si="24"/>
        <v>0</v>
      </c>
      <c r="R74" s="1053">
        <v>0</v>
      </c>
      <c r="S74" s="1053">
        <f t="shared" si="25"/>
        <v>0</v>
      </c>
      <c r="T74" s="1053">
        <f t="shared" si="26"/>
        <v>0</v>
      </c>
      <c r="U74" s="1054">
        <f t="shared" si="27"/>
        <v>0</v>
      </c>
      <c r="V74" s="1054">
        <f t="shared" si="27"/>
        <v>0</v>
      </c>
    </row>
    <row r="75" spans="1:22">
      <c r="A75" s="1008">
        <v>69</v>
      </c>
      <c r="B75" s="1009" t="s">
        <v>213</v>
      </c>
      <c r="C75" s="1199">
        <f>'[2]ALL-Reformatted'!W74</f>
        <v>0</v>
      </c>
      <c r="D75" s="1011">
        <f>'Table 3 Levels 1&amp;2'!BN77+'Table 3 Levels 1&amp;2'!BV77</f>
        <v>5559.7139008686299</v>
      </c>
      <c r="E75" s="1105">
        <f t="shared" si="15"/>
        <v>0</v>
      </c>
      <c r="F75" s="1105">
        <f>'Table 4 Level 3'!N74</f>
        <v>705.67</v>
      </c>
      <c r="G75" s="1105">
        <f t="shared" si="16"/>
        <v>0</v>
      </c>
      <c r="H75" s="1062">
        <f t="shared" si="17"/>
        <v>0</v>
      </c>
      <c r="I75" s="1115">
        <f t="shared" si="18"/>
        <v>0</v>
      </c>
      <c r="J75" s="1062">
        <f t="shared" si="19"/>
        <v>0</v>
      </c>
      <c r="K75" s="1062">
        <v>0</v>
      </c>
      <c r="L75" s="1062">
        <f t="shared" si="20"/>
        <v>0</v>
      </c>
      <c r="M75" s="1062">
        <f t="shared" si="21"/>
        <v>0</v>
      </c>
      <c r="N75" s="1051">
        <f>'[18]FY2012-13 Final'!K76</f>
        <v>3327</v>
      </c>
      <c r="O75" s="1063">
        <f t="shared" si="22"/>
        <v>0</v>
      </c>
      <c r="P75" s="1120">
        <f t="shared" si="23"/>
        <v>0</v>
      </c>
      <c r="Q75" s="1063">
        <f t="shared" si="24"/>
        <v>0</v>
      </c>
      <c r="R75" s="1063">
        <v>0</v>
      </c>
      <c r="S75" s="1063">
        <f t="shared" si="25"/>
        <v>0</v>
      </c>
      <c r="T75" s="1063">
        <f t="shared" si="26"/>
        <v>0</v>
      </c>
      <c r="U75" s="1064">
        <f t="shared" si="27"/>
        <v>0</v>
      </c>
      <c r="V75" s="1064">
        <f t="shared" si="27"/>
        <v>0</v>
      </c>
    </row>
    <row r="76" spans="1:22" ht="13.5" thickBot="1">
      <c r="A76" s="1012"/>
      <c r="B76" s="1013" t="s">
        <v>160</v>
      </c>
      <c r="C76" s="1014">
        <f>SUM(C7:C75)</f>
        <v>224</v>
      </c>
      <c r="D76" s="1015"/>
      <c r="E76" s="1106">
        <f>SUM(E7:E75)</f>
        <v>772521.12380942551</v>
      </c>
      <c r="F76" s="1106">
        <f>'Table 4 Level 3'!N75</f>
        <v>703.90028204588873</v>
      </c>
      <c r="G76" s="1106">
        <f t="shared" ref="G76:L76" si="28">SUM(G7:G75)</f>
        <v>177604.47041095892</v>
      </c>
      <c r="H76" s="1016">
        <f t="shared" si="28"/>
        <v>950125.59422038437</v>
      </c>
      <c r="I76" s="1116">
        <f t="shared" si="28"/>
        <v>-2375.3139855509608</v>
      </c>
      <c r="J76" s="1016">
        <f t="shared" si="28"/>
        <v>947750.28023483336</v>
      </c>
      <c r="K76" s="1240">
        <f t="shared" si="28"/>
        <v>3987.1779009796828</v>
      </c>
      <c r="L76" s="1016">
        <f t="shared" si="28"/>
        <v>951737.45813581301</v>
      </c>
      <c r="M76" s="1016">
        <f>SUM(M7:M75)</f>
        <v>79311.454844651103</v>
      </c>
      <c r="N76" s="1065"/>
      <c r="O76" s="1017">
        <f t="shared" ref="O76:V76" si="29">SUM(O7:O75)</f>
        <v>1125114</v>
      </c>
      <c r="P76" s="1121">
        <f t="shared" si="29"/>
        <v>-2812.7850000000003</v>
      </c>
      <c r="Q76" s="1017">
        <f t="shared" si="29"/>
        <v>1122301.2150000001</v>
      </c>
      <c r="R76" s="1243">
        <f t="shared" si="29"/>
        <v>4648</v>
      </c>
      <c r="S76" s="1017">
        <f t="shared" si="29"/>
        <v>1126949.2150000001</v>
      </c>
      <c r="T76" s="1017">
        <f t="shared" si="29"/>
        <v>93912.434583333335</v>
      </c>
      <c r="U76" s="1018">
        <f t="shared" si="29"/>
        <v>2078686.6731358131</v>
      </c>
      <c r="V76" s="1018">
        <f t="shared" si="29"/>
        <v>173223.88942798442</v>
      </c>
    </row>
    <row r="77" spans="1:22" ht="13.5" thickTop="1"/>
  </sheetData>
  <mergeCells count="19">
    <mergeCell ref="U2:U4"/>
    <mergeCell ref="V2:V4"/>
    <mergeCell ref="C3:C4"/>
    <mergeCell ref="D3:D4"/>
    <mergeCell ref="E3:E4"/>
    <mergeCell ref="F3:F4"/>
    <mergeCell ref="G3:G4"/>
    <mergeCell ref="Q3:Q4"/>
    <mergeCell ref="R3:R4"/>
    <mergeCell ref="S3:S4"/>
    <mergeCell ref="H3:H4"/>
    <mergeCell ref="J3:J4"/>
    <mergeCell ref="K3:K4"/>
    <mergeCell ref="L3:L4"/>
    <mergeCell ref="M3:M4"/>
    <mergeCell ref="N3:N4"/>
    <mergeCell ref="A2:B4"/>
    <mergeCell ref="C2:M2"/>
    <mergeCell ref="N2:T2"/>
  </mergeCells>
  <pageMargins left="0.36" right="0.35" top="0.75" bottom="0.75" header="0.3" footer="0.3"/>
  <pageSetup paperSize="5" scale="60" firstPageNumber="65" orientation="portrait" useFirstPageNumber="1" r:id="rId1"/>
  <headerFooter>
    <oddHeader>&amp;L&amp;"Arial,Bold"&amp;20Table 5C1-D: FY2013-14 MFP Budget Letter (Projection)
New Orleans Military/Maritime Academy</oddHeader>
    <oddFooter>&amp;R&amp;P</oddFooter>
  </headerFooter>
  <colBreaks count="1" manualBreakCount="1">
    <brk id="13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view="pageBreakPreview" zoomScaleNormal="100" zoomScaleSheetLayoutView="100" workbookViewId="0">
      <pane xSplit="2" ySplit="6" topLeftCell="C7" activePane="bottomRight" state="frozen"/>
      <selection activeCell="A2" sqref="A2:B4"/>
      <selection pane="topRight" activeCell="A2" sqref="A2:B4"/>
      <selection pane="bottomLeft" activeCell="A2" sqref="A2:B4"/>
      <selection pane="bottomRight" activeCell="A2" sqref="A2:B4"/>
    </sheetView>
  </sheetViews>
  <sheetFormatPr defaultRowHeight="12.75"/>
  <cols>
    <col min="1" max="1" width="4.28515625" customWidth="1"/>
    <col min="2" max="2" width="17.85546875" bestFit="1" customWidth="1"/>
    <col min="3" max="3" width="12.5703125" customWidth="1"/>
    <col min="4" max="4" width="17" customWidth="1"/>
    <col min="5" max="5" width="11.140625" customWidth="1"/>
    <col min="6" max="6" width="12" customWidth="1"/>
    <col min="7" max="7" width="13.28515625" customWidth="1"/>
    <col min="8" max="8" width="14.5703125" customWidth="1"/>
    <col min="9" max="9" width="12.28515625" customWidth="1"/>
    <col min="10" max="10" width="16.28515625" customWidth="1"/>
    <col min="11" max="11" width="13.42578125" bestFit="1" customWidth="1"/>
    <col min="12" max="12" width="14" customWidth="1"/>
    <col min="13" max="13" width="9.85546875" customWidth="1"/>
    <col min="14" max="14" width="11.42578125" customWidth="1"/>
    <col min="15" max="15" width="17.42578125" customWidth="1"/>
    <col min="16" max="16" width="14.42578125" bestFit="1" customWidth="1"/>
    <col min="17" max="17" width="10.140625" bestFit="1" customWidth="1"/>
    <col min="18" max="18" width="10.85546875" bestFit="1" customWidth="1"/>
    <col min="19" max="19" width="12" bestFit="1" customWidth="1"/>
    <col min="20" max="20" width="12.42578125" bestFit="1" customWidth="1"/>
    <col min="21" max="21" width="13.28515625" customWidth="1"/>
    <col min="22" max="22" width="10.140625" customWidth="1"/>
    <col min="23" max="23" width="10.140625" bestFit="1" customWidth="1"/>
    <col min="24" max="24" width="10.5703125" customWidth="1"/>
  </cols>
  <sheetData>
    <row r="1" spans="1:24"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35"/>
      <c r="O1" s="35"/>
    </row>
    <row r="2" spans="1:24" ht="45" customHeight="1">
      <c r="A2" s="2059" t="s">
        <v>670</v>
      </c>
      <c r="B2" s="2060"/>
      <c r="C2" s="2078" t="s">
        <v>661</v>
      </c>
      <c r="D2" s="2013"/>
      <c r="E2" s="2013"/>
      <c r="F2" s="2013"/>
      <c r="G2" s="2013"/>
      <c r="H2" s="2013"/>
      <c r="I2" s="2079"/>
      <c r="J2" s="2079"/>
      <c r="K2" s="2079"/>
      <c r="L2" s="2079"/>
      <c r="M2" s="2079"/>
      <c r="N2" s="2079"/>
      <c r="O2" s="2080"/>
      <c r="P2" s="1992" t="s">
        <v>1357</v>
      </c>
      <c r="Q2" s="1993"/>
      <c r="R2" s="1993"/>
      <c r="S2" s="1993"/>
      <c r="T2" s="1993"/>
      <c r="U2" s="1993"/>
      <c r="V2" s="1994"/>
      <c r="W2" s="1995" t="s">
        <v>1387</v>
      </c>
      <c r="X2" s="1995" t="s">
        <v>1355</v>
      </c>
    </row>
    <row r="3" spans="1:24" ht="117" customHeight="1">
      <c r="A3" s="2061"/>
      <c r="B3" s="2062"/>
      <c r="C3" s="2006" t="s">
        <v>1175</v>
      </c>
      <c r="D3" s="2008" t="s">
        <v>1392</v>
      </c>
      <c r="E3" s="2008" t="s">
        <v>1377</v>
      </c>
      <c r="F3" s="2006" t="s">
        <v>662</v>
      </c>
      <c r="G3" s="2006" t="s">
        <v>492</v>
      </c>
      <c r="H3" s="2006" t="s">
        <v>1378</v>
      </c>
      <c r="I3" s="1227" t="s">
        <v>510</v>
      </c>
      <c r="J3" s="2006" t="s">
        <v>1379</v>
      </c>
      <c r="K3" s="2006" t="s">
        <v>1230</v>
      </c>
      <c r="L3" s="2006" t="s">
        <v>1380</v>
      </c>
      <c r="M3" s="2008" t="s">
        <v>1356</v>
      </c>
      <c r="N3" s="2081" t="s">
        <v>201</v>
      </c>
      <c r="O3" s="2006" t="s">
        <v>1389</v>
      </c>
      <c r="P3" s="2019" t="s">
        <v>694</v>
      </c>
      <c r="Q3" s="1743" t="s">
        <v>1382</v>
      </c>
      <c r="R3" s="1229" t="s">
        <v>512</v>
      </c>
      <c r="S3" s="2019" t="s">
        <v>1383</v>
      </c>
      <c r="T3" s="2019" t="s">
        <v>1230</v>
      </c>
      <c r="U3" s="2019" t="s">
        <v>1390</v>
      </c>
      <c r="V3" s="1743" t="s">
        <v>1385</v>
      </c>
      <c r="W3" s="1996"/>
      <c r="X3" s="1996"/>
    </row>
    <row r="4" spans="1:24" ht="22.5" customHeight="1">
      <c r="A4" s="2063"/>
      <c r="B4" s="2064"/>
      <c r="C4" s="2007"/>
      <c r="D4" s="2008"/>
      <c r="E4" s="2008"/>
      <c r="F4" s="2007"/>
      <c r="G4" s="2007"/>
      <c r="H4" s="2007"/>
      <c r="I4" s="1107">
        <v>2.5000000000000001E-3</v>
      </c>
      <c r="J4" s="2007"/>
      <c r="K4" s="2007"/>
      <c r="L4" s="2007"/>
      <c r="M4" s="2008"/>
      <c r="N4" s="1879"/>
      <c r="O4" s="2007"/>
      <c r="P4" s="1999"/>
      <c r="Q4" s="1228"/>
      <c r="R4" s="1108">
        <v>2.5000000000000001E-3</v>
      </c>
      <c r="S4" s="1999"/>
      <c r="T4" s="1999"/>
      <c r="U4" s="1999"/>
      <c r="V4" s="1228"/>
      <c r="W4" s="1997"/>
      <c r="X4" s="1997"/>
    </row>
    <row r="5" spans="1:24" ht="14.25" customHeight="1">
      <c r="A5" s="978"/>
      <c r="B5" s="979"/>
      <c r="C5" s="980">
        <v>1</v>
      </c>
      <c r="D5" s="980">
        <f t="shared" ref="D5" si="0">C5+1</f>
        <v>2</v>
      </c>
      <c r="E5" s="980">
        <f>D5+1</f>
        <v>3</v>
      </c>
      <c r="F5" s="980">
        <f t="shared" ref="F5:M5" si="1">E5+1</f>
        <v>4</v>
      </c>
      <c r="G5" s="980">
        <f t="shared" si="1"/>
        <v>5</v>
      </c>
      <c r="H5" s="980">
        <f t="shared" si="1"/>
        <v>6</v>
      </c>
      <c r="I5" s="980">
        <f t="shared" si="1"/>
        <v>7</v>
      </c>
      <c r="J5" s="980">
        <f t="shared" si="1"/>
        <v>8</v>
      </c>
      <c r="K5" s="980">
        <f t="shared" si="1"/>
        <v>9</v>
      </c>
      <c r="L5" s="980">
        <f t="shared" si="1"/>
        <v>10</v>
      </c>
      <c r="M5" s="980">
        <f t="shared" si="1"/>
        <v>11</v>
      </c>
      <c r="N5" s="980">
        <f t="shared" ref="N5" si="2">M5+1</f>
        <v>12</v>
      </c>
      <c r="O5" s="980">
        <f t="shared" ref="O5" si="3">N5+1</f>
        <v>13</v>
      </c>
      <c r="P5" s="980">
        <f t="shared" ref="P5" si="4">O5+1</f>
        <v>14</v>
      </c>
      <c r="Q5" s="980">
        <f t="shared" ref="Q5" si="5">P5+1</f>
        <v>15</v>
      </c>
      <c r="R5" s="980">
        <f t="shared" ref="R5" si="6">Q5+1</f>
        <v>16</v>
      </c>
      <c r="S5" s="980">
        <f t="shared" ref="S5" si="7">R5+1</f>
        <v>17</v>
      </c>
      <c r="T5" s="980">
        <f t="shared" ref="T5" si="8">S5+1</f>
        <v>18</v>
      </c>
      <c r="U5" s="980">
        <f t="shared" ref="U5" si="9">T5+1</f>
        <v>19</v>
      </c>
      <c r="V5" s="980">
        <f t="shared" ref="V5" si="10">U5+1</f>
        <v>20</v>
      </c>
      <c r="W5" s="980">
        <f t="shared" ref="W5" si="11">V5+1</f>
        <v>21</v>
      </c>
      <c r="X5" s="980">
        <f t="shared" ref="X5" si="12">W5+1</f>
        <v>22</v>
      </c>
    </row>
    <row r="6" spans="1:24" ht="27" customHeight="1">
      <c r="A6" s="1041"/>
      <c r="B6" s="1042"/>
      <c r="C6" s="1042"/>
      <c r="D6" s="1042"/>
      <c r="E6" s="1042"/>
      <c r="F6" s="1042"/>
      <c r="G6" s="1042"/>
      <c r="H6" s="1042"/>
      <c r="I6" s="1042"/>
      <c r="J6" s="1042"/>
      <c r="K6" s="1042"/>
      <c r="L6" s="1042"/>
      <c r="M6" s="1042"/>
      <c r="N6" s="1716"/>
      <c r="O6" s="1716"/>
      <c r="P6" s="1042"/>
      <c r="Q6" s="1042"/>
      <c r="R6" s="1042"/>
      <c r="S6" s="1042"/>
      <c r="T6" s="1042"/>
      <c r="U6" s="1042"/>
      <c r="V6" s="1042"/>
      <c r="W6" s="1042"/>
      <c r="X6" s="1042"/>
    </row>
    <row r="7" spans="1:24">
      <c r="A7" s="987">
        <v>1</v>
      </c>
      <c r="B7" s="988" t="s">
        <v>95</v>
      </c>
      <c r="C7" s="989">
        <f>'[2]ALL-Reformatted'!V6</f>
        <v>0</v>
      </c>
      <c r="D7" s="990">
        <f>'Table 3 Levels 1&amp;2'!BN9+'Table 3 Levels 1&amp;2'!BV9</f>
        <v>4565.2108060165392</v>
      </c>
      <c r="E7" s="1099">
        <f>C7*D7</f>
        <v>0</v>
      </c>
      <c r="F7" s="1099">
        <f>'Table 4 Level 3'!N6</f>
        <v>777.48</v>
      </c>
      <c r="G7" s="1099">
        <f>C7*F7</f>
        <v>0</v>
      </c>
      <c r="H7" s="991">
        <f>E7+G7</f>
        <v>0</v>
      </c>
      <c r="I7" s="1109">
        <f>-(0.25%*H7)</f>
        <v>0</v>
      </c>
      <c r="J7" s="991">
        <f>SUM(H7:I7)</f>
        <v>0</v>
      </c>
      <c r="K7" s="991">
        <v>0</v>
      </c>
      <c r="L7" s="991">
        <f>SUM(J7:K7)</f>
        <v>0</v>
      </c>
      <c r="M7" s="991">
        <f>L7/12</f>
        <v>0</v>
      </c>
      <c r="N7" s="1077"/>
      <c r="O7" s="991">
        <f>L7+N7</f>
        <v>0</v>
      </c>
      <c r="P7" s="1051">
        <f>'[18]FY2012-13 Final'!K8</f>
        <v>2112</v>
      </c>
      <c r="Q7" s="992">
        <f>C7*P7</f>
        <v>0</v>
      </c>
      <c r="R7" s="1117">
        <f>-(0.25%*Q7)</f>
        <v>0</v>
      </c>
      <c r="S7" s="992">
        <f>SUM(Q7:R7)</f>
        <v>0</v>
      </c>
      <c r="T7" s="992">
        <v>0</v>
      </c>
      <c r="U7" s="992">
        <f>SUM(S7:T7)</f>
        <v>0</v>
      </c>
      <c r="V7" s="992">
        <f>U7/12</f>
        <v>0</v>
      </c>
      <c r="W7" s="993">
        <f>O7+U7</f>
        <v>0</v>
      </c>
      <c r="X7" s="993">
        <f t="shared" ref="X7:X38" si="13">M7+V7</f>
        <v>0</v>
      </c>
    </row>
    <row r="8" spans="1:24">
      <c r="A8" s="994">
        <v>2</v>
      </c>
      <c r="B8" s="995" t="s">
        <v>96</v>
      </c>
      <c r="C8" s="1193">
        <f>'[2]ALL-Reformatted'!V7</f>
        <v>0</v>
      </c>
      <c r="D8" s="997">
        <f>'Table 3 Levels 1&amp;2'!BN10+'Table 3 Levels 1&amp;2'!BV10</f>
        <v>6132.0480322513831</v>
      </c>
      <c r="E8" s="1100">
        <f t="shared" ref="E8:E71" si="14">C8*D8</f>
        <v>0</v>
      </c>
      <c r="F8" s="1100">
        <f>'Table 4 Level 3'!N7</f>
        <v>842.32</v>
      </c>
      <c r="G8" s="1100">
        <f t="shared" ref="G8:G71" si="15">C8*F8</f>
        <v>0</v>
      </c>
      <c r="H8" s="1052">
        <f t="shared" ref="H8:H71" si="16">E8+G8</f>
        <v>0</v>
      </c>
      <c r="I8" s="1110">
        <f t="shared" ref="I8:I71" si="17">-(0.25%*H8)</f>
        <v>0</v>
      </c>
      <c r="J8" s="1052">
        <f t="shared" ref="J8:J71" si="18">SUM(H8:I8)</f>
        <v>0</v>
      </c>
      <c r="K8" s="1052">
        <v>0</v>
      </c>
      <c r="L8" s="1052">
        <f t="shared" ref="L8:L71" si="19">SUM(J8:K8)</f>
        <v>0</v>
      </c>
      <c r="M8" s="1052">
        <f t="shared" ref="M8:M71" si="20">L8/12</f>
        <v>0</v>
      </c>
      <c r="N8" s="1078"/>
      <c r="O8" s="1052">
        <f t="shared" ref="O8:O71" si="21">L8+N8</f>
        <v>0</v>
      </c>
      <c r="P8" s="1051">
        <f>'[18]FY2012-13 Final'!K9</f>
        <v>2584</v>
      </c>
      <c r="Q8" s="1053">
        <f t="shared" ref="Q8:Q71" si="22">C8*P8</f>
        <v>0</v>
      </c>
      <c r="R8" s="1118">
        <f t="shared" ref="R8:R71" si="23">-(0.25%*Q8)</f>
        <v>0</v>
      </c>
      <c r="S8" s="1053">
        <f t="shared" ref="S8:S71" si="24">SUM(Q8:R8)</f>
        <v>0</v>
      </c>
      <c r="T8" s="1053">
        <v>0</v>
      </c>
      <c r="U8" s="1053">
        <f t="shared" ref="U8:U71" si="25">SUM(S8:T8)</f>
        <v>0</v>
      </c>
      <c r="V8" s="1053">
        <f t="shared" ref="V8:V71" si="26">U8/12</f>
        <v>0</v>
      </c>
      <c r="W8" s="1054">
        <f t="shared" ref="W8:W71" si="27">O8+U8</f>
        <v>0</v>
      </c>
      <c r="X8" s="1054">
        <f t="shared" si="13"/>
        <v>0</v>
      </c>
    </row>
    <row r="9" spans="1:24">
      <c r="A9" s="994">
        <v>3</v>
      </c>
      <c r="B9" s="995" t="s">
        <v>97</v>
      </c>
      <c r="C9" s="1193">
        <f>'[2]ALL-Reformatted'!V8</f>
        <v>0</v>
      </c>
      <c r="D9" s="997">
        <f>'Table 3 Levels 1&amp;2'!BN11+'Table 3 Levels 1&amp;2'!BV11</f>
        <v>4186.9626187036429</v>
      </c>
      <c r="E9" s="1100">
        <f t="shared" si="14"/>
        <v>0</v>
      </c>
      <c r="F9" s="1100">
        <f>'Table 4 Level 3'!N8</f>
        <v>596.84</v>
      </c>
      <c r="G9" s="1100">
        <f t="shared" si="15"/>
        <v>0</v>
      </c>
      <c r="H9" s="1052">
        <f t="shared" si="16"/>
        <v>0</v>
      </c>
      <c r="I9" s="1110">
        <f t="shared" si="17"/>
        <v>0</v>
      </c>
      <c r="J9" s="1052">
        <f t="shared" si="18"/>
        <v>0</v>
      </c>
      <c r="K9" s="1052">
        <v>0</v>
      </c>
      <c r="L9" s="1052">
        <f t="shared" si="19"/>
        <v>0</v>
      </c>
      <c r="M9" s="1052">
        <f t="shared" si="20"/>
        <v>0</v>
      </c>
      <c r="N9" s="1078"/>
      <c r="O9" s="1052">
        <f t="shared" si="21"/>
        <v>0</v>
      </c>
      <c r="P9" s="1051">
        <f>'[18]FY2012-13 Final'!K10</f>
        <v>4966</v>
      </c>
      <c r="Q9" s="1053">
        <f t="shared" si="22"/>
        <v>0</v>
      </c>
      <c r="R9" s="1118">
        <f t="shared" si="23"/>
        <v>0</v>
      </c>
      <c r="S9" s="1053">
        <f t="shared" si="24"/>
        <v>0</v>
      </c>
      <c r="T9" s="1053">
        <v>0</v>
      </c>
      <c r="U9" s="1053">
        <f t="shared" si="25"/>
        <v>0</v>
      </c>
      <c r="V9" s="1053">
        <f t="shared" si="26"/>
        <v>0</v>
      </c>
      <c r="W9" s="1054">
        <f t="shared" si="27"/>
        <v>0</v>
      </c>
      <c r="X9" s="1054">
        <f t="shared" si="13"/>
        <v>0</v>
      </c>
    </row>
    <row r="10" spans="1:24">
      <c r="A10" s="994">
        <v>4</v>
      </c>
      <c r="B10" s="995" t="s">
        <v>98</v>
      </c>
      <c r="C10" s="1193">
        <f>'[2]ALL-Reformatted'!V9</f>
        <v>0</v>
      </c>
      <c r="D10" s="997">
        <f>'Table 3 Levels 1&amp;2'!BN12+'Table 3 Levels 1&amp;2'!BV12</f>
        <v>5918.8798759182582</v>
      </c>
      <c r="E10" s="1100">
        <f t="shared" si="14"/>
        <v>0</v>
      </c>
      <c r="F10" s="1100">
        <f>'Table 4 Level 3'!N9</f>
        <v>585.76</v>
      </c>
      <c r="G10" s="1100">
        <f t="shared" si="15"/>
        <v>0</v>
      </c>
      <c r="H10" s="1052">
        <f t="shared" si="16"/>
        <v>0</v>
      </c>
      <c r="I10" s="1110">
        <f t="shared" si="17"/>
        <v>0</v>
      </c>
      <c r="J10" s="1052">
        <f t="shared" si="18"/>
        <v>0</v>
      </c>
      <c r="K10" s="1052">
        <v>0</v>
      </c>
      <c r="L10" s="1052">
        <f t="shared" si="19"/>
        <v>0</v>
      </c>
      <c r="M10" s="1052">
        <f t="shared" si="20"/>
        <v>0</v>
      </c>
      <c r="N10" s="1078"/>
      <c r="O10" s="1052">
        <f t="shared" si="21"/>
        <v>0</v>
      </c>
      <c r="P10" s="1051">
        <f>'[18]FY2012-13 Final'!K11</f>
        <v>3445</v>
      </c>
      <c r="Q10" s="1053">
        <f t="shared" si="22"/>
        <v>0</v>
      </c>
      <c r="R10" s="1118">
        <f t="shared" si="23"/>
        <v>0</v>
      </c>
      <c r="S10" s="1053">
        <f t="shared" si="24"/>
        <v>0</v>
      </c>
      <c r="T10" s="1053">
        <v>0</v>
      </c>
      <c r="U10" s="1053">
        <f t="shared" si="25"/>
        <v>0</v>
      </c>
      <c r="V10" s="1053">
        <f t="shared" si="26"/>
        <v>0</v>
      </c>
      <c r="W10" s="1054">
        <f t="shared" si="27"/>
        <v>0</v>
      </c>
      <c r="X10" s="1054">
        <f t="shared" si="13"/>
        <v>0</v>
      </c>
    </row>
    <row r="11" spans="1:24">
      <c r="A11" s="998">
        <v>5</v>
      </c>
      <c r="B11" s="999" t="s">
        <v>99</v>
      </c>
      <c r="C11" s="1194">
        <f>'[2]ALL-Reformatted'!V10</f>
        <v>0</v>
      </c>
      <c r="D11" s="1001">
        <f>'Table 3 Levels 1&amp;2'!BN13+'Table 3 Levels 1&amp;2'!BV13</f>
        <v>4880.3484353147733</v>
      </c>
      <c r="E11" s="1101">
        <f t="shared" si="14"/>
        <v>0</v>
      </c>
      <c r="F11" s="1101">
        <f>'Table 4 Level 3'!N10</f>
        <v>555.91</v>
      </c>
      <c r="G11" s="1101">
        <f t="shared" si="15"/>
        <v>0</v>
      </c>
      <c r="H11" s="1055">
        <f t="shared" si="16"/>
        <v>0</v>
      </c>
      <c r="I11" s="1111">
        <f t="shared" si="17"/>
        <v>0</v>
      </c>
      <c r="J11" s="1055">
        <f t="shared" si="18"/>
        <v>0</v>
      </c>
      <c r="K11" s="1055">
        <v>0</v>
      </c>
      <c r="L11" s="1055">
        <f t="shared" si="19"/>
        <v>0</v>
      </c>
      <c r="M11" s="1055">
        <f t="shared" si="20"/>
        <v>0</v>
      </c>
      <c r="N11" s="1079"/>
      <c r="O11" s="1055">
        <f t="shared" si="21"/>
        <v>0</v>
      </c>
      <c r="P11" s="1056">
        <f>'[18]FY2012-13 Final'!K12</f>
        <v>1353</v>
      </c>
      <c r="Q11" s="1057">
        <f t="shared" si="22"/>
        <v>0</v>
      </c>
      <c r="R11" s="1119">
        <f t="shared" si="23"/>
        <v>0</v>
      </c>
      <c r="S11" s="1057">
        <f t="shared" si="24"/>
        <v>0</v>
      </c>
      <c r="T11" s="1057">
        <v>0</v>
      </c>
      <c r="U11" s="1057">
        <f t="shared" si="25"/>
        <v>0</v>
      </c>
      <c r="V11" s="1057">
        <f t="shared" si="26"/>
        <v>0</v>
      </c>
      <c r="W11" s="1058">
        <f t="shared" si="27"/>
        <v>0</v>
      </c>
      <c r="X11" s="1058">
        <f t="shared" si="13"/>
        <v>0</v>
      </c>
    </row>
    <row r="12" spans="1:24">
      <c r="A12" s="987">
        <v>6</v>
      </c>
      <c r="B12" s="988" t="s">
        <v>100</v>
      </c>
      <c r="C12" s="1195">
        <f>'[2]ALL-Reformatted'!V11</f>
        <v>0</v>
      </c>
      <c r="D12" s="990">
        <f>'Table 3 Levels 1&amp;2'!BN14+'Table 3 Levels 1&amp;2'!BV14</f>
        <v>5379.7759718479856</v>
      </c>
      <c r="E12" s="1099">
        <f t="shared" si="14"/>
        <v>0</v>
      </c>
      <c r="F12" s="1099">
        <f>'Table 4 Level 3'!N11</f>
        <v>545.4799999999999</v>
      </c>
      <c r="G12" s="1099">
        <f t="shared" si="15"/>
        <v>0</v>
      </c>
      <c r="H12" s="991">
        <f t="shared" si="16"/>
        <v>0</v>
      </c>
      <c r="I12" s="1109">
        <f t="shared" si="17"/>
        <v>0</v>
      </c>
      <c r="J12" s="991">
        <f t="shared" si="18"/>
        <v>0</v>
      </c>
      <c r="K12" s="991">
        <v>0</v>
      </c>
      <c r="L12" s="991">
        <f t="shared" si="19"/>
        <v>0</v>
      </c>
      <c r="M12" s="991">
        <f t="shared" si="20"/>
        <v>0</v>
      </c>
      <c r="N12" s="1077"/>
      <c r="O12" s="991">
        <f t="shared" si="21"/>
        <v>0</v>
      </c>
      <c r="P12" s="1051">
        <f>'[18]FY2012-13 Final'!K13</f>
        <v>3576</v>
      </c>
      <c r="Q12" s="992">
        <f t="shared" si="22"/>
        <v>0</v>
      </c>
      <c r="R12" s="1117">
        <f t="shared" si="23"/>
        <v>0</v>
      </c>
      <c r="S12" s="992">
        <f t="shared" si="24"/>
        <v>0</v>
      </c>
      <c r="T12" s="992">
        <v>0</v>
      </c>
      <c r="U12" s="992">
        <f t="shared" si="25"/>
        <v>0</v>
      </c>
      <c r="V12" s="992">
        <f t="shared" si="26"/>
        <v>0</v>
      </c>
      <c r="W12" s="993">
        <f t="shared" si="27"/>
        <v>0</v>
      </c>
      <c r="X12" s="993">
        <f t="shared" si="13"/>
        <v>0</v>
      </c>
    </row>
    <row r="13" spans="1:24">
      <c r="A13" s="994">
        <v>7</v>
      </c>
      <c r="B13" s="995" t="s">
        <v>101</v>
      </c>
      <c r="C13" s="1193">
        <f>'[2]ALL-Reformatted'!V12</f>
        <v>0</v>
      </c>
      <c r="D13" s="997">
        <f>'Table 3 Levels 1&amp;2'!BN15+'Table 3 Levels 1&amp;2'!BV15</f>
        <v>1698.1351763907733</v>
      </c>
      <c r="E13" s="1100">
        <f t="shared" si="14"/>
        <v>0</v>
      </c>
      <c r="F13" s="1100">
        <f>'Table 4 Level 3'!N12</f>
        <v>756.91999999999985</v>
      </c>
      <c r="G13" s="1100">
        <f t="shared" si="15"/>
        <v>0</v>
      </c>
      <c r="H13" s="1052">
        <f t="shared" si="16"/>
        <v>0</v>
      </c>
      <c r="I13" s="1110">
        <f t="shared" si="17"/>
        <v>0</v>
      </c>
      <c r="J13" s="1052">
        <f t="shared" si="18"/>
        <v>0</v>
      </c>
      <c r="K13" s="1052">
        <v>0</v>
      </c>
      <c r="L13" s="1052">
        <f t="shared" si="19"/>
        <v>0</v>
      </c>
      <c r="M13" s="1052">
        <f t="shared" si="20"/>
        <v>0</v>
      </c>
      <c r="N13" s="1078"/>
      <c r="O13" s="1052">
        <f t="shared" si="21"/>
        <v>0</v>
      </c>
      <c r="P13" s="1051">
        <f>'[18]FY2012-13 Final'!K14</f>
        <v>12465</v>
      </c>
      <c r="Q13" s="1053">
        <f t="shared" si="22"/>
        <v>0</v>
      </c>
      <c r="R13" s="1118">
        <f t="shared" si="23"/>
        <v>0</v>
      </c>
      <c r="S13" s="1053">
        <f t="shared" si="24"/>
        <v>0</v>
      </c>
      <c r="T13" s="1053">
        <v>0</v>
      </c>
      <c r="U13" s="1053">
        <f t="shared" si="25"/>
        <v>0</v>
      </c>
      <c r="V13" s="1053">
        <f t="shared" si="26"/>
        <v>0</v>
      </c>
      <c r="W13" s="1054">
        <f t="shared" si="27"/>
        <v>0</v>
      </c>
      <c r="X13" s="1054">
        <f t="shared" si="13"/>
        <v>0</v>
      </c>
    </row>
    <row r="14" spans="1:24">
      <c r="A14" s="994">
        <v>8</v>
      </c>
      <c r="B14" s="995" t="s">
        <v>102</v>
      </c>
      <c r="C14" s="1193">
        <f>'[2]ALL-Reformatted'!V13</f>
        <v>0</v>
      </c>
      <c r="D14" s="997">
        <f>'Table 3 Levels 1&amp;2'!BN16+'Table 3 Levels 1&amp;2'!BV16</f>
        <v>4239.8578920718974</v>
      </c>
      <c r="E14" s="1100">
        <f t="shared" si="14"/>
        <v>0</v>
      </c>
      <c r="F14" s="1100">
        <f>'Table 4 Level 3'!N13</f>
        <v>725.76</v>
      </c>
      <c r="G14" s="1100">
        <f t="shared" si="15"/>
        <v>0</v>
      </c>
      <c r="H14" s="1052">
        <f t="shared" si="16"/>
        <v>0</v>
      </c>
      <c r="I14" s="1110">
        <f t="shared" si="17"/>
        <v>0</v>
      </c>
      <c r="J14" s="1052">
        <f t="shared" si="18"/>
        <v>0</v>
      </c>
      <c r="K14" s="1052">
        <v>0</v>
      </c>
      <c r="L14" s="1052">
        <f t="shared" si="19"/>
        <v>0</v>
      </c>
      <c r="M14" s="1052">
        <f t="shared" si="20"/>
        <v>0</v>
      </c>
      <c r="N14" s="1078"/>
      <c r="O14" s="1052">
        <f t="shared" si="21"/>
        <v>0</v>
      </c>
      <c r="P14" s="1051">
        <f>'[18]FY2012-13 Final'!K15</f>
        <v>4184</v>
      </c>
      <c r="Q14" s="1053">
        <f t="shared" si="22"/>
        <v>0</v>
      </c>
      <c r="R14" s="1118">
        <f t="shared" si="23"/>
        <v>0</v>
      </c>
      <c r="S14" s="1053">
        <f t="shared" si="24"/>
        <v>0</v>
      </c>
      <c r="T14" s="1053">
        <v>0</v>
      </c>
      <c r="U14" s="1053">
        <f t="shared" si="25"/>
        <v>0</v>
      </c>
      <c r="V14" s="1053">
        <f t="shared" si="26"/>
        <v>0</v>
      </c>
      <c r="W14" s="1054">
        <f t="shared" si="27"/>
        <v>0</v>
      </c>
      <c r="X14" s="1054">
        <f t="shared" si="13"/>
        <v>0</v>
      </c>
    </row>
    <row r="15" spans="1:24">
      <c r="A15" s="994">
        <v>9</v>
      </c>
      <c r="B15" s="995" t="s">
        <v>103</v>
      </c>
      <c r="C15" s="1193">
        <f>'[2]ALL-Reformatted'!V14</f>
        <v>0</v>
      </c>
      <c r="D15" s="997">
        <f>'Table 3 Levels 1&amp;2'!BN17+'Table 3 Levels 1&amp;2'!BV17</f>
        <v>4361.2752875373017</v>
      </c>
      <c r="E15" s="1100">
        <f t="shared" si="14"/>
        <v>0</v>
      </c>
      <c r="F15" s="1100">
        <f>'Table 4 Level 3'!N14</f>
        <v>744.76</v>
      </c>
      <c r="G15" s="1100">
        <f t="shared" si="15"/>
        <v>0</v>
      </c>
      <c r="H15" s="1052">
        <f t="shared" si="16"/>
        <v>0</v>
      </c>
      <c r="I15" s="1110">
        <f t="shared" si="17"/>
        <v>0</v>
      </c>
      <c r="J15" s="1052">
        <f t="shared" si="18"/>
        <v>0</v>
      </c>
      <c r="K15" s="1052">
        <v>0</v>
      </c>
      <c r="L15" s="1052">
        <f t="shared" si="19"/>
        <v>0</v>
      </c>
      <c r="M15" s="1052">
        <f t="shared" si="20"/>
        <v>0</v>
      </c>
      <c r="N15" s="1078"/>
      <c r="O15" s="1052">
        <f t="shared" si="21"/>
        <v>0</v>
      </c>
      <c r="P15" s="1051">
        <f>'[18]FY2012-13 Final'!K16</f>
        <v>4640</v>
      </c>
      <c r="Q15" s="1053">
        <f t="shared" si="22"/>
        <v>0</v>
      </c>
      <c r="R15" s="1118">
        <f t="shared" si="23"/>
        <v>0</v>
      </c>
      <c r="S15" s="1053">
        <f t="shared" si="24"/>
        <v>0</v>
      </c>
      <c r="T15" s="1053">
        <v>0</v>
      </c>
      <c r="U15" s="1053">
        <f t="shared" si="25"/>
        <v>0</v>
      </c>
      <c r="V15" s="1053">
        <f t="shared" si="26"/>
        <v>0</v>
      </c>
      <c r="W15" s="1054">
        <f t="shared" si="27"/>
        <v>0</v>
      </c>
      <c r="X15" s="1054">
        <f t="shared" si="13"/>
        <v>0</v>
      </c>
    </row>
    <row r="16" spans="1:24">
      <c r="A16" s="998">
        <v>10</v>
      </c>
      <c r="B16" s="999" t="s">
        <v>104</v>
      </c>
      <c r="C16" s="1194">
        <f>'[2]ALL-Reformatted'!V15</f>
        <v>0</v>
      </c>
      <c r="D16" s="1001">
        <f>'Table 3 Levels 1&amp;2'!BN18+'Table 3 Levels 1&amp;2'!BV18</f>
        <v>4179.4641652904756</v>
      </c>
      <c r="E16" s="1101">
        <f t="shared" si="14"/>
        <v>0</v>
      </c>
      <c r="F16" s="1101">
        <f>'Table 4 Level 3'!N15</f>
        <v>608.04000000000008</v>
      </c>
      <c r="G16" s="1101">
        <f t="shared" si="15"/>
        <v>0</v>
      </c>
      <c r="H16" s="1055">
        <f t="shared" si="16"/>
        <v>0</v>
      </c>
      <c r="I16" s="1111">
        <f t="shared" si="17"/>
        <v>0</v>
      </c>
      <c r="J16" s="1055">
        <f t="shared" si="18"/>
        <v>0</v>
      </c>
      <c r="K16" s="1055">
        <v>0</v>
      </c>
      <c r="L16" s="1055">
        <f t="shared" si="19"/>
        <v>0</v>
      </c>
      <c r="M16" s="1055">
        <f t="shared" si="20"/>
        <v>0</v>
      </c>
      <c r="N16" s="1079"/>
      <c r="O16" s="1055">
        <f t="shared" si="21"/>
        <v>0</v>
      </c>
      <c r="P16" s="1056">
        <f>'[18]FY2012-13 Final'!K17</f>
        <v>4391</v>
      </c>
      <c r="Q16" s="1057">
        <f t="shared" si="22"/>
        <v>0</v>
      </c>
      <c r="R16" s="1119">
        <f t="shared" si="23"/>
        <v>0</v>
      </c>
      <c r="S16" s="1057">
        <f t="shared" si="24"/>
        <v>0</v>
      </c>
      <c r="T16" s="1057">
        <v>0</v>
      </c>
      <c r="U16" s="1057">
        <f t="shared" si="25"/>
        <v>0</v>
      </c>
      <c r="V16" s="1057">
        <f t="shared" si="26"/>
        <v>0</v>
      </c>
      <c r="W16" s="1058">
        <f t="shared" si="27"/>
        <v>0</v>
      </c>
      <c r="X16" s="1058">
        <f t="shared" si="13"/>
        <v>0</v>
      </c>
    </row>
    <row r="17" spans="1:24">
      <c r="A17" s="987">
        <v>11</v>
      </c>
      <c r="B17" s="988" t="s">
        <v>105</v>
      </c>
      <c r="C17" s="1195">
        <f>'[2]ALL-Reformatted'!V16</f>
        <v>0</v>
      </c>
      <c r="D17" s="990">
        <f>'Table 3 Levels 1&amp;2'!BN19+'Table 3 Levels 1&amp;2'!BV19</f>
        <v>6825.0221851487568</v>
      </c>
      <c r="E17" s="1099">
        <f t="shared" si="14"/>
        <v>0</v>
      </c>
      <c r="F17" s="1099">
        <f>'Table 4 Level 3'!N16</f>
        <v>706.55</v>
      </c>
      <c r="G17" s="1099">
        <f t="shared" si="15"/>
        <v>0</v>
      </c>
      <c r="H17" s="991">
        <f t="shared" si="16"/>
        <v>0</v>
      </c>
      <c r="I17" s="1109">
        <f t="shared" si="17"/>
        <v>0</v>
      </c>
      <c r="J17" s="991">
        <f t="shared" si="18"/>
        <v>0</v>
      </c>
      <c r="K17" s="991">
        <v>0</v>
      </c>
      <c r="L17" s="991">
        <f t="shared" si="19"/>
        <v>0</v>
      </c>
      <c r="M17" s="991">
        <f t="shared" si="20"/>
        <v>0</v>
      </c>
      <c r="N17" s="1077"/>
      <c r="O17" s="991">
        <f t="shared" si="21"/>
        <v>0</v>
      </c>
      <c r="P17" s="1051">
        <f>'[18]FY2012-13 Final'!K18</f>
        <v>3430</v>
      </c>
      <c r="Q17" s="992">
        <f t="shared" si="22"/>
        <v>0</v>
      </c>
      <c r="R17" s="1117">
        <f t="shared" si="23"/>
        <v>0</v>
      </c>
      <c r="S17" s="992">
        <f t="shared" si="24"/>
        <v>0</v>
      </c>
      <c r="T17" s="992">
        <v>0</v>
      </c>
      <c r="U17" s="992">
        <f t="shared" si="25"/>
        <v>0</v>
      </c>
      <c r="V17" s="992">
        <f t="shared" si="26"/>
        <v>0</v>
      </c>
      <c r="W17" s="993">
        <f t="shared" si="27"/>
        <v>0</v>
      </c>
      <c r="X17" s="993">
        <f t="shared" si="13"/>
        <v>0</v>
      </c>
    </row>
    <row r="18" spans="1:24">
      <c r="A18" s="994">
        <v>12</v>
      </c>
      <c r="B18" s="995" t="s">
        <v>106</v>
      </c>
      <c r="C18" s="1193">
        <f>'[2]ALL-Reformatted'!V17</f>
        <v>0</v>
      </c>
      <c r="D18" s="997">
        <f>'Table 3 Levels 1&amp;2'!BN20+'Table 3 Levels 1&amp;2'!BV20</f>
        <v>1688.0492586490939</v>
      </c>
      <c r="E18" s="1100">
        <f t="shared" si="14"/>
        <v>0</v>
      </c>
      <c r="F18" s="1100">
        <f>'Table 4 Level 3'!N17</f>
        <v>1063.31</v>
      </c>
      <c r="G18" s="1100">
        <f t="shared" si="15"/>
        <v>0</v>
      </c>
      <c r="H18" s="1052">
        <f t="shared" si="16"/>
        <v>0</v>
      </c>
      <c r="I18" s="1110">
        <f t="shared" si="17"/>
        <v>0</v>
      </c>
      <c r="J18" s="1052">
        <f t="shared" si="18"/>
        <v>0</v>
      </c>
      <c r="K18" s="1052">
        <v>0</v>
      </c>
      <c r="L18" s="1052">
        <f t="shared" si="19"/>
        <v>0</v>
      </c>
      <c r="M18" s="1052">
        <f t="shared" si="20"/>
        <v>0</v>
      </c>
      <c r="N18" s="1078"/>
      <c r="O18" s="1052">
        <f t="shared" si="21"/>
        <v>0</v>
      </c>
      <c r="P18" s="1051">
        <f>'[18]FY2012-13 Final'!K19</f>
        <v>12558</v>
      </c>
      <c r="Q18" s="1053">
        <f t="shared" si="22"/>
        <v>0</v>
      </c>
      <c r="R18" s="1118">
        <f t="shared" si="23"/>
        <v>0</v>
      </c>
      <c r="S18" s="1053">
        <f t="shared" si="24"/>
        <v>0</v>
      </c>
      <c r="T18" s="1053">
        <v>0</v>
      </c>
      <c r="U18" s="1053">
        <f t="shared" si="25"/>
        <v>0</v>
      </c>
      <c r="V18" s="1053">
        <f t="shared" si="26"/>
        <v>0</v>
      </c>
      <c r="W18" s="1054">
        <f t="shared" si="27"/>
        <v>0</v>
      </c>
      <c r="X18" s="1054">
        <f t="shared" si="13"/>
        <v>0</v>
      </c>
    </row>
    <row r="19" spans="1:24">
      <c r="A19" s="994">
        <v>13</v>
      </c>
      <c r="B19" s="995" t="s">
        <v>107</v>
      </c>
      <c r="C19" s="1193">
        <f>'[2]ALL-Reformatted'!V18</f>
        <v>0</v>
      </c>
      <c r="D19" s="997">
        <f>'Table 3 Levels 1&amp;2'!BN21+'Table 3 Levels 1&amp;2'!BV21</f>
        <v>6187.1651272387344</v>
      </c>
      <c r="E19" s="1100">
        <f t="shared" si="14"/>
        <v>0</v>
      </c>
      <c r="F19" s="1100">
        <f>'Table 4 Level 3'!N18</f>
        <v>749.43000000000006</v>
      </c>
      <c r="G19" s="1100">
        <f t="shared" si="15"/>
        <v>0</v>
      </c>
      <c r="H19" s="1052">
        <f t="shared" si="16"/>
        <v>0</v>
      </c>
      <c r="I19" s="1110">
        <f t="shared" si="17"/>
        <v>0</v>
      </c>
      <c r="J19" s="1052">
        <f t="shared" si="18"/>
        <v>0</v>
      </c>
      <c r="K19" s="1052">
        <v>0</v>
      </c>
      <c r="L19" s="1052">
        <f t="shared" si="19"/>
        <v>0</v>
      </c>
      <c r="M19" s="1052">
        <f t="shared" si="20"/>
        <v>0</v>
      </c>
      <c r="N19" s="1078"/>
      <c r="O19" s="1052">
        <f t="shared" si="21"/>
        <v>0</v>
      </c>
      <c r="P19" s="1051">
        <f>'[18]FY2012-13 Final'!K20</f>
        <v>2536</v>
      </c>
      <c r="Q19" s="1053">
        <f t="shared" si="22"/>
        <v>0</v>
      </c>
      <c r="R19" s="1118">
        <f t="shared" si="23"/>
        <v>0</v>
      </c>
      <c r="S19" s="1053">
        <f t="shared" si="24"/>
        <v>0</v>
      </c>
      <c r="T19" s="1053">
        <v>0</v>
      </c>
      <c r="U19" s="1053">
        <f t="shared" si="25"/>
        <v>0</v>
      </c>
      <c r="V19" s="1053">
        <f t="shared" si="26"/>
        <v>0</v>
      </c>
      <c r="W19" s="1054">
        <f t="shared" si="27"/>
        <v>0</v>
      </c>
      <c r="X19" s="1054">
        <f t="shared" si="13"/>
        <v>0</v>
      </c>
    </row>
    <row r="20" spans="1:24">
      <c r="A20" s="994">
        <v>14</v>
      </c>
      <c r="B20" s="995" t="s">
        <v>108</v>
      </c>
      <c r="C20" s="1193">
        <f>'[2]ALL-Reformatted'!V19</f>
        <v>0</v>
      </c>
      <c r="D20" s="997">
        <f>'Table 3 Levels 1&amp;2'!BN22+'Table 3 Levels 1&amp;2'!BV22</f>
        <v>5339.1887414618923</v>
      </c>
      <c r="E20" s="1100">
        <f t="shared" si="14"/>
        <v>0</v>
      </c>
      <c r="F20" s="1100">
        <f>'Table 4 Level 3'!N19</f>
        <v>809.9799999999999</v>
      </c>
      <c r="G20" s="1100">
        <f t="shared" si="15"/>
        <v>0</v>
      </c>
      <c r="H20" s="1052">
        <f t="shared" si="16"/>
        <v>0</v>
      </c>
      <c r="I20" s="1110">
        <f t="shared" si="17"/>
        <v>0</v>
      </c>
      <c r="J20" s="1052">
        <f t="shared" si="18"/>
        <v>0</v>
      </c>
      <c r="K20" s="1052">
        <v>0</v>
      </c>
      <c r="L20" s="1052">
        <f t="shared" si="19"/>
        <v>0</v>
      </c>
      <c r="M20" s="1052">
        <f t="shared" si="20"/>
        <v>0</v>
      </c>
      <c r="N20" s="1078"/>
      <c r="O20" s="1052">
        <f t="shared" si="21"/>
        <v>0</v>
      </c>
      <c r="P20" s="1051">
        <f>'[18]FY2012-13 Final'!K21</f>
        <v>3888</v>
      </c>
      <c r="Q20" s="1053">
        <f t="shared" si="22"/>
        <v>0</v>
      </c>
      <c r="R20" s="1118">
        <f t="shared" si="23"/>
        <v>0</v>
      </c>
      <c r="S20" s="1053">
        <f t="shared" si="24"/>
        <v>0</v>
      </c>
      <c r="T20" s="1053">
        <v>0</v>
      </c>
      <c r="U20" s="1053">
        <f t="shared" si="25"/>
        <v>0</v>
      </c>
      <c r="V20" s="1053">
        <f t="shared" si="26"/>
        <v>0</v>
      </c>
      <c r="W20" s="1054">
        <f t="shared" si="27"/>
        <v>0</v>
      </c>
      <c r="X20" s="1054">
        <f t="shared" si="13"/>
        <v>0</v>
      </c>
    </row>
    <row r="21" spans="1:24">
      <c r="A21" s="998">
        <v>15</v>
      </c>
      <c r="B21" s="999" t="s">
        <v>109</v>
      </c>
      <c r="C21" s="1194">
        <f>'[2]ALL-Reformatted'!V20</f>
        <v>0</v>
      </c>
      <c r="D21" s="1001">
        <f>'Table 3 Levels 1&amp;2'!BN23+'Table 3 Levels 1&amp;2'!BV23</f>
        <v>5492.5789412344011</v>
      </c>
      <c r="E21" s="1101">
        <f t="shared" si="14"/>
        <v>0</v>
      </c>
      <c r="F21" s="1101">
        <f>'Table 4 Level 3'!N20</f>
        <v>553.79999999999995</v>
      </c>
      <c r="G21" s="1101">
        <f t="shared" si="15"/>
        <v>0</v>
      </c>
      <c r="H21" s="1055">
        <f t="shared" si="16"/>
        <v>0</v>
      </c>
      <c r="I21" s="1111">
        <f t="shared" si="17"/>
        <v>0</v>
      </c>
      <c r="J21" s="1055">
        <f t="shared" si="18"/>
        <v>0</v>
      </c>
      <c r="K21" s="1055">
        <v>0</v>
      </c>
      <c r="L21" s="1055">
        <f t="shared" si="19"/>
        <v>0</v>
      </c>
      <c r="M21" s="1055">
        <f t="shared" si="20"/>
        <v>0</v>
      </c>
      <c r="N21" s="1079"/>
      <c r="O21" s="1055">
        <f t="shared" si="21"/>
        <v>0</v>
      </c>
      <c r="P21" s="1056">
        <f>'[18]FY2012-13 Final'!K22</f>
        <v>2752</v>
      </c>
      <c r="Q21" s="1057">
        <f t="shared" si="22"/>
        <v>0</v>
      </c>
      <c r="R21" s="1119">
        <f t="shared" si="23"/>
        <v>0</v>
      </c>
      <c r="S21" s="1057">
        <f t="shared" si="24"/>
        <v>0</v>
      </c>
      <c r="T21" s="1057">
        <v>0</v>
      </c>
      <c r="U21" s="1057">
        <f t="shared" si="25"/>
        <v>0</v>
      </c>
      <c r="V21" s="1057">
        <f t="shared" si="26"/>
        <v>0</v>
      </c>
      <c r="W21" s="1058">
        <f t="shared" si="27"/>
        <v>0</v>
      </c>
      <c r="X21" s="1058">
        <f t="shared" si="13"/>
        <v>0</v>
      </c>
    </row>
    <row r="22" spans="1:24">
      <c r="A22" s="987">
        <v>16</v>
      </c>
      <c r="B22" s="988" t="s">
        <v>110</v>
      </c>
      <c r="C22" s="1195">
        <f>'[2]ALL-Reformatted'!V21</f>
        <v>0</v>
      </c>
      <c r="D22" s="990">
        <f>'Table 3 Levels 1&amp;2'!BN24+'Table 3 Levels 1&amp;2'!BV24</f>
        <v>1506.1153407945151</v>
      </c>
      <c r="E22" s="1099">
        <f t="shared" si="14"/>
        <v>0</v>
      </c>
      <c r="F22" s="1099">
        <f>'Table 4 Level 3'!N21</f>
        <v>686.73</v>
      </c>
      <c r="G22" s="1099">
        <f t="shared" si="15"/>
        <v>0</v>
      </c>
      <c r="H22" s="991">
        <f t="shared" si="16"/>
        <v>0</v>
      </c>
      <c r="I22" s="1109">
        <f t="shared" si="17"/>
        <v>0</v>
      </c>
      <c r="J22" s="991">
        <f t="shared" si="18"/>
        <v>0</v>
      </c>
      <c r="K22" s="991">
        <v>0</v>
      </c>
      <c r="L22" s="991">
        <f t="shared" si="19"/>
        <v>0</v>
      </c>
      <c r="M22" s="991">
        <f t="shared" si="20"/>
        <v>0</v>
      </c>
      <c r="N22" s="1077"/>
      <c r="O22" s="991">
        <f t="shared" si="21"/>
        <v>0</v>
      </c>
      <c r="P22" s="1051">
        <f>'[18]FY2012-13 Final'!K23</f>
        <v>15092</v>
      </c>
      <c r="Q22" s="992">
        <f t="shared" si="22"/>
        <v>0</v>
      </c>
      <c r="R22" s="1117">
        <f t="shared" si="23"/>
        <v>0</v>
      </c>
      <c r="S22" s="992">
        <f t="shared" si="24"/>
        <v>0</v>
      </c>
      <c r="T22" s="992">
        <v>0</v>
      </c>
      <c r="U22" s="992">
        <f t="shared" si="25"/>
        <v>0</v>
      </c>
      <c r="V22" s="992">
        <f t="shared" si="26"/>
        <v>0</v>
      </c>
      <c r="W22" s="993">
        <f t="shared" si="27"/>
        <v>0</v>
      </c>
      <c r="X22" s="993">
        <f t="shared" si="13"/>
        <v>0</v>
      </c>
    </row>
    <row r="23" spans="1:24">
      <c r="A23" s="994">
        <v>17</v>
      </c>
      <c r="B23" s="995" t="s">
        <v>111</v>
      </c>
      <c r="C23" s="1193">
        <f>'[2]ALL-Reformatted'!V22</f>
        <v>0</v>
      </c>
      <c r="D23" s="997">
        <f>'Table 3 Levels 1&amp;2'!BN25+'Table 3 Levels 1&amp;2'!BV25</f>
        <v>3311.610845996096</v>
      </c>
      <c r="E23" s="1100">
        <f t="shared" si="14"/>
        <v>0</v>
      </c>
      <c r="F23" s="1100">
        <f>'Table 5B2_RSD_LA'!F7</f>
        <v>801.47762416806802</v>
      </c>
      <c r="G23" s="1100">
        <f t="shared" si="15"/>
        <v>0</v>
      </c>
      <c r="H23" s="1052">
        <f t="shared" si="16"/>
        <v>0</v>
      </c>
      <c r="I23" s="1110">
        <f t="shared" si="17"/>
        <v>0</v>
      </c>
      <c r="J23" s="1052">
        <f t="shared" si="18"/>
        <v>0</v>
      </c>
      <c r="K23" s="1052">
        <v>0</v>
      </c>
      <c r="L23" s="1052">
        <f t="shared" si="19"/>
        <v>0</v>
      </c>
      <c r="M23" s="1052">
        <f t="shared" si="20"/>
        <v>0</v>
      </c>
      <c r="N23" s="1078"/>
      <c r="O23" s="1052">
        <f t="shared" si="21"/>
        <v>0</v>
      </c>
      <c r="P23" s="1051">
        <f>'[18]FY2012-13 Final'!K24</f>
        <v>6551</v>
      </c>
      <c r="Q23" s="1053">
        <f t="shared" si="22"/>
        <v>0</v>
      </c>
      <c r="R23" s="1118">
        <f t="shared" si="23"/>
        <v>0</v>
      </c>
      <c r="S23" s="1053">
        <f t="shared" si="24"/>
        <v>0</v>
      </c>
      <c r="T23" s="1053">
        <v>0</v>
      </c>
      <c r="U23" s="1053">
        <f t="shared" si="25"/>
        <v>0</v>
      </c>
      <c r="V23" s="1053">
        <f t="shared" si="26"/>
        <v>0</v>
      </c>
      <c r="W23" s="1054">
        <f t="shared" si="27"/>
        <v>0</v>
      </c>
      <c r="X23" s="1054">
        <f t="shared" si="13"/>
        <v>0</v>
      </c>
    </row>
    <row r="24" spans="1:24">
      <c r="A24" s="994">
        <v>18</v>
      </c>
      <c r="B24" s="995" t="s">
        <v>112</v>
      </c>
      <c r="C24" s="1193">
        <f>'[2]ALL-Reformatted'!V23</f>
        <v>0</v>
      </c>
      <c r="D24" s="997">
        <f>'Table 3 Levels 1&amp;2'!BN26+'Table 3 Levels 1&amp;2'!BV26</f>
        <v>5964.3490202032081</v>
      </c>
      <c r="E24" s="1100">
        <f t="shared" si="14"/>
        <v>0</v>
      </c>
      <c r="F24" s="1100">
        <f>'Table 4 Level 3'!N23</f>
        <v>845.94999999999993</v>
      </c>
      <c r="G24" s="1100">
        <f t="shared" si="15"/>
        <v>0</v>
      </c>
      <c r="H24" s="1052">
        <f t="shared" si="16"/>
        <v>0</v>
      </c>
      <c r="I24" s="1110">
        <f t="shared" si="17"/>
        <v>0</v>
      </c>
      <c r="J24" s="1052">
        <f t="shared" si="18"/>
        <v>0</v>
      </c>
      <c r="K24" s="1052">
        <v>0</v>
      </c>
      <c r="L24" s="1052">
        <f t="shared" si="19"/>
        <v>0</v>
      </c>
      <c r="M24" s="1052">
        <f t="shared" si="20"/>
        <v>0</v>
      </c>
      <c r="N24" s="1078"/>
      <c r="O24" s="1052">
        <f t="shared" si="21"/>
        <v>0</v>
      </c>
      <c r="P24" s="1051">
        <f>'[18]FY2012-13 Final'!K25</f>
        <v>2165</v>
      </c>
      <c r="Q24" s="1053">
        <f t="shared" si="22"/>
        <v>0</v>
      </c>
      <c r="R24" s="1118">
        <f t="shared" si="23"/>
        <v>0</v>
      </c>
      <c r="S24" s="1053">
        <f t="shared" si="24"/>
        <v>0</v>
      </c>
      <c r="T24" s="1053">
        <v>0</v>
      </c>
      <c r="U24" s="1053">
        <f t="shared" si="25"/>
        <v>0</v>
      </c>
      <c r="V24" s="1053">
        <f t="shared" si="26"/>
        <v>0</v>
      </c>
      <c r="W24" s="1054">
        <f t="shared" si="27"/>
        <v>0</v>
      </c>
      <c r="X24" s="1054">
        <f t="shared" si="13"/>
        <v>0</v>
      </c>
    </row>
    <row r="25" spans="1:24">
      <c r="A25" s="994">
        <v>19</v>
      </c>
      <c r="B25" s="995" t="s">
        <v>113</v>
      </c>
      <c r="C25" s="1193">
        <f>'[2]ALL-Reformatted'!V24</f>
        <v>0</v>
      </c>
      <c r="D25" s="997">
        <f>'Table 3 Levels 1&amp;2'!BN27+'Table 3 Levels 1&amp;2'!BV27</f>
        <v>5283.1088158476596</v>
      </c>
      <c r="E25" s="1100">
        <f t="shared" si="14"/>
        <v>0</v>
      </c>
      <c r="F25" s="1100">
        <f>'Table 4 Level 3'!N24</f>
        <v>905.43</v>
      </c>
      <c r="G25" s="1100">
        <f t="shared" si="15"/>
        <v>0</v>
      </c>
      <c r="H25" s="1052">
        <f t="shared" si="16"/>
        <v>0</v>
      </c>
      <c r="I25" s="1110">
        <f t="shared" si="17"/>
        <v>0</v>
      </c>
      <c r="J25" s="1052">
        <f t="shared" si="18"/>
        <v>0</v>
      </c>
      <c r="K25" s="1052">
        <v>0</v>
      </c>
      <c r="L25" s="1052">
        <f t="shared" si="19"/>
        <v>0</v>
      </c>
      <c r="M25" s="1052">
        <f t="shared" si="20"/>
        <v>0</v>
      </c>
      <c r="N25" s="1078"/>
      <c r="O25" s="1052">
        <f t="shared" si="21"/>
        <v>0</v>
      </c>
      <c r="P25" s="1051">
        <f>'[18]FY2012-13 Final'!K26</f>
        <v>2729</v>
      </c>
      <c r="Q25" s="1053">
        <f t="shared" si="22"/>
        <v>0</v>
      </c>
      <c r="R25" s="1118">
        <f t="shared" si="23"/>
        <v>0</v>
      </c>
      <c r="S25" s="1053">
        <f t="shared" si="24"/>
        <v>0</v>
      </c>
      <c r="T25" s="1053">
        <v>0</v>
      </c>
      <c r="U25" s="1053">
        <f t="shared" si="25"/>
        <v>0</v>
      </c>
      <c r="V25" s="1053">
        <f t="shared" si="26"/>
        <v>0</v>
      </c>
      <c r="W25" s="1054">
        <f t="shared" si="27"/>
        <v>0</v>
      </c>
      <c r="X25" s="1054">
        <f t="shared" si="13"/>
        <v>0</v>
      </c>
    </row>
    <row r="26" spans="1:24">
      <c r="A26" s="998">
        <v>20</v>
      </c>
      <c r="B26" s="999" t="s">
        <v>114</v>
      </c>
      <c r="C26" s="1194">
        <f>'[2]ALL-Reformatted'!V25</f>
        <v>0</v>
      </c>
      <c r="D26" s="1001">
        <f>'Table 3 Levels 1&amp;2'!BN28+'Table 3 Levels 1&amp;2'!BV28</f>
        <v>5389.6047094824808</v>
      </c>
      <c r="E26" s="1101">
        <f t="shared" si="14"/>
        <v>0</v>
      </c>
      <c r="F26" s="1101">
        <f>'Table 4 Level 3'!N25</f>
        <v>586.16999999999996</v>
      </c>
      <c r="G26" s="1101">
        <f t="shared" si="15"/>
        <v>0</v>
      </c>
      <c r="H26" s="1055">
        <f t="shared" si="16"/>
        <v>0</v>
      </c>
      <c r="I26" s="1111">
        <f t="shared" si="17"/>
        <v>0</v>
      </c>
      <c r="J26" s="1055">
        <f t="shared" si="18"/>
        <v>0</v>
      </c>
      <c r="K26" s="1055">
        <v>0</v>
      </c>
      <c r="L26" s="1055">
        <f t="shared" si="19"/>
        <v>0</v>
      </c>
      <c r="M26" s="1055">
        <f t="shared" si="20"/>
        <v>0</v>
      </c>
      <c r="N26" s="1079"/>
      <c r="O26" s="1055">
        <f t="shared" si="21"/>
        <v>0</v>
      </c>
      <c r="P26" s="1056">
        <f>'[18]FY2012-13 Final'!K27</f>
        <v>2334</v>
      </c>
      <c r="Q26" s="1057">
        <f t="shared" si="22"/>
        <v>0</v>
      </c>
      <c r="R26" s="1119">
        <f t="shared" si="23"/>
        <v>0</v>
      </c>
      <c r="S26" s="1057">
        <f t="shared" si="24"/>
        <v>0</v>
      </c>
      <c r="T26" s="1057">
        <v>0</v>
      </c>
      <c r="U26" s="1057">
        <f t="shared" si="25"/>
        <v>0</v>
      </c>
      <c r="V26" s="1057">
        <f t="shared" si="26"/>
        <v>0</v>
      </c>
      <c r="W26" s="1058">
        <f t="shared" si="27"/>
        <v>0</v>
      </c>
      <c r="X26" s="1058">
        <f t="shared" si="13"/>
        <v>0</v>
      </c>
    </row>
    <row r="27" spans="1:24">
      <c r="A27" s="987">
        <v>21</v>
      </c>
      <c r="B27" s="988" t="s">
        <v>115</v>
      </c>
      <c r="C27" s="1195">
        <f>'[2]ALL-Reformatted'!V26</f>
        <v>0</v>
      </c>
      <c r="D27" s="990">
        <f>'Table 3 Levels 1&amp;2'!BN29+'Table 3 Levels 1&amp;2'!BV29</f>
        <v>5659.8229810652783</v>
      </c>
      <c r="E27" s="1099">
        <f t="shared" si="14"/>
        <v>0</v>
      </c>
      <c r="F27" s="1099">
        <f>'Table 4 Level 3'!N26</f>
        <v>610.35</v>
      </c>
      <c r="G27" s="1099">
        <f t="shared" si="15"/>
        <v>0</v>
      </c>
      <c r="H27" s="991">
        <f t="shared" si="16"/>
        <v>0</v>
      </c>
      <c r="I27" s="1109">
        <f t="shared" si="17"/>
        <v>0</v>
      </c>
      <c r="J27" s="991">
        <f t="shared" si="18"/>
        <v>0</v>
      </c>
      <c r="K27" s="991">
        <v>0</v>
      </c>
      <c r="L27" s="991">
        <f t="shared" si="19"/>
        <v>0</v>
      </c>
      <c r="M27" s="991">
        <f t="shared" si="20"/>
        <v>0</v>
      </c>
      <c r="N27" s="1077"/>
      <c r="O27" s="991">
        <f t="shared" si="21"/>
        <v>0</v>
      </c>
      <c r="P27" s="1051">
        <f>'[18]FY2012-13 Final'!K28</f>
        <v>2233</v>
      </c>
      <c r="Q27" s="992">
        <f t="shared" si="22"/>
        <v>0</v>
      </c>
      <c r="R27" s="1117">
        <f t="shared" si="23"/>
        <v>0</v>
      </c>
      <c r="S27" s="992">
        <f t="shared" si="24"/>
        <v>0</v>
      </c>
      <c r="T27" s="992">
        <v>0</v>
      </c>
      <c r="U27" s="992">
        <f t="shared" si="25"/>
        <v>0</v>
      </c>
      <c r="V27" s="992">
        <f t="shared" si="26"/>
        <v>0</v>
      </c>
      <c r="W27" s="993">
        <f t="shared" si="27"/>
        <v>0</v>
      </c>
      <c r="X27" s="993">
        <f t="shared" si="13"/>
        <v>0</v>
      </c>
    </row>
    <row r="28" spans="1:24">
      <c r="A28" s="994">
        <v>22</v>
      </c>
      <c r="B28" s="995" t="s">
        <v>116</v>
      </c>
      <c r="C28" s="1193">
        <f>'[2]ALL-Reformatted'!V27</f>
        <v>0</v>
      </c>
      <c r="D28" s="997">
        <f>'Table 3 Levels 1&amp;2'!BN30+'Table 3 Levels 1&amp;2'!BV30</f>
        <v>6191.1997628958306</v>
      </c>
      <c r="E28" s="1100">
        <f t="shared" si="14"/>
        <v>0</v>
      </c>
      <c r="F28" s="1100">
        <f>'Table 4 Level 3'!N27</f>
        <v>496.36</v>
      </c>
      <c r="G28" s="1100">
        <f t="shared" si="15"/>
        <v>0</v>
      </c>
      <c r="H28" s="1052">
        <f t="shared" si="16"/>
        <v>0</v>
      </c>
      <c r="I28" s="1110">
        <f t="shared" si="17"/>
        <v>0</v>
      </c>
      <c r="J28" s="1052">
        <f t="shared" si="18"/>
        <v>0</v>
      </c>
      <c r="K28" s="1052">
        <v>0</v>
      </c>
      <c r="L28" s="1052">
        <f t="shared" si="19"/>
        <v>0</v>
      </c>
      <c r="M28" s="1052">
        <f t="shared" si="20"/>
        <v>0</v>
      </c>
      <c r="N28" s="1078"/>
      <c r="O28" s="1052">
        <f t="shared" si="21"/>
        <v>0</v>
      </c>
      <c r="P28" s="1051">
        <f>'[18]FY2012-13 Final'!K29</f>
        <v>1410</v>
      </c>
      <c r="Q28" s="1053">
        <f t="shared" si="22"/>
        <v>0</v>
      </c>
      <c r="R28" s="1118">
        <f t="shared" si="23"/>
        <v>0</v>
      </c>
      <c r="S28" s="1053">
        <f t="shared" si="24"/>
        <v>0</v>
      </c>
      <c r="T28" s="1053">
        <v>0</v>
      </c>
      <c r="U28" s="1053">
        <f t="shared" si="25"/>
        <v>0</v>
      </c>
      <c r="V28" s="1053">
        <f t="shared" si="26"/>
        <v>0</v>
      </c>
      <c r="W28" s="1054">
        <f t="shared" si="27"/>
        <v>0</v>
      </c>
      <c r="X28" s="1054">
        <f t="shared" si="13"/>
        <v>0</v>
      </c>
    </row>
    <row r="29" spans="1:24">
      <c r="A29" s="994">
        <v>23</v>
      </c>
      <c r="B29" s="995" t="s">
        <v>117</v>
      </c>
      <c r="C29" s="1193">
        <f>'[2]ALL-Reformatted'!V28</f>
        <v>0</v>
      </c>
      <c r="D29" s="997">
        <f>'Table 3 Levels 1&amp;2'!BN31+'Table 3 Levels 1&amp;2'!BV31</f>
        <v>4788.2881021645453</v>
      </c>
      <c r="E29" s="1100">
        <f t="shared" si="14"/>
        <v>0</v>
      </c>
      <c r="F29" s="1100">
        <f>'Table 4 Level 3'!N28</f>
        <v>688.58</v>
      </c>
      <c r="G29" s="1100">
        <f t="shared" si="15"/>
        <v>0</v>
      </c>
      <c r="H29" s="1052">
        <f t="shared" si="16"/>
        <v>0</v>
      </c>
      <c r="I29" s="1110">
        <f t="shared" si="17"/>
        <v>0</v>
      </c>
      <c r="J29" s="1052">
        <f t="shared" si="18"/>
        <v>0</v>
      </c>
      <c r="K29" s="1052">
        <v>0</v>
      </c>
      <c r="L29" s="1052">
        <f t="shared" si="19"/>
        <v>0</v>
      </c>
      <c r="M29" s="1052">
        <f t="shared" si="20"/>
        <v>0</v>
      </c>
      <c r="N29" s="1078"/>
      <c r="O29" s="1052">
        <f t="shared" si="21"/>
        <v>0</v>
      </c>
      <c r="P29" s="1051">
        <f>'[18]FY2012-13 Final'!K30</f>
        <v>3258</v>
      </c>
      <c r="Q29" s="1053">
        <f t="shared" si="22"/>
        <v>0</v>
      </c>
      <c r="R29" s="1118">
        <f t="shared" si="23"/>
        <v>0</v>
      </c>
      <c r="S29" s="1053">
        <f t="shared" si="24"/>
        <v>0</v>
      </c>
      <c r="T29" s="1053">
        <v>0</v>
      </c>
      <c r="U29" s="1053">
        <f t="shared" si="25"/>
        <v>0</v>
      </c>
      <c r="V29" s="1053">
        <f t="shared" si="26"/>
        <v>0</v>
      </c>
      <c r="W29" s="1054">
        <f t="shared" si="27"/>
        <v>0</v>
      </c>
      <c r="X29" s="1054">
        <f t="shared" si="13"/>
        <v>0</v>
      </c>
    </row>
    <row r="30" spans="1:24">
      <c r="A30" s="994">
        <v>24</v>
      </c>
      <c r="B30" s="995" t="s">
        <v>118</v>
      </c>
      <c r="C30" s="1193">
        <f>'[2]ALL-Reformatted'!V29</f>
        <v>0</v>
      </c>
      <c r="D30" s="997">
        <f>'Table 3 Levels 1&amp;2'!BN32+'Table 3 Levels 1&amp;2'!BV32</f>
        <v>2743.328175824176</v>
      </c>
      <c r="E30" s="1100">
        <f t="shared" si="14"/>
        <v>0</v>
      </c>
      <c r="F30" s="1100">
        <f>'Table 4 Level 3'!N29</f>
        <v>854.24999999999989</v>
      </c>
      <c r="G30" s="1100">
        <f t="shared" si="15"/>
        <v>0</v>
      </c>
      <c r="H30" s="1052">
        <f t="shared" si="16"/>
        <v>0</v>
      </c>
      <c r="I30" s="1110">
        <f t="shared" si="17"/>
        <v>0</v>
      </c>
      <c r="J30" s="1052">
        <f t="shared" si="18"/>
        <v>0</v>
      </c>
      <c r="K30" s="1052">
        <v>0</v>
      </c>
      <c r="L30" s="1052">
        <f t="shared" si="19"/>
        <v>0</v>
      </c>
      <c r="M30" s="1052">
        <f t="shared" si="20"/>
        <v>0</v>
      </c>
      <c r="N30" s="1078"/>
      <c r="O30" s="1052">
        <f t="shared" si="21"/>
        <v>0</v>
      </c>
      <c r="P30" s="1051">
        <f>'[18]FY2012-13 Final'!K31</f>
        <v>9280</v>
      </c>
      <c r="Q30" s="1053">
        <f t="shared" si="22"/>
        <v>0</v>
      </c>
      <c r="R30" s="1118">
        <f t="shared" si="23"/>
        <v>0</v>
      </c>
      <c r="S30" s="1053">
        <f t="shared" si="24"/>
        <v>0</v>
      </c>
      <c r="T30" s="1053">
        <v>0</v>
      </c>
      <c r="U30" s="1053">
        <f t="shared" si="25"/>
        <v>0</v>
      </c>
      <c r="V30" s="1053">
        <f t="shared" si="26"/>
        <v>0</v>
      </c>
      <c r="W30" s="1054">
        <f t="shared" si="27"/>
        <v>0</v>
      </c>
      <c r="X30" s="1054">
        <f t="shared" si="13"/>
        <v>0</v>
      </c>
    </row>
    <row r="31" spans="1:24">
      <c r="A31" s="998">
        <v>25</v>
      </c>
      <c r="B31" s="999" t="s">
        <v>119</v>
      </c>
      <c r="C31" s="1194">
        <f>'[2]ALL-Reformatted'!V30</f>
        <v>0</v>
      </c>
      <c r="D31" s="1001">
        <f>'Table 3 Levels 1&amp;2'!BN33+'Table 3 Levels 1&amp;2'!BV33</f>
        <v>3799.3890273447178</v>
      </c>
      <c r="E31" s="1101">
        <f t="shared" si="14"/>
        <v>0</v>
      </c>
      <c r="F31" s="1101">
        <f>'Table 4 Level 3'!N30</f>
        <v>653.73</v>
      </c>
      <c r="G31" s="1101">
        <f t="shared" si="15"/>
        <v>0</v>
      </c>
      <c r="H31" s="1055">
        <f t="shared" si="16"/>
        <v>0</v>
      </c>
      <c r="I31" s="1111">
        <f t="shared" si="17"/>
        <v>0</v>
      </c>
      <c r="J31" s="1055">
        <f t="shared" si="18"/>
        <v>0</v>
      </c>
      <c r="K31" s="1055">
        <v>0</v>
      </c>
      <c r="L31" s="1055">
        <f t="shared" si="19"/>
        <v>0</v>
      </c>
      <c r="M31" s="1055">
        <f t="shared" si="20"/>
        <v>0</v>
      </c>
      <c r="N31" s="1079"/>
      <c r="O31" s="1055">
        <f t="shared" si="21"/>
        <v>0</v>
      </c>
      <c r="P31" s="1056">
        <f>'[18]FY2012-13 Final'!K32</f>
        <v>5351</v>
      </c>
      <c r="Q31" s="1057">
        <f t="shared" si="22"/>
        <v>0</v>
      </c>
      <c r="R31" s="1119">
        <f t="shared" si="23"/>
        <v>0</v>
      </c>
      <c r="S31" s="1057">
        <f t="shared" si="24"/>
        <v>0</v>
      </c>
      <c r="T31" s="1057">
        <v>0</v>
      </c>
      <c r="U31" s="1057">
        <f t="shared" si="25"/>
        <v>0</v>
      </c>
      <c r="V31" s="1057">
        <f t="shared" si="26"/>
        <v>0</v>
      </c>
      <c r="W31" s="1058">
        <f t="shared" si="27"/>
        <v>0</v>
      </c>
      <c r="X31" s="1058">
        <f t="shared" si="13"/>
        <v>0</v>
      </c>
    </row>
    <row r="32" spans="1:24">
      <c r="A32" s="987">
        <v>26</v>
      </c>
      <c r="B32" s="988" t="s">
        <v>120</v>
      </c>
      <c r="C32" s="1195">
        <f>'[2]ALL-Reformatted'!V31</f>
        <v>49</v>
      </c>
      <c r="D32" s="990">
        <f>'Table 3 Levels 1&amp;2'!BN34+'Table 3 Levels 1&amp;2'!BV34</f>
        <v>3320.7842100822745</v>
      </c>
      <c r="E32" s="1099">
        <f t="shared" si="14"/>
        <v>162718.42629403144</v>
      </c>
      <c r="F32" s="1099">
        <f>'Table 4 Level 3'!N31</f>
        <v>836.83</v>
      </c>
      <c r="G32" s="1099">
        <f t="shared" si="15"/>
        <v>41004.670000000006</v>
      </c>
      <c r="H32" s="991">
        <f t="shared" si="16"/>
        <v>203723.09629403145</v>
      </c>
      <c r="I32" s="1109">
        <f t="shared" si="17"/>
        <v>-509.30774073507865</v>
      </c>
      <c r="J32" s="991">
        <f t="shared" si="18"/>
        <v>203213.78855329638</v>
      </c>
      <c r="K32" s="991">
        <v>0</v>
      </c>
      <c r="L32" s="991">
        <f t="shared" si="19"/>
        <v>203213.78855329638</v>
      </c>
      <c r="M32" s="991">
        <f t="shared" si="20"/>
        <v>16934.482379441364</v>
      </c>
      <c r="N32" s="1077"/>
      <c r="O32" s="991">
        <f t="shared" si="21"/>
        <v>203213.78855329638</v>
      </c>
      <c r="P32" s="1051">
        <f>'[18]FY2012-13 Final'!K33</f>
        <v>5100</v>
      </c>
      <c r="Q32" s="992">
        <f t="shared" si="22"/>
        <v>249900</v>
      </c>
      <c r="R32" s="1117">
        <f t="shared" si="23"/>
        <v>-624.75</v>
      </c>
      <c r="S32" s="992">
        <f t="shared" si="24"/>
        <v>249275.25</v>
      </c>
      <c r="T32" s="992">
        <v>0</v>
      </c>
      <c r="U32" s="992">
        <f t="shared" si="25"/>
        <v>249275.25</v>
      </c>
      <c r="V32" s="992">
        <f t="shared" si="26"/>
        <v>20772.9375</v>
      </c>
      <c r="W32" s="993">
        <f t="shared" si="27"/>
        <v>452489.03855329636</v>
      </c>
      <c r="X32" s="993">
        <f t="shared" si="13"/>
        <v>37707.419879441368</v>
      </c>
    </row>
    <row r="33" spans="1:24">
      <c r="A33" s="994">
        <v>27</v>
      </c>
      <c r="B33" s="995" t="s">
        <v>121</v>
      </c>
      <c r="C33" s="1196">
        <f>'[2]ALL-Reformatted'!V32</f>
        <v>0</v>
      </c>
      <c r="D33" s="1003">
        <f>'Table 3 Levels 1&amp;2'!BN35+'Table 3 Levels 1&amp;2'!BV35</f>
        <v>5636.5919457972805</v>
      </c>
      <c r="E33" s="1102">
        <f t="shared" si="14"/>
        <v>0</v>
      </c>
      <c r="F33" s="1102">
        <f>'Table 4 Level 3'!N32</f>
        <v>693.06</v>
      </c>
      <c r="G33" s="1102">
        <f t="shared" si="15"/>
        <v>0</v>
      </c>
      <c r="H33" s="1059">
        <f t="shared" si="16"/>
        <v>0</v>
      </c>
      <c r="I33" s="1112">
        <f t="shared" si="17"/>
        <v>0</v>
      </c>
      <c r="J33" s="1059">
        <f t="shared" si="18"/>
        <v>0</v>
      </c>
      <c r="K33" s="1059">
        <v>0</v>
      </c>
      <c r="L33" s="1059">
        <f t="shared" si="19"/>
        <v>0</v>
      </c>
      <c r="M33" s="1059">
        <f t="shared" si="20"/>
        <v>0</v>
      </c>
      <c r="N33" s="1080"/>
      <c r="O33" s="1059">
        <f t="shared" si="21"/>
        <v>0</v>
      </c>
      <c r="P33" s="1051">
        <f>'[18]FY2012-13 Final'!K34</f>
        <v>3091</v>
      </c>
      <c r="Q33" s="1053">
        <f t="shared" si="22"/>
        <v>0</v>
      </c>
      <c r="R33" s="1118">
        <f t="shared" si="23"/>
        <v>0</v>
      </c>
      <c r="S33" s="1053">
        <f t="shared" si="24"/>
        <v>0</v>
      </c>
      <c r="T33" s="1053">
        <v>0</v>
      </c>
      <c r="U33" s="1053">
        <f t="shared" si="25"/>
        <v>0</v>
      </c>
      <c r="V33" s="1053">
        <f t="shared" si="26"/>
        <v>0</v>
      </c>
      <c r="W33" s="1054">
        <f t="shared" si="27"/>
        <v>0</v>
      </c>
      <c r="X33" s="1054">
        <f t="shared" si="13"/>
        <v>0</v>
      </c>
    </row>
    <row r="34" spans="1:24">
      <c r="A34" s="994">
        <v>28</v>
      </c>
      <c r="B34" s="995" t="s">
        <v>122</v>
      </c>
      <c r="C34" s="1196">
        <f>'[2]ALL-Reformatted'!V33</f>
        <v>0</v>
      </c>
      <c r="D34" s="1003">
        <f>'Table 3 Levels 1&amp;2'!BN36+'Table 3 Levels 1&amp;2'!BV36</f>
        <v>3106.8056522508969</v>
      </c>
      <c r="E34" s="1102">
        <f t="shared" si="14"/>
        <v>0</v>
      </c>
      <c r="F34" s="1102">
        <f>'Table 4 Level 3'!N33</f>
        <v>694.4</v>
      </c>
      <c r="G34" s="1102">
        <f t="shared" si="15"/>
        <v>0</v>
      </c>
      <c r="H34" s="1059">
        <f t="shared" si="16"/>
        <v>0</v>
      </c>
      <c r="I34" s="1112">
        <f t="shared" si="17"/>
        <v>0</v>
      </c>
      <c r="J34" s="1059">
        <f t="shared" si="18"/>
        <v>0</v>
      </c>
      <c r="K34" s="1059">
        <v>0</v>
      </c>
      <c r="L34" s="1059">
        <f t="shared" si="19"/>
        <v>0</v>
      </c>
      <c r="M34" s="1059">
        <f t="shared" si="20"/>
        <v>0</v>
      </c>
      <c r="N34" s="1080"/>
      <c r="O34" s="1059">
        <f t="shared" si="21"/>
        <v>0</v>
      </c>
      <c r="P34" s="1051">
        <f>'[18]FY2012-13 Final'!K35</f>
        <v>5323</v>
      </c>
      <c r="Q34" s="1053">
        <f t="shared" si="22"/>
        <v>0</v>
      </c>
      <c r="R34" s="1118">
        <f t="shared" si="23"/>
        <v>0</v>
      </c>
      <c r="S34" s="1053">
        <f t="shared" si="24"/>
        <v>0</v>
      </c>
      <c r="T34" s="1053">
        <v>0</v>
      </c>
      <c r="U34" s="1053">
        <f t="shared" si="25"/>
        <v>0</v>
      </c>
      <c r="V34" s="1053">
        <f t="shared" si="26"/>
        <v>0</v>
      </c>
      <c r="W34" s="1054">
        <f t="shared" si="27"/>
        <v>0</v>
      </c>
      <c r="X34" s="1054">
        <f t="shared" si="13"/>
        <v>0</v>
      </c>
    </row>
    <row r="35" spans="1:24">
      <c r="A35" s="994">
        <v>29</v>
      </c>
      <c r="B35" s="995" t="s">
        <v>123</v>
      </c>
      <c r="C35" s="1196">
        <f>'[2]ALL-Reformatted'!V34</f>
        <v>0</v>
      </c>
      <c r="D35" s="1003">
        <f>'Table 3 Levels 1&amp;2'!BN37+'Table 3 Levels 1&amp;2'!BV37</f>
        <v>3912.1846976122315</v>
      </c>
      <c r="E35" s="1102">
        <f t="shared" si="14"/>
        <v>0</v>
      </c>
      <c r="F35" s="1102">
        <f>'Table 4 Level 3'!N34</f>
        <v>754.94999999999993</v>
      </c>
      <c r="G35" s="1102">
        <f t="shared" si="15"/>
        <v>0</v>
      </c>
      <c r="H35" s="1059">
        <f t="shared" si="16"/>
        <v>0</v>
      </c>
      <c r="I35" s="1112">
        <f t="shared" si="17"/>
        <v>0</v>
      </c>
      <c r="J35" s="1059">
        <f t="shared" si="18"/>
        <v>0</v>
      </c>
      <c r="K35" s="1059">
        <v>0</v>
      </c>
      <c r="L35" s="1059">
        <f t="shared" si="19"/>
        <v>0</v>
      </c>
      <c r="M35" s="1059">
        <f t="shared" si="20"/>
        <v>0</v>
      </c>
      <c r="N35" s="1080"/>
      <c r="O35" s="1059">
        <f t="shared" si="21"/>
        <v>0</v>
      </c>
      <c r="P35" s="1051">
        <f>'[18]FY2012-13 Final'!K36</f>
        <v>4388</v>
      </c>
      <c r="Q35" s="1053">
        <f t="shared" si="22"/>
        <v>0</v>
      </c>
      <c r="R35" s="1118">
        <f t="shared" si="23"/>
        <v>0</v>
      </c>
      <c r="S35" s="1053">
        <f t="shared" si="24"/>
        <v>0</v>
      </c>
      <c r="T35" s="1053">
        <v>0</v>
      </c>
      <c r="U35" s="1053">
        <f t="shared" si="25"/>
        <v>0</v>
      </c>
      <c r="V35" s="1053">
        <f t="shared" si="26"/>
        <v>0</v>
      </c>
      <c r="W35" s="1054">
        <f t="shared" si="27"/>
        <v>0</v>
      </c>
      <c r="X35" s="1054">
        <f t="shared" si="13"/>
        <v>0</v>
      </c>
    </row>
    <row r="36" spans="1:24">
      <c r="A36" s="998">
        <v>30</v>
      </c>
      <c r="B36" s="999" t="s">
        <v>124</v>
      </c>
      <c r="C36" s="1197">
        <f>'[2]ALL-Reformatted'!V35</f>
        <v>0</v>
      </c>
      <c r="D36" s="1005">
        <f>'Table 3 Levels 1&amp;2'!BN38+'Table 3 Levels 1&amp;2'!BV38</f>
        <v>5594.0091640611508</v>
      </c>
      <c r="E36" s="1103">
        <f t="shared" si="14"/>
        <v>0</v>
      </c>
      <c r="F36" s="1103">
        <f>'Table 4 Level 3'!N35</f>
        <v>727.17</v>
      </c>
      <c r="G36" s="1103">
        <f t="shared" si="15"/>
        <v>0</v>
      </c>
      <c r="H36" s="1060">
        <f t="shared" si="16"/>
        <v>0</v>
      </c>
      <c r="I36" s="1113">
        <f t="shared" si="17"/>
        <v>0</v>
      </c>
      <c r="J36" s="1060">
        <f t="shared" si="18"/>
        <v>0</v>
      </c>
      <c r="K36" s="1060">
        <v>0</v>
      </c>
      <c r="L36" s="1060">
        <f t="shared" si="19"/>
        <v>0</v>
      </c>
      <c r="M36" s="1060">
        <f t="shared" si="20"/>
        <v>0</v>
      </c>
      <c r="N36" s="1081"/>
      <c r="O36" s="1060">
        <f t="shared" si="21"/>
        <v>0</v>
      </c>
      <c r="P36" s="1056">
        <f>'[18]FY2012-13 Final'!K37</f>
        <v>3702</v>
      </c>
      <c r="Q36" s="1057">
        <f t="shared" si="22"/>
        <v>0</v>
      </c>
      <c r="R36" s="1119">
        <f t="shared" si="23"/>
        <v>0</v>
      </c>
      <c r="S36" s="1057">
        <f t="shared" si="24"/>
        <v>0</v>
      </c>
      <c r="T36" s="1057">
        <v>0</v>
      </c>
      <c r="U36" s="1057">
        <f t="shared" si="25"/>
        <v>0</v>
      </c>
      <c r="V36" s="1057">
        <f t="shared" si="26"/>
        <v>0</v>
      </c>
      <c r="W36" s="1058">
        <f t="shared" si="27"/>
        <v>0</v>
      </c>
      <c r="X36" s="1058">
        <f t="shared" si="13"/>
        <v>0</v>
      </c>
    </row>
    <row r="37" spans="1:24">
      <c r="A37" s="987">
        <v>31</v>
      </c>
      <c r="B37" s="988" t="s">
        <v>125</v>
      </c>
      <c r="C37" s="1198">
        <f>'[2]ALL-Reformatted'!V36</f>
        <v>0</v>
      </c>
      <c r="D37" s="1007">
        <f>'Table 3 Levels 1&amp;2'!BN39+'Table 3 Levels 1&amp;2'!BV39</f>
        <v>4320.114188911979</v>
      </c>
      <c r="E37" s="1104">
        <f t="shared" si="14"/>
        <v>0</v>
      </c>
      <c r="F37" s="1104">
        <f>'Table 4 Level 3'!N36</f>
        <v>620.83000000000004</v>
      </c>
      <c r="G37" s="1104">
        <f t="shared" si="15"/>
        <v>0</v>
      </c>
      <c r="H37" s="1061">
        <f t="shared" si="16"/>
        <v>0</v>
      </c>
      <c r="I37" s="1114">
        <f t="shared" si="17"/>
        <v>0</v>
      </c>
      <c r="J37" s="1061">
        <f t="shared" si="18"/>
        <v>0</v>
      </c>
      <c r="K37" s="1061">
        <v>0</v>
      </c>
      <c r="L37" s="1061">
        <f t="shared" si="19"/>
        <v>0</v>
      </c>
      <c r="M37" s="1061">
        <f t="shared" si="20"/>
        <v>0</v>
      </c>
      <c r="N37" s="1082"/>
      <c r="O37" s="1061">
        <f t="shared" si="21"/>
        <v>0</v>
      </c>
      <c r="P37" s="1051">
        <f>'[18]FY2012-13 Final'!K38</f>
        <v>4669</v>
      </c>
      <c r="Q37" s="992">
        <f t="shared" si="22"/>
        <v>0</v>
      </c>
      <c r="R37" s="1117">
        <f t="shared" si="23"/>
        <v>0</v>
      </c>
      <c r="S37" s="992">
        <f t="shared" si="24"/>
        <v>0</v>
      </c>
      <c r="T37" s="992">
        <v>0</v>
      </c>
      <c r="U37" s="992">
        <f t="shared" si="25"/>
        <v>0</v>
      </c>
      <c r="V37" s="992">
        <f t="shared" si="26"/>
        <v>0</v>
      </c>
      <c r="W37" s="993">
        <f t="shared" si="27"/>
        <v>0</v>
      </c>
      <c r="X37" s="993">
        <f t="shared" si="13"/>
        <v>0</v>
      </c>
    </row>
    <row r="38" spans="1:24">
      <c r="A38" s="994">
        <v>32</v>
      </c>
      <c r="B38" s="995" t="s">
        <v>126</v>
      </c>
      <c r="C38" s="1196">
        <f>'[2]ALL-Reformatted'!V37</f>
        <v>0</v>
      </c>
      <c r="D38" s="1003">
        <f>'Table 3 Levels 1&amp;2'!BN40+'Table 3 Levels 1&amp;2'!BV40</f>
        <v>5504.4479209353676</v>
      </c>
      <c r="E38" s="1102">
        <f t="shared" si="14"/>
        <v>0</v>
      </c>
      <c r="F38" s="1102">
        <f>'Table 4 Level 3'!N37</f>
        <v>559.77</v>
      </c>
      <c r="G38" s="1102">
        <f t="shared" si="15"/>
        <v>0</v>
      </c>
      <c r="H38" s="1059">
        <f t="shared" si="16"/>
        <v>0</v>
      </c>
      <c r="I38" s="1112">
        <f t="shared" si="17"/>
        <v>0</v>
      </c>
      <c r="J38" s="1059">
        <f t="shared" si="18"/>
        <v>0</v>
      </c>
      <c r="K38" s="1059">
        <v>0</v>
      </c>
      <c r="L38" s="1059">
        <f t="shared" si="19"/>
        <v>0</v>
      </c>
      <c r="M38" s="1059">
        <f t="shared" si="20"/>
        <v>0</v>
      </c>
      <c r="N38" s="1080"/>
      <c r="O38" s="1059">
        <f t="shared" si="21"/>
        <v>0</v>
      </c>
      <c r="P38" s="1051">
        <f>'[18]FY2012-13 Final'!K39</f>
        <v>1965</v>
      </c>
      <c r="Q38" s="1053">
        <f t="shared" si="22"/>
        <v>0</v>
      </c>
      <c r="R38" s="1118">
        <f t="shared" si="23"/>
        <v>0</v>
      </c>
      <c r="S38" s="1053">
        <f t="shared" si="24"/>
        <v>0</v>
      </c>
      <c r="T38" s="1053">
        <v>0</v>
      </c>
      <c r="U38" s="1053">
        <f t="shared" si="25"/>
        <v>0</v>
      </c>
      <c r="V38" s="1053">
        <f t="shared" si="26"/>
        <v>0</v>
      </c>
      <c r="W38" s="1054">
        <f t="shared" si="27"/>
        <v>0</v>
      </c>
      <c r="X38" s="1054">
        <f t="shared" si="13"/>
        <v>0</v>
      </c>
    </row>
    <row r="39" spans="1:24">
      <c r="A39" s="994">
        <v>33</v>
      </c>
      <c r="B39" s="995" t="s">
        <v>127</v>
      </c>
      <c r="C39" s="1196">
        <f>'[2]ALL-Reformatted'!V38</f>
        <v>0</v>
      </c>
      <c r="D39" s="1003">
        <f>'Table 3 Levels 1&amp;2'!BN41+'Table 3 Levels 1&amp;2'!BV41</f>
        <v>5322.07272511876</v>
      </c>
      <c r="E39" s="1102">
        <f t="shared" si="14"/>
        <v>0</v>
      </c>
      <c r="F39" s="1102">
        <f>'Table 4 Level 3'!N38</f>
        <v>655.31000000000006</v>
      </c>
      <c r="G39" s="1102">
        <f t="shared" si="15"/>
        <v>0</v>
      </c>
      <c r="H39" s="1059">
        <f t="shared" si="16"/>
        <v>0</v>
      </c>
      <c r="I39" s="1112">
        <f t="shared" si="17"/>
        <v>0</v>
      </c>
      <c r="J39" s="1059">
        <f t="shared" si="18"/>
        <v>0</v>
      </c>
      <c r="K39" s="1059">
        <v>0</v>
      </c>
      <c r="L39" s="1059">
        <f t="shared" si="19"/>
        <v>0</v>
      </c>
      <c r="M39" s="1059">
        <f t="shared" si="20"/>
        <v>0</v>
      </c>
      <c r="N39" s="1080"/>
      <c r="O39" s="1059">
        <f t="shared" si="21"/>
        <v>0</v>
      </c>
      <c r="P39" s="1051">
        <f>'[18]FY2012-13 Final'!K40</f>
        <v>2771</v>
      </c>
      <c r="Q39" s="1053">
        <f t="shared" si="22"/>
        <v>0</v>
      </c>
      <c r="R39" s="1118">
        <f t="shared" si="23"/>
        <v>0</v>
      </c>
      <c r="S39" s="1053">
        <f t="shared" si="24"/>
        <v>0</v>
      </c>
      <c r="T39" s="1053">
        <v>0</v>
      </c>
      <c r="U39" s="1053">
        <f t="shared" si="25"/>
        <v>0</v>
      </c>
      <c r="V39" s="1053">
        <f t="shared" si="26"/>
        <v>0</v>
      </c>
      <c r="W39" s="1054">
        <f t="shared" si="27"/>
        <v>0</v>
      </c>
      <c r="X39" s="1054">
        <f t="shared" ref="X39:X75" si="28">M39+V39</f>
        <v>0</v>
      </c>
    </row>
    <row r="40" spans="1:24">
      <c r="A40" s="994">
        <v>34</v>
      </c>
      <c r="B40" s="995" t="s">
        <v>128</v>
      </c>
      <c r="C40" s="1196">
        <f>'[2]ALL-Reformatted'!V39</f>
        <v>0</v>
      </c>
      <c r="D40" s="1003">
        <f>'Table 3 Levels 1&amp;2'!BN42+'Table 3 Levels 1&amp;2'!BV42</f>
        <v>5959.062840731639</v>
      </c>
      <c r="E40" s="1102">
        <f t="shared" si="14"/>
        <v>0</v>
      </c>
      <c r="F40" s="1102">
        <f>'Table 4 Level 3'!N39</f>
        <v>644.11000000000013</v>
      </c>
      <c r="G40" s="1102">
        <f t="shared" si="15"/>
        <v>0</v>
      </c>
      <c r="H40" s="1059">
        <f t="shared" si="16"/>
        <v>0</v>
      </c>
      <c r="I40" s="1112">
        <f t="shared" si="17"/>
        <v>0</v>
      </c>
      <c r="J40" s="1059">
        <f t="shared" si="18"/>
        <v>0</v>
      </c>
      <c r="K40" s="1059">
        <v>0</v>
      </c>
      <c r="L40" s="1059">
        <f t="shared" si="19"/>
        <v>0</v>
      </c>
      <c r="M40" s="1059">
        <f t="shared" si="20"/>
        <v>0</v>
      </c>
      <c r="N40" s="1080"/>
      <c r="O40" s="1059">
        <f t="shared" si="21"/>
        <v>0</v>
      </c>
      <c r="P40" s="1051">
        <f>'[18]FY2012-13 Final'!K41</f>
        <v>2758</v>
      </c>
      <c r="Q40" s="1053">
        <f t="shared" si="22"/>
        <v>0</v>
      </c>
      <c r="R40" s="1118">
        <f t="shared" si="23"/>
        <v>0</v>
      </c>
      <c r="S40" s="1053">
        <f t="shared" si="24"/>
        <v>0</v>
      </c>
      <c r="T40" s="1053">
        <v>0</v>
      </c>
      <c r="U40" s="1053">
        <f t="shared" si="25"/>
        <v>0</v>
      </c>
      <c r="V40" s="1053">
        <f t="shared" si="26"/>
        <v>0</v>
      </c>
      <c r="W40" s="1054">
        <f t="shared" si="27"/>
        <v>0</v>
      </c>
      <c r="X40" s="1054">
        <f t="shared" si="28"/>
        <v>0</v>
      </c>
    </row>
    <row r="41" spans="1:24">
      <c r="A41" s="998">
        <v>35</v>
      </c>
      <c r="B41" s="999" t="s">
        <v>129</v>
      </c>
      <c r="C41" s="1197">
        <f>'[2]ALL-Reformatted'!V40</f>
        <v>0</v>
      </c>
      <c r="D41" s="1005">
        <f>'Table 3 Levels 1&amp;2'!BN43+'Table 3 Levels 1&amp;2'!BV43</f>
        <v>4571.947611490059</v>
      </c>
      <c r="E41" s="1103">
        <f t="shared" si="14"/>
        <v>0</v>
      </c>
      <c r="F41" s="1103">
        <f>'Table 4 Level 3'!N40</f>
        <v>537.96</v>
      </c>
      <c r="G41" s="1103">
        <f t="shared" si="15"/>
        <v>0</v>
      </c>
      <c r="H41" s="1060">
        <f t="shared" si="16"/>
        <v>0</v>
      </c>
      <c r="I41" s="1113">
        <f t="shared" si="17"/>
        <v>0</v>
      </c>
      <c r="J41" s="1060">
        <f t="shared" si="18"/>
        <v>0</v>
      </c>
      <c r="K41" s="1060">
        <v>0</v>
      </c>
      <c r="L41" s="1060">
        <f t="shared" si="19"/>
        <v>0</v>
      </c>
      <c r="M41" s="1060">
        <f t="shared" si="20"/>
        <v>0</v>
      </c>
      <c r="N41" s="1081"/>
      <c r="O41" s="1060">
        <f t="shared" si="21"/>
        <v>0</v>
      </c>
      <c r="P41" s="1056">
        <f>'[18]FY2012-13 Final'!K42</f>
        <v>3603</v>
      </c>
      <c r="Q41" s="1057">
        <f t="shared" si="22"/>
        <v>0</v>
      </c>
      <c r="R41" s="1119">
        <f t="shared" si="23"/>
        <v>0</v>
      </c>
      <c r="S41" s="1057">
        <f t="shared" si="24"/>
        <v>0</v>
      </c>
      <c r="T41" s="1057">
        <v>0</v>
      </c>
      <c r="U41" s="1057">
        <f t="shared" si="25"/>
        <v>0</v>
      </c>
      <c r="V41" s="1057">
        <f t="shared" si="26"/>
        <v>0</v>
      </c>
      <c r="W41" s="1058">
        <f t="shared" si="27"/>
        <v>0</v>
      </c>
      <c r="X41" s="1058">
        <f t="shared" si="28"/>
        <v>0</v>
      </c>
    </row>
    <row r="42" spans="1:24">
      <c r="A42" s="987">
        <v>36</v>
      </c>
      <c r="B42" s="988" t="s">
        <v>130</v>
      </c>
      <c r="C42" s="1198">
        <f>'[2]ALL-Reformatted'!V41</f>
        <v>146</v>
      </c>
      <c r="D42" s="1007">
        <f>'Table 3 Levels 1&amp;2'!BN44+'Table 3 Levels 1&amp;2'!BV44</f>
        <v>3666.4136012725312</v>
      </c>
      <c r="E42" s="1104">
        <f t="shared" si="14"/>
        <v>535296.38578578958</v>
      </c>
      <c r="F42" s="1104">
        <f>'Table 5B1_RSD_Orleans'!F78</f>
        <v>746.0335616438357</v>
      </c>
      <c r="G42" s="1104">
        <f t="shared" si="15"/>
        <v>108920.90000000001</v>
      </c>
      <c r="H42" s="1061">
        <f t="shared" si="16"/>
        <v>644217.2857857896</v>
      </c>
      <c r="I42" s="1114">
        <f t="shared" si="17"/>
        <v>-1610.543214464474</v>
      </c>
      <c r="J42" s="1061">
        <f t="shared" si="18"/>
        <v>642606.74257132516</v>
      </c>
      <c r="K42" s="1061">
        <v>0</v>
      </c>
      <c r="L42" s="1061">
        <f t="shared" si="19"/>
        <v>642606.74257132516</v>
      </c>
      <c r="M42" s="1061">
        <f t="shared" si="20"/>
        <v>53550.561880943766</v>
      </c>
      <c r="N42" s="1082">
        <f>'Table 4A Level 4'!I113</f>
        <v>360000</v>
      </c>
      <c r="O42" s="1061">
        <f t="shared" si="21"/>
        <v>1002606.7425713252</v>
      </c>
      <c r="P42" s="1051">
        <f>'[18]FY2012-13 Final'!K43</f>
        <v>4601</v>
      </c>
      <c r="Q42" s="992">
        <f t="shared" si="22"/>
        <v>671746</v>
      </c>
      <c r="R42" s="1117">
        <f t="shared" si="23"/>
        <v>-1679.365</v>
      </c>
      <c r="S42" s="992">
        <f t="shared" si="24"/>
        <v>670066.63500000001</v>
      </c>
      <c r="T42" s="992">
        <v>0</v>
      </c>
      <c r="U42" s="992">
        <f t="shared" si="25"/>
        <v>670066.63500000001</v>
      </c>
      <c r="V42" s="992">
        <f t="shared" si="26"/>
        <v>55838.886250000003</v>
      </c>
      <c r="W42" s="993">
        <f t="shared" si="27"/>
        <v>1672673.3775713253</v>
      </c>
      <c r="X42" s="993">
        <f t="shared" si="28"/>
        <v>109389.44813094377</v>
      </c>
    </row>
    <row r="43" spans="1:24">
      <c r="A43" s="994">
        <v>37</v>
      </c>
      <c r="B43" s="995" t="s">
        <v>131</v>
      </c>
      <c r="C43" s="1196">
        <f>'[2]ALL-Reformatted'!V42</f>
        <v>0</v>
      </c>
      <c r="D43" s="1003">
        <f>'Table 3 Levels 1&amp;2'!BN45+'Table 3 Levels 1&amp;2'!BV45</f>
        <v>5484.8089042263191</v>
      </c>
      <c r="E43" s="1102">
        <f t="shared" si="14"/>
        <v>0</v>
      </c>
      <c r="F43" s="1102">
        <f>'Table 4 Level 3'!N42</f>
        <v>653.61</v>
      </c>
      <c r="G43" s="1102">
        <f t="shared" si="15"/>
        <v>0</v>
      </c>
      <c r="H43" s="1059">
        <f t="shared" si="16"/>
        <v>0</v>
      </c>
      <c r="I43" s="1112">
        <f t="shared" si="17"/>
        <v>0</v>
      </c>
      <c r="J43" s="1059">
        <f t="shared" si="18"/>
        <v>0</v>
      </c>
      <c r="K43" s="1059">
        <v>0</v>
      </c>
      <c r="L43" s="1059">
        <f t="shared" si="19"/>
        <v>0</v>
      </c>
      <c r="M43" s="1059">
        <f t="shared" si="20"/>
        <v>0</v>
      </c>
      <c r="N43" s="1080"/>
      <c r="O43" s="1059">
        <f t="shared" si="21"/>
        <v>0</v>
      </c>
      <c r="P43" s="1051">
        <f>'[18]FY2012-13 Final'!K44</f>
        <v>3099</v>
      </c>
      <c r="Q43" s="1053">
        <f t="shared" si="22"/>
        <v>0</v>
      </c>
      <c r="R43" s="1118">
        <f t="shared" si="23"/>
        <v>0</v>
      </c>
      <c r="S43" s="1053">
        <f t="shared" si="24"/>
        <v>0</v>
      </c>
      <c r="T43" s="1053">
        <v>0</v>
      </c>
      <c r="U43" s="1053">
        <f t="shared" si="25"/>
        <v>0</v>
      </c>
      <c r="V43" s="1053">
        <f t="shared" si="26"/>
        <v>0</v>
      </c>
      <c r="W43" s="1054">
        <f t="shared" si="27"/>
        <v>0</v>
      </c>
      <c r="X43" s="1054">
        <f t="shared" si="28"/>
        <v>0</v>
      </c>
    </row>
    <row r="44" spans="1:24">
      <c r="A44" s="994">
        <v>38</v>
      </c>
      <c r="B44" s="995" t="s">
        <v>132</v>
      </c>
      <c r="C44" s="1196">
        <f>'[2]ALL-Reformatted'!V43</f>
        <v>3</v>
      </c>
      <c r="D44" s="1003">
        <f>'Table 3 Levels 1&amp;2'!BN46+'Table 3 Levels 1&amp;2'!BV46</f>
        <v>2078.5917829727841</v>
      </c>
      <c r="E44" s="1102">
        <f t="shared" si="14"/>
        <v>6235.7753489183524</v>
      </c>
      <c r="F44" s="1102">
        <f>'Table 4 Level 3'!N43</f>
        <v>829.92000000000007</v>
      </c>
      <c r="G44" s="1102">
        <f t="shared" si="15"/>
        <v>2489.7600000000002</v>
      </c>
      <c r="H44" s="1059">
        <f t="shared" si="16"/>
        <v>8725.5353489183526</v>
      </c>
      <c r="I44" s="1112">
        <f t="shared" si="17"/>
        <v>-21.813838372295884</v>
      </c>
      <c r="J44" s="1059">
        <f t="shared" si="18"/>
        <v>8703.7215105460564</v>
      </c>
      <c r="K44" s="1059">
        <v>0</v>
      </c>
      <c r="L44" s="1059">
        <f t="shared" si="19"/>
        <v>8703.7215105460564</v>
      </c>
      <c r="M44" s="1059">
        <f t="shared" si="20"/>
        <v>725.31012587883799</v>
      </c>
      <c r="N44" s="1080"/>
      <c r="O44" s="1059">
        <f t="shared" si="21"/>
        <v>8703.7215105460564</v>
      </c>
      <c r="P44" s="1051">
        <f>'[18]FY2012-13 Final'!K45</f>
        <v>9674</v>
      </c>
      <c r="Q44" s="1053">
        <f t="shared" si="22"/>
        <v>29022</v>
      </c>
      <c r="R44" s="1118">
        <f t="shared" si="23"/>
        <v>-72.555000000000007</v>
      </c>
      <c r="S44" s="1053">
        <f t="shared" si="24"/>
        <v>28949.445</v>
      </c>
      <c r="T44" s="1053">
        <v>0</v>
      </c>
      <c r="U44" s="1053">
        <f t="shared" si="25"/>
        <v>28949.445</v>
      </c>
      <c r="V44" s="1053">
        <f t="shared" si="26"/>
        <v>2412.4537500000001</v>
      </c>
      <c r="W44" s="1054">
        <f t="shared" si="27"/>
        <v>37653.166510546056</v>
      </c>
      <c r="X44" s="1054">
        <f t="shared" si="28"/>
        <v>3137.763875878838</v>
      </c>
    </row>
    <row r="45" spans="1:24">
      <c r="A45" s="994">
        <v>39</v>
      </c>
      <c r="B45" s="995" t="s">
        <v>133</v>
      </c>
      <c r="C45" s="1196">
        <f>'[2]ALL-Reformatted'!V44</f>
        <v>0</v>
      </c>
      <c r="D45" s="1003">
        <f>'Table 3 Levels 1&amp;2'!BN47+'Table 3 Levels 1&amp;2'!BV47</f>
        <v>3622.4878999042335</v>
      </c>
      <c r="E45" s="1102">
        <f t="shared" si="14"/>
        <v>0</v>
      </c>
      <c r="F45" s="1102">
        <f>'Table 5B2_RSD_LA'!F21</f>
        <v>779.65573042776441</v>
      </c>
      <c r="G45" s="1102">
        <f t="shared" si="15"/>
        <v>0</v>
      </c>
      <c r="H45" s="1059">
        <f t="shared" si="16"/>
        <v>0</v>
      </c>
      <c r="I45" s="1112">
        <f t="shared" si="17"/>
        <v>0</v>
      </c>
      <c r="J45" s="1059">
        <f t="shared" si="18"/>
        <v>0</v>
      </c>
      <c r="K45" s="1059">
        <v>0</v>
      </c>
      <c r="L45" s="1059">
        <f t="shared" si="19"/>
        <v>0</v>
      </c>
      <c r="M45" s="1059">
        <f t="shared" si="20"/>
        <v>0</v>
      </c>
      <c r="N45" s="1080"/>
      <c r="O45" s="1059">
        <f t="shared" si="21"/>
        <v>0</v>
      </c>
      <c r="P45" s="1051">
        <f>'[18]FY2012-13 Final'!K46</f>
        <v>4277</v>
      </c>
      <c r="Q45" s="1053">
        <f t="shared" si="22"/>
        <v>0</v>
      </c>
      <c r="R45" s="1118">
        <f t="shared" si="23"/>
        <v>0</v>
      </c>
      <c r="S45" s="1053">
        <f t="shared" si="24"/>
        <v>0</v>
      </c>
      <c r="T45" s="1053">
        <v>0</v>
      </c>
      <c r="U45" s="1053">
        <f t="shared" si="25"/>
        <v>0</v>
      </c>
      <c r="V45" s="1053">
        <f t="shared" si="26"/>
        <v>0</v>
      </c>
      <c r="W45" s="1054">
        <f t="shared" si="27"/>
        <v>0</v>
      </c>
      <c r="X45" s="1054">
        <f t="shared" si="28"/>
        <v>0</v>
      </c>
    </row>
    <row r="46" spans="1:24">
      <c r="A46" s="998">
        <v>40</v>
      </c>
      <c r="B46" s="999" t="s">
        <v>134</v>
      </c>
      <c r="C46" s="1197">
        <f>'[2]ALL-Reformatted'!V45</f>
        <v>0</v>
      </c>
      <c r="D46" s="1005">
        <f>'Table 3 Levels 1&amp;2'!BN48+'Table 3 Levels 1&amp;2'!BV48</f>
        <v>4885.6387343180086</v>
      </c>
      <c r="E46" s="1103">
        <f t="shared" si="14"/>
        <v>0</v>
      </c>
      <c r="F46" s="1103">
        <f>'Table 4 Level 3'!N45</f>
        <v>700.2700000000001</v>
      </c>
      <c r="G46" s="1103">
        <f t="shared" si="15"/>
        <v>0</v>
      </c>
      <c r="H46" s="1060">
        <f t="shared" si="16"/>
        <v>0</v>
      </c>
      <c r="I46" s="1113">
        <f t="shared" si="17"/>
        <v>0</v>
      </c>
      <c r="J46" s="1060">
        <f t="shared" si="18"/>
        <v>0</v>
      </c>
      <c r="K46" s="1060">
        <v>0</v>
      </c>
      <c r="L46" s="1060">
        <f t="shared" si="19"/>
        <v>0</v>
      </c>
      <c r="M46" s="1060">
        <f t="shared" si="20"/>
        <v>0</v>
      </c>
      <c r="N46" s="1081"/>
      <c r="O46" s="1060">
        <f t="shared" si="21"/>
        <v>0</v>
      </c>
      <c r="P46" s="1056">
        <f>'[18]FY2012-13 Final'!K47</f>
        <v>2921</v>
      </c>
      <c r="Q46" s="1057">
        <f t="shared" si="22"/>
        <v>0</v>
      </c>
      <c r="R46" s="1119">
        <f t="shared" si="23"/>
        <v>0</v>
      </c>
      <c r="S46" s="1057">
        <f t="shared" si="24"/>
        <v>0</v>
      </c>
      <c r="T46" s="1057">
        <v>0</v>
      </c>
      <c r="U46" s="1057">
        <f t="shared" si="25"/>
        <v>0</v>
      </c>
      <c r="V46" s="1057">
        <f t="shared" si="26"/>
        <v>0</v>
      </c>
      <c r="W46" s="1058">
        <f t="shared" si="27"/>
        <v>0</v>
      </c>
      <c r="X46" s="1058">
        <f t="shared" si="28"/>
        <v>0</v>
      </c>
    </row>
    <row r="47" spans="1:24">
      <c r="A47" s="987">
        <v>41</v>
      </c>
      <c r="B47" s="988" t="s">
        <v>135</v>
      </c>
      <c r="C47" s="1198">
        <f>'[2]ALL-Reformatted'!V46</f>
        <v>0</v>
      </c>
      <c r="D47" s="1007">
        <f>'Table 3 Levels 1&amp;2'!BN49+'Table 3 Levels 1&amp;2'!BV49</f>
        <v>1602.0398121899364</v>
      </c>
      <c r="E47" s="1104">
        <f t="shared" si="14"/>
        <v>0</v>
      </c>
      <c r="F47" s="1104">
        <f>'Table 4 Level 3'!N46</f>
        <v>886.22</v>
      </c>
      <c r="G47" s="1104">
        <f t="shared" si="15"/>
        <v>0</v>
      </c>
      <c r="H47" s="1061">
        <f t="shared" si="16"/>
        <v>0</v>
      </c>
      <c r="I47" s="1114">
        <f t="shared" si="17"/>
        <v>0</v>
      </c>
      <c r="J47" s="1061">
        <f t="shared" si="18"/>
        <v>0</v>
      </c>
      <c r="K47" s="1061">
        <v>0</v>
      </c>
      <c r="L47" s="1061">
        <f t="shared" si="19"/>
        <v>0</v>
      </c>
      <c r="M47" s="1061">
        <f t="shared" si="20"/>
        <v>0</v>
      </c>
      <c r="N47" s="1082"/>
      <c r="O47" s="1061">
        <f t="shared" si="21"/>
        <v>0</v>
      </c>
      <c r="P47" s="1051">
        <f>'[18]FY2012-13 Final'!K48</f>
        <v>12026</v>
      </c>
      <c r="Q47" s="992">
        <f t="shared" si="22"/>
        <v>0</v>
      </c>
      <c r="R47" s="1117">
        <f t="shared" si="23"/>
        <v>0</v>
      </c>
      <c r="S47" s="992">
        <f t="shared" si="24"/>
        <v>0</v>
      </c>
      <c r="T47" s="992">
        <v>0</v>
      </c>
      <c r="U47" s="992">
        <f t="shared" si="25"/>
        <v>0</v>
      </c>
      <c r="V47" s="992">
        <f t="shared" si="26"/>
        <v>0</v>
      </c>
      <c r="W47" s="993">
        <f t="shared" si="27"/>
        <v>0</v>
      </c>
      <c r="X47" s="993">
        <f t="shared" si="28"/>
        <v>0</v>
      </c>
    </row>
    <row r="48" spans="1:24">
      <c r="A48" s="994">
        <v>42</v>
      </c>
      <c r="B48" s="995" t="s">
        <v>136</v>
      </c>
      <c r="C48" s="1196">
        <f>'[2]ALL-Reformatted'!V47</f>
        <v>0</v>
      </c>
      <c r="D48" s="1003">
        <f>'Table 3 Levels 1&amp;2'!BN50+'Table 3 Levels 1&amp;2'!BV50</f>
        <v>5098.6172346404755</v>
      </c>
      <c r="E48" s="1102">
        <f t="shared" si="14"/>
        <v>0</v>
      </c>
      <c r="F48" s="1102">
        <f>'Table 4 Level 3'!N47</f>
        <v>534.28</v>
      </c>
      <c r="G48" s="1102">
        <f t="shared" si="15"/>
        <v>0</v>
      </c>
      <c r="H48" s="1059">
        <f t="shared" si="16"/>
        <v>0</v>
      </c>
      <c r="I48" s="1112">
        <f t="shared" si="17"/>
        <v>0</v>
      </c>
      <c r="J48" s="1059">
        <f t="shared" si="18"/>
        <v>0</v>
      </c>
      <c r="K48" s="1059">
        <v>0</v>
      </c>
      <c r="L48" s="1059">
        <f t="shared" si="19"/>
        <v>0</v>
      </c>
      <c r="M48" s="1059">
        <f t="shared" si="20"/>
        <v>0</v>
      </c>
      <c r="N48" s="1080"/>
      <c r="O48" s="1059">
        <f t="shared" si="21"/>
        <v>0</v>
      </c>
      <c r="P48" s="1051">
        <f>'[18]FY2012-13 Final'!K49</f>
        <v>2554</v>
      </c>
      <c r="Q48" s="1053">
        <f t="shared" si="22"/>
        <v>0</v>
      </c>
      <c r="R48" s="1118">
        <f t="shared" si="23"/>
        <v>0</v>
      </c>
      <c r="S48" s="1053">
        <f t="shared" si="24"/>
        <v>0</v>
      </c>
      <c r="T48" s="1053">
        <v>0</v>
      </c>
      <c r="U48" s="1053">
        <f t="shared" si="25"/>
        <v>0</v>
      </c>
      <c r="V48" s="1053">
        <f t="shared" si="26"/>
        <v>0</v>
      </c>
      <c r="W48" s="1054">
        <f t="shared" si="27"/>
        <v>0</v>
      </c>
      <c r="X48" s="1054">
        <f t="shared" si="28"/>
        <v>0</v>
      </c>
    </row>
    <row r="49" spans="1:24">
      <c r="A49" s="994">
        <v>43</v>
      </c>
      <c r="B49" s="995" t="s">
        <v>137</v>
      </c>
      <c r="C49" s="1196">
        <f>'[2]ALL-Reformatted'!V48</f>
        <v>0</v>
      </c>
      <c r="D49" s="1003">
        <f>'Table 3 Levels 1&amp;2'!BN51+'Table 3 Levels 1&amp;2'!BV51</f>
        <v>4701.3362575004667</v>
      </c>
      <c r="E49" s="1102">
        <f t="shared" si="14"/>
        <v>0</v>
      </c>
      <c r="F49" s="1102">
        <f>'Table 4 Level 3'!N48</f>
        <v>574.6099999999999</v>
      </c>
      <c r="G49" s="1102">
        <f t="shared" si="15"/>
        <v>0</v>
      </c>
      <c r="H49" s="1059">
        <f t="shared" si="16"/>
        <v>0</v>
      </c>
      <c r="I49" s="1112">
        <f t="shared" si="17"/>
        <v>0</v>
      </c>
      <c r="J49" s="1059">
        <f t="shared" si="18"/>
        <v>0</v>
      </c>
      <c r="K49" s="1059">
        <v>0</v>
      </c>
      <c r="L49" s="1059">
        <f t="shared" si="19"/>
        <v>0</v>
      </c>
      <c r="M49" s="1059">
        <f t="shared" si="20"/>
        <v>0</v>
      </c>
      <c r="N49" s="1080"/>
      <c r="O49" s="1059">
        <f t="shared" si="21"/>
        <v>0</v>
      </c>
      <c r="P49" s="1051">
        <f>'[18]FY2012-13 Final'!K50</f>
        <v>5265</v>
      </c>
      <c r="Q49" s="1053">
        <f t="shared" si="22"/>
        <v>0</v>
      </c>
      <c r="R49" s="1118">
        <f t="shared" si="23"/>
        <v>0</v>
      </c>
      <c r="S49" s="1053">
        <f t="shared" si="24"/>
        <v>0</v>
      </c>
      <c r="T49" s="1053">
        <v>0</v>
      </c>
      <c r="U49" s="1053">
        <f t="shared" si="25"/>
        <v>0</v>
      </c>
      <c r="V49" s="1053">
        <f t="shared" si="26"/>
        <v>0</v>
      </c>
      <c r="W49" s="1054">
        <f t="shared" si="27"/>
        <v>0</v>
      </c>
      <c r="X49" s="1054">
        <f t="shared" si="28"/>
        <v>0</v>
      </c>
    </row>
    <row r="50" spans="1:24">
      <c r="A50" s="994">
        <v>44</v>
      </c>
      <c r="B50" s="995" t="s">
        <v>138</v>
      </c>
      <c r="C50" s="1196">
        <f>'[2]ALL-Reformatted'!V49</f>
        <v>2</v>
      </c>
      <c r="D50" s="1003">
        <f>'Table 3 Levels 1&amp;2'!BN52+'Table 3 Levels 1&amp;2'!BV52</f>
        <v>4649.5559521248724</v>
      </c>
      <c r="E50" s="1102">
        <f t="shared" si="14"/>
        <v>9299.1119042497448</v>
      </c>
      <c r="F50" s="1102">
        <f>'Table 4 Level 3'!N49</f>
        <v>663.16000000000008</v>
      </c>
      <c r="G50" s="1102">
        <f t="shared" si="15"/>
        <v>1326.3200000000002</v>
      </c>
      <c r="H50" s="1059">
        <f t="shared" si="16"/>
        <v>10625.431904249745</v>
      </c>
      <c r="I50" s="1112">
        <f t="shared" si="17"/>
        <v>-26.563579760624361</v>
      </c>
      <c r="J50" s="1059">
        <f t="shared" si="18"/>
        <v>10598.86832448912</v>
      </c>
      <c r="K50" s="1059">
        <v>0</v>
      </c>
      <c r="L50" s="1059">
        <f t="shared" si="19"/>
        <v>10598.86832448912</v>
      </c>
      <c r="M50" s="1059">
        <f t="shared" si="20"/>
        <v>883.23902704075999</v>
      </c>
      <c r="N50" s="1080"/>
      <c r="O50" s="1059">
        <f t="shared" si="21"/>
        <v>10598.86832448912</v>
      </c>
      <c r="P50" s="1051">
        <f>'[18]FY2012-13 Final'!K51</f>
        <v>4109</v>
      </c>
      <c r="Q50" s="1053">
        <f t="shared" si="22"/>
        <v>8218</v>
      </c>
      <c r="R50" s="1118">
        <f t="shared" si="23"/>
        <v>-20.545000000000002</v>
      </c>
      <c r="S50" s="1053">
        <f t="shared" si="24"/>
        <v>8197.4549999999999</v>
      </c>
      <c r="T50" s="1053">
        <v>0</v>
      </c>
      <c r="U50" s="1053">
        <f t="shared" si="25"/>
        <v>8197.4549999999999</v>
      </c>
      <c r="V50" s="1053">
        <f t="shared" si="26"/>
        <v>683.12125000000003</v>
      </c>
      <c r="W50" s="1054">
        <f t="shared" si="27"/>
        <v>18796.32332448912</v>
      </c>
      <c r="X50" s="1054">
        <f t="shared" si="28"/>
        <v>1566.3602770407601</v>
      </c>
    </row>
    <row r="51" spans="1:24">
      <c r="A51" s="998">
        <v>45</v>
      </c>
      <c r="B51" s="999" t="s">
        <v>139</v>
      </c>
      <c r="C51" s="1197">
        <f>'[2]ALL-Reformatted'!V50</f>
        <v>1</v>
      </c>
      <c r="D51" s="1005">
        <f>'Table 3 Levels 1&amp;2'!BN53+'Table 3 Levels 1&amp;2'!BV53</f>
        <v>2159.257884231537</v>
      </c>
      <c r="E51" s="1103">
        <f t="shared" si="14"/>
        <v>2159.257884231537</v>
      </c>
      <c r="F51" s="1103">
        <f>'Table 4 Level 3'!N50</f>
        <v>753.96000000000015</v>
      </c>
      <c r="G51" s="1103">
        <f t="shared" si="15"/>
        <v>753.96000000000015</v>
      </c>
      <c r="H51" s="1060">
        <f t="shared" si="16"/>
        <v>2913.217884231537</v>
      </c>
      <c r="I51" s="1113">
        <f t="shared" si="17"/>
        <v>-7.2830447105788423</v>
      </c>
      <c r="J51" s="1060">
        <f t="shared" si="18"/>
        <v>2905.9348395209581</v>
      </c>
      <c r="K51" s="1060">
        <v>0</v>
      </c>
      <c r="L51" s="1060">
        <f t="shared" si="19"/>
        <v>2905.9348395209581</v>
      </c>
      <c r="M51" s="1060">
        <f t="shared" si="20"/>
        <v>242.1612366267465</v>
      </c>
      <c r="N51" s="1081"/>
      <c r="O51" s="1060">
        <f t="shared" si="21"/>
        <v>2905.9348395209581</v>
      </c>
      <c r="P51" s="1056">
        <f>'[18]FY2012-13 Final'!K52</f>
        <v>12427</v>
      </c>
      <c r="Q51" s="1057">
        <f t="shared" si="22"/>
        <v>12427</v>
      </c>
      <c r="R51" s="1119">
        <f t="shared" si="23"/>
        <v>-31.067499999999999</v>
      </c>
      <c r="S51" s="1057">
        <f t="shared" si="24"/>
        <v>12395.932500000001</v>
      </c>
      <c r="T51" s="1057">
        <v>0</v>
      </c>
      <c r="U51" s="1057">
        <f t="shared" si="25"/>
        <v>12395.932500000001</v>
      </c>
      <c r="V51" s="1057">
        <f t="shared" si="26"/>
        <v>1032.994375</v>
      </c>
      <c r="W51" s="1058">
        <f t="shared" si="27"/>
        <v>15301.867339520959</v>
      </c>
      <c r="X51" s="1058">
        <f t="shared" si="28"/>
        <v>1275.1556116267466</v>
      </c>
    </row>
    <row r="52" spans="1:24">
      <c r="A52" s="987">
        <v>46</v>
      </c>
      <c r="B52" s="988" t="s">
        <v>140</v>
      </c>
      <c r="C52" s="1198">
        <f>'[2]ALL-Reformatted'!V51</f>
        <v>0</v>
      </c>
      <c r="D52" s="1007">
        <f>'Table 3 Levels 1&amp;2'!BN54+'Table 3 Levels 1&amp;2'!BV54</f>
        <v>5578.7258135108641</v>
      </c>
      <c r="E52" s="1104">
        <f t="shared" si="14"/>
        <v>0</v>
      </c>
      <c r="F52" s="1104">
        <f>'Table 4 Level 3'!N51</f>
        <v>728.06</v>
      </c>
      <c r="G52" s="1104">
        <f t="shared" si="15"/>
        <v>0</v>
      </c>
      <c r="H52" s="1061">
        <f t="shared" si="16"/>
        <v>0</v>
      </c>
      <c r="I52" s="1114">
        <f t="shared" si="17"/>
        <v>0</v>
      </c>
      <c r="J52" s="1061">
        <f t="shared" si="18"/>
        <v>0</v>
      </c>
      <c r="K52" s="1061">
        <v>0</v>
      </c>
      <c r="L52" s="1061">
        <f t="shared" si="19"/>
        <v>0</v>
      </c>
      <c r="M52" s="1061">
        <f t="shared" si="20"/>
        <v>0</v>
      </c>
      <c r="N52" s="1082"/>
      <c r="O52" s="1061">
        <f t="shared" si="21"/>
        <v>0</v>
      </c>
      <c r="P52" s="1051">
        <f>'[18]FY2012-13 Final'!K53</f>
        <v>1968</v>
      </c>
      <c r="Q52" s="992">
        <f t="shared" si="22"/>
        <v>0</v>
      </c>
      <c r="R52" s="1117">
        <f t="shared" si="23"/>
        <v>0</v>
      </c>
      <c r="S52" s="992">
        <f t="shared" si="24"/>
        <v>0</v>
      </c>
      <c r="T52" s="992">
        <v>0</v>
      </c>
      <c r="U52" s="992">
        <f t="shared" si="25"/>
        <v>0</v>
      </c>
      <c r="V52" s="992">
        <f t="shared" si="26"/>
        <v>0</v>
      </c>
      <c r="W52" s="993">
        <f t="shared" si="27"/>
        <v>0</v>
      </c>
      <c r="X52" s="993">
        <f t="shared" si="28"/>
        <v>0</v>
      </c>
    </row>
    <row r="53" spans="1:24">
      <c r="A53" s="994">
        <v>47</v>
      </c>
      <c r="B53" s="995" t="s">
        <v>141</v>
      </c>
      <c r="C53" s="1196">
        <f>'[2]ALL-Reformatted'!V52</f>
        <v>0</v>
      </c>
      <c r="D53" s="1003">
        <f>'Table 3 Levels 1&amp;2'!BN55+'Table 3 Levels 1&amp;2'!BV55</f>
        <v>2709.058014721415</v>
      </c>
      <c r="E53" s="1102">
        <f t="shared" si="14"/>
        <v>0</v>
      </c>
      <c r="F53" s="1102">
        <f>'Table 4 Level 3'!N52</f>
        <v>910.76</v>
      </c>
      <c r="G53" s="1102">
        <f t="shared" si="15"/>
        <v>0</v>
      </c>
      <c r="H53" s="1059">
        <f t="shared" si="16"/>
        <v>0</v>
      </c>
      <c r="I53" s="1112">
        <f t="shared" si="17"/>
        <v>0</v>
      </c>
      <c r="J53" s="1059">
        <f t="shared" si="18"/>
        <v>0</v>
      </c>
      <c r="K53" s="1059">
        <v>0</v>
      </c>
      <c r="L53" s="1059">
        <f t="shared" si="19"/>
        <v>0</v>
      </c>
      <c r="M53" s="1059">
        <f t="shared" si="20"/>
        <v>0</v>
      </c>
      <c r="N53" s="1080"/>
      <c r="O53" s="1059">
        <f t="shared" si="21"/>
        <v>0</v>
      </c>
      <c r="P53" s="1051">
        <f>'[18]FY2012-13 Final'!K54</f>
        <v>10049</v>
      </c>
      <c r="Q53" s="1053">
        <f t="shared" si="22"/>
        <v>0</v>
      </c>
      <c r="R53" s="1118">
        <f t="shared" si="23"/>
        <v>0</v>
      </c>
      <c r="S53" s="1053">
        <f t="shared" si="24"/>
        <v>0</v>
      </c>
      <c r="T53" s="1053">
        <v>0</v>
      </c>
      <c r="U53" s="1053">
        <f t="shared" si="25"/>
        <v>0</v>
      </c>
      <c r="V53" s="1053">
        <f t="shared" si="26"/>
        <v>0</v>
      </c>
      <c r="W53" s="1054">
        <f t="shared" si="27"/>
        <v>0</v>
      </c>
      <c r="X53" s="1054">
        <f t="shared" si="28"/>
        <v>0</v>
      </c>
    </row>
    <row r="54" spans="1:24">
      <c r="A54" s="994">
        <v>48</v>
      </c>
      <c r="B54" s="995" t="s">
        <v>202</v>
      </c>
      <c r="C54" s="1196">
        <f>'[2]ALL-Reformatted'!V53</f>
        <v>0</v>
      </c>
      <c r="D54" s="1003">
        <f>'Table 3 Levels 1&amp;2'!BN56+'Table 3 Levels 1&amp;2'!BV56</f>
        <v>4259.4136153508553</v>
      </c>
      <c r="E54" s="1102">
        <f t="shared" si="14"/>
        <v>0</v>
      </c>
      <c r="F54" s="1102">
        <f>'Table 4 Level 3'!N53</f>
        <v>871.07</v>
      </c>
      <c r="G54" s="1102">
        <f t="shared" si="15"/>
        <v>0</v>
      </c>
      <c r="H54" s="1059">
        <f t="shared" si="16"/>
        <v>0</v>
      </c>
      <c r="I54" s="1112">
        <f t="shared" si="17"/>
        <v>0</v>
      </c>
      <c r="J54" s="1059">
        <f t="shared" si="18"/>
        <v>0</v>
      </c>
      <c r="K54" s="1059">
        <v>0</v>
      </c>
      <c r="L54" s="1059">
        <f t="shared" si="19"/>
        <v>0</v>
      </c>
      <c r="M54" s="1059">
        <f t="shared" si="20"/>
        <v>0</v>
      </c>
      <c r="N54" s="1080"/>
      <c r="O54" s="1059">
        <f t="shared" si="21"/>
        <v>0</v>
      </c>
      <c r="P54" s="1051">
        <f>'[18]FY2012-13 Final'!K55</f>
        <v>5755</v>
      </c>
      <c r="Q54" s="1053">
        <f t="shared" si="22"/>
        <v>0</v>
      </c>
      <c r="R54" s="1118">
        <f t="shared" si="23"/>
        <v>0</v>
      </c>
      <c r="S54" s="1053">
        <f t="shared" si="24"/>
        <v>0</v>
      </c>
      <c r="T54" s="1053">
        <v>0</v>
      </c>
      <c r="U54" s="1053">
        <f t="shared" si="25"/>
        <v>0</v>
      </c>
      <c r="V54" s="1053">
        <f t="shared" si="26"/>
        <v>0</v>
      </c>
      <c r="W54" s="1054">
        <f t="shared" si="27"/>
        <v>0</v>
      </c>
      <c r="X54" s="1054">
        <f t="shared" si="28"/>
        <v>0</v>
      </c>
    </row>
    <row r="55" spans="1:24">
      <c r="A55" s="994">
        <v>49</v>
      </c>
      <c r="B55" s="995" t="s">
        <v>142</v>
      </c>
      <c r="C55" s="1196">
        <f>'[2]ALL-Reformatted'!V54</f>
        <v>0</v>
      </c>
      <c r="D55" s="1003">
        <f>'Table 3 Levels 1&amp;2'!BN57+'Table 3 Levels 1&amp;2'!BV57</f>
        <v>4790.0513947378495</v>
      </c>
      <c r="E55" s="1102">
        <f t="shared" si="14"/>
        <v>0</v>
      </c>
      <c r="F55" s="1102">
        <f>'Table 4 Level 3'!N54</f>
        <v>574.43999999999994</v>
      </c>
      <c r="G55" s="1102">
        <f t="shared" si="15"/>
        <v>0</v>
      </c>
      <c r="H55" s="1059">
        <f t="shared" si="16"/>
        <v>0</v>
      </c>
      <c r="I55" s="1112">
        <f t="shared" si="17"/>
        <v>0</v>
      </c>
      <c r="J55" s="1059">
        <f t="shared" si="18"/>
        <v>0</v>
      </c>
      <c r="K55" s="1059">
        <v>0</v>
      </c>
      <c r="L55" s="1059">
        <f t="shared" si="19"/>
        <v>0</v>
      </c>
      <c r="M55" s="1059">
        <f t="shared" si="20"/>
        <v>0</v>
      </c>
      <c r="N55" s="1080"/>
      <c r="O55" s="1059">
        <f t="shared" si="21"/>
        <v>0</v>
      </c>
      <c r="P55" s="1051">
        <f>'[18]FY2012-13 Final'!K56</f>
        <v>2335</v>
      </c>
      <c r="Q55" s="1053">
        <f t="shared" si="22"/>
        <v>0</v>
      </c>
      <c r="R55" s="1118">
        <f t="shared" si="23"/>
        <v>0</v>
      </c>
      <c r="S55" s="1053">
        <f t="shared" si="24"/>
        <v>0</v>
      </c>
      <c r="T55" s="1053">
        <v>0</v>
      </c>
      <c r="U55" s="1053">
        <f t="shared" si="25"/>
        <v>0</v>
      </c>
      <c r="V55" s="1053">
        <f t="shared" si="26"/>
        <v>0</v>
      </c>
      <c r="W55" s="1054">
        <f t="shared" si="27"/>
        <v>0</v>
      </c>
      <c r="X55" s="1054">
        <f t="shared" si="28"/>
        <v>0</v>
      </c>
    </row>
    <row r="56" spans="1:24">
      <c r="A56" s="998">
        <v>50</v>
      </c>
      <c r="B56" s="999" t="s">
        <v>143</v>
      </c>
      <c r="C56" s="1197">
        <f>'[2]ALL-Reformatted'!V55</f>
        <v>0</v>
      </c>
      <c r="D56" s="1005">
        <f>'Table 3 Levels 1&amp;2'!BN58+'Table 3 Levels 1&amp;2'!BV58</f>
        <v>4954.3375045905796</v>
      </c>
      <c r="E56" s="1103">
        <f t="shared" si="14"/>
        <v>0</v>
      </c>
      <c r="F56" s="1103">
        <f>'Table 4 Level 3'!N55</f>
        <v>634.46</v>
      </c>
      <c r="G56" s="1103">
        <f t="shared" si="15"/>
        <v>0</v>
      </c>
      <c r="H56" s="1060">
        <f t="shared" si="16"/>
        <v>0</v>
      </c>
      <c r="I56" s="1113">
        <f t="shared" si="17"/>
        <v>0</v>
      </c>
      <c r="J56" s="1060">
        <f t="shared" si="18"/>
        <v>0</v>
      </c>
      <c r="K56" s="1060">
        <v>0</v>
      </c>
      <c r="L56" s="1060">
        <f t="shared" si="19"/>
        <v>0</v>
      </c>
      <c r="M56" s="1060">
        <f t="shared" si="20"/>
        <v>0</v>
      </c>
      <c r="N56" s="1081"/>
      <c r="O56" s="1060">
        <f t="shared" si="21"/>
        <v>0</v>
      </c>
      <c r="P56" s="1056">
        <f>'[18]FY2012-13 Final'!K57</f>
        <v>2801</v>
      </c>
      <c r="Q56" s="1057">
        <f t="shared" si="22"/>
        <v>0</v>
      </c>
      <c r="R56" s="1119">
        <f t="shared" si="23"/>
        <v>0</v>
      </c>
      <c r="S56" s="1057">
        <f t="shared" si="24"/>
        <v>0</v>
      </c>
      <c r="T56" s="1057">
        <v>0</v>
      </c>
      <c r="U56" s="1057">
        <f t="shared" si="25"/>
        <v>0</v>
      </c>
      <c r="V56" s="1057">
        <f t="shared" si="26"/>
        <v>0</v>
      </c>
      <c r="W56" s="1058">
        <f t="shared" si="27"/>
        <v>0</v>
      </c>
      <c r="X56" s="1058">
        <f t="shared" si="28"/>
        <v>0</v>
      </c>
    </row>
    <row r="57" spans="1:24">
      <c r="A57" s="987">
        <v>51</v>
      </c>
      <c r="B57" s="988" t="s">
        <v>144</v>
      </c>
      <c r="C57" s="1198">
        <f>'[2]ALL-Reformatted'!V56</f>
        <v>0</v>
      </c>
      <c r="D57" s="1007">
        <f>'Table 3 Levels 1&amp;2'!BN59+'Table 3 Levels 1&amp;2'!BV59</f>
        <v>4290.3461727150461</v>
      </c>
      <c r="E57" s="1104">
        <f t="shared" si="14"/>
        <v>0</v>
      </c>
      <c r="F57" s="1104">
        <f>'Table 4 Level 3'!N56</f>
        <v>706.66</v>
      </c>
      <c r="G57" s="1104">
        <f t="shared" si="15"/>
        <v>0</v>
      </c>
      <c r="H57" s="1061">
        <f t="shared" si="16"/>
        <v>0</v>
      </c>
      <c r="I57" s="1114">
        <f t="shared" si="17"/>
        <v>0</v>
      </c>
      <c r="J57" s="1061">
        <f t="shared" si="18"/>
        <v>0</v>
      </c>
      <c r="K57" s="1061">
        <v>0</v>
      </c>
      <c r="L57" s="1061">
        <f t="shared" si="19"/>
        <v>0</v>
      </c>
      <c r="M57" s="1061">
        <f t="shared" si="20"/>
        <v>0</v>
      </c>
      <c r="N57" s="1082"/>
      <c r="O57" s="1061">
        <f t="shared" si="21"/>
        <v>0</v>
      </c>
      <c r="P57" s="1051">
        <f>'[18]FY2012-13 Final'!K58</f>
        <v>4053</v>
      </c>
      <c r="Q57" s="992">
        <f t="shared" si="22"/>
        <v>0</v>
      </c>
      <c r="R57" s="1117">
        <f t="shared" si="23"/>
        <v>0</v>
      </c>
      <c r="S57" s="992">
        <f t="shared" si="24"/>
        <v>0</v>
      </c>
      <c r="T57" s="992">
        <v>0</v>
      </c>
      <c r="U57" s="992">
        <f t="shared" si="25"/>
        <v>0</v>
      </c>
      <c r="V57" s="992">
        <f t="shared" si="26"/>
        <v>0</v>
      </c>
      <c r="W57" s="993">
        <f t="shared" si="27"/>
        <v>0</v>
      </c>
      <c r="X57" s="993">
        <f t="shared" si="28"/>
        <v>0</v>
      </c>
    </row>
    <row r="58" spans="1:24">
      <c r="A58" s="994">
        <v>52</v>
      </c>
      <c r="B58" s="995" t="s">
        <v>145</v>
      </c>
      <c r="C58" s="1196">
        <f>'[2]ALL-Reformatted'!V57</f>
        <v>1</v>
      </c>
      <c r="D58" s="1003">
        <f>'Table 3 Levels 1&amp;2'!BN60+'Table 3 Levels 1&amp;2'!BV60</f>
        <v>4988.6415961118701</v>
      </c>
      <c r="E58" s="1102">
        <f t="shared" si="14"/>
        <v>4988.6415961118701</v>
      </c>
      <c r="F58" s="1102">
        <f>'Table 4 Level 3'!N57</f>
        <v>658.37</v>
      </c>
      <c r="G58" s="1102">
        <f t="shared" si="15"/>
        <v>658.37</v>
      </c>
      <c r="H58" s="1059">
        <f t="shared" si="16"/>
        <v>5647.0115961118699</v>
      </c>
      <c r="I58" s="1112">
        <f t="shared" si="17"/>
        <v>-14.117528990279675</v>
      </c>
      <c r="J58" s="1059">
        <f t="shared" si="18"/>
        <v>5632.8940671215905</v>
      </c>
      <c r="K58" s="1059">
        <v>0</v>
      </c>
      <c r="L58" s="1059">
        <f t="shared" si="19"/>
        <v>5632.8940671215905</v>
      </c>
      <c r="M58" s="1059">
        <f t="shared" si="20"/>
        <v>469.40783892679923</v>
      </c>
      <c r="N58" s="1080"/>
      <c r="O58" s="1059">
        <f t="shared" si="21"/>
        <v>5632.8940671215905</v>
      </c>
      <c r="P58" s="1051">
        <f>'[18]FY2012-13 Final'!K59</f>
        <v>4886</v>
      </c>
      <c r="Q58" s="1053">
        <f t="shared" si="22"/>
        <v>4886</v>
      </c>
      <c r="R58" s="1118">
        <f t="shared" si="23"/>
        <v>-12.215</v>
      </c>
      <c r="S58" s="1053">
        <f t="shared" si="24"/>
        <v>4873.7849999999999</v>
      </c>
      <c r="T58" s="1053">
        <v>0</v>
      </c>
      <c r="U58" s="1053">
        <f t="shared" si="25"/>
        <v>4873.7849999999999</v>
      </c>
      <c r="V58" s="1053">
        <f t="shared" si="26"/>
        <v>406.14875000000001</v>
      </c>
      <c r="W58" s="1054">
        <f t="shared" si="27"/>
        <v>10506.679067121589</v>
      </c>
      <c r="X58" s="1054">
        <f t="shared" si="28"/>
        <v>875.55658892679924</v>
      </c>
    </row>
    <row r="59" spans="1:24">
      <c r="A59" s="994">
        <v>53</v>
      </c>
      <c r="B59" s="995" t="s">
        <v>146</v>
      </c>
      <c r="C59" s="1196">
        <f>'[2]ALL-Reformatted'!V58</f>
        <v>0</v>
      </c>
      <c r="D59" s="1003">
        <f>'Table 3 Levels 1&amp;2'!BN61+'Table 3 Levels 1&amp;2'!BV61</f>
        <v>4739.7077057162423</v>
      </c>
      <c r="E59" s="1102">
        <f t="shared" si="14"/>
        <v>0</v>
      </c>
      <c r="F59" s="1102">
        <f>'Table 4 Level 3'!N58</f>
        <v>689.74</v>
      </c>
      <c r="G59" s="1102">
        <f t="shared" si="15"/>
        <v>0</v>
      </c>
      <c r="H59" s="1059">
        <f t="shared" si="16"/>
        <v>0</v>
      </c>
      <c r="I59" s="1112">
        <f t="shared" si="17"/>
        <v>0</v>
      </c>
      <c r="J59" s="1059">
        <f t="shared" si="18"/>
        <v>0</v>
      </c>
      <c r="K59" s="1059">
        <v>0</v>
      </c>
      <c r="L59" s="1059">
        <f t="shared" si="19"/>
        <v>0</v>
      </c>
      <c r="M59" s="1059">
        <f t="shared" si="20"/>
        <v>0</v>
      </c>
      <c r="N59" s="1080"/>
      <c r="O59" s="1059">
        <f t="shared" si="21"/>
        <v>0</v>
      </c>
      <c r="P59" s="1051">
        <f>'[18]FY2012-13 Final'!K60</f>
        <v>1929</v>
      </c>
      <c r="Q59" s="1053">
        <f t="shared" si="22"/>
        <v>0</v>
      </c>
      <c r="R59" s="1118">
        <f t="shared" si="23"/>
        <v>0</v>
      </c>
      <c r="S59" s="1053">
        <f t="shared" si="24"/>
        <v>0</v>
      </c>
      <c r="T59" s="1053">
        <v>0</v>
      </c>
      <c r="U59" s="1053">
        <f t="shared" si="25"/>
        <v>0</v>
      </c>
      <c r="V59" s="1053">
        <f t="shared" si="26"/>
        <v>0</v>
      </c>
      <c r="W59" s="1054">
        <f t="shared" si="27"/>
        <v>0</v>
      </c>
      <c r="X59" s="1054">
        <f t="shared" si="28"/>
        <v>0</v>
      </c>
    </row>
    <row r="60" spans="1:24">
      <c r="A60" s="994">
        <v>54</v>
      </c>
      <c r="B60" s="995" t="s">
        <v>147</v>
      </c>
      <c r="C60" s="1196">
        <f>'[2]ALL-Reformatted'!V59</f>
        <v>0</v>
      </c>
      <c r="D60" s="1003">
        <f>'Table 3 Levels 1&amp;2'!BN62+'Table 3 Levels 1&amp;2'!BV62</f>
        <v>5907.1276437932838</v>
      </c>
      <c r="E60" s="1102">
        <f t="shared" si="14"/>
        <v>0</v>
      </c>
      <c r="F60" s="1102">
        <f>'Table 4 Level 3'!N59</f>
        <v>951.45</v>
      </c>
      <c r="G60" s="1102">
        <f t="shared" si="15"/>
        <v>0</v>
      </c>
      <c r="H60" s="1059">
        <f t="shared" si="16"/>
        <v>0</v>
      </c>
      <c r="I60" s="1112">
        <f t="shared" si="17"/>
        <v>0</v>
      </c>
      <c r="J60" s="1059">
        <f t="shared" si="18"/>
        <v>0</v>
      </c>
      <c r="K60" s="1059">
        <v>0</v>
      </c>
      <c r="L60" s="1059">
        <f t="shared" si="19"/>
        <v>0</v>
      </c>
      <c r="M60" s="1059">
        <f t="shared" si="20"/>
        <v>0</v>
      </c>
      <c r="N60" s="1080"/>
      <c r="O60" s="1059">
        <f t="shared" si="21"/>
        <v>0</v>
      </c>
      <c r="P60" s="1051">
        <f>'[18]FY2012-13 Final'!K61</f>
        <v>3382</v>
      </c>
      <c r="Q60" s="1053">
        <f t="shared" si="22"/>
        <v>0</v>
      </c>
      <c r="R60" s="1118">
        <f t="shared" si="23"/>
        <v>0</v>
      </c>
      <c r="S60" s="1053">
        <f t="shared" si="24"/>
        <v>0</v>
      </c>
      <c r="T60" s="1053">
        <v>0</v>
      </c>
      <c r="U60" s="1053">
        <f t="shared" si="25"/>
        <v>0</v>
      </c>
      <c r="V60" s="1053">
        <f t="shared" si="26"/>
        <v>0</v>
      </c>
      <c r="W60" s="1054">
        <f t="shared" si="27"/>
        <v>0</v>
      </c>
      <c r="X60" s="1054">
        <f t="shared" si="28"/>
        <v>0</v>
      </c>
    </row>
    <row r="61" spans="1:24">
      <c r="A61" s="998">
        <v>55</v>
      </c>
      <c r="B61" s="999" t="s">
        <v>148</v>
      </c>
      <c r="C61" s="1197">
        <f>'[2]ALL-Reformatted'!V60</f>
        <v>0</v>
      </c>
      <c r="D61" s="1005">
        <f>'Table 3 Levels 1&amp;2'!BN63+'Table 3 Levels 1&amp;2'!BV63</f>
        <v>4115.0954812679902</v>
      </c>
      <c r="E61" s="1103">
        <f t="shared" si="14"/>
        <v>0</v>
      </c>
      <c r="F61" s="1103">
        <f>'Table 4 Level 3'!N60</f>
        <v>795.14</v>
      </c>
      <c r="G61" s="1103">
        <f t="shared" si="15"/>
        <v>0</v>
      </c>
      <c r="H61" s="1060">
        <f t="shared" si="16"/>
        <v>0</v>
      </c>
      <c r="I61" s="1113">
        <f t="shared" si="17"/>
        <v>0</v>
      </c>
      <c r="J61" s="1060">
        <f t="shared" si="18"/>
        <v>0</v>
      </c>
      <c r="K61" s="1060">
        <v>0</v>
      </c>
      <c r="L61" s="1060">
        <f t="shared" si="19"/>
        <v>0</v>
      </c>
      <c r="M61" s="1060">
        <f t="shared" si="20"/>
        <v>0</v>
      </c>
      <c r="N61" s="1081"/>
      <c r="O61" s="1060">
        <f t="shared" si="21"/>
        <v>0</v>
      </c>
      <c r="P61" s="1056">
        <f>'[18]FY2012-13 Final'!K62</f>
        <v>3127</v>
      </c>
      <c r="Q61" s="1057">
        <f t="shared" si="22"/>
        <v>0</v>
      </c>
      <c r="R61" s="1119">
        <f t="shared" si="23"/>
        <v>0</v>
      </c>
      <c r="S61" s="1057">
        <f t="shared" si="24"/>
        <v>0</v>
      </c>
      <c r="T61" s="1057">
        <v>0</v>
      </c>
      <c r="U61" s="1057">
        <f t="shared" si="25"/>
        <v>0</v>
      </c>
      <c r="V61" s="1057">
        <f t="shared" si="26"/>
        <v>0</v>
      </c>
      <c r="W61" s="1058">
        <f t="shared" si="27"/>
        <v>0</v>
      </c>
      <c r="X61" s="1058">
        <f t="shared" si="28"/>
        <v>0</v>
      </c>
    </row>
    <row r="62" spans="1:24">
      <c r="A62" s="987">
        <v>56</v>
      </c>
      <c r="B62" s="988" t="s">
        <v>149</v>
      </c>
      <c r="C62" s="1198">
        <f>'[2]ALL-Reformatted'!V61</f>
        <v>0</v>
      </c>
      <c r="D62" s="1007">
        <f>'Table 3 Levels 1&amp;2'!BN64+'Table 3 Levels 1&amp;2'!BV64</f>
        <v>4924.9032059941637</v>
      </c>
      <c r="E62" s="1104">
        <f t="shared" si="14"/>
        <v>0</v>
      </c>
      <c r="F62" s="1104">
        <f>'Table 4 Level 3'!N61</f>
        <v>614.66000000000008</v>
      </c>
      <c r="G62" s="1104">
        <f t="shared" si="15"/>
        <v>0</v>
      </c>
      <c r="H62" s="1061">
        <f t="shared" si="16"/>
        <v>0</v>
      </c>
      <c r="I62" s="1114">
        <f t="shared" si="17"/>
        <v>0</v>
      </c>
      <c r="J62" s="1061">
        <f t="shared" si="18"/>
        <v>0</v>
      </c>
      <c r="K62" s="1061">
        <v>0</v>
      </c>
      <c r="L62" s="1061">
        <f t="shared" si="19"/>
        <v>0</v>
      </c>
      <c r="M62" s="1061">
        <f t="shared" si="20"/>
        <v>0</v>
      </c>
      <c r="N62" s="1082"/>
      <c r="O62" s="1061">
        <f t="shared" si="21"/>
        <v>0</v>
      </c>
      <c r="P62" s="1051">
        <f>'[18]FY2012-13 Final'!K63</f>
        <v>2768</v>
      </c>
      <c r="Q62" s="992">
        <f t="shared" si="22"/>
        <v>0</v>
      </c>
      <c r="R62" s="1117">
        <f t="shared" si="23"/>
        <v>0</v>
      </c>
      <c r="S62" s="992">
        <f t="shared" si="24"/>
        <v>0</v>
      </c>
      <c r="T62" s="992">
        <v>0</v>
      </c>
      <c r="U62" s="992">
        <f t="shared" si="25"/>
        <v>0</v>
      </c>
      <c r="V62" s="992">
        <f t="shared" si="26"/>
        <v>0</v>
      </c>
      <c r="W62" s="993">
        <f t="shared" si="27"/>
        <v>0</v>
      </c>
      <c r="X62" s="993">
        <f t="shared" si="28"/>
        <v>0</v>
      </c>
    </row>
    <row r="63" spans="1:24">
      <c r="A63" s="994">
        <v>57</v>
      </c>
      <c r="B63" s="995" t="s">
        <v>150</v>
      </c>
      <c r="C63" s="1196">
        <f>'[2]ALL-Reformatted'!V62</f>
        <v>0</v>
      </c>
      <c r="D63" s="1003">
        <f>'Table 3 Levels 1&amp;2'!BN65+'Table 3 Levels 1&amp;2'!BV65</f>
        <v>4434.5516744018987</v>
      </c>
      <c r="E63" s="1102">
        <f t="shared" si="14"/>
        <v>0</v>
      </c>
      <c r="F63" s="1102">
        <f>'Table 4 Level 3'!N62</f>
        <v>764.51</v>
      </c>
      <c r="G63" s="1102">
        <f t="shared" si="15"/>
        <v>0</v>
      </c>
      <c r="H63" s="1059">
        <f t="shared" si="16"/>
        <v>0</v>
      </c>
      <c r="I63" s="1112">
        <f t="shared" si="17"/>
        <v>0</v>
      </c>
      <c r="J63" s="1059">
        <f t="shared" si="18"/>
        <v>0</v>
      </c>
      <c r="K63" s="1059">
        <v>0</v>
      </c>
      <c r="L63" s="1059">
        <f t="shared" si="19"/>
        <v>0</v>
      </c>
      <c r="M63" s="1059">
        <f t="shared" si="20"/>
        <v>0</v>
      </c>
      <c r="N63" s="1080"/>
      <c r="O63" s="1059">
        <f t="shared" si="21"/>
        <v>0</v>
      </c>
      <c r="P63" s="1051">
        <f>'[18]FY2012-13 Final'!K64</f>
        <v>2987</v>
      </c>
      <c r="Q63" s="1053">
        <f t="shared" si="22"/>
        <v>0</v>
      </c>
      <c r="R63" s="1118">
        <f t="shared" si="23"/>
        <v>0</v>
      </c>
      <c r="S63" s="1053">
        <f t="shared" si="24"/>
        <v>0</v>
      </c>
      <c r="T63" s="1053">
        <v>0</v>
      </c>
      <c r="U63" s="1053">
        <f t="shared" si="25"/>
        <v>0</v>
      </c>
      <c r="V63" s="1053">
        <f t="shared" si="26"/>
        <v>0</v>
      </c>
      <c r="W63" s="1054">
        <f t="shared" si="27"/>
        <v>0</v>
      </c>
      <c r="X63" s="1054">
        <f t="shared" si="28"/>
        <v>0</v>
      </c>
    </row>
    <row r="64" spans="1:24">
      <c r="A64" s="994">
        <v>58</v>
      </c>
      <c r="B64" s="995" t="s">
        <v>151</v>
      </c>
      <c r="C64" s="1196">
        <f>'[2]ALL-Reformatted'!V63</f>
        <v>0</v>
      </c>
      <c r="D64" s="1003">
        <f>'Table 3 Levels 1&amp;2'!BN66+'Table 3 Levels 1&amp;2'!BV66</f>
        <v>5434.7170435013286</v>
      </c>
      <c r="E64" s="1102">
        <f t="shared" si="14"/>
        <v>0</v>
      </c>
      <c r="F64" s="1102">
        <f>'Table 4 Level 3'!N63</f>
        <v>697.04</v>
      </c>
      <c r="G64" s="1102">
        <f t="shared" si="15"/>
        <v>0</v>
      </c>
      <c r="H64" s="1059">
        <f t="shared" si="16"/>
        <v>0</v>
      </c>
      <c r="I64" s="1112">
        <f t="shared" si="17"/>
        <v>0</v>
      </c>
      <c r="J64" s="1059">
        <f t="shared" si="18"/>
        <v>0</v>
      </c>
      <c r="K64" s="1059">
        <v>0</v>
      </c>
      <c r="L64" s="1059">
        <f t="shared" si="19"/>
        <v>0</v>
      </c>
      <c r="M64" s="1059">
        <f t="shared" si="20"/>
        <v>0</v>
      </c>
      <c r="N64" s="1080"/>
      <c r="O64" s="1059">
        <f t="shared" si="21"/>
        <v>0</v>
      </c>
      <c r="P64" s="1051">
        <f>'[18]FY2012-13 Final'!K65</f>
        <v>2055</v>
      </c>
      <c r="Q64" s="1053">
        <f t="shared" si="22"/>
        <v>0</v>
      </c>
      <c r="R64" s="1118">
        <f t="shared" si="23"/>
        <v>0</v>
      </c>
      <c r="S64" s="1053">
        <f t="shared" si="24"/>
        <v>0</v>
      </c>
      <c r="T64" s="1053">
        <v>0</v>
      </c>
      <c r="U64" s="1053">
        <f t="shared" si="25"/>
        <v>0</v>
      </c>
      <c r="V64" s="1053">
        <f t="shared" si="26"/>
        <v>0</v>
      </c>
      <c r="W64" s="1054">
        <f t="shared" si="27"/>
        <v>0</v>
      </c>
      <c r="X64" s="1054">
        <f t="shared" si="28"/>
        <v>0</v>
      </c>
    </row>
    <row r="65" spans="1:24">
      <c r="A65" s="994">
        <v>59</v>
      </c>
      <c r="B65" s="995" t="s">
        <v>152</v>
      </c>
      <c r="C65" s="1196">
        <f>'[2]ALL-Reformatted'!V64</f>
        <v>0</v>
      </c>
      <c r="D65" s="1003">
        <f>'Table 3 Levels 1&amp;2'!BN67+'Table 3 Levels 1&amp;2'!BV67</f>
        <v>6252.2385330184643</v>
      </c>
      <c r="E65" s="1102">
        <f t="shared" si="14"/>
        <v>0</v>
      </c>
      <c r="F65" s="1102">
        <f>'Table 4 Level 3'!N64</f>
        <v>689.52</v>
      </c>
      <c r="G65" s="1102">
        <f t="shared" si="15"/>
        <v>0</v>
      </c>
      <c r="H65" s="1059">
        <f t="shared" si="16"/>
        <v>0</v>
      </c>
      <c r="I65" s="1112">
        <f t="shared" si="17"/>
        <v>0</v>
      </c>
      <c r="J65" s="1059">
        <f t="shared" si="18"/>
        <v>0</v>
      </c>
      <c r="K65" s="1059">
        <v>0</v>
      </c>
      <c r="L65" s="1059">
        <f t="shared" si="19"/>
        <v>0</v>
      </c>
      <c r="M65" s="1059">
        <f t="shared" si="20"/>
        <v>0</v>
      </c>
      <c r="N65" s="1080"/>
      <c r="O65" s="1059">
        <f t="shared" si="21"/>
        <v>0</v>
      </c>
      <c r="P65" s="1051">
        <f>'[18]FY2012-13 Final'!K66</f>
        <v>1528</v>
      </c>
      <c r="Q65" s="1053">
        <f t="shared" si="22"/>
        <v>0</v>
      </c>
      <c r="R65" s="1118">
        <f t="shared" si="23"/>
        <v>0</v>
      </c>
      <c r="S65" s="1053">
        <f t="shared" si="24"/>
        <v>0</v>
      </c>
      <c r="T65" s="1053">
        <v>0</v>
      </c>
      <c r="U65" s="1053">
        <f t="shared" si="25"/>
        <v>0</v>
      </c>
      <c r="V65" s="1053">
        <f t="shared" si="26"/>
        <v>0</v>
      </c>
      <c r="W65" s="1054">
        <f t="shared" si="27"/>
        <v>0</v>
      </c>
      <c r="X65" s="1054">
        <f t="shared" si="28"/>
        <v>0</v>
      </c>
    </row>
    <row r="66" spans="1:24">
      <c r="A66" s="998">
        <v>60</v>
      </c>
      <c r="B66" s="999" t="s">
        <v>153</v>
      </c>
      <c r="C66" s="1197">
        <f>'[2]ALL-Reformatted'!V65</f>
        <v>0</v>
      </c>
      <c r="D66" s="1005">
        <f>'Table 3 Levels 1&amp;2'!BN68+'Table 3 Levels 1&amp;2'!BV68</f>
        <v>4902.6575100268701</v>
      </c>
      <c r="E66" s="1103">
        <f t="shared" si="14"/>
        <v>0</v>
      </c>
      <c r="F66" s="1103">
        <f>'Table 4 Level 3'!N65</f>
        <v>594.04</v>
      </c>
      <c r="G66" s="1103">
        <f t="shared" si="15"/>
        <v>0</v>
      </c>
      <c r="H66" s="1060">
        <f t="shared" si="16"/>
        <v>0</v>
      </c>
      <c r="I66" s="1113">
        <f t="shared" si="17"/>
        <v>0</v>
      </c>
      <c r="J66" s="1060">
        <f t="shared" si="18"/>
        <v>0</v>
      </c>
      <c r="K66" s="1060">
        <v>0</v>
      </c>
      <c r="L66" s="1060">
        <f t="shared" si="19"/>
        <v>0</v>
      </c>
      <c r="M66" s="1060">
        <f t="shared" si="20"/>
        <v>0</v>
      </c>
      <c r="N66" s="1081"/>
      <c r="O66" s="1060">
        <f t="shared" si="21"/>
        <v>0</v>
      </c>
      <c r="P66" s="1056">
        <f>'[18]FY2012-13 Final'!K67</f>
        <v>3918</v>
      </c>
      <c r="Q66" s="1057">
        <f t="shared" si="22"/>
        <v>0</v>
      </c>
      <c r="R66" s="1119">
        <f t="shared" si="23"/>
        <v>0</v>
      </c>
      <c r="S66" s="1057">
        <f t="shared" si="24"/>
        <v>0</v>
      </c>
      <c r="T66" s="1057">
        <v>0</v>
      </c>
      <c r="U66" s="1057">
        <f t="shared" si="25"/>
        <v>0</v>
      </c>
      <c r="V66" s="1057">
        <f t="shared" si="26"/>
        <v>0</v>
      </c>
      <c r="W66" s="1058">
        <f t="shared" si="27"/>
        <v>0</v>
      </c>
      <c r="X66" s="1058">
        <f t="shared" si="28"/>
        <v>0</v>
      </c>
    </row>
    <row r="67" spans="1:24">
      <c r="A67" s="987">
        <v>61</v>
      </c>
      <c r="B67" s="988" t="s">
        <v>154</v>
      </c>
      <c r="C67" s="1198">
        <f>'[2]ALL-Reformatted'!V66</f>
        <v>0</v>
      </c>
      <c r="D67" s="1007">
        <f>'Table 3 Levels 1&amp;2'!BN69+'Table 3 Levels 1&amp;2'!BV69</f>
        <v>2872.7719101339244</v>
      </c>
      <c r="E67" s="1104">
        <f t="shared" si="14"/>
        <v>0</v>
      </c>
      <c r="F67" s="1104">
        <f>'Table 4 Level 3'!N66</f>
        <v>833.70999999999992</v>
      </c>
      <c r="G67" s="1104">
        <f t="shared" si="15"/>
        <v>0</v>
      </c>
      <c r="H67" s="1061">
        <f t="shared" si="16"/>
        <v>0</v>
      </c>
      <c r="I67" s="1114">
        <f t="shared" si="17"/>
        <v>0</v>
      </c>
      <c r="J67" s="1061">
        <f t="shared" si="18"/>
        <v>0</v>
      </c>
      <c r="K67" s="1061">
        <v>0</v>
      </c>
      <c r="L67" s="1061">
        <f t="shared" si="19"/>
        <v>0</v>
      </c>
      <c r="M67" s="1061">
        <f t="shared" si="20"/>
        <v>0</v>
      </c>
      <c r="N67" s="1082"/>
      <c r="O67" s="1061">
        <f t="shared" si="21"/>
        <v>0</v>
      </c>
      <c r="P67" s="1051">
        <f>'[18]FY2012-13 Final'!K68</f>
        <v>6680</v>
      </c>
      <c r="Q67" s="992">
        <f t="shared" si="22"/>
        <v>0</v>
      </c>
      <c r="R67" s="1117">
        <f t="shared" si="23"/>
        <v>0</v>
      </c>
      <c r="S67" s="992">
        <f t="shared" si="24"/>
        <v>0</v>
      </c>
      <c r="T67" s="992">
        <v>0</v>
      </c>
      <c r="U67" s="992">
        <f t="shared" si="25"/>
        <v>0</v>
      </c>
      <c r="V67" s="992">
        <f t="shared" si="26"/>
        <v>0</v>
      </c>
      <c r="W67" s="993">
        <f t="shared" si="27"/>
        <v>0</v>
      </c>
      <c r="X67" s="993">
        <f t="shared" si="28"/>
        <v>0</v>
      </c>
    </row>
    <row r="68" spans="1:24">
      <c r="A68" s="994">
        <v>62</v>
      </c>
      <c r="B68" s="995" t="s">
        <v>155</v>
      </c>
      <c r="C68" s="1196">
        <f>'[2]ALL-Reformatted'!V67</f>
        <v>0</v>
      </c>
      <c r="D68" s="1003">
        <f>'Table 3 Levels 1&amp;2'!BN70+'Table 3 Levels 1&amp;2'!BV70</f>
        <v>5594.25143978908</v>
      </c>
      <c r="E68" s="1102">
        <f t="shared" si="14"/>
        <v>0</v>
      </c>
      <c r="F68" s="1102">
        <f>'Table 4 Level 3'!N67</f>
        <v>516.08000000000004</v>
      </c>
      <c r="G68" s="1102">
        <f t="shared" si="15"/>
        <v>0</v>
      </c>
      <c r="H68" s="1059">
        <f t="shared" si="16"/>
        <v>0</v>
      </c>
      <c r="I68" s="1112">
        <f t="shared" si="17"/>
        <v>0</v>
      </c>
      <c r="J68" s="1059">
        <f t="shared" si="18"/>
        <v>0</v>
      </c>
      <c r="K68" s="1059">
        <v>0</v>
      </c>
      <c r="L68" s="1059">
        <f t="shared" si="19"/>
        <v>0</v>
      </c>
      <c r="M68" s="1059">
        <f t="shared" si="20"/>
        <v>0</v>
      </c>
      <c r="N68" s="1080"/>
      <c r="O68" s="1059">
        <f t="shared" si="21"/>
        <v>0</v>
      </c>
      <c r="P68" s="1051">
        <f>'[18]FY2012-13 Final'!K69</f>
        <v>1754</v>
      </c>
      <c r="Q68" s="1053">
        <f t="shared" si="22"/>
        <v>0</v>
      </c>
      <c r="R68" s="1118">
        <f t="shared" si="23"/>
        <v>0</v>
      </c>
      <c r="S68" s="1053">
        <f t="shared" si="24"/>
        <v>0</v>
      </c>
      <c r="T68" s="1053">
        <v>0</v>
      </c>
      <c r="U68" s="1053">
        <f t="shared" si="25"/>
        <v>0</v>
      </c>
      <c r="V68" s="1053">
        <f t="shared" si="26"/>
        <v>0</v>
      </c>
      <c r="W68" s="1054">
        <f t="shared" si="27"/>
        <v>0</v>
      </c>
      <c r="X68" s="1054">
        <f t="shared" si="28"/>
        <v>0</v>
      </c>
    </row>
    <row r="69" spans="1:24">
      <c r="A69" s="994">
        <v>63</v>
      </c>
      <c r="B69" s="995" t="s">
        <v>156</v>
      </c>
      <c r="C69" s="1196">
        <f>'[2]ALL-Reformatted'!V68</f>
        <v>0</v>
      </c>
      <c r="D69" s="1003">
        <f>'Table 3 Levels 1&amp;2'!BN71+'Table 3 Levels 1&amp;2'!BV71</f>
        <v>4318.8609300898834</v>
      </c>
      <c r="E69" s="1102">
        <f t="shared" si="14"/>
        <v>0</v>
      </c>
      <c r="F69" s="1102">
        <f>'Table 4 Level 3'!N68</f>
        <v>756.79</v>
      </c>
      <c r="G69" s="1102">
        <f t="shared" si="15"/>
        <v>0</v>
      </c>
      <c r="H69" s="1059">
        <f t="shared" si="16"/>
        <v>0</v>
      </c>
      <c r="I69" s="1112">
        <f t="shared" si="17"/>
        <v>0</v>
      </c>
      <c r="J69" s="1059">
        <f t="shared" si="18"/>
        <v>0</v>
      </c>
      <c r="K69" s="1059">
        <v>0</v>
      </c>
      <c r="L69" s="1059">
        <f t="shared" si="19"/>
        <v>0</v>
      </c>
      <c r="M69" s="1059">
        <f t="shared" si="20"/>
        <v>0</v>
      </c>
      <c r="N69" s="1080"/>
      <c r="O69" s="1059">
        <f t="shared" si="21"/>
        <v>0</v>
      </c>
      <c r="P69" s="1051">
        <f>'[18]FY2012-13 Final'!K70</f>
        <v>7182</v>
      </c>
      <c r="Q69" s="1053">
        <f t="shared" si="22"/>
        <v>0</v>
      </c>
      <c r="R69" s="1118">
        <f t="shared" si="23"/>
        <v>0</v>
      </c>
      <c r="S69" s="1053">
        <f t="shared" si="24"/>
        <v>0</v>
      </c>
      <c r="T69" s="1053">
        <v>0</v>
      </c>
      <c r="U69" s="1053">
        <f t="shared" si="25"/>
        <v>0</v>
      </c>
      <c r="V69" s="1053">
        <f t="shared" si="26"/>
        <v>0</v>
      </c>
      <c r="W69" s="1054">
        <f t="shared" si="27"/>
        <v>0</v>
      </c>
      <c r="X69" s="1054">
        <f t="shared" si="28"/>
        <v>0</v>
      </c>
    </row>
    <row r="70" spans="1:24">
      <c r="A70" s="994">
        <v>64</v>
      </c>
      <c r="B70" s="995" t="s">
        <v>157</v>
      </c>
      <c r="C70" s="1196">
        <f>'[2]ALL-Reformatted'!V69</f>
        <v>0</v>
      </c>
      <c r="D70" s="1003">
        <f>'Table 3 Levels 1&amp;2'!BN72+'Table 3 Levels 1&amp;2'!BV72</f>
        <v>5921.7418933384488</v>
      </c>
      <c r="E70" s="1102">
        <f t="shared" si="14"/>
        <v>0</v>
      </c>
      <c r="F70" s="1102">
        <f>'Table 4 Level 3'!N69</f>
        <v>592.66</v>
      </c>
      <c r="G70" s="1102">
        <f t="shared" si="15"/>
        <v>0</v>
      </c>
      <c r="H70" s="1059">
        <f t="shared" si="16"/>
        <v>0</v>
      </c>
      <c r="I70" s="1112">
        <f t="shared" si="17"/>
        <v>0</v>
      </c>
      <c r="J70" s="1059">
        <f t="shared" si="18"/>
        <v>0</v>
      </c>
      <c r="K70" s="1059">
        <v>0</v>
      </c>
      <c r="L70" s="1059">
        <f t="shared" si="19"/>
        <v>0</v>
      </c>
      <c r="M70" s="1059">
        <f t="shared" si="20"/>
        <v>0</v>
      </c>
      <c r="N70" s="1080"/>
      <c r="O70" s="1059">
        <f t="shared" si="21"/>
        <v>0</v>
      </c>
      <c r="P70" s="1051">
        <f>'[18]FY2012-13 Final'!K71</f>
        <v>2701</v>
      </c>
      <c r="Q70" s="1053">
        <f t="shared" si="22"/>
        <v>0</v>
      </c>
      <c r="R70" s="1118">
        <f t="shared" si="23"/>
        <v>0</v>
      </c>
      <c r="S70" s="1053">
        <f t="shared" si="24"/>
        <v>0</v>
      </c>
      <c r="T70" s="1053">
        <v>0</v>
      </c>
      <c r="U70" s="1053">
        <f t="shared" si="25"/>
        <v>0</v>
      </c>
      <c r="V70" s="1053">
        <f t="shared" si="26"/>
        <v>0</v>
      </c>
      <c r="W70" s="1054">
        <f t="shared" si="27"/>
        <v>0</v>
      </c>
      <c r="X70" s="1054">
        <f t="shared" si="28"/>
        <v>0</v>
      </c>
    </row>
    <row r="71" spans="1:24">
      <c r="A71" s="998">
        <v>65</v>
      </c>
      <c r="B71" s="999" t="s">
        <v>158</v>
      </c>
      <c r="C71" s="1197">
        <f>'[2]ALL-Reformatted'!V70</f>
        <v>0</v>
      </c>
      <c r="D71" s="1005">
        <f>'Table 3 Levels 1&amp;2'!BN73+'Table 3 Levels 1&amp;2'!BV73</f>
        <v>4578.9201269671275</v>
      </c>
      <c r="E71" s="1103">
        <f t="shared" si="14"/>
        <v>0</v>
      </c>
      <c r="F71" s="1103">
        <f>'Table 4 Level 3'!N70</f>
        <v>829.12</v>
      </c>
      <c r="G71" s="1103">
        <f t="shared" si="15"/>
        <v>0</v>
      </c>
      <c r="H71" s="1060">
        <f t="shared" si="16"/>
        <v>0</v>
      </c>
      <c r="I71" s="1113">
        <f t="shared" si="17"/>
        <v>0</v>
      </c>
      <c r="J71" s="1060">
        <f t="shared" si="18"/>
        <v>0</v>
      </c>
      <c r="K71" s="1060">
        <v>0</v>
      </c>
      <c r="L71" s="1060">
        <f t="shared" si="19"/>
        <v>0</v>
      </c>
      <c r="M71" s="1060">
        <f t="shared" si="20"/>
        <v>0</v>
      </c>
      <c r="N71" s="1081"/>
      <c r="O71" s="1060">
        <f t="shared" si="21"/>
        <v>0</v>
      </c>
      <c r="P71" s="1056">
        <f>'[18]FY2012-13 Final'!K72</f>
        <v>4813</v>
      </c>
      <c r="Q71" s="1057">
        <f t="shared" si="22"/>
        <v>0</v>
      </c>
      <c r="R71" s="1119">
        <f t="shared" si="23"/>
        <v>0</v>
      </c>
      <c r="S71" s="1057">
        <f t="shared" si="24"/>
        <v>0</v>
      </c>
      <c r="T71" s="1057">
        <v>0</v>
      </c>
      <c r="U71" s="1057">
        <f t="shared" si="25"/>
        <v>0</v>
      </c>
      <c r="V71" s="1057">
        <f t="shared" si="26"/>
        <v>0</v>
      </c>
      <c r="W71" s="1058">
        <f t="shared" si="27"/>
        <v>0</v>
      </c>
      <c r="X71" s="1058">
        <f t="shared" si="28"/>
        <v>0</v>
      </c>
    </row>
    <row r="72" spans="1:24">
      <c r="A72" s="987">
        <v>66</v>
      </c>
      <c r="B72" s="988" t="s">
        <v>159</v>
      </c>
      <c r="C72" s="1198">
        <f>'[2]ALL-Reformatted'!V71</f>
        <v>0</v>
      </c>
      <c r="D72" s="1007">
        <f>'Table 3 Levels 1&amp;2'!BN74+'Table 3 Levels 1&amp;2'!BV74</f>
        <v>6340.8763293271122</v>
      </c>
      <c r="E72" s="1104">
        <f t="shared" ref="E72:E75" si="29">C72*D72</f>
        <v>0</v>
      </c>
      <c r="F72" s="1104">
        <f>'Table 4 Level 3'!N71</f>
        <v>730.06</v>
      </c>
      <c r="G72" s="1104">
        <f t="shared" ref="G72:G75" si="30">C72*F72</f>
        <v>0</v>
      </c>
      <c r="H72" s="1061">
        <f t="shared" ref="H72:H75" si="31">E72+G72</f>
        <v>0</v>
      </c>
      <c r="I72" s="1114">
        <f t="shared" ref="I72:I75" si="32">-(0.25%*H72)</f>
        <v>0</v>
      </c>
      <c r="J72" s="1061">
        <f t="shared" ref="J72:J75" si="33">SUM(H72:I72)</f>
        <v>0</v>
      </c>
      <c r="K72" s="1061">
        <v>0</v>
      </c>
      <c r="L72" s="1061">
        <f t="shared" ref="L72:L75" si="34">SUM(J72:K72)</f>
        <v>0</v>
      </c>
      <c r="M72" s="1061">
        <f t="shared" ref="M72:M75" si="35">L72/12</f>
        <v>0</v>
      </c>
      <c r="N72" s="1082"/>
      <c r="O72" s="1061">
        <f t="shared" ref="O72:O75" si="36">L72+N72</f>
        <v>0</v>
      </c>
      <c r="P72" s="1051">
        <f>'[18]FY2012-13 Final'!K73</f>
        <v>3516</v>
      </c>
      <c r="Q72" s="992">
        <f t="shared" ref="Q72:Q75" si="37">C72*P72</f>
        <v>0</v>
      </c>
      <c r="R72" s="1117">
        <f t="shared" ref="R72:R75" si="38">-(0.25%*Q72)</f>
        <v>0</v>
      </c>
      <c r="S72" s="992">
        <f t="shared" ref="S72:S75" si="39">SUM(Q72:R72)</f>
        <v>0</v>
      </c>
      <c r="T72" s="992">
        <v>0</v>
      </c>
      <c r="U72" s="992">
        <f t="shared" ref="U72:U75" si="40">SUM(S72:T72)</f>
        <v>0</v>
      </c>
      <c r="V72" s="992">
        <f t="shared" ref="V72:V75" si="41">U72/12</f>
        <v>0</v>
      </c>
      <c r="W72" s="993">
        <f t="shared" ref="W72:W75" si="42">O72+U72</f>
        <v>0</v>
      </c>
      <c r="X72" s="993">
        <f t="shared" si="28"/>
        <v>0</v>
      </c>
    </row>
    <row r="73" spans="1:24">
      <c r="A73" s="994">
        <v>67</v>
      </c>
      <c r="B73" s="995" t="s">
        <v>32</v>
      </c>
      <c r="C73" s="1196">
        <f>'[2]ALL-Reformatted'!V72</f>
        <v>0</v>
      </c>
      <c r="D73" s="1003">
        <f>'Table 3 Levels 1&amp;2'!BN75+'Table 3 Levels 1&amp;2'!BV75</f>
        <v>4984.1100297034172</v>
      </c>
      <c r="E73" s="1102">
        <f t="shared" si="29"/>
        <v>0</v>
      </c>
      <c r="F73" s="1102">
        <f>'Table 4 Level 3'!N72</f>
        <v>715.61</v>
      </c>
      <c r="G73" s="1102">
        <f t="shared" si="30"/>
        <v>0</v>
      </c>
      <c r="H73" s="1059">
        <f t="shared" si="31"/>
        <v>0</v>
      </c>
      <c r="I73" s="1112">
        <f t="shared" si="32"/>
        <v>0</v>
      </c>
      <c r="J73" s="1059">
        <f t="shared" si="33"/>
        <v>0</v>
      </c>
      <c r="K73" s="1059">
        <v>0</v>
      </c>
      <c r="L73" s="1059">
        <f t="shared" si="34"/>
        <v>0</v>
      </c>
      <c r="M73" s="1059">
        <f t="shared" si="35"/>
        <v>0</v>
      </c>
      <c r="N73" s="1080"/>
      <c r="O73" s="1059">
        <f t="shared" si="36"/>
        <v>0</v>
      </c>
      <c r="P73" s="1051">
        <f>'[18]FY2012-13 Final'!K74</f>
        <v>5052</v>
      </c>
      <c r="Q73" s="1053">
        <f t="shared" si="37"/>
        <v>0</v>
      </c>
      <c r="R73" s="1118">
        <f t="shared" si="38"/>
        <v>0</v>
      </c>
      <c r="S73" s="1053">
        <f t="shared" si="39"/>
        <v>0</v>
      </c>
      <c r="T73" s="1053">
        <v>0</v>
      </c>
      <c r="U73" s="1053">
        <f t="shared" si="40"/>
        <v>0</v>
      </c>
      <c r="V73" s="1053">
        <f t="shared" si="41"/>
        <v>0</v>
      </c>
      <c r="W73" s="1054">
        <f t="shared" si="42"/>
        <v>0</v>
      </c>
      <c r="X73" s="1054">
        <f t="shared" si="28"/>
        <v>0</v>
      </c>
    </row>
    <row r="74" spans="1:24">
      <c r="A74" s="994">
        <v>68</v>
      </c>
      <c r="B74" s="995" t="s">
        <v>30</v>
      </c>
      <c r="C74" s="1196">
        <f>'[2]ALL-Reformatted'!V73</f>
        <v>0</v>
      </c>
      <c r="D74" s="1003">
        <f>'Table 3 Levels 1&amp;2'!BN76+'Table 3 Levels 1&amp;2'!BV76</f>
        <v>6012.7854305239725</v>
      </c>
      <c r="E74" s="1102">
        <f t="shared" si="29"/>
        <v>0</v>
      </c>
      <c r="F74" s="1102">
        <f>'Table 4 Level 3'!N73</f>
        <v>798.7</v>
      </c>
      <c r="G74" s="1102">
        <f t="shared" si="30"/>
        <v>0</v>
      </c>
      <c r="H74" s="1059">
        <f t="shared" si="31"/>
        <v>0</v>
      </c>
      <c r="I74" s="1112">
        <f t="shared" si="32"/>
        <v>0</v>
      </c>
      <c r="J74" s="1059">
        <f t="shared" si="33"/>
        <v>0</v>
      </c>
      <c r="K74" s="1059">
        <v>0</v>
      </c>
      <c r="L74" s="1059">
        <f t="shared" si="34"/>
        <v>0</v>
      </c>
      <c r="M74" s="1059">
        <f t="shared" si="35"/>
        <v>0</v>
      </c>
      <c r="N74" s="1080"/>
      <c r="O74" s="1059">
        <f t="shared" si="36"/>
        <v>0</v>
      </c>
      <c r="P74" s="1051">
        <f>'[18]FY2012-13 Final'!K75</f>
        <v>2763</v>
      </c>
      <c r="Q74" s="1053">
        <f t="shared" si="37"/>
        <v>0</v>
      </c>
      <c r="R74" s="1118">
        <f t="shared" si="38"/>
        <v>0</v>
      </c>
      <c r="S74" s="1053">
        <f t="shared" si="39"/>
        <v>0</v>
      </c>
      <c r="T74" s="1053">
        <v>0</v>
      </c>
      <c r="U74" s="1053">
        <f t="shared" si="40"/>
        <v>0</v>
      </c>
      <c r="V74" s="1053">
        <f t="shared" si="41"/>
        <v>0</v>
      </c>
      <c r="W74" s="1054">
        <f t="shared" si="42"/>
        <v>0</v>
      </c>
      <c r="X74" s="1054">
        <f t="shared" si="28"/>
        <v>0</v>
      </c>
    </row>
    <row r="75" spans="1:24">
      <c r="A75" s="1008">
        <v>69</v>
      </c>
      <c r="B75" s="1009" t="s">
        <v>213</v>
      </c>
      <c r="C75" s="1199">
        <f>'[2]ALL-Reformatted'!V74</f>
        <v>0</v>
      </c>
      <c r="D75" s="1011">
        <f>'Table 3 Levels 1&amp;2'!BN77+'Table 3 Levels 1&amp;2'!BV77</f>
        <v>5559.7139008686299</v>
      </c>
      <c r="E75" s="1105">
        <f t="shared" si="29"/>
        <v>0</v>
      </c>
      <c r="F75" s="1105">
        <f>'Table 4 Level 3'!N74</f>
        <v>705.67</v>
      </c>
      <c r="G75" s="1105">
        <f t="shared" si="30"/>
        <v>0</v>
      </c>
      <c r="H75" s="1062">
        <f t="shared" si="31"/>
        <v>0</v>
      </c>
      <c r="I75" s="1115">
        <f t="shared" si="32"/>
        <v>0</v>
      </c>
      <c r="J75" s="1062">
        <f t="shared" si="33"/>
        <v>0</v>
      </c>
      <c r="K75" s="1062">
        <v>0</v>
      </c>
      <c r="L75" s="1062">
        <f t="shared" si="34"/>
        <v>0</v>
      </c>
      <c r="M75" s="1062">
        <f t="shared" si="35"/>
        <v>0</v>
      </c>
      <c r="N75" s="1083"/>
      <c r="O75" s="1062">
        <f t="shared" si="36"/>
        <v>0</v>
      </c>
      <c r="P75" s="1051">
        <f>'[18]FY2012-13 Final'!K76</f>
        <v>3327</v>
      </c>
      <c r="Q75" s="1063">
        <f t="shared" si="37"/>
        <v>0</v>
      </c>
      <c r="R75" s="1120">
        <f t="shared" si="38"/>
        <v>0</v>
      </c>
      <c r="S75" s="1063">
        <f t="shared" si="39"/>
        <v>0</v>
      </c>
      <c r="T75" s="1063">
        <v>0</v>
      </c>
      <c r="U75" s="1063">
        <f t="shared" si="40"/>
        <v>0</v>
      </c>
      <c r="V75" s="1063">
        <f t="shared" si="41"/>
        <v>0</v>
      </c>
      <c r="W75" s="1064">
        <f t="shared" si="42"/>
        <v>0</v>
      </c>
      <c r="X75" s="1064">
        <f t="shared" si="28"/>
        <v>0</v>
      </c>
    </row>
    <row r="76" spans="1:24" ht="13.5" thickBot="1">
      <c r="A76" s="1012"/>
      <c r="B76" s="1013" t="s">
        <v>160</v>
      </c>
      <c r="C76" s="1014">
        <f>SUM(C7:C75)</f>
        <v>202</v>
      </c>
      <c r="D76" s="1015"/>
      <c r="E76" s="1106">
        <f>SUM(E7:E75)</f>
        <v>720697.5988133325</v>
      </c>
      <c r="F76" s="1106">
        <f>'Table 4 Level 3'!N75</f>
        <v>703.90028204588873</v>
      </c>
      <c r="G76" s="1106">
        <f t="shared" ref="G76:L76" si="43">SUM(G7:G75)</f>
        <v>155153.98000000001</v>
      </c>
      <c r="H76" s="1016">
        <f t="shared" si="43"/>
        <v>875851.5788133326</v>
      </c>
      <c r="I76" s="1116">
        <f t="shared" si="43"/>
        <v>-2189.6289470333313</v>
      </c>
      <c r="J76" s="1016">
        <f t="shared" si="43"/>
        <v>873661.94986629917</v>
      </c>
      <c r="K76" s="1016">
        <f t="shared" si="43"/>
        <v>0</v>
      </c>
      <c r="L76" s="1016">
        <f t="shared" si="43"/>
        <v>873661.94986629917</v>
      </c>
      <c r="M76" s="1016">
        <f>SUM(M7:M75)</f>
        <v>72805.162488858274</v>
      </c>
      <c r="N76" s="1084">
        <f>SUM(N7:N75)</f>
        <v>360000</v>
      </c>
      <c r="O76" s="1016">
        <f>SUM(O7:O75)</f>
        <v>1233661.9498662995</v>
      </c>
      <c r="P76" s="1065"/>
      <c r="Q76" s="1017">
        <f t="shared" ref="Q76:X76" si="44">SUM(Q7:Q75)</f>
        <v>976199</v>
      </c>
      <c r="R76" s="1121">
        <f t="shared" si="44"/>
        <v>-2440.4974999999999</v>
      </c>
      <c r="S76" s="1017">
        <f t="shared" si="44"/>
        <v>973758.50249999994</v>
      </c>
      <c r="T76" s="1017">
        <f t="shared" si="44"/>
        <v>0</v>
      </c>
      <c r="U76" s="1017">
        <f t="shared" si="44"/>
        <v>973758.50249999994</v>
      </c>
      <c r="V76" s="1017">
        <f t="shared" si="44"/>
        <v>81146.541874999995</v>
      </c>
      <c r="W76" s="1018">
        <f t="shared" si="44"/>
        <v>2207420.4523662995</v>
      </c>
      <c r="X76" s="1018">
        <f t="shared" si="44"/>
        <v>153951.70436385827</v>
      </c>
    </row>
    <row r="77" spans="1:24" ht="13.5" thickTop="1"/>
  </sheetData>
  <mergeCells count="22">
    <mergeCell ref="W2:W4"/>
    <mergeCell ref="X2:X4"/>
    <mergeCell ref="C3:C4"/>
    <mergeCell ref="D3:D4"/>
    <mergeCell ref="E3:E4"/>
    <mergeCell ref="F3:F4"/>
    <mergeCell ref="G3:G4"/>
    <mergeCell ref="S3:S4"/>
    <mergeCell ref="T3:T4"/>
    <mergeCell ref="U3:U4"/>
    <mergeCell ref="H3:H4"/>
    <mergeCell ref="J3:J4"/>
    <mergeCell ref="K3:K4"/>
    <mergeCell ref="N3:N4"/>
    <mergeCell ref="O3:O4"/>
    <mergeCell ref="L3:L4"/>
    <mergeCell ref="M3:M4"/>
    <mergeCell ref="P3:P4"/>
    <mergeCell ref="A2:B4"/>
    <mergeCell ref="P2:V2"/>
    <mergeCell ref="C2:H2"/>
    <mergeCell ref="I2:O2"/>
  </mergeCells>
  <pageMargins left="0.38" right="0.34" top="0.75" bottom="0.75" header="0.3" footer="0.3"/>
  <pageSetup paperSize="5" scale="70" firstPageNumber="67" orientation="portrait" useFirstPageNumber="1" r:id="rId1"/>
  <headerFooter>
    <oddHeader>&amp;L&amp;"Arial,Bold"&amp;20Table 5C1-E: FY2013-14 MFP Budget Letter (Projection)
Lycee Francais de la Nouvelle Orleans</oddHeader>
    <oddFooter>&amp;R&amp;P</oddFooter>
  </headerFooter>
  <colBreaks count="2" manualBreakCount="2">
    <brk id="8" min="1" max="75" man="1"/>
    <brk id="1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85"/>
  <sheetViews>
    <sheetView view="pageBreakPreview" zoomScaleNormal="75" zoomScaleSheetLayoutView="100" workbookViewId="0">
      <pane xSplit="2" ySplit="6" topLeftCell="C7" activePane="bottomRight" state="frozen"/>
      <selection activeCell="B3" sqref="B3:B5"/>
      <selection pane="topRight" activeCell="B3" sqref="B3:B5"/>
      <selection pane="bottomLeft" activeCell="B3" sqref="B3:B5"/>
      <selection pane="bottomRight" activeCell="B2" sqref="B2:B5"/>
    </sheetView>
  </sheetViews>
  <sheetFormatPr defaultRowHeight="12.75"/>
  <cols>
    <col min="1" max="1" width="4.140625" customWidth="1"/>
    <col min="2" max="2" width="17.28515625" customWidth="1"/>
    <col min="3" max="3" width="19.140625" customWidth="1"/>
    <col min="4" max="4" width="14.85546875" customWidth="1"/>
    <col min="5" max="5" width="15.28515625" customWidth="1"/>
    <col min="6" max="6" width="15.5703125" customWidth="1"/>
    <col min="7" max="7" width="15" customWidth="1"/>
    <col min="8" max="8" width="16.140625" customWidth="1"/>
    <col min="9" max="9" width="13.28515625" customWidth="1"/>
    <col min="10" max="17" width="11.7109375" customWidth="1"/>
    <col min="18" max="18" width="11.7109375" bestFit="1" customWidth="1"/>
    <col min="19" max="19" width="12.140625" bestFit="1" customWidth="1"/>
    <col min="20" max="21" width="11.7109375" bestFit="1" customWidth="1"/>
    <col min="22" max="22" width="12.5703125" bestFit="1" customWidth="1"/>
    <col min="23" max="26" width="11.7109375" bestFit="1" customWidth="1"/>
    <col min="27" max="27" width="12.7109375" customWidth="1"/>
    <col min="28" max="29" width="11.28515625" bestFit="1" customWidth="1"/>
    <col min="30" max="31" width="11.28515625" customWidth="1"/>
    <col min="32" max="32" width="13.28515625" customWidth="1"/>
    <col min="33" max="33" width="13.42578125" bestFit="1" customWidth="1"/>
    <col min="34" max="34" width="15" bestFit="1" customWidth="1"/>
    <col min="35" max="35" width="12.7109375" bestFit="1" customWidth="1"/>
    <col min="36" max="36" width="10.140625" bestFit="1" customWidth="1"/>
    <col min="37" max="37" width="11.7109375" customWidth="1"/>
    <col min="38" max="38" width="12.85546875" customWidth="1"/>
    <col min="39" max="39" width="15" bestFit="1" customWidth="1"/>
    <col min="40" max="40" width="1.85546875" customWidth="1"/>
    <col min="41" max="41" width="12.7109375" bestFit="1" customWidth="1"/>
    <col min="42" max="42" width="15.42578125" bestFit="1" customWidth="1"/>
    <col min="43" max="43" width="14.5703125" customWidth="1"/>
    <col min="44" max="44" width="13.140625" bestFit="1" customWidth="1"/>
    <col min="45" max="45" width="12" customWidth="1"/>
  </cols>
  <sheetData>
    <row r="1" spans="1:67" ht="21" customHeight="1">
      <c r="D1" s="1866" t="s">
        <v>1226</v>
      </c>
      <c r="E1" s="1867"/>
      <c r="F1" s="1867"/>
      <c r="G1" s="1867"/>
      <c r="H1" s="1868"/>
      <c r="AJ1" s="1853"/>
      <c r="AK1" s="1853"/>
      <c r="AL1" s="1853"/>
    </row>
    <row r="2" spans="1:67" ht="12.75" customHeight="1">
      <c r="A2" s="1855" t="s">
        <v>190</v>
      </c>
      <c r="B2" s="1865" t="s">
        <v>255</v>
      </c>
      <c r="C2" s="1859" t="s">
        <v>1145</v>
      </c>
      <c r="D2" s="1862" t="s">
        <v>449</v>
      </c>
      <c r="E2" s="1862" t="s">
        <v>502</v>
      </c>
      <c r="F2" s="1862" t="s">
        <v>712</v>
      </c>
      <c r="G2" s="1858" t="s">
        <v>256</v>
      </c>
      <c r="H2" s="1858"/>
      <c r="I2" s="1850" t="s">
        <v>1233</v>
      </c>
      <c r="J2" s="1850" t="s">
        <v>1234</v>
      </c>
      <c r="K2" s="1850" t="s">
        <v>1235</v>
      </c>
      <c r="L2" s="1850" t="s">
        <v>1236</v>
      </c>
      <c r="M2" s="1850" t="s">
        <v>1237</v>
      </c>
      <c r="N2" s="1850" t="s">
        <v>1238</v>
      </c>
      <c r="O2" s="1850" t="s">
        <v>1239</v>
      </c>
      <c r="P2" s="1850" t="s">
        <v>1240</v>
      </c>
      <c r="Q2" s="1850" t="s">
        <v>1241</v>
      </c>
      <c r="R2" s="1850" t="s">
        <v>1242</v>
      </c>
      <c r="S2" s="1850" t="s">
        <v>1243</v>
      </c>
      <c r="T2" s="1851" t="s">
        <v>1244</v>
      </c>
      <c r="U2" s="1851" t="s">
        <v>1245</v>
      </c>
      <c r="V2" s="1851" t="s">
        <v>1246</v>
      </c>
      <c r="W2" s="1851" t="s">
        <v>1247</v>
      </c>
      <c r="X2" s="1851" t="s">
        <v>1248</v>
      </c>
      <c r="Y2" s="1851" t="s">
        <v>1249</v>
      </c>
      <c r="Z2" s="1851" t="s">
        <v>1250</v>
      </c>
      <c r="AA2" s="1851" t="s">
        <v>1251</v>
      </c>
      <c r="AB2" s="1850" t="s">
        <v>1252</v>
      </c>
      <c r="AC2" s="1850" t="s">
        <v>1253</v>
      </c>
      <c r="AD2" s="1850" t="s">
        <v>1254</v>
      </c>
      <c r="AE2" s="1850" t="s">
        <v>1255</v>
      </c>
      <c r="AF2" s="1850" t="s">
        <v>1256</v>
      </c>
      <c r="AG2" s="1869" t="s">
        <v>1257</v>
      </c>
      <c r="AH2" s="1844" t="s">
        <v>1449</v>
      </c>
      <c r="AI2" s="1844" t="s">
        <v>770</v>
      </c>
      <c r="AJ2" s="1848" t="s">
        <v>771</v>
      </c>
      <c r="AK2" s="1845" t="s">
        <v>1056</v>
      </c>
      <c r="AL2" s="1845" t="s">
        <v>1227</v>
      </c>
      <c r="AM2" s="1844" t="s">
        <v>1057</v>
      </c>
      <c r="AN2" s="1588"/>
      <c r="AO2" s="1854"/>
      <c r="AP2" s="1854"/>
      <c r="AQ2" s="35"/>
      <c r="AR2" s="35"/>
      <c r="AS2" s="35"/>
      <c r="AT2" s="35"/>
      <c r="AU2" s="35"/>
    </row>
    <row r="3" spans="1:67" ht="28.5" customHeight="1">
      <c r="A3" s="1856"/>
      <c r="B3" s="1856"/>
      <c r="C3" s="1860"/>
      <c r="D3" s="1863"/>
      <c r="E3" s="1863"/>
      <c r="F3" s="1863"/>
      <c r="G3" s="1858"/>
      <c r="H3" s="1858"/>
      <c r="I3" s="1850"/>
      <c r="J3" s="1850"/>
      <c r="K3" s="1850"/>
      <c r="L3" s="1850"/>
      <c r="M3" s="1850"/>
      <c r="N3" s="1850"/>
      <c r="O3" s="1850"/>
      <c r="P3" s="1850"/>
      <c r="Q3" s="1850"/>
      <c r="R3" s="1850"/>
      <c r="S3" s="1850"/>
      <c r="T3" s="1851"/>
      <c r="U3" s="1851"/>
      <c r="V3" s="1851"/>
      <c r="W3" s="1851"/>
      <c r="X3" s="1851"/>
      <c r="Y3" s="1851"/>
      <c r="Z3" s="1851"/>
      <c r="AA3" s="1851"/>
      <c r="AB3" s="1850"/>
      <c r="AC3" s="1850"/>
      <c r="AD3" s="1850"/>
      <c r="AE3" s="1850"/>
      <c r="AF3" s="1850"/>
      <c r="AG3" s="1870"/>
      <c r="AH3" s="1844"/>
      <c r="AI3" s="1844"/>
      <c r="AJ3" s="1849"/>
      <c r="AK3" s="1846"/>
      <c r="AL3" s="1846"/>
      <c r="AM3" s="1844"/>
      <c r="AN3" s="1588"/>
      <c r="AO3" s="1854"/>
      <c r="AP3" s="1854"/>
      <c r="AQ3" s="35"/>
      <c r="AR3" s="1852"/>
      <c r="AS3" s="1852"/>
      <c r="AT3" s="1852"/>
      <c r="AU3" s="35"/>
    </row>
    <row r="4" spans="1:67" ht="91.5" customHeight="1">
      <c r="A4" s="1856"/>
      <c r="B4" s="1856"/>
      <c r="C4" s="1860"/>
      <c r="D4" s="1863"/>
      <c r="E4" s="1863"/>
      <c r="F4" s="1863"/>
      <c r="G4" s="1858" t="s">
        <v>257</v>
      </c>
      <c r="H4" s="1858" t="s">
        <v>258</v>
      </c>
      <c r="I4" s="1850"/>
      <c r="J4" s="1850"/>
      <c r="K4" s="1850"/>
      <c r="L4" s="1850"/>
      <c r="M4" s="1850"/>
      <c r="N4" s="1850"/>
      <c r="O4" s="1850"/>
      <c r="P4" s="1850"/>
      <c r="Q4" s="1850"/>
      <c r="R4" s="1850"/>
      <c r="S4" s="1850"/>
      <c r="T4" s="1851"/>
      <c r="U4" s="1851"/>
      <c r="V4" s="1851"/>
      <c r="W4" s="1851"/>
      <c r="X4" s="1851"/>
      <c r="Y4" s="1851"/>
      <c r="Z4" s="1851"/>
      <c r="AA4" s="1851"/>
      <c r="AB4" s="1850"/>
      <c r="AC4" s="1850"/>
      <c r="AD4" s="1850"/>
      <c r="AE4" s="1850"/>
      <c r="AF4" s="1850"/>
      <c r="AG4" s="1870"/>
      <c r="AH4" s="1844"/>
      <c r="AI4" s="1844"/>
      <c r="AJ4" s="1849"/>
      <c r="AK4" s="1846"/>
      <c r="AL4" s="1846"/>
      <c r="AM4" s="1844"/>
      <c r="AN4" s="1588"/>
      <c r="AO4" s="1854"/>
      <c r="AP4" s="1854"/>
      <c r="AQ4" s="35"/>
      <c r="AR4" s="35"/>
      <c r="AS4" s="1872"/>
      <c r="AT4" s="35"/>
      <c r="AU4" s="35"/>
    </row>
    <row r="5" spans="1:67" ht="26.25" customHeight="1">
      <c r="A5" s="1857"/>
      <c r="B5" s="1857"/>
      <c r="C5" s="1861"/>
      <c r="D5" s="1864"/>
      <c r="E5" s="1864"/>
      <c r="F5" s="1864"/>
      <c r="G5" s="1858"/>
      <c r="H5" s="1858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1"/>
      <c r="V5" s="1851"/>
      <c r="W5" s="1851"/>
      <c r="X5" s="1851"/>
      <c r="Y5" s="1851"/>
      <c r="Z5" s="1851"/>
      <c r="AA5" s="1851"/>
      <c r="AB5" s="1850"/>
      <c r="AC5" s="1850"/>
      <c r="AD5" s="1850"/>
      <c r="AE5" s="1850"/>
      <c r="AF5" s="1850"/>
      <c r="AG5" s="1871"/>
      <c r="AH5" s="1844"/>
      <c r="AI5" s="1844"/>
      <c r="AJ5" s="1847"/>
      <c r="AK5" s="1847"/>
      <c r="AL5" s="1847"/>
      <c r="AM5" s="1844"/>
      <c r="AN5" s="1588"/>
      <c r="AO5" s="1854"/>
      <c r="AP5" s="1854"/>
      <c r="AQ5" s="35"/>
      <c r="AR5" s="35"/>
      <c r="AS5" s="1872"/>
      <c r="AT5" s="35"/>
      <c r="AU5" s="35"/>
    </row>
    <row r="6" spans="1:67" s="47" customFormat="1">
      <c r="A6" s="348"/>
      <c r="B6" s="349"/>
      <c r="C6" s="308">
        <f t="shared" ref="C6:I6" si="0">B6+1</f>
        <v>1</v>
      </c>
      <c r="D6" s="308">
        <f t="shared" si="0"/>
        <v>2</v>
      </c>
      <c r="E6" s="308">
        <f t="shared" si="0"/>
        <v>3</v>
      </c>
      <c r="F6" s="308">
        <f t="shared" si="0"/>
        <v>4</v>
      </c>
      <c r="G6" s="308">
        <f t="shared" si="0"/>
        <v>5</v>
      </c>
      <c r="H6" s="308">
        <f t="shared" si="0"/>
        <v>6</v>
      </c>
      <c r="I6" s="308">
        <f t="shared" si="0"/>
        <v>7</v>
      </c>
      <c r="J6" s="308">
        <f>I6+1</f>
        <v>8</v>
      </c>
      <c r="K6" s="308">
        <f t="shared" ref="K6:O6" si="1">J6+1</f>
        <v>9</v>
      </c>
      <c r="L6" s="308">
        <f t="shared" si="1"/>
        <v>10</v>
      </c>
      <c r="M6" s="308">
        <f t="shared" si="1"/>
        <v>11</v>
      </c>
      <c r="N6" s="308">
        <f t="shared" si="1"/>
        <v>12</v>
      </c>
      <c r="O6" s="308">
        <f t="shared" si="1"/>
        <v>13</v>
      </c>
      <c r="P6" s="308">
        <f t="shared" ref="P6" si="2">O6+1</f>
        <v>14</v>
      </c>
      <c r="Q6" s="308">
        <f t="shared" ref="Q6" si="3">P6+1</f>
        <v>15</v>
      </c>
      <c r="R6" s="308">
        <f t="shared" ref="R6" si="4">Q6+1</f>
        <v>16</v>
      </c>
      <c r="S6" s="308">
        <f t="shared" ref="S6" si="5">R6+1</f>
        <v>17</v>
      </c>
      <c r="T6" s="308">
        <f t="shared" ref="T6" si="6">S6+1</f>
        <v>18</v>
      </c>
      <c r="U6" s="308">
        <f t="shared" ref="U6" si="7">T6+1</f>
        <v>19</v>
      </c>
      <c r="V6" s="308">
        <f t="shared" ref="V6" si="8">U6+1</f>
        <v>20</v>
      </c>
      <c r="W6" s="308">
        <f t="shared" ref="W6" si="9">V6+1</f>
        <v>21</v>
      </c>
      <c r="X6" s="308">
        <f t="shared" ref="X6" si="10">W6+1</f>
        <v>22</v>
      </c>
      <c r="Y6" s="308">
        <f t="shared" ref="Y6" si="11">X6+1</f>
        <v>23</v>
      </c>
      <c r="Z6" s="308">
        <f t="shared" ref="Z6" si="12">Y6+1</f>
        <v>24</v>
      </c>
      <c r="AA6" s="308">
        <f t="shared" ref="AA6" si="13">Z6+1</f>
        <v>25</v>
      </c>
      <c r="AB6" s="308">
        <f t="shared" ref="AB6" si="14">AA6+1</f>
        <v>26</v>
      </c>
      <c r="AC6" s="308">
        <f t="shared" ref="AC6" si="15">AB6+1</f>
        <v>27</v>
      </c>
      <c r="AD6" s="308">
        <f t="shared" ref="AD6" si="16">AC6+1</f>
        <v>28</v>
      </c>
      <c r="AE6" s="308">
        <f t="shared" ref="AE6" si="17">AD6+1</f>
        <v>29</v>
      </c>
      <c r="AF6" s="308">
        <f t="shared" ref="AF6" si="18">AE6+1</f>
        <v>30</v>
      </c>
      <c r="AG6" s="308">
        <f t="shared" ref="AG6" si="19">AF6+1</f>
        <v>31</v>
      </c>
      <c r="AH6" s="308">
        <f t="shared" ref="AH6" si="20">AG6+1</f>
        <v>32</v>
      </c>
      <c r="AI6" s="308">
        <f t="shared" ref="AI6" si="21">AH6+1</f>
        <v>33</v>
      </c>
      <c r="AJ6" s="308">
        <f t="shared" ref="AJ6" si="22">AI6+1</f>
        <v>34</v>
      </c>
      <c r="AK6" s="308">
        <f t="shared" ref="AK6" si="23">AJ6+1</f>
        <v>35</v>
      </c>
      <c r="AL6" s="308">
        <f t="shared" ref="AL6" si="24">AK6+1</f>
        <v>36</v>
      </c>
      <c r="AM6" s="308">
        <f t="shared" ref="AM6" si="25">AL6+1</f>
        <v>37</v>
      </c>
      <c r="AN6" s="1589"/>
      <c r="AO6" s="1578"/>
      <c r="AP6" s="1578"/>
      <c r="AQ6" s="1767"/>
      <c r="AR6" s="1767"/>
      <c r="AS6" s="1872"/>
      <c r="AT6" s="1767"/>
      <c r="AU6" s="1767"/>
    </row>
    <row r="7" spans="1:67">
      <c r="A7" s="99">
        <v>1</v>
      </c>
      <c r="B7" s="301" t="s">
        <v>95</v>
      </c>
      <c r="C7" s="310">
        <f>'Table 3 Levels 1&amp;2'!BW9</f>
        <v>51292686.49256479</v>
      </c>
      <c r="D7" s="361">
        <f>'[1]Adjusted Amounts'!C7</f>
        <v>0</v>
      </c>
      <c r="E7" s="361">
        <f>'[1]Adjusted Amounts'!H7</f>
        <v>0</v>
      </c>
      <c r="F7" s="361">
        <f>SUM(D7:E7)</f>
        <v>0</v>
      </c>
      <c r="G7" s="310">
        <f t="shared" ref="G7:G70" si="26">IF(F7&gt;0,F7,0)</f>
        <v>0</v>
      </c>
      <c r="H7" s="361">
        <f>IF(F7&lt;0,F7,0)</f>
        <v>0</v>
      </c>
      <c r="I7" s="361"/>
      <c r="J7" s="361">
        <f>-'Table 5C1A-Madison Prep'!H7</f>
        <v>0</v>
      </c>
      <c r="K7" s="361">
        <f>-'Table 5C1B-DArbonne'!H7</f>
        <v>0</v>
      </c>
      <c r="L7" s="361">
        <f>-'Table 5C1C-Intl_VIBE'!H7</f>
        <v>0</v>
      </c>
      <c r="M7" s="361">
        <f>-'Table 5C1D-NOMMA'!H7</f>
        <v>0</v>
      </c>
      <c r="N7" s="361">
        <f>-'Table 5C1E-LFNO'!H7</f>
        <v>0</v>
      </c>
      <c r="O7" s="363">
        <f>-'Table 5C1F-Lake Charles Charter'!H7</f>
        <v>0</v>
      </c>
      <c r="P7" s="361">
        <f>-'Table 5C1G-JS Clark Academy'!H7</f>
        <v>0</v>
      </c>
      <c r="Q7" s="361">
        <f>-'Table 5C1H-Southwest LA Charter'!H7</f>
        <v>0</v>
      </c>
      <c r="R7" s="315">
        <f>-('Table 5C2 - LA Virtual Admy'!H4+'Table 5C2 - LA Virtual Admy'!I4)</f>
        <v>-74797.671284231546</v>
      </c>
      <c r="S7" s="315">
        <f>-'Table 5C3 - LA Connections EBR'!H4-'Table 5C3 - LA Connections EBR'!I4</f>
        <v>-96168.434508297709</v>
      </c>
      <c r="T7" s="315">
        <f>-'Table 5D1 - New Vision'!G7</f>
        <v>0</v>
      </c>
      <c r="U7" s="315">
        <f>-'Table 5D2 - Glencoe'!G7</f>
        <v>0</v>
      </c>
      <c r="V7" s="315">
        <f>-'Table 5D3 - International'!G7</f>
        <v>0</v>
      </c>
      <c r="W7" s="315">
        <f>-'Table 5D4 - Avoyelles'!G7</f>
        <v>0</v>
      </c>
      <c r="X7" s="315">
        <f>-'Table 5D5 - Delhi'!G7</f>
        <v>0</v>
      </c>
      <c r="Y7" s="315">
        <f>-'Table 5D6 - Milestone'!G7</f>
        <v>0</v>
      </c>
      <c r="Z7" s="315">
        <f>-'Table 5D7 - Max'!G7</f>
        <v>0</v>
      </c>
      <c r="AA7" s="315">
        <f>-'Table 5D8 - Belle Chasse'!I7</f>
        <v>0</v>
      </c>
      <c r="AB7" s="315">
        <f>-'Table 5A4_LSDVI'!H7</f>
        <v>-10685.381612033078</v>
      </c>
      <c r="AC7" s="315">
        <f>-'Table 5A5_SSD'!H7</f>
        <v>-26713.454030082699</v>
      </c>
      <c r="AD7" s="1606">
        <f>-'Table 5A2 LSMSA'!H7</f>
        <v>-26713.454030082699</v>
      </c>
      <c r="AE7" s="1606">
        <f>-'Table 5A3 NOCCA'!H7</f>
        <v>0</v>
      </c>
      <c r="AF7" s="315">
        <f>-('Table 5F Scholarships '!Q15+'Table 5F Scholarships '!S15)</f>
        <v>-21438.778862846779</v>
      </c>
      <c r="AG7" s="315">
        <f>SUM(I7:AF7)</f>
        <v>-256517.17432757452</v>
      </c>
      <c r="AH7" s="565">
        <f>ROUND(C7+F7+AG7,0)</f>
        <v>51036169</v>
      </c>
      <c r="AI7" s="310">
        <f>ROUND(AH7/12,0)</f>
        <v>4253014</v>
      </c>
      <c r="AJ7" s="722">
        <f>'Table 4A Level 4'!G6</f>
        <v>0</v>
      </c>
      <c r="AK7" s="1575">
        <f>'Table 4A Level 4'!I6</f>
        <v>0</v>
      </c>
      <c r="AL7" s="1575">
        <f>'Table 4A Level 4'!J6</f>
        <v>0</v>
      </c>
      <c r="AM7" s="310">
        <f>AH7+AJ7+AK7+AL7</f>
        <v>51036169</v>
      </c>
      <c r="AN7" s="1579"/>
      <c r="AO7" s="1582"/>
      <c r="AP7" s="1582"/>
      <c r="AR7" s="1331"/>
      <c r="AS7" s="1329"/>
      <c r="AT7" s="283"/>
    </row>
    <row r="8" spans="1:67">
      <c r="A8" s="99">
        <v>2</v>
      </c>
      <c r="B8" s="301" t="s">
        <v>96</v>
      </c>
      <c r="C8" s="310">
        <f>'Table 3 Levels 1&amp;2'!BW10</f>
        <v>28475839.283682402</v>
      </c>
      <c r="D8" s="361">
        <f>'[1]Adjusted Amounts'!C8</f>
        <v>10338.090149683587</v>
      </c>
      <c r="E8" s="361">
        <f>'[1]Adjusted Amounts'!H8</f>
        <v>-10404.868726500528</v>
      </c>
      <c r="F8" s="361">
        <f t="shared" ref="F8:F71" si="27">SUM(D8:E8)</f>
        <v>-66.778576816941495</v>
      </c>
      <c r="G8" s="310">
        <f t="shared" si="26"/>
        <v>0</v>
      </c>
      <c r="H8" s="361">
        <f t="shared" ref="H8:H71" si="28">IF(F8&lt;0,F8,0)</f>
        <v>-66.778576816941495</v>
      </c>
      <c r="I8" s="361"/>
      <c r="J8" s="361">
        <f>-'Table 5C1A-Madison Prep'!H8</f>
        <v>0</v>
      </c>
      <c r="K8" s="361">
        <f>-'Table 5C1B-DArbonne'!H8</f>
        <v>0</v>
      </c>
      <c r="L8" s="361">
        <f>-'Table 5C1C-Intl_VIBE'!H8</f>
        <v>0</v>
      </c>
      <c r="M8" s="361">
        <f>-'Table 5C1D-NOMMA'!H8</f>
        <v>0</v>
      </c>
      <c r="N8" s="361">
        <f>-'Table 5C1E-LFNO'!H8</f>
        <v>0</v>
      </c>
      <c r="O8" s="361">
        <f>-'Table 5C1F-Lake Charles Charter'!H8</f>
        <v>0</v>
      </c>
      <c r="P8" s="361">
        <f>-'Table 5C1G-JS Clark Academy'!H8</f>
        <v>0</v>
      </c>
      <c r="Q8" s="361">
        <f>-'Table 5C1H-Southwest LA Charter'!H8</f>
        <v>0</v>
      </c>
      <c r="R8" s="315">
        <f>-('Table 5C2 - LA Virtual Admy'!H5+'Table 5C2 - LA Virtual Admy'!I5)</f>
        <v>-27897.472129005531</v>
      </c>
      <c r="S8" s="315">
        <f>-'Table 5C3 - LA Connections EBR'!H5-'Table 5C3 - LA Connections EBR'!I5</f>
        <v>-13948.736064502766</v>
      </c>
      <c r="T8" s="315">
        <f>-'Table 5D1 - New Vision'!G8</f>
        <v>0</v>
      </c>
      <c r="U8" s="315">
        <f>-'Table 5D2 - Glencoe'!G8</f>
        <v>0</v>
      </c>
      <c r="V8" s="315">
        <f>-'Table 5D3 - International'!G8</f>
        <v>0</v>
      </c>
      <c r="W8" s="315">
        <f>-'Table 5D4 - Avoyelles'!G8</f>
        <v>0</v>
      </c>
      <c r="X8" s="315">
        <f>-'Table 5D5 - Delhi'!G8</f>
        <v>0</v>
      </c>
      <c r="Y8" s="315">
        <f>-'Table 5D6 - Milestone'!G8</f>
        <v>0</v>
      </c>
      <c r="Z8" s="315">
        <f>-'Table 5D7 - Max'!G8</f>
        <v>0</v>
      </c>
      <c r="AA8" s="315">
        <f>-'Table 5D8 - Belle Chasse'!I8</f>
        <v>0</v>
      </c>
      <c r="AB8" s="315">
        <f>-'Table 5A4_LSDVI'!H8</f>
        <v>0</v>
      </c>
      <c r="AC8" s="315">
        <f>-'Table 5A5_SSD'!H8</f>
        <v>0</v>
      </c>
      <c r="AD8" s="1606">
        <f>-'Table 5A2 LSMSA'!H8</f>
        <v>0</v>
      </c>
      <c r="AE8" s="1606">
        <f>-'Table 5A3 NOCCA'!H8</f>
        <v>0</v>
      </c>
      <c r="AF8" s="315">
        <v>0</v>
      </c>
      <c r="AG8" s="315">
        <f t="shared" ref="AG8:AG71" si="29">SUM(I8:AF8)</f>
        <v>-41846.208193508297</v>
      </c>
      <c r="AH8" s="565">
        <f t="shared" ref="AH8:AH71" si="30">ROUND(C8+F8+AG8,0)</f>
        <v>28433926</v>
      </c>
      <c r="AI8" s="310">
        <f t="shared" ref="AI8:AI71" si="31">ROUND(AH8/12,0)</f>
        <v>2369494</v>
      </c>
      <c r="AJ8" s="722">
        <f>'Table 4A Level 4'!G7</f>
        <v>0</v>
      </c>
      <c r="AK8" s="1575">
        <f>'Table 4A Level 4'!I7</f>
        <v>0</v>
      </c>
      <c r="AL8" s="1575">
        <f>'Table 4A Level 4'!J7</f>
        <v>0</v>
      </c>
      <c r="AM8" s="310">
        <f t="shared" ref="AM8:AM71" si="32">AH8+AJ8+AK8+AL8</f>
        <v>28433926</v>
      </c>
      <c r="AN8" s="1579"/>
      <c r="AO8" s="1582"/>
      <c r="AP8" s="1586"/>
      <c r="AR8" s="1331"/>
      <c r="AS8" s="970"/>
      <c r="AT8" s="283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</row>
    <row r="9" spans="1:67">
      <c r="A9" s="99">
        <v>3</v>
      </c>
      <c r="B9" s="301" t="s">
        <v>97</v>
      </c>
      <c r="C9" s="310">
        <f>'Table 3 Levels 1&amp;2'!BW11</f>
        <v>98972939.724788368</v>
      </c>
      <c r="D9" s="361">
        <f>'[1]Adjusted Amounts'!C9</f>
        <v>0</v>
      </c>
      <c r="E9" s="361">
        <f>'[1]Adjusted Amounts'!H9</f>
        <v>0</v>
      </c>
      <c r="F9" s="361">
        <f t="shared" si="27"/>
        <v>0</v>
      </c>
      <c r="G9" s="310">
        <f t="shared" si="26"/>
        <v>0</v>
      </c>
      <c r="H9" s="361">
        <f t="shared" si="28"/>
        <v>0</v>
      </c>
      <c r="I9" s="361"/>
      <c r="J9" s="361">
        <f>-'Table 5C1A-Madison Prep'!H9</f>
        <v>0</v>
      </c>
      <c r="K9" s="361">
        <f>-'Table 5C1B-DArbonne'!H9</f>
        <v>0</v>
      </c>
      <c r="L9" s="361">
        <f>-'Table 5C1C-Intl_VIBE'!H9</f>
        <v>0</v>
      </c>
      <c r="M9" s="361">
        <f>-'Table 5C1D-NOMMA'!H9</f>
        <v>0</v>
      </c>
      <c r="N9" s="361">
        <f>-'Table 5C1E-LFNO'!H9</f>
        <v>0</v>
      </c>
      <c r="O9" s="361">
        <f>-'Table 5C1F-Lake Charles Charter'!H9</f>
        <v>0</v>
      </c>
      <c r="P9" s="361">
        <f>-'Table 5C1G-JS Clark Academy'!H9</f>
        <v>0</v>
      </c>
      <c r="Q9" s="361">
        <f>-'Table 5C1H-Southwest LA Charter'!H9</f>
        <v>0</v>
      </c>
      <c r="R9" s="315">
        <f>-('Table 5C2 - LA Virtual Admy'!H6+'Table 5C2 - LA Virtual Admy'!I6)</f>
        <v>-191352.10474814568</v>
      </c>
      <c r="S9" s="315">
        <f>-'Table 5C3 - LA Connections EBR'!H6-'Table 5C3 - LA Connections EBR'!I6</f>
        <v>-129162.67070499835</v>
      </c>
      <c r="T9" s="315">
        <f>-'Table 5D1 - New Vision'!G9</f>
        <v>0</v>
      </c>
      <c r="U9" s="315">
        <f>-'Table 5D2 - Glencoe'!G9</f>
        <v>0</v>
      </c>
      <c r="V9" s="315">
        <f>-'Table 5D3 - International'!G9</f>
        <v>0</v>
      </c>
      <c r="W9" s="315">
        <f>-'Table 5D4 - Avoyelles'!G9</f>
        <v>0</v>
      </c>
      <c r="X9" s="315">
        <f>-'Table 5D5 - Delhi'!G9</f>
        <v>0</v>
      </c>
      <c r="Y9" s="315">
        <f>-'Table 5D6 - Milestone'!G9</f>
        <v>0</v>
      </c>
      <c r="Z9" s="315">
        <f>-'Table 5D7 - Max'!G9</f>
        <v>-4846.1744286886151</v>
      </c>
      <c r="AA9" s="315">
        <f>-'Table 5D8 - Belle Chasse'!I9</f>
        <v>0</v>
      </c>
      <c r="AB9" s="315">
        <f>-'Table 5A4_LSDVI'!H9</f>
        <v>-33486.618330925499</v>
      </c>
      <c r="AC9" s="315">
        <f>-'Table 5A5_SSD'!H9</f>
        <v>-38270.420949629144</v>
      </c>
      <c r="AD9" s="1606">
        <f>-'Table 5A2 LSMSA'!H9</f>
        <v>-86108.447136665563</v>
      </c>
      <c r="AE9" s="1606">
        <f>-'Table 5A3 NOCCA'!H9</f>
        <v>-4783.802618703643</v>
      </c>
      <c r="AF9" s="315">
        <f>-('Table 5F Scholarships '!Q41+'Table 5F Scholarships '!S41)</f>
        <v>-309089.39356658841</v>
      </c>
      <c r="AG9" s="315">
        <f t="shared" si="29"/>
        <v>-797099.632484345</v>
      </c>
      <c r="AH9" s="565">
        <f t="shared" si="30"/>
        <v>98175840</v>
      </c>
      <c r="AI9" s="310">
        <f t="shared" si="31"/>
        <v>8181320</v>
      </c>
      <c r="AJ9" s="722">
        <f>'Table 4A Level 4'!G8</f>
        <v>0</v>
      </c>
      <c r="AK9" s="1575">
        <f>'Table 4A Level 4'!I8</f>
        <v>0</v>
      </c>
      <c r="AL9" s="1575">
        <f>'Table 4A Level 4'!J8</f>
        <v>0</v>
      </c>
      <c r="AM9" s="310">
        <f t="shared" si="32"/>
        <v>98175840</v>
      </c>
      <c r="AN9" s="1579"/>
      <c r="AO9" s="1582"/>
      <c r="AP9" s="1586"/>
      <c r="AR9" s="1331"/>
      <c r="AS9" s="970"/>
      <c r="AT9" s="283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</row>
    <row r="10" spans="1:67">
      <c r="A10" s="99">
        <v>4</v>
      </c>
      <c r="B10" s="301" t="s">
        <v>98</v>
      </c>
      <c r="C10" s="310">
        <f>'Table 3 Levels 1&amp;2'!BW12</f>
        <v>23182331.965392645</v>
      </c>
      <c r="D10" s="361">
        <f>'[1]Adjusted Amounts'!C10</f>
        <v>0</v>
      </c>
      <c r="E10" s="361">
        <f>'[1]Adjusted Amounts'!H10</f>
        <v>26804.111399455669</v>
      </c>
      <c r="F10" s="361">
        <f t="shared" si="27"/>
        <v>26804.111399455669</v>
      </c>
      <c r="G10" s="310">
        <f t="shared" si="26"/>
        <v>26804.111399455669</v>
      </c>
      <c r="H10" s="361">
        <f t="shared" si="28"/>
        <v>0</v>
      </c>
      <c r="I10" s="361"/>
      <c r="J10" s="361">
        <f>-'Table 5C1A-Madison Prep'!H10</f>
        <v>0</v>
      </c>
      <c r="K10" s="361">
        <f>-'Table 5C1B-DArbonne'!H10</f>
        <v>0</v>
      </c>
      <c r="L10" s="361">
        <f>-'Table 5C1C-Intl_VIBE'!H10</f>
        <v>0</v>
      </c>
      <c r="M10" s="361">
        <f>-'Table 5C1D-NOMMA'!H10</f>
        <v>0</v>
      </c>
      <c r="N10" s="361">
        <f>-'Table 5C1E-LFNO'!H10</f>
        <v>0</v>
      </c>
      <c r="O10" s="361">
        <f>-'Table 5C1F-Lake Charles Charter'!H10</f>
        <v>0</v>
      </c>
      <c r="P10" s="361">
        <f>-'Table 5C1G-JS Clark Academy'!H10</f>
        <v>0</v>
      </c>
      <c r="Q10" s="361">
        <f>-'Table 5C1H-Southwest LA Charter'!H10</f>
        <v>0</v>
      </c>
      <c r="R10" s="315">
        <f>-('Table 5C2 - LA Virtual Admy'!H7+'Table 5C2 - LA Virtual Admy'!I7)</f>
        <v>-19513.919627754774</v>
      </c>
      <c r="S10" s="315">
        <f>-'Table 5C3 - LA Connections EBR'!H7-'Table 5C3 - LA Connections EBR'!I7</f>
        <v>-19513.919627754774</v>
      </c>
      <c r="T10" s="315">
        <f>-'Table 5D1 - New Vision'!G10</f>
        <v>0</v>
      </c>
      <c r="U10" s="315">
        <f>-'Table 5D2 - Glencoe'!G10</f>
        <v>0</v>
      </c>
      <c r="V10" s="315">
        <f>-'Table 5D3 - International'!G10</f>
        <v>0</v>
      </c>
      <c r="W10" s="315">
        <f>-'Table 5D4 - Avoyelles'!G10</f>
        <v>0</v>
      </c>
      <c r="X10" s="315">
        <f>-'Table 5D5 - Delhi'!G10</f>
        <v>0</v>
      </c>
      <c r="Y10" s="315">
        <f>-'Table 5D6 - Milestone'!G10</f>
        <v>0</v>
      </c>
      <c r="Z10" s="315">
        <f>-'Table 5D7 - Max'!G10</f>
        <v>-13156.183371806461</v>
      </c>
      <c r="AA10" s="315">
        <f>-'Table 5D8 - Belle Chasse'!I10</f>
        <v>0</v>
      </c>
      <c r="AB10" s="315">
        <f>-'Table 5A4_LSDVI'!H10</f>
        <v>-6504.6398759182584</v>
      </c>
      <c r="AC10" s="315">
        <f>-'Table 5A5_SSD'!H10</f>
        <v>0</v>
      </c>
      <c r="AD10" s="1606">
        <f>-'Table 5A2 LSMSA'!H10</f>
        <v>0</v>
      </c>
      <c r="AE10" s="1606">
        <f>-'Table 5A3 NOCCA'!H10</f>
        <v>0</v>
      </c>
      <c r="AF10" s="315">
        <f>-('Table 5F Scholarships '!Q49+'Table 5F Scholarships '!S49)</f>
        <v>-65277.378878655465</v>
      </c>
      <c r="AG10" s="315">
        <f t="shared" si="29"/>
        <v>-123966.04138188972</v>
      </c>
      <c r="AH10" s="565">
        <f t="shared" si="30"/>
        <v>23085170</v>
      </c>
      <c r="AI10" s="310">
        <f t="shared" si="31"/>
        <v>1923764</v>
      </c>
      <c r="AJ10" s="722">
        <f>'Table 4A Level 4'!G9</f>
        <v>18000</v>
      </c>
      <c r="AK10" s="1575">
        <f>'Table 4A Level 4'!I9</f>
        <v>60000</v>
      </c>
      <c r="AL10" s="1575">
        <f>'Table 4A Level 4'!J9</f>
        <v>0</v>
      </c>
      <c r="AM10" s="310">
        <f t="shared" si="32"/>
        <v>23163170</v>
      </c>
      <c r="AN10" s="1579"/>
      <c r="AO10" s="1582"/>
      <c r="AP10" s="1586"/>
      <c r="AR10" s="1331"/>
      <c r="AS10" s="970"/>
      <c r="AT10" s="283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</row>
    <row r="11" spans="1:67">
      <c r="A11" s="100">
        <v>5</v>
      </c>
      <c r="B11" s="302" t="s">
        <v>99</v>
      </c>
      <c r="C11" s="319">
        <f>'Table 3 Levels 1&amp;2'!BW13</f>
        <v>35053820.183265157</v>
      </c>
      <c r="D11" s="362">
        <f>'[1]Adjusted Amounts'!C11</f>
        <v>-2718.3215289424334</v>
      </c>
      <c r="E11" s="362">
        <f>'[1]Adjusted Amounts'!H11</f>
        <v>-14898.652153232735</v>
      </c>
      <c r="F11" s="362">
        <f t="shared" si="27"/>
        <v>-17616.973682175169</v>
      </c>
      <c r="G11" s="319">
        <f t="shared" si="26"/>
        <v>0</v>
      </c>
      <c r="H11" s="362">
        <f t="shared" si="28"/>
        <v>-17616.973682175169</v>
      </c>
      <c r="I11" s="362"/>
      <c r="J11" s="362">
        <f>-'Table 5C1A-Madison Prep'!H11</f>
        <v>0</v>
      </c>
      <c r="K11" s="362">
        <f>-'Table 5C1B-DArbonne'!H11</f>
        <v>0</v>
      </c>
      <c r="L11" s="362">
        <f>-'Table 5C1C-Intl_VIBE'!H11</f>
        <v>0</v>
      </c>
      <c r="M11" s="362">
        <f>-'Table 5C1D-NOMMA'!H11</f>
        <v>0</v>
      </c>
      <c r="N11" s="362">
        <f>-'Table 5C1E-LFNO'!H11</f>
        <v>0</v>
      </c>
      <c r="O11" s="362">
        <f>-'Table 5C1F-Lake Charles Charter'!H11</f>
        <v>0</v>
      </c>
      <c r="P11" s="362">
        <f>-'Table 5C1G-JS Clark Academy'!H11</f>
        <v>0</v>
      </c>
      <c r="Q11" s="362">
        <f>-'Table 5C1H-Southwest LA Charter'!H11</f>
        <v>0</v>
      </c>
      <c r="R11" s="322">
        <f>-('Table 5C2 - LA Virtual Admy'!H8+'Table 5C2 - LA Virtual Admy'!I8)</f>
        <v>-108725.16870629546</v>
      </c>
      <c r="S11" s="322">
        <f>-'Table 5C3 - LA Connections EBR'!H8-'Table 5C3 - LA Connections EBR'!I8</f>
        <v>-76107.618094406818</v>
      </c>
      <c r="T11" s="322">
        <f>-'Table 5D1 - New Vision'!G11</f>
        <v>0</v>
      </c>
      <c r="U11" s="322">
        <f>-'Table 5D2 - Glencoe'!G11</f>
        <v>0</v>
      </c>
      <c r="V11" s="322">
        <f>-'Table 5D3 - International'!G11</f>
        <v>0</v>
      </c>
      <c r="W11" s="322">
        <f>-'Table 5D4 - Avoyelles'!G11</f>
        <v>-3721116.656110812</v>
      </c>
      <c r="X11" s="322">
        <f>-'Table 5D5 - Delhi'!G11</f>
        <v>0</v>
      </c>
      <c r="Y11" s="322">
        <f>-'Table 5D6 - Milestone'!G11</f>
        <v>0</v>
      </c>
      <c r="Z11" s="322">
        <f>-'Table 5D7 - Max'!G11</f>
        <v>0</v>
      </c>
      <c r="AA11" s="322">
        <f>-'Table 5D8 - Belle Chasse'!I11</f>
        <v>0</v>
      </c>
      <c r="AB11" s="322">
        <f>-'Table 5A4_LSDVI'!H11</f>
        <v>-16308.77530594432</v>
      </c>
      <c r="AC11" s="322">
        <f>-'Table 5A5_SSD'!H11</f>
        <v>-16308.77530594432</v>
      </c>
      <c r="AD11" s="322">
        <f>-'Table 5A2 LSMSA'!H11</f>
        <v>-5436.2584353147731</v>
      </c>
      <c r="AE11" s="322">
        <f>-'Table 5A3 NOCCA'!H11</f>
        <v>0</v>
      </c>
      <c r="AF11" s="322">
        <v>0</v>
      </c>
      <c r="AG11" s="322">
        <f t="shared" si="29"/>
        <v>-3944003.2519587181</v>
      </c>
      <c r="AH11" s="566">
        <f t="shared" si="30"/>
        <v>31092200</v>
      </c>
      <c r="AI11" s="319">
        <f t="shared" si="31"/>
        <v>2591017</v>
      </c>
      <c r="AJ11" s="723">
        <f>'Table 4A Level 4'!G10</f>
        <v>0</v>
      </c>
      <c r="AK11" s="723">
        <f>'Table 4A Level 4'!I10</f>
        <v>0</v>
      </c>
      <c r="AL11" s="723">
        <f>'Table 4A Level 4'!J10</f>
        <v>0</v>
      </c>
      <c r="AM11" s="319">
        <f t="shared" si="32"/>
        <v>31092200</v>
      </c>
      <c r="AN11" s="1579"/>
      <c r="AO11" s="1582"/>
      <c r="AP11" s="1582"/>
      <c r="AR11" s="1331"/>
      <c r="AS11" s="970"/>
      <c r="AT11" s="283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</row>
    <row r="12" spans="1:67">
      <c r="A12" s="99">
        <v>6</v>
      </c>
      <c r="B12" s="301" t="s">
        <v>100</v>
      </c>
      <c r="C12" s="310">
        <f>'Table 3 Levels 1&amp;2'!BW14</f>
        <v>35928624.841286182</v>
      </c>
      <c r="D12" s="361">
        <f>'[1]Adjusted Amounts'!C12</f>
        <v>-3090.6922071054432</v>
      </c>
      <c r="E12" s="361">
        <f>'[1]Adjusted Amounts'!H12</f>
        <v>-563657.08136421745</v>
      </c>
      <c r="F12" s="361">
        <f t="shared" si="27"/>
        <v>-566747.7735713229</v>
      </c>
      <c r="G12" s="310">
        <f t="shared" si="26"/>
        <v>0</v>
      </c>
      <c r="H12" s="361">
        <f t="shared" si="28"/>
        <v>-566747.7735713229</v>
      </c>
      <c r="I12" s="361"/>
      <c r="J12" s="361">
        <f>-'Table 5C1A-Madison Prep'!H12</f>
        <v>0</v>
      </c>
      <c r="K12" s="361">
        <f>-'Table 5C1B-DArbonne'!H12</f>
        <v>0</v>
      </c>
      <c r="L12" s="361">
        <f>-'Table 5C1C-Intl_VIBE'!H12</f>
        <v>0</v>
      </c>
      <c r="M12" s="361">
        <f>-'Table 5C1D-NOMMA'!H12</f>
        <v>0</v>
      </c>
      <c r="N12" s="361">
        <f>-'Table 5C1E-LFNO'!H12</f>
        <v>0</v>
      </c>
      <c r="O12" s="361">
        <f>-'Table 5C1F-Lake Charles Charter'!H12</f>
        <v>0</v>
      </c>
      <c r="P12" s="361">
        <f>-'Table 5C1G-JS Clark Academy'!H12</f>
        <v>0</v>
      </c>
      <c r="Q12" s="361">
        <f>-'Table 5C1H-Southwest LA Charter'!H12</f>
        <v>0</v>
      </c>
      <c r="R12" s="315">
        <f>-('Table 5C2 - LA Virtual Admy'!H9+'Table 5C2 - LA Virtual Admy'!I9)</f>
        <v>-100729.35152141575</v>
      </c>
      <c r="S12" s="315">
        <f>-'Table 5C3 - LA Connections EBR'!H9-'Table 5C3 - LA Connections EBR'!I9</f>
        <v>-130355.63138065569</v>
      </c>
      <c r="T12" s="315">
        <f>-'Table 5D1 - New Vision'!G12</f>
        <v>0</v>
      </c>
      <c r="U12" s="315">
        <f>-'Table 5D2 - Glencoe'!G12</f>
        <v>0</v>
      </c>
      <c r="V12" s="315">
        <f>-'Table 5D3 - International'!G12</f>
        <v>0</v>
      </c>
      <c r="W12" s="315">
        <f>-'Table 5D4 - Avoyelles'!G12</f>
        <v>0</v>
      </c>
      <c r="X12" s="315">
        <f>-'Table 5D5 - Delhi'!G12</f>
        <v>0</v>
      </c>
      <c r="Y12" s="315">
        <f>-'Table 5D6 - Milestone'!G12</f>
        <v>0</v>
      </c>
      <c r="Z12" s="315">
        <f>-'Table 5D7 - Max'!G12</f>
        <v>0</v>
      </c>
      <c r="AA12" s="315">
        <f>-'Table 5D8 - Belle Chasse'!I12</f>
        <v>0</v>
      </c>
      <c r="AB12" s="315">
        <f>-'Table 5A4_LSDVI'!H12</f>
        <v>0</v>
      </c>
      <c r="AC12" s="315">
        <f>-'Table 5A5_SSD'!H12</f>
        <v>-5925.2559718479852</v>
      </c>
      <c r="AD12" s="1606">
        <f>-'Table 5A2 LSMSA'!H12</f>
        <v>-35551.535831087909</v>
      </c>
      <c r="AE12" s="1606">
        <f>-'Table 5A3 NOCCA'!H12</f>
        <v>0</v>
      </c>
      <c r="AF12" s="315">
        <f>-('Table 5F Scholarships '!Q51+'Table 5F Scholarships '!S51)</f>
        <v>0</v>
      </c>
      <c r="AG12" s="315">
        <f t="shared" si="29"/>
        <v>-272561.77470500732</v>
      </c>
      <c r="AH12" s="565">
        <f t="shared" si="30"/>
        <v>35089315</v>
      </c>
      <c r="AI12" s="310">
        <f t="shared" si="31"/>
        <v>2924110</v>
      </c>
      <c r="AJ12" s="722">
        <f>'Table 4A Level 4'!G11</f>
        <v>0</v>
      </c>
      <c r="AK12" s="1575">
        <f>'Table 4A Level 4'!I11</f>
        <v>0</v>
      </c>
      <c r="AL12" s="1575">
        <f>'Table 4A Level 4'!J11</f>
        <v>0</v>
      </c>
      <c r="AM12" s="310">
        <f t="shared" si="32"/>
        <v>35089315</v>
      </c>
      <c r="AN12" s="1579"/>
      <c r="AO12" s="1582"/>
      <c r="AP12" s="1586"/>
      <c r="AR12" s="1331"/>
      <c r="AS12" s="970"/>
      <c r="AT12" s="283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</row>
    <row r="13" spans="1:67">
      <c r="A13" s="99">
        <v>7</v>
      </c>
      <c r="B13" s="301" t="s">
        <v>101</v>
      </c>
      <c r="C13" s="310">
        <f>'Table 3 Levels 1&amp;2'!BW15</f>
        <v>5427218.6909999996</v>
      </c>
      <c r="D13" s="361">
        <f>'[1]Adjusted Amounts'!C13</f>
        <v>-1148.4454043616533</v>
      </c>
      <c r="E13" s="361">
        <f>'[1]Adjusted Amounts'!H13</f>
        <v>231.94927088567465</v>
      </c>
      <c r="F13" s="361">
        <f t="shared" si="27"/>
        <v>-916.4961334759787</v>
      </c>
      <c r="G13" s="310">
        <f t="shared" si="26"/>
        <v>0</v>
      </c>
      <c r="H13" s="361">
        <f t="shared" si="28"/>
        <v>-916.4961334759787</v>
      </c>
      <c r="I13" s="361"/>
      <c r="J13" s="361">
        <f>-'Table 5C1A-Madison Prep'!H13</f>
        <v>0</v>
      </c>
      <c r="K13" s="361">
        <f>-'Table 5C1B-DArbonne'!H13</f>
        <v>0</v>
      </c>
      <c r="L13" s="361">
        <f>-'Table 5C1C-Intl_VIBE'!H13</f>
        <v>0</v>
      </c>
      <c r="M13" s="361">
        <f>-'Table 5C1D-NOMMA'!H13</f>
        <v>0</v>
      </c>
      <c r="N13" s="361">
        <f>-'Table 5C1E-LFNO'!H13</f>
        <v>0</v>
      </c>
      <c r="O13" s="361">
        <f>-'Table 5C1F-Lake Charles Charter'!H13</f>
        <v>0</v>
      </c>
      <c r="P13" s="361">
        <f>-'Table 5C1G-JS Clark Academy'!H13</f>
        <v>0</v>
      </c>
      <c r="Q13" s="361">
        <f>-'Table 5C1H-Southwest LA Charter'!H13</f>
        <v>0</v>
      </c>
      <c r="R13" s="315">
        <f>-('Table 5C2 - LA Virtual Admy'!H10+'Table 5C2 - LA Virtual Admy'!I10)</f>
        <v>-9820.2207055630934</v>
      </c>
      <c r="S13" s="315">
        <f>-'Table 5C3 - LA Connections EBR'!H10-'Table 5C3 - LA Connections EBR'!I10</f>
        <v>-19640.441411126187</v>
      </c>
      <c r="T13" s="315">
        <f>-'Table 5D1 - New Vision'!G13</f>
        <v>0</v>
      </c>
      <c r="U13" s="315">
        <f>-'Table 5D2 - Glencoe'!G13</f>
        <v>0</v>
      </c>
      <c r="V13" s="315">
        <f>-'Table 5D3 - International'!G13</f>
        <v>0</v>
      </c>
      <c r="W13" s="315">
        <f>-'Table 5D4 - Avoyelles'!G13</f>
        <v>0</v>
      </c>
      <c r="X13" s="315">
        <f>-'Table 5D5 - Delhi'!G13</f>
        <v>0</v>
      </c>
      <c r="Y13" s="315">
        <f>-'Table 5D6 - Milestone'!G13</f>
        <v>0</v>
      </c>
      <c r="Z13" s="315">
        <f>-'Table 5D7 - Max'!G13</f>
        <v>0</v>
      </c>
      <c r="AA13" s="315">
        <f>-'Table 5D8 - Belle Chasse'!I13</f>
        <v>0</v>
      </c>
      <c r="AB13" s="315">
        <f>-'Table 5A4_LSDVI'!H13</f>
        <v>0</v>
      </c>
      <c r="AC13" s="315">
        <f>-'Table 5A5_SSD'!H13</f>
        <v>-2455.0551763907733</v>
      </c>
      <c r="AD13" s="1606">
        <f>-'Table 5A2 LSMSA'!H13</f>
        <v>0</v>
      </c>
      <c r="AE13" s="1606">
        <f>-'Table 5A3 NOCCA'!H13</f>
        <v>0</v>
      </c>
      <c r="AF13" s="315">
        <f>-('Table 5F Scholarships '!Q58+'Table 5F Scholarships '!S58)</f>
        <v>-17464.963393539168</v>
      </c>
      <c r="AG13" s="315">
        <f t="shared" si="29"/>
        <v>-49380.68068661922</v>
      </c>
      <c r="AH13" s="565">
        <f t="shared" si="30"/>
        <v>5376922</v>
      </c>
      <c r="AI13" s="310">
        <f t="shared" si="31"/>
        <v>448077</v>
      </c>
      <c r="AJ13" s="722">
        <f>'Table 4A Level 4'!G12</f>
        <v>0</v>
      </c>
      <c r="AK13" s="1575">
        <f>'Table 4A Level 4'!I12</f>
        <v>0</v>
      </c>
      <c r="AL13" s="1575">
        <f>'Table 4A Level 4'!J12</f>
        <v>0</v>
      </c>
      <c r="AM13" s="310">
        <f t="shared" si="32"/>
        <v>5376922</v>
      </c>
      <c r="AN13" s="1579"/>
      <c r="AO13" s="1582"/>
      <c r="AP13" s="1582"/>
      <c r="AR13" s="1331"/>
      <c r="AS13" s="970"/>
      <c r="AT13" s="283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</row>
    <row r="14" spans="1:67">
      <c r="A14" s="99">
        <v>8</v>
      </c>
      <c r="B14" s="301" t="s">
        <v>102</v>
      </c>
      <c r="C14" s="310">
        <f>'Table 3 Levels 1&amp;2'!BW16</f>
        <v>105329846.26452117</v>
      </c>
      <c r="D14" s="361">
        <f>'[1]Adjusted Amounts'!C14</f>
        <v>0</v>
      </c>
      <c r="E14" s="361">
        <f>'[1]Adjusted Amounts'!H14</f>
        <v>277.97634458447101</v>
      </c>
      <c r="F14" s="361">
        <f t="shared" si="27"/>
        <v>277.97634458447101</v>
      </c>
      <c r="G14" s="310">
        <f t="shared" si="26"/>
        <v>277.97634458447101</v>
      </c>
      <c r="H14" s="361">
        <f t="shared" si="28"/>
        <v>0</v>
      </c>
      <c r="I14" s="361"/>
      <c r="J14" s="361">
        <f>-'Table 5C1A-Madison Prep'!H14</f>
        <v>0</v>
      </c>
      <c r="K14" s="361">
        <f>-'Table 5C1B-DArbonne'!H14</f>
        <v>0</v>
      </c>
      <c r="L14" s="361">
        <f>-'Table 5C1C-Intl_VIBE'!H14</f>
        <v>0</v>
      </c>
      <c r="M14" s="361">
        <f>-'Table 5C1D-NOMMA'!H14</f>
        <v>0</v>
      </c>
      <c r="N14" s="361">
        <f>-'Table 5C1E-LFNO'!H14</f>
        <v>0</v>
      </c>
      <c r="O14" s="361">
        <f>-'Table 5C1F-Lake Charles Charter'!H14</f>
        <v>0</v>
      </c>
      <c r="P14" s="361">
        <f>-'Table 5C1G-JS Clark Academy'!H14</f>
        <v>0</v>
      </c>
      <c r="Q14" s="361">
        <f>-'Table 5C1H-Southwest LA Charter'!H14</f>
        <v>0</v>
      </c>
      <c r="R14" s="315">
        <f>-('Table 5C2 - LA Virtual Admy'!H11+'Table 5C2 - LA Virtual Admy'!I11)</f>
        <v>-173796.62622251641</v>
      </c>
      <c r="S14" s="315">
        <f>-'Table 5C3 - LA Connections EBR'!H11-'Table 5C3 - LA Connections EBR'!I11</f>
        <v>-223452.80514323537</v>
      </c>
      <c r="T14" s="315">
        <f>-'Table 5D1 - New Vision'!G14</f>
        <v>0</v>
      </c>
      <c r="U14" s="315">
        <f>-'Table 5D2 - Glencoe'!G14</f>
        <v>0</v>
      </c>
      <c r="V14" s="315">
        <f>-'Table 5D3 - International'!G14</f>
        <v>0</v>
      </c>
      <c r="W14" s="315">
        <f>-'Table 5D4 - Avoyelles'!G14</f>
        <v>0</v>
      </c>
      <c r="X14" s="315">
        <f>-'Table 5D5 - Delhi'!G14</f>
        <v>0</v>
      </c>
      <c r="Y14" s="315">
        <f>-'Table 5D6 - Milestone'!G14</f>
        <v>0</v>
      </c>
      <c r="Z14" s="315">
        <f>-'Table 5D7 - Max'!G14</f>
        <v>0</v>
      </c>
      <c r="AA14" s="315">
        <f>-'Table 5D8 - Belle Chasse'!I14</f>
        <v>0</v>
      </c>
      <c r="AB14" s="315">
        <f>-'Table 5A4_LSDVI'!H14</f>
        <v>-4965.6178920718976</v>
      </c>
      <c r="AC14" s="315">
        <f>-'Table 5A5_SSD'!H14</f>
        <v>-39724.943136575181</v>
      </c>
      <c r="AD14" s="1606">
        <f>-'Table 5A2 LSMSA'!H14</f>
        <v>-59587.414704862764</v>
      </c>
      <c r="AE14" s="1606">
        <f>-'Table 5A3 NOCCA'!H14</f>
        <v>0</v>
      </c>
      <c r="AF14" s="315">
        <f>-('Table 5F Scholarships '!Q61+'Table 5F Scholarships '!S61)</f>
        <v>-9786.7352131214357</v>
      </c>
      <c r="AG14" s="315">
        <f t="shared" si="29"/>
        <v>-511314.14231238305</v>
      </c>
      <c r="AH14" s="565">
        <f t="shared" si="30"/>
        <v>104818810</v>
      </c>
      <c r="AI14" s="310">
        <f t="shared" si="31"/>
        <v>8734901</v>
      </c>
      <c r="AJ14" s="310">
        <f>'Table 4A Level 4'!G13</f>
        <v>12000</v>
      </c>
      <c r="AK14" s="1576">
        <f>'Table 4A Level 4'!I13</f>
        <v>80000</v>
      </c>
      <c r="AL14" s="1576">
        <f>'Table 4A Level 4'!J13</f>
        <v>0</v>
      </c>
      <c r="AM14" s="310">
        <f t="shared" si="32"/>
        <v>104910810</v>
      </c>
      <c r="AN14" s="1579"/>
      <c r="AO14" s="1582"/>
      <c r="AP14" s="1582"/>
      <c r="AR14" s="1331"/>
      <c r="AS14" s="970"/>
      <c r="AT14" s="283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</row>
    <row r="15" spans="1:67">
      <c r="A15" s="99">
        <v>9</v>
      </c>
      <c r="B15" s="301" t="s">
        <v>103</v>
      </c>
      <c r="C15" s="310">
        <f>'Table 3 Levels 1&amp;2'!BW17</f>
        <v>209331020.40174183</v>
      </c>
      <c r="D15" s="361">
        <f>'[1]Adjusted Amounts'!C15</f>
        <v>-15389.013847659691</v>
      </c>
      <c r="E15" s="361">
        <f>'[1]Adjusted Amounts'!H15</f>
        <v>-270388.85270580422</v>
      </c>
      <c r="F15" s="361">
        <f t="shared" si="27"/>
        <v>-285777.86655346391</v>
      </c>
      <c r="G15" s="310">
        <f t="shared" si="26"/>
        <v>0</v>
      </c>
      <c r="H15" s="361">
        <f t="shared" si="28"/>
        <v>-285777.86655346391</v>
      </c>
      <c r="I15" s="361">
        <f>-'Table 5B2_RSD_LA'!H30</f>
        <v>-3344452.8</v>
      </c>
      <c r="J15" s="361">
        <f>-'Table 5C1A-Madison Prep'!H15</f>
        <v>0</v>
      </c>
      <c r="K15" s="361">
        <f>-'Table 5C1B-DArbonne'!H15</f>
        <v>0</v>
      </c>
      <c r="L15" s="361">
        <f>-'Table 5C1C-Intl_VIBE'!H15</f>
        <v>0</v>
      </c>
      <c r="M15" s="361">
        <f>-'Table 5C1D-NOMMA'!H15</f>
        <v>0</v>
      </c>
      <c r="N15" s="361">
        <f>-'Table 5C1E-LFNO'!H15</f>
        <v>0</v>
      </c>
      <c r="O15" s="361">
        <f>-'Table 5C1F-Lake Charles Charter'!H15</f>
        <v>0</v>
      </c>
      <c r="P15" s="361">
        <f>-'Table 5C1G-JS Clark Academy'!H15</f>
        <v>0</v>
      </c>
      <c r="Q15" s="361">
        <f>-'Table 5C1H-Southwest LA Charter'!H15</f>
        <v>0</v>
      </c>
      <c r="R15" s="315">
        <f>-('Table 5C2 - LA Virtual Admy'!H12+'Table 5C2 - LA Virtual Admy'!I12)</f>
        <v>-444225.07001574524</v>
      </c>
      <c r="S15" s="315">
        <f>-'Table 5C3 - LA Connections EBR'!H12-'Table 5C3 - LA Connections EBR'!I12</f>
        <v>-331892.29368992458</v>
      </c>
      <c r="T15" s="315">
        <f>-'Table 5D1 - New Vision'!G15</f>
        <v>0</v>
      </c>
      <c r="U15" s="315">
        <f>-'Table 5D2 - Glencoe'!G15</f>
        <v>0</v>
      </c>
      <c r="V15" s="315">
        <f>-'Table 5D3 - International'!G15</f>
        <v>0</v>
      </c>
      <c r="W15" s="315">
        <f>-'Table 5D4 - Avoyelles'!G15</f>
        <v>0</v>
      </c>
      <c r="X15" s="315">
        <f>-'Table 5D5 - Delhi'!G15</f>
        <v>0</v>
      </c>
      <c r="Y15" s="315">
        <f>-'Table 5D6 - Milestone'!G15</f>
        <v>0</v>
      </c>
      <c r="Z15" s="315">
        <f>-'Table 5D7 - Max'!G15</f>
        <v>0</v>
      </c>
      <c r="AA15" s="315">
        <f>-'Table 5D8 - Belle Chasse'!I15</f>
        <v>0</v>
      </c>
      <c r="AB15" s="315">
        <f>-'Table 5A4_LSDVI'!H15</f>
        <v>-35742.247012761116</v>
      </c>
      <c r="AC15" s="315">
        <f>-'Table 5A5_SSD'!H15</f>
        <v>-158287.09391365634</v>
      </c>
      <c r="AD15" s="1606">
        <f>-'Table 5A2 LSMSA'!H15</f>
        <v>-20424.141150149208</v>
      </c>
      <c r="AE15" s="1606">
        <f>-'Table 5A3 NOCCA'!H15</f>
        <v>0</v>
      </c>
      <c r="AF15" s="315">
        <f>-('Table 5F Scholarships '!Q79+'Table 5F Scholarships '!S79)</f>
        <v>-425417.67689939961</v>
      </c>
      <c r="AG15" s="315">
        <f t="shared" si="29"/>
        <v>-4760441.3226816365</v>
      </c>
      <c r="AH15" s="568">
        <f t="shared" si="30"/>
        <v>204284801</v>
      </c>
      <c r="AI15" s="310">
        <f t="shared" si="31"/>
        <v>17023733</v>
      </c>
      <c r="AJ15" s="310">
        <f>'Table 4A Level 4'!G14</f>
        <v>20000</v>
      </c>
      <c r="AK15" s="1576">
        <f>'Table 4A Level 4'!I14</f>
        <v>280000</v>
      </c>
      <c r="AL15" s="1576">
        <f>'Table 4A Level 4'!J14</f>
        <v>0</v>
      </c>
      <c r="AM15" s="361">
        <f t="shared" si="32"/>
        <v>204584801</v>
      </c>
      <c r="AN15" s="1580"/>
      <c r="AO15" s="1583"/>
      <c r="AP15" s="1583"/>
      <c r="AR15" s="1331"/>
      <c r="AS15" s="970"/>
      <c r="AT15" s="283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</row>
    <row r="16" spans="1:67">
      <c r="A16" s="100">
        <v>10</v>
      </c>
      <c r="B16" s="302" t="s">
        <v>104</v>
      </c>
      <c r="C16" s="319">
        <f>'Table 3 Levels 1&amp;2'!BW18</f>
        <v>153643470.24083254</v>
      </c>
      <c r="D16" s="362">
        <f>'[1]Adjusted Amounts'!C16</f>
        <v>-41821.566594872507</v>
      </c>
      <c r="E16" s="362">
        <f>'[1]Adjusted Amounts'!H16</f>
        <v>-69226.005757263818</v>
      </c>
      <c r="F16" s="362">
        <f t="shared" si="27"/>
        <v>-111047.57235213633</v>
      </c>
      <c r="G16" s="319">
        <f t="shared" si="26"/>
        <v>0</v>
      </c>
      <c r="H16" s="362">
        <f t="shared" si="28"/>
        <v>-111047.57235213633</v>
      </c>
      <c r="I16" s="362"/>
      <c r="J16" s="58">
        <f>-'Table 5C1A-Madison Prep'!H16</f>
        <v>0</v>
      </c>
      <c r="K16" s="58">
        <f>-'Table 5C1B-DArbonne'!H16</f>
        <v>0</v>
      </c>
      <c r="L16" s="362">
        <f>-'Table 5C1C-Intl_VIBE'!H16</f>
        <v>0</v>
      </c>
      <c r="M16" s="362">
        <f>-'Table 5C1D-NOMMA'!H16</f>
        <v>0</v>
      </c>
      <c r="N16" s="362">
        <f>-'Table 5C1E-LFNO'!H16</f>
        <v>0</v>
      </c>
      <c r="O16" s="362">
        <f>-'Table 5C1F-Lake Charles Charter'!H16</f>
        <v>-3614565.6447943095</v>
      </c>
      <c r="P16" s="362">
        <f>-'Table 5C1G-JS Clark Academy'!H16</f>
        <v>0</v>
      </c>
      <c r="Q16" s="362">
        <f>-'Table 5C1H-Southwest LA Charter'!H16</f>
        <v>-2503864.6784469187</v>
      </c>
      <c r="R16" s="322">
        <f>-('Table 5C2 - LA Virtual Admy'!H13+'Table 5C2 - LA Virtual Admy'!I13)</f>
        <v>-272887.73742155713</v>
      </c>
      <c r="S16" s="322">
        <f>-'Table 5C3 - LA Connections EBR'!H13-'Table 5C3 - LA Connections EBR'!I13</f>
        <v>-253737.72076039523</v>
      </c>
      <c r="T16" s="322">
        <f>-'Table 5D1 - New Vision'!G16</f>
        <v>0</v>
      </c>
      <c r="U16" s="322">
        <f>-'Table 5D2 - Glencoe'!G16</f>
        <v>0</v>
      </c>
      <c r="V16" s="322">
        <f>-'Table 5D3 - International'!G16</f>
        <v>0</v>
      </c>
      <c r="W16" s="322">
        <f>-'Table 5D4 - Avoyelles'!G16</f>
        <v>0</v>
      </c>
      <c r="X16" s="322">
        <f>-'Table 5D5 - Delhi'!G16</f>
        <v>0</v>
      </c>
      <c r="Y16" s="322">
        <f>-'Table 5D6 - Milestone'!G16</f>
        <v>0</v>
      </c>
      <c r="Z16" s="322">
        <f>-'Table 5D7 - Max'!G16</f>
        <v>0</v>
      </c>
      <c r="AA16" s="322">
        <f>-'Table 5D8 - Belle Chasse'!I16</f>
        <v>0</v>
      </c>
      <c r="AB16" s="322">
        <f>-'Table 5A4_LSDVI'!H16</f>
        <v>-52662.545818195234</v>
      </c>
      <c r="AC16" s="322">
        <f>-'Table 5A5_SSD'!H16</f>
        <v>-14362.512495871428</v>
      </c>
      <c r="AD16" s="322">
        <f>-'Table 5A2 LSMSA'!H16</f>
        <v>-57450.049983485711</v>
      </c>
      <c r="AE16" s="322">
        <f>-'Table 5A3 NOCCA'!H16</f>
        <v>0</v>
      </c>
      <c r="AF16" s="322">
        <f>-('Table 5F Scholarships '!Q91+'Table 5F Scholarships '!S91)</f>
        <v>-105412.16339000981</v>
      </c>
      <c r="AG16" s="322">
        <f t="shared" si="29"/>
        <v>-6874943.0531107429</v>
      </c>
      <c r="AH16" s="566">
        <f t="shared" si="30"/>
        <v>146657480</v>
      </c>
      <c r="AI16" s="319">
        <f t="shared" si="31"/>
        <v>12221457</v>
      </c>
      <c r="AJ16" s="319">
        <f>'Table 4A Level 4'!G15</f>
        <v>98000</v>
      </c>
      <c r="AK16" s="319">
        <f>'Table 4A Level 4'!I15</f>
        <v>540000</v>
      </c>
      <c r="AL16" s="319">
        <f>'Table 4A Level 4'!J15</f>
        <v>0</v>
      </c>
      <c r="AM16" s="319">
        <f t="shared" si="32"/>
        <v>147295480</v>
      </c>
      <c r="AN16" s="1579"/>
      <c r="AO16" s="1582"/>
      <c r="AP16" s="1586"/>
      <c r="AR16" s="1331"/>
      <c r="AS16" s="970"/>
      <c r="AT16" s="283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</row>
    <row r="17" spans="1:67">
      <c r="A17" s="99">
        <v>11</v>
      </c>
      <c r="B17" s="301" t="s">
        <v>105</v>
      </c>
      <c r="C17" s="310">
        <f>'Table 3 Levels 1&amp;2'!BW19</f>
        <v>11801337.719128102</v>
      </c>
      <c r="D17" s="361">
        <f>'[1]Adjusted Amounts'!C17</f>
        <v>0</v>
      </c>
      <c r="E17" s="361">
        <f>'[1]Adjusted Amounts'!H17</f>
        <v>0</v>
      </c>
      <c r="F17" s="361">
        <f t="shared" si="27"/>
        <v>0</v>
      </c>
      <c r="G17" s="310">
        <f t="shared" si="26"/>
        <v>0</v>
      </c>
      <c r="H17" s="361">
        <f t="shared" si="28"/>
        <v>0</v>
      </c>
      <c r="I17" s="361"/>
      <c r="J17" s="361">
        <f>-'Table 5C1A-Madison Prep'!H17</f>
        <v>0</v>
      </c>
      <c r="K17" s="361">
        <f>-'Table 5C1B-DArbonne'!H17</f>
        <v>0</v>
      </c>
      <c r="L17" s="361">
        <f>-'Table 5C1C-Intl_VIBE'!H17</f>
        <v>0</v>
      </c>
      <c r="M17" s="361">
        <f>-'Table 5C1D-NOMMA'!H17</f>
        <v>0</v>
      </c>
      <c r="N17" s="361">
        <f>-'Table 5C1E-LFNO'!H17</f>
        <v>0</v>
      </c>
      <c r="O17" s="361">
        <f>-'Table 5C1F-Lake Charles Charter'!H17</f>
        <v>0</v>
      </c>
      <c r="P17" s="361">
        <f>-'Table 5C1G-JS Clark Academy'!H17</f>
        <v>0</v>
      </c>
      <c r="Q17" s="361">
        <f>-'Table 5C1H-Southwest LA Charter'!H17</f>
        <v>0</v>
      </c>
      <c r="R17" s="315">
        <f>-('Table 5C2 - LA Virtual Admy'!H14+'Table 5C2 - LA Virtual Admy'!I14)</f>
        <v>-52721.005296041294</v>
      </c>
      <c r="S17" s="315">
        <f>-'Table 5C3 - LA Connections EBR'!H14-'Table 5C3 - LA Connections EBR'!I14</f>
        <v>-15063.144370297514</v>
      </c>
      <c r="T17" s="315">
        <f>-'Table 5D1 - New Vision'!G17</f>
        <v>0</v>
      </c>
      <c r="U17" s="315">
        <f>-'Table 5D2 - Glencoe'!G17</f>
        <v>0</v>
      </c>
      <c r="V17" s="315">
        <f>-'Table 5D3 - International'!G17</f>
        <v>0</v>
      </c>
      <c r="W17" s="315">
        <f>-'Table 5D4 - Avoyelles'!G17</f>
        <v>0</v>
      </c>
      <c r="X17" s="315">
        <f>-'Table 5D5 - Delhi'!G17</f>
        <v>0</v>
      </c>
      <c r="Y17" s="315">
        <f>-'Table 5D6 - Milestone'!G17</f>
        <v>0</v>
      </c>
      <c r="Z17" s="315">
        <f>-'Table 5D7 - Max'!G17</f>
        <v>0</v>
      </c>
      <c r="AA17" s="315">
        <f>-'Table 5D8 - Belle Chasse'!I17</f>
        <v>0</v>
      </c>
      <c r="AB17" s="315">
        <f>-'Table 5A4_LSDVI'!H17</f>
        <v>0</v>
      </c>
      <c r="AC17" s="315">
        <f>-'Table 5A5_SSD'!H17</f>
        <v>-7531.5721851487569</v>
      </c>
      <c r="AD17" s="1606">
        <f>-'Table 5A2 LSMSA'!H17</f>
        <v>-15063.144370297514</v>
      </c>
      <c r="AE17" s="1606">
        <f>-'Table 5A3 NOCCA'!H17</f>
        <v>0</v>
      </c>
      <c r="AF17" s="315">
        <f>-('Table 5F Scholarships '!Q99+'Table 5F Scholarships '!S99)</f>
        <v>-104734.4807680083</v>
      </c>
      <c r="AG17" s="315">
        <f t="shared" si="29"/>
        <v>-195113.34698979338</v>
      </c>
      <c r="AH17" s="565">
        <f t="shared" si="30"/>
        <v>11606224</v>
      </c>
      <c r="AI17" s="310">
        <f t="shared" si="31"/>
        <v>967185</v>
      </c>
      <c r="AJ17" s="310">
        <f>'Table 4A Level 4'!G16</f>
        <v>0</v>
      </c>
      <c r="AK17" s="1576">
        <f>'Table 4A Level 4'!I16</f>
        <v>0</v>
      </c>
      <c r="AL17" s="1576">
        <f>'Table 4A Level 4'!J16</f>
        <v>0</v>
      </c>
      <c r="AM17" s="310">
        <f t="shared" si="32"/>
        <v>11606224</v>
      </c>
      <c r="AN17" s="1579"/>
      <c r="AO17" s="1582"/>
      <c r="AP17" s="1582"/>
      <c r="AR17" s="1331"/>
      <c r="AS17" s="970"/>
      <c r="AT17" s="283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</row>
    <row r="18" spans="1:67">
      <c r="A18" s="99">
        <v>12</v>
      </c>
      <c r="B18" s="301" t="s">
        <v>106</v>
      </c>
      <c r="C18" s="310">
        <f>'Table 3 Levels 1&amp;2'!BW20</f>
        <v>3340043.8089999999</v>
      </c>
      <c r="D18" s="361">
        <f>'[1]Adjusted Amounts'!C18</f>
        <v>0</v>
      </c>
      <c r="E18" s="361">
        <f>'[1]Adjusted Amounts'!H18</f>
        <v>0</v>
      </c>
      <c r="F18" s="361">
        <f t="shared" si="27"/>
        <v>0</v>
      </c>
      <c r="G18" s="310">
        <f t="shared" si="26"/>
        <v>0</v>
      </c>
      <c r="H18" s="361">
        <f t="shared" si="28"/>
        <v>0</v>
      </c>
      <c r="I18" s="361"/>
      <c r="J18" s="361">
        <f>-'Table 5C1A-Madison Prep'!H18</f>
        <v>0</v>
      </c>
      <c r="K18" s="361">
        <f>-'Table 5C1B-DArbonne'!H18</f>
        <v>0</v>
      </c>
      <c r="L18" s="361">
        <f>-'Table 5C1C-Intl_VIBE'!H18</f>
        <v>0</v>
      </c>
      <c r="M18" s="361">
        <f>-'Table 5C1D-NOMMA'!H18</f>
        <v>0</v>
      </c>
      <c r="N18" s="361">
        <f>-'Table 5C1E-LFNO'!H18</f>
        <v>0</v>
      </c>
      <c r="O18" s="361">
        <f>-'Table 5C1F-Lake Charles Charter'!H18</f>
        <v>0</v>
      </c>
      <c r="P18" s="361">
        <f>-'Table 5C1G-JS Clark Academy'!H18</f>
        <v>0</v>
      </c>
      <c r="Q18" s="361">
        <f>-'Table 5C1H-Southwest LA Charter'!H18</f>
        <v>0</v>
      </c>
      <c r="R18" s="315">
        <f>-('Table 5C2 - LA Virtual Admy'!H15+'Table 5C2 - LA Virtual Admy'!I15)</f>
        <v>0</v>
      </c>
      <c r="S18" s="315">
        <f>-'Table 5C3 - LA Connections EBR'!H15-'Table 5C3 - LA Connections EBR'!I15</f>
        <v>-2751.359258649094</v>
      </c>
      <c r="T18" s="315">
        <f>-'Table 5D1 - New Vision'!G18</f>
        <v>0</v>
      </c>
      <c r="U18" s="315">
        <f>-'Table 5D2 - Glencoe'!G18</f>
        <v>0</v>
      </c>
      <c r="V18" s="315">
        <f>-'Table 5D3 - International'!G18</f>
        <v>0</v>
      </c>
      <c r="W18" s="315">
        <f>-'Table 5D4 - Avoyelles'!G18</f>
        <v>0</v>
      </c>
      <c r="X18" s="315">
        <f>-'Table 5D5 - Delhi'!G18</f>
        <v>0</v>
      </c>
      <c r="Y18" s="315">
        <f>-'Table 5D6 - Milestone'!G18</f>
        <v>0</v>
      </c>
      <c r="Z18" s="315">
        <f>-'Table 5D7 - Max'!G18</f>
        <v>0</v>
      </c>
      <c r="AA18" s="315">
        <f>-'Table 5D8 - Belle Chasse'!I18</f>
        <v>0</v>
      </c>
      <c r="AB18" s="315">
        <f>-'Table 5A4_LSDVI'!H18</f>
        <v>-2751.359258649094</v>
      </c>
      <c r="AC18" s="315">
        <f>-'Table 5A5_SSD'!H18</f>
        <v>0</v>
      </c>
      <c r="AD18" s="1606">
        <f>-'Table 5A2 LSMSA'!H18</f>
        <v>0</v>
      </c>
      <c r="AE18" s="1606">
        <f>-'Table 5A3 NOCCA'!H18</f>
        <v>0</v>
      </c>
      <c r="AF18" s="315">
        <v>0</v>
      </c>
      <c r="AG18" s="315">
        <f t="shared" si="29"/>
        <v>-5502.7185172981881</v>
      </c>
      <c r="AH18" s="565">
        <f t="shared" si="30"/>
        <v>3334541</v>
      </c>
      <c r="AI18" s="310">
        <f t="shared" si="31"/>
        <v>277878</v>
      </c>
      <c r="AJ18" s="310">
        <f>'Table 4A Level 4'!G17</f>
        <v>0</v>
      </c>
      <c r="AK18" s="1576">
        <f>'Table 4A Level 4'!I17</f>
        <v>40000</v>
      </c>
      <c r="AL18" s="1576">
        <f>'Table 4A Level 4'!J17</f>
        <v>0</v>
      </c>
      <c r="AM18" s="310">
        <f t="shared" si="32"/>
        <v>3374541</v>
      </c>
      <c r="AN18" s="1579"/>
      <c r="AO18" s="1582"/>
      <c r="AP18" s="1586"/>
      <c r="AR18" s="1331"/>
      <c r="AS18" s="970"/>
      <c r="AT18" s="283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</row>
    <row r="19" spans="1:67">
      <c r="A19" s="99">
        <v>13</v>
      </c>
      <c r="B19" s="301" t="s">
        <v>107</v>
      </c>
      <c r="C19" s="310">
        <f>'Table 3 Levels 1&amp;2'!BW21</f>
        <v>10528777.144148398</v>
      </c>
      <c r="D19" s="361">
        <f>'[1]Adjusted Amounts'!C19</f>
        <v>3362.7373720844844</v>
      </c>
      <c r="E19" s="361">
        <f>'[1]Adjusted Amounts'!H19</f>
        <v>-2076.4584579369912</v>
      </c>
      <c r="F19" s="361">
        <f t="shared" si="27"/>
        <v>1286.2789141474932</v>
      </c>
      <c r="G19" s="310">
        <f t="shared" si="26"/>
        <v>1286.2789141474932</v>
      </c>
      <c r="H19" s="361">
        <f t="shared" si="28"/>
        <v>0</v>
      </c>
      <c r="I19" s="361"/>
      <c r="J19" s="361">
        <f>-'Table 5C1A-Madison Prep'!H19</f>
        <v>0</v>
      </c>
      <c r="K19" s="361">
        <f>-'Table 5C1B-DArbonne'!H19</f>
        <v>0</v>
      </c>
      <c r="L19" s="361">
        <f>-'Table 5C1C-Intl_VIBE'!H19</f>
        <v>0</v>
      </c>
      <c r="M19" s="361">
        <f>-'Table 5C1D-NOMMA'!H19</f>
        <v>0</v>
      </c>
      <c r="N19" s="361">
        <f>-'Table 5C1E-LFNO'!H19</f>
        <v>0</v>
      </c>
      <c r="O19" s="361">
        <f>-'Table 5C1F-Lake Charles Charter'!H19</f>
        <v>0</v>
      </c>
      <c r="P19" s="361">
        <f>-'Table 5C1G-JS Clark Academy'!H19</f>
        <v>0</v>
      </c>
      <c r="Q19" s="361">
        <f>-'Table 5C1H-Southwest LA Charter'!H19</f>
        <v>0</v>
      </c>
      <c r="R19" s="315">
        <f>-('Table 5C2 - LA Virtual Admy'!H16+'Table 5C2 - LA Virtual Admy'!I16)</f>
        <v>-69365.951272387349</v>
      </c>
      <c r="S19" s="315">
        <f>-'Table 5C3 - LA Connections EBR'!H16-'Table 5C3 - LA Connections EBR'!I16</f>
        <v>-20809.785381716203</v>
      </c>
      <c r="T19" s="315">
        <f>-'Table 5D1 - New Vision'!G19</f>
        <v>0</v>
      </c>
      <c r="U19" s="315">
        <f>-'Table 5D2 - Glencoe'!G19</f>
        <v>0</v>
      </c>
      <c r="V19" s="315">
        <f>-'Table 5D3 - International'!G19</f>
        <v>0</v>
      </c>
      <c r="W19" s="315">
        <f>-'Table 5D4 - Avoyelles'!G19</f>
        <v>0</v>
      </c>
      <c r="X19" s="315">
        <f>-'Table 5D5 - Delhi'!G19</f>
        <v>0</v>
      </c>
      <c r="Y19" s="315">
        <f>-'Table 5D6 - Milestone'!G19</f>
        <v>0</v>
      </c>
      <c r="Z19" s="315">
        <f>-'Table 5D7 - Max'!G19</f>
        <v>0</v>
      </c>
      <c r="AA19" s="315">
        <f>-'Table 5D8 - Belle Chasse'!I19</f>
        <v>0</v>
      </c>
      <c r="AB19" s="315">
        <f>-'Table 5A4_LSDVI'!H19</f>
        <v>0</v>
      </c>
      <c r="AC19" s="315">
        <f>-'Table 5A5_SSD'!H19</f>
        <v>-13873.190254477469</v>
      </c>
      <c r="AD19" s="1606">
        <f>-'Table 5A2 LSMSA'!H19</f>
        <v>0</v>
      </c>
      <c r="AE19" s="1606">
        <f>-'Table 5A3 NOCCA'!H19</f>
        <v>0</v>
      </c>
      <c r="AF19" s="315">
        <v>0</v>
      </c>
      <c r="AG19" s="315">
        <f t="shared" si="29"/>
        <v>-104048.92690858102</v>
      </c>
      <c r="AH19" s="565">
        <f t="shared" si="30"/>
        <v>10426014</v>
      </c>
      <c r="AI19" s="310">
        <f t="shared" si="31"/>
        <v>868835</v>
      </c>
      <c r="AJ19" s="310">
        <f>'Table 4A Level 4'!G18</f>
        <v>0</v>
      </c>
      <c r="AK19" s="1576">
        <f>'Table 4A Level 4'!I18</f>
        <v>0</v>
      </c>
      <c r="AL19" s="1576">
        <f>'Table 4A Level 4'!J18</f>
        <v>0</v>
      </c>
      <c r="AM19" s="310">
        <f t="shared" si="32"/>
        <v>10426014</v>
      </c>
      <c r="AN19" s="1579"/>
      <c r="AO19" s="1582"/>
      <c r="AP19" s="1586"/>
      <c r="AR19" s="1331"/>
      <c r="AS19" s="970"/>
      <c r="AT19" s="283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</row>
    <row r="20" spans="1:67">
      <c r="A20" s="99">
        <v>14</v>
      </c>
      <c r="B20" s="301" t="s">
        <v>108</v>
      </c>
      <c r="C20" s="310">
        <f>'Table 3 Levels 1&amp;2'!BW22</f>
        <v>11504122.7392752</v>
      </c>
      <c r="D20" s="361">
        <f>'[1]Adjusted Amounts'!C20</f>
        <v>-3279.4790639259299</v>
      </c>
      <c r="E20" s="361">
        <f>'[1]Adjusted Amounts'!H20</f>
        <v>1289.4481599599821</v>
      </c>
      <c r="F20" s="361">
        <f t="shared" si="27"/>
        <v>-1990.0309039659478</v>
      </c>
      <c r="G20" s="310">
        <f t="shared" si="26"/>
        <v>0</v>
      </c>
      <c r="H20" s="361">
        <f t="shared" si="28"/>
        <v>-1990.0309039659478</v>
      </c>
      <c r="I20" s="361"/>
      <c r="J20" s="361">
        <f>-'Table 5C1A-Madison Prep'!H20</f>
        <v>0</v>
      </c>
      <c r="K20" s="361">
        <f>-'Table 5C1B-DArbonne'!H20</f>
        <v>-12298.337482923784</v>
      </c>
      <c r="L20" s="361">
        <f>-'Table 5C1C-Intl_VIBE'!H20</f>
        <v>0</v>
      </c>
      <c r="M20" s="361">
        <f>-'Table 5C1D-NOMMA'!H20</f>
        <v>0</v>
      </c>
      <c r="N20" s="361">
        <f>-'Table 5C1E-LFNO'!H20</f>
        <v>0</v>
      </c>
      <c r="O20" s="361">
        <f>-'Table 5C1F-Lake Charles Charter'!H20</f>
        <v>0</v>
      </c>
      <c r="P20" s="361">
        <f>-'Table 5C1G-JS Clark Academy'!H20</f>
        <v>0</v>
      </c>
      <c r="Q20" s="361">
        <f>-'Table 5C1H-Southwest LA Charter'!H20</f>
        <v>0</v>
      </c>
      <c r="R20" s="315">
        <f>-('Table 5C2 - LA Virtual Admy'!H17+'Table 5C2 - LA Virtual Admy'!I17)</f>
        <v>-6149.1687414618918</v>
      </c>
      <c r="S20" s="315">
        <f>-'Table 5C3 - LA Connections EBR'!H17-'Table 5C3 - LA Connections EBR'!I17</f>
        <v>-67640.856156080816</v>
      </c>
      <c r="T20" s="315">
        <f>-'Table 5D1 - New Vision'!G20</f>
        <v>0</v>
      </c>
      <c r="U20" s="315">
        <f>-'Table 5D2 - Glencoe'!G20</f>
        <v>0</v>
      </c>
      <c r="V20" s="315">
        <f>-'Table 5D3 - International'!G20</f>
        <v>0</v>
      </c>
      <c r="W20" s="315">
        <f>-'Table 5D4 - Avoyelles'!G20</f>
        <v>0</v>
      </c>
      <c r="X20" s="315">
        <f>-'Table 5D5 - Delhi'!G20</f>
        <v>0</v>
      </c>
      <c r="Y20" s="315">
        <f>-'Table 5D6 - Milestone'!G20</f>
        <v>0</v>
      </c>
      <c r="Z20" s="315">
        <f>-'Table 5D7 - Max'!G20</f>
        <v>0</v>
      </c>
      <c r="AA20" s="315">
        <f>-'Table 5D8 - Belle Chasse'!I20</f>
        <v>0</v>
      </c>
      <c r="AB20" s="315">
        <f>-'Table 5A4_LSDVI'!H20</f>
        <v>0</v>
      </c>
      <c r="AC20" s="315">
        <f>-'Table 5A5_SSD'!H20</f>
        <v>0</v>
      </c>
      <c r="AD20" s="1606">
        <f>-'Table 5A2 LSMSA'!H20</f>
        <v>-6149.1687414618918</v>
      </c>
      <c r="AE20" s="1606">
        <f>-'Table 5A3 NOCCA'!H20</f>
        <v>0</v>
      </c>
      <c r="AF20" s="315">
        <v>0</v>
      </c>
      <c r="AG20" s="315">
        <f t="shared" si="29"/>
        <v>-92237.531121928376</v>
      </c>
      <c r="AH20" s="565">
        <f t="shared" si="30"/>
        <v>11409895</v>
      </c>
      <c r="AI20" s="310">
        <f t="shared" si="31"/>
        <v>950825</v>
      </c>
      <c r="AJ20" s="310">
        <f>'Table 4A Level 4'!G19</f>
        <v>0</v>
      </c>
      <c r="AK20" s="1576">
        <f>'Table 4A Level 4'!I19</f>
        <v>0</v>
      </c>
      <c r="AL20" s="1576">
        <f>'Table 4A Level 4'!J19</f>
        <v>0</v>
      </c>
      <c r="AM20" s="310">
        <f t="shared" si="32"/>
        <v>11409895</v>
      </c>
      <c r="AN20" s="1579"/>
      <c r="AO20" s="1582"/>
      <c r="AP20" s="1582"/>
      <c r="AR20" s="1331"/>
      <c r="AS20" s="970"/>
      <c r="AT20" s="283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</row>
    <row r="21" spans="1:67">
      <c r="A21" s="100">
        <v>15</v>
      </c>
      <c r="B21" s="302" t="s">
        <v>109</v>
      </c>
      <c r="C21" s="319">
        <f>'Table 3 Levels 1&amp;2'!BW23</f>
        <v>21935875.138798404</v>
      </c>
      <c r="D21" s="362">
        <f>'[1]Adjusted Amounts'!C21</f>
        <v>0</v>
      </c>
      <c r="E21" s="362">
        <f>'[1]Adjusted Amounts'!H21</f>
        <v>0</v>
      </c>
      <c r="F21" s="362">
        <f t="shared" si="27"/>
        <v>0</v>
      </c>
      <c r="G21" s="319">
        <f t="shared" si="26"/>
        <v>0</v>
      </c>
      <c r="H21" s="362">
        <f t="shared" si="28"/>
        <v>0</v>
      </c>
      <c r="I21" s="362"/>
      <c r="J21" s="362">
        <f>-'Table 5C1A-Madison Prep'!H21</f>
        <v>0</v>
      </c>
      <c r="K21" s="362">
        <f>-'Table 5C1B-DArbonne'!H21</f>
        <v>0</v>
      </c>
      <c r="L21" s="362">
        <f>-'Table 5C1C-Intl_VIBE'!H21</f>
        <v>0</v>
      </c>
      <c r="M21" s="362">
        <f>-'Table 5C1D-NOMMA'!H21</f>
        <v>0</v>
      </c>
      <c r="N21" s="362">
        <f>-'Table 5C1E-LFNO'!H21</f>
        <v>0</v>
      </c>
      <c r="O21" s="362">
        <f>-'Table 5C1F-Lake Charles Charter'!H21</f>
        <v>0</v>
      </c>
      <c r="P21" s="362">
        <f>-'Table 5C1G-JS Clark Academy'!H21</f>
        <v>0</v>
      </c>
      <c r="Q21" s="362">
        <f>-'Table 5C1H-Southwest LA Charter'!H21</f>
        <v>0</v>
      </c>
      <c r="R21" s="322">
        <f>-('Table 5C2 - LA Virtual Admy'!H18+'Table 5C2 - LA Virtual Admy'!I18)</f>
        <v>-24185.515764937605</v>
      </c>
      <c r="S21" s="322">
        <f>-'Table 5C3 - LA Connections EBR'!H18-'Table 5C3 - LA Connections EBR'!I18</f>
        <v>-18139.136823703204</v>
      </c>
      <c r="T21" s="322">
        <f>-'Table 5D1 - New Vision'!G21</f>
        <v>0</v>
      </c>
      <c r="U21" s="322">
        <f>-'Table 5D2 - Glencoe'!G21</f>
        <v>0</v>
      </c>
      <c r="V21" s="322">
        <f>-'Table 5D3 - International'!G21</f>
        <v>0</v>
      </c>
      <c r="W21" s="322">
        <f>-'Table 5D4 - Avoyelles'!G21</f>
        <v>0</v>
      </c>
      <c r="X21" s="322">
        <f>-'Table 5D5 - Delhi'!G21</f>
        <v>0</v>
      </c>
      <c r="Y21" s="322">
        <f>-'Table 5D6 - Milestone'!G21</f>
        <v>0</v>
      </c>
      <c r="Z21" s="322">
        <f>-'Table 5D7 - Max'!G21</f>
        <v>0</v>
      </c>
      <c r="AA21" s="322">
        <f>-'Table 5D8 - Belle Chasse'!I21</f>
        <v>0</v>
      </c>
      <c r="AB21" s="322">
        <f>-'Table 5A4_LSDVI'!H21</f>
        <v>0</v>
      </c>
      <c r="AC21" s="322">
        <f>-'Table 5A5_SSD'!H21</f>
        <v>0</v>
      </c>
      <c r="AD21" s="322">
        <f>-'Table 5A2 LSMSA'!H21</f>
        <v>-6046.3789412344013</v>
      </c>
      <c r="AE21" s="322">
        <f>-'Table 5A3 NOCCA'!H21</f>
        <v>0</v>
      </c>
      <c r="AF21" s="322">
        <v>0</v>
      </c>
      <c r="AG21" s="322">
        <f t="shared" si="29"/>
        <v>-48371.03152987521</v>
      </c>
      <c r="AH21" s="566">
        <f t="shared" si="30"/>
        <v>21887504</v>
      </c>
      <c r="AI21" s="319">
        <f t="shared" si="31"/>
        <v>1823959</v>
      </c>
      <c r="AJ21" s="319">
        <f>'Table 4A Level 4'!G20</f>
        <v>6000</v>
      </c>
      <c r="AK21" s="319">
        <f>'Table 4A Level 4'!I20</f>
        <v>40000</v>
      </c>
      <c r="AL21" s="319">
        <f>'Table 4A Level 4'!J20</f>
        <v>0</v>
      </c>
      <c r="AM21" s="319">
        <f t="shared" si="32"/>
        <v>21933504</v>
      </c>
      <c r="AN21" s="1579"/>
      <c r="AO21" s="1582"/>
      <c r="AP21" s="1582"/>
      <c r="AR21" s="1331"/>
      <c r="AS21" s="970"/>
      <c r="AT21" s="283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</row>
    <row r="22" spans="1:67">
      <c r="A22" s="99">
        <v>16</v>
      </c>
      <c r="B22" s="301" t="s">
        <v>110</v>
      </c>
      <c r="C22" s="310">
        <f>'Table 3 Levels 1&amp;2'!BW24</f>
        <v>10873152.604</v>
      </c>
      <c r="D22" s="361">
        <f>'[1]Adjusted Amounts'!C22</f>
        <v>3299.8885375240538</v>
      </c>
      <c r="E22" s="361">
        <f>'[1]Adjusted Amounts'!H22</f>
        <v>0</v>
      </c>
      <c r="F22" s="361">
        <f t="shared" si="27"/>
        <v>3299.8885375240538</v>
      </c>
      <c r="G22" s="310">
        <f t="shared" si="26"/>
        <v>3299.8885375240538</v>
      </c>
      <c r="H22" s="361">
        <f t="shared" si="28"/>
        <v>0</v>
      </c>
      <c r="I22" s="361"/>
      <c r="J22" s="361">
        <f>-'Table 5C1A-Madison Prep'!H22</f>
        <v>0</v>
      </c>
      <c r="K22" s="361">
        <f>-'Table 5C1B-DArbonne'!H22</f>
        <v>0</v>
      </c>
      <c r="L22" s="361">
        <f>-'Table 5C1C-Intl_VIBE'!H22</f>
        <v>0</v>
      </c>
      <c r="M22" s="361">
        <f>-'Table 5C1D-NOMMA'!H22</f>
        <v>0</v>
      </c>
      <c r="N22" s="361">
        <f>-'Table 5C1E-LFNO'!H22</f>
        <v>0</v>
      </c>
      <c r="O22" s="361">
        <f>-'Table 5C1F-Lake Charles Charter'!H22</f>
        <v>0</v>
      </c>
      <c r="P22" s="361">
        <f>-'Table 5C1G-JS Clark Academy'!H22</f>
        <v>0</v>
      </c>
      <c r="Q22" s="361">
        <f>-'Table 5C1H-Southwest LA Charter'!H22</f>
        <v>0</v>
      </c>
      <c r="R22" s="315">
        <f>-('Table 5C2 - LA Virtual Admy'!H19+'Table 5C2 - LA Virtual Admy'!I19)</f>
        <v>-24121.298748739668</v>
      </c>
      <c r="S22" s="315">
        <f>-'Table 5C3 - LA Connections EBR'!H19-'Table 5C3 - LA Connections EBR'!I19</f>
        <v>-13157.07204476709</v>
      </c>
      <c r="T22" s="315">
        <f>-'Table 5D1 - New Vision'!G22</f>
        <v>0</v>
      </c>
      <c r="U22" s="315">
        <f>-'Table 5D2 - Glencoe'!G22</f>
        <v>0</v>
      </c>
      <c r="V22" s="315">
        <f>-'Table 5D3 - International'!G22</f>
        <v>0</v>
      </c>
      <c r="W22" s="315">
        <f>-'Table 5D4 - Avoyelles'!G22</f>
        <v>0</v>
      </c>
      <c r="X22" s="315">
        <f>-'Table 5D5 - Delhi'!G22</f>
        <v>0</v>
      </c>
      <c r="Y22" s="315">
        <f>-'Table 5D6 - Milestone'!G22</f>
        <v>0</v>
      </c>
      <c r="Z22" s="315">
        <f>-'Table 5D7 - Max'!G22</f>
        <v>0</v>
      </c>
      <c r="AA22" s="315">
        <f>-'Table 5D8 - Belle Chasse'!I22</f>
        <v>0</v>
      </c>
      <c r="AB22" s="315">
        <f>-'Table 5A4_LSDVI'!H22</f>
        <v>0</v>
      </c>
      <c r="AC22" s="315">
        <f>-'Table 5A5_SSD'!H22</f>
        <v>-10964.226703972576</v>
      </c>
      <c r="AD22" s="1606">
        <f>-'Table 5A2 LSMSA'!H22</f>
        <v>0</v>
      </c>
      <c r="AE22" s="1606">
        <f>-'Table 5A3 NOCCA'!H22</f>
        <v>0</v>
      </c>
      <c r="AF22" s="315">
        <v>0</v>
      </c>
      <c r="AG22" s="315">
        <f t="shared" si="29"/>
        <v>-48242.597497479335</v>
      </c>
      <c r="AH22" s="565">
        <f t="shared" si="30"/>
        <v>10828210</v>
      </c>
      <c r="AI22" s="310">
        <f t="shared" si="31"/>
        <v>902351</v>
      </c>
      <c r="AJ22" s="310">
        <f>'Table 4A Level 4'!G21</f>
        <v>0</v>
      </c>
      <c r="AK22" s="1576">
        <f>'Table 4A Level 4'!I21</f>
        <v>20000</v>
      </c>
      <c r="AL22" s="1576">
        <f>'Table 4A Level 4'!J21</f>
        <v>0</v>
      </c>
      <c r="AM22" s="310">
        <f t="shared" si="32"/>
        <v>10848210</v>
      </c>
      <c r="AN22" s="1579"/>
      <c r="AO22" s="1582"/>
      <c r="AP22" s="1582"/>
      <c r="AR22" s="1331"/>
      <c r="AS22" s="970"/>
      <c r="AT22" s="283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</row>
    <row r="23" spans="1:67">
      <c r="A23" s="99">
        <v>17</v>
      </c>
      <c r="B23" s="301" t="s">
        <v>111</v>
      </c>
      <c r="C23" s="310">
        <f>'Table 3 Levels 1&amp;2'!BW25</f>
        <v>179940112.23260191</v>
      </c>
      <c r="D23" s="361">
        <f>'[1]Adjusted Amounts'!C23</f>
        <v>-120014.25804068119</v>
      </c>
      <c r="E23" s="361">
        <f>'[1]Adjusted Amounts'!H23</f>
        <v>-129415.9164372345</v>
      </c>
      <c r="F23" s="361">
        <f t="shared" si="27"/>
        <v>-249430.17447791569</v>
      </c>
      <c r="G23" s="310">
        <f t="shared" si="26"/>
        <v>0</v>
      </c>
      <c r="H23" s="361">
        <f t="shared" si="28"/>
        <v>-249430.17447791569</v>
      </c>
      <c r="I23" s="361">
        <f>-'Table 5B2_RSD_LA'!H18</f>
        <v>-9246222.699129818</v>
      </c>
      <c r="J23" s="361">
        <f>-'Table 5C1A-Madison Prep'!H23</f>
        <v>-847296.22485381784</v>
      </c>
      <c r="K23" s="361">
        <f>-'Table 5C1B-DArbonne'!H23</f>
        <v>0</v>
      </c>
      <c r="L23" s="361">
        <f>-'Table 5C1C-Intl_VIBE'!H23</f>
        <v>0</v>
      </c>
      <c r="M23" s="361">
        <f>-'Table 5C1D-NOMMA'!H23</f>
        <v>0</v>
      </c>
      <c r="N23" s="361">
        <f>-'Table 5C1E-LFNO'!H23</f>
        <v>0</v>
      </c>
      <c r="O23" s="361">
        <f>-'Table 5C1F-Lake Charles Charter'!H23</f>
        <v>0</v>
      </c>
      <c r="P23" s="361">
        <f>-'Table 5C1G-JS Clark Academy'!H23</f>
        <v>0</v>
      </c>
      <c r="Q23" s="361">
        <f>-'Table 5C1H-Southwest LA Charter'!H23</f>
        <v>0</v>
      </c>
      <c r="R23" s="315">
        <f>-('Table 5C2 - LA Virtual Admy'!H20+'Table 5C2 - LA Virtual Admy'!I20)</f>
        <v>-283803.10444132728</v>
      </c>
      <c r="S23" s="315">
        <f>-'Table 5C3 - LA Connections EBR'!H20-'Table 5C3 - LA Connections EBR'!I20</f>
        <v>-312594.72373247647</v>
      </c>
      <c r="T23" s="315">
        <f>-'Table 5D1 - New Vision'!G23</f>
        <v>0</v>
      </c>
      <c r="U23" s="315">
        <f>-'Table 5D2 - Glencoe'!G23</f>
        <v>0</v>
      </c>
      <c r="V23" s="315">
        <f>-'Table 5D3 - International'!G23</f>
        <v>0</v>
      </c>
      <c r="W23" s="315">
        <f>-'Table 5D4 - Avoyelles'!G23</f>
        <v>0</v>
      </c>
      <c r="X23" s="315">
        <f>-'Table 5D5 - Delhi'!G23</f>
        <v>0</v>
      </c>
      <c r="Y23" s="315">
        <f>-'Table 5D6 - Milestone'!G23</f>
        <v>0</v>
      </c>
      <c r="Z23" s="315">
        <f>-'Table 5D7 - Max'!G23</f>
        <v>0</v>
      </c>
      <c r="AA23" s="315">
        <f>-'Table 5D8 - Belle Chasse'!I23</f>
        <v>0</v>
      </c>
      <c r="AB23" s="315">
        <f>-'Table 5A4_LSDVI'!H23</f>
        <v>-217993.6889187007</v>
      </c>
      <c r="AC23" s="315">
        <f>-'Table 5A5_SSD'!H23</f>
        <v>-69922.503992790793</v>
      </c>
      <c r="AD23" s="1606">
        <f>-'Table 5A2 LSMSA'!H23</f>
        <v>-111053.38869443243</v>
      </c>
      <c r="AE23" s="1606">
        <f>-'Table 5A3 NOCCA'!H23</f>
        <v>0</v>
      </c>
      <c r="AF23" s="315">
        <f>-('Table 5F Scholarships '!Q197+'Table 5F Scholarships '!S197)</f>
        <v>-2678525.6982485373</v>
      </c>
      <c r="AG23" s="315">
        <f t="shared" si="29"/>
        <v>-13767412.0320119</v>
      </c>
      <c r="AH23" s="568">
        <f t="shared" si="30"/>
        <v>165923270</v>
      </c>
      <c r="AI23" s="310">
        <f t="shared" si="31"/>
        <v>13826939</v>
      </c>
      <c r="AJ23" s="310">
        <f>'Table 4A Level 4'!G22</f>
        <v>44000</v>
      </c>
      <c r="AK23" s="1576">
        <f>'Table 4A Level 4'!I22</f>
        <v>200000</v>
      </c>
      <c r="AL23" s="1576">
        <f>'Table 4A Level 4'!J22</f>
        <v>0</v>
      </c>
      <c r="AM23" s="361">
        <f t="shared" si="32"/>
        <v>166167270</v>
      </c>
      <c r="AN23" s="1580"/>
      <c r="AO23" s="1583"/>
      <c r="AP23" s="1583"/>
      <c r="AR23" s="1331"/>
      <c r="AS23" s="970"/>
      <c r="AT23" s="283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</row>
    <row r="24" spans="1:67">
      <c r="A24" s="99">
        <v>18</v>
      </c>
      <c r="B24" s="301" t="s">
        <v>112</v>
      </c>
      <c r="C24" s="310">
        <f>'Table 3 Levels 1&amp;2'!BW26</f>
        <v>7638838.4204769908</v>
      </c>
      <c r="D24" s="361">
        <f>'[1]Adjusted Amounts'!C24</f>
        <v>9922.943186610486</v>
      </c>
      <c r="E24" s="361">
        <f>'[1]Adjusted Amounts'!H24</f>
        <v>8155.6939962300639</v>
      </c>
      <c r="F24" s="361">
        <f t="shared" si="27"/>
        <v>18078.63718284055</v>
      </c>
      <c r="G24" s="310">
        <f t="shared" si="26"/>
        <v>18078.63718284055</v>
      </c>
      <c r="H24" s="361">
        <f t="shared" si="28"/>
        <v>0</v>
      </c>
      <c r="I24" s="361"/>
      <c r="J24" s="361">
        <f>-'Table 5C1A-Madison Prep'!H24</f>
        <v>0</v>
      </c>
      <c r="K24" s="361">
        <f>-'Table 5C1B-DArbonne'!H24</f>
        <v>0</v>
      </c>
      <c r="L24" s="361">
        <f>-'Table 5C1C-Intl_VIBE'!H24</f>
        <v>0</v>
      </c>
      <c r="M24" s="361">
        <f>-'Table 5C1D-NOMMA'!H24</f>
        <v>0</v>
      </c>
      <c r="N24" s="361">
        <f>-'Table 5C1E-LFNO'!H24</f>
        <v>0</v>
      </c>
      <c r="O24" s="361">
        <f>-'Table 5C1F-Lake Charles Charter'!H24</f>
        <v>0</v>
      </c>
      <c r="P24" s="361">
        <f>-'Table 5C1G-JS Clark Academy'!H24</f>
        <v>0</v>
      </c>
      <c r="Q24" s="361">
        <f>-'Table 5C1H-Southwest LA Charter'!H24</f>
        <v>0</v>
      </c>
      <c r="R24" s="315">
        <f>-('Table 5C2 - LA Virtual Admy'!H21+'Table 5C2 - LA Virtual Admy'!I21)</f>
        <v>-6810.2990202032079</v>
      </c>
      <c r="S24" s="315">
        <f>-'Table 5C3 - LA Connections EBR'!H21-'Table 5C3 - LA Connections EBR'!I21</f>
        <v>0</v>
      </c>
      <c r="T24" s="315">
        <f>-'Table 5D1 - New Vision'!G24</f>
        <v>0</v>
      </c>
      <c r="U24" s="315">
        <f>-'Table 5D2 - Glencoe'!G24</f>
        <v>0</v>
      </c>
      <c r="V24" s="315">
        <f>-'Table 5D3 - International'!G24</f>
        <v>0</v>
      </c>
      <c r="W24" s="315">
        <f>-'Table 5D4 - Avoyelles'!G24</f>
        <v>0</v>
      </c>
      <c r="X24" s="315">
        <f>-'Table 5D5 - Delhi'!G24</f>
        <v>-45439.607950413178</v>
      </c>
      <c r="Y24" s="315">
        <f>-'Table 5D6 - Milestone'!G24</f>
        <v>0</v>
      </c>
      <c r="Z24" s="315">
        <f>-'Table 5D7 - Max'!G24</f>
        <v>0</v>
      </c>
      <c r="AA24" s="315">
        <f>-'Table 5D8 - Belle Chasse'!I24</f>
        <v>0</v>
      </c>
      <c r="AB24" s="315">
        <f>-'Table 5A4_LSDVI'!H24</f>
        <v>0</v>
      </c>
      <c r="AC24" s="315">
        <f>-'Table 5A5_SSD'!H24</f>
        <v>-6810.2990202032079</v>
      </c>
      <c r="AD24" s="1606">
        <f>-'Table 5A2 LSMSA'!H24</f>
        <v>0</v>
      </c>
      <c r="AE24" s="1606">
        <f>-'Table 5A3 NOCCA'!H24</f>
        <v>0</v>
      </c>
      <c r="AF24" s="315">
        <v>0</v>
      </c>
      <c r="AG24" s="315">
        <f t="shared" si="29"/>
        <v>-59060.205990819595</v>
      </c>
      <c r="AH24" s="568">
        <f t="shared" si="30"/>
        <v>7597857</v>
      </c>
      <c r="AI24" s="310">
        <f t="shared" si="31"/>
        <v>633155</v>
      </c>
      <c r="AJ24" s="310">
        <f>'Table 4A Level 4'!G23</f>
        <v>0</v>
      </c>
      <c r="AK24" s="1576">
        <f>'Table 4A Level 4'!I23</f>
        <v>20000</v>
      </c>
      <c r="AL24" s="1576">
        <f>'Table 4A Level 4'!J23</f>
        <v>0</v>
      </c>
      <c r="AM24" s="361">
        <f t="shared" si="32"/>
        <v>7617857</v>
      </c>
      <c r="AN24" s="1580"/>
      <c r="AO24" s="1583"/>
      <c r="AP24" s="1583"/>
      <c r="AR24" s="1331"/>
      <c r="AS24" s="970"/>
      <c r="AT24" s="283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</row>
    <row r="25" spans="1:67">
      <c r="A25" s="99">
        <v>19</v>
      </c>
      <c r="B25" s="301" t="s">
        <v>113</v>
      </c>
      <c r="C25" s="310">
        <f>'Table 3 Levels 1&amp;2'!BW27</f>
        <v>11893375.6310592</v>
      </c>
      <c r="D25" s="361">
        <f>'[1]Adjusted Amounts'!C25</f>
        <v>3054.7964737814182</v>
      </c>
      <c r="E25" s="361">
        <f>'[1]Adjusted Amounts'!H25</f>
        <v>-14458.638646907006</v>
      </c>
      <c r="F25" s="361">
        <f t="shared" si="27"/>
        <v>-11403.842173125588</v>
      </c>
      <c r="G25" s="310">
        <f t="shared" si="26"/>
        <v>0</v>
      </c>
      <c r="H25" s="361">
        <f t="shared" si="28"/>
        <v>-11403.842173125588</v>
      </c>
      <c r="I25" s="361"/>
      <c r="J25" s="361">
        <f>-'Table 5C1A-Madison Prep'!H25</f>
        <v>0</v>
      </c>
      <c r="K25" s="361">
        <f>-'Table 5C1B-DArbonne'!H25</f>
        <v>0</v>
      </c>
      <c r="L25" s="361">
        <f>-'Table 5C1C-Intl_VIBE'!H25</f>
        <v>0</v>
      </c>
      <c r="M25" s="361">
        <f>-'Table 5C1D-NOMMA'!H25</f>
        <v>0</v>
      </c>
      <c r="N25" s="361">
        <f>-'Table 5C1E-LFNO'!H25</f>
        <v>0</v>
      </c>
      <c r="O25" s="361">
        <f>-'Table 5C1F-Lake Charles Charter'!H25</f>
        <v>0</v>
      </c>
      <c r="P25" s="361">
        <f>-'Table 5C1G-JS Clark Academy'!H25</f>
        <v>0</v>
      </c>
      <c r="Q25" s="361">
        <f>-'Table 5C1H-Southwest LA Charter'!H25</f>
        <v>0</v>
      </c>
      <c r="R25" s="315">
        <f>-('Table 5C2 - LA Virtual Admy'!H22+'Table 5C2 - LA Virtual Admy'!I22)</f>
        <v>-30942.694079238299</v>
      </c>
      <c r="S25" s="315">
        <f>-'Table 5C3 - LA Connections EBR'!H22-'Table 5C3 - LA Connections EBR'!I22</f>
        <v>-37131.232895085959</v>
      </c>
      <c r="T25" s="315">
        <f>-'Table 5D1 - New Vision'!G25</f>
        <v>0</v>
      </c>
      <c r="U25" s="315">
        <f>-'Table 5D2 - Glencoe'!G25</f>
        <v>0</v>
      </c>
      <c r="V25" s="315">
        <f>-'Table 5D3 - International'!G25</f>
        <v>0</v>
      </c>
      <c r="W25" s="315">
        <f>-'Table 5D4 - Avoyelles'!G25</f>
        <v>0</v>
      </c>
      <c r="X25" s="315">
        <f>-'Table 5D5 - Delhi'!G25</f>
        <v>0</v>
      </c>
      <c r="Y25" s="315">
        <f>-'Table 5D6 - Milestone'!G25</f>
        <v>0</v>
      </c>
      <c r="Z25" s="315">
        <f>-'Table 5D7 - Max'!G25</f>
        <v>0</v>
      </c>
      <c r="AA25" s="315">
        <f>-'Table 5D8 - Belle Chasse'!I25</f>
        <v>0</v>
      </c>
      <c r="AB25" s="315">
        <f>-'Table 5A4_LSDVI'!H25</f>
        <v>-24754.155263390639</v>
      </c>
      <c r="AC25" s="315">
        <f>-'Table 5A5_SSD'!H25</f>
        <v>0</v>
      </c>
      <c r="AD25" s="1606">
        <f>-'Table 5A2 LSMSA'!H25</f>
        <v>0</v>
      </c>
      <c r="AE25" s="1606">
        <f>-'Table 5A3 NOCCA'!H25</f>
        <v>0</v>
      </c>
      <c r="AF25" s="315">
        <f>-('Table 5F Scholarships '!Q200+'Table 5F Scholarships '!S200)</f>
        <v>-18729.386841661359</v>
      </c>
      <c r="AG25" s="315">
        <f t="shared" si="29"/>
        <v>-111557.46907937626</v>
      </c>
      <c r="AH25" s="568">
        <f t="shared" si="30"/>
        <v>11770414</v>
      </c>
      <c r="AI25" s="310">
        <f t="shared" si="31"/>
        <v>980868</v>
      </c>
      <c r="AJ25" s="310">
        <f>'Table 4A Level 4'!G24</f>
        <v>0</v>
      </c>
      <c r="AK25" s="1576">
        <f>'Table 4A Level 4'!I24</f>
        <v>0</v>
      </c>
      <c r="AL25" s="1576">
        <f>'Table 4A Level 4'!J24</f>
        <v>0</v>
      </c>
      <c r="AM25" s="361">
        <f t="shared" si="32"/>
        <v>11770414</v>
      </c>
      <c r="AN25" s="1580"/>
      <c r="AO25" s="1583"/>
      <c r="AP25" s="1583"/>
      <c r="AR25" s="1331"/>
      <c r="AS25" s="970"/>
      <c r="AT25" s="283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</row>
    <row r="26" spans="1:67">
      <c r="A26" s="100">
        <v>20</v>
      </c>
      <c r="B26" s="302" t="s">
        <v>114</v>
      </c>
      <c r="C26" s="319">
        <f>'Table 3 Levels 1&amp;2'!BW28</f>
        <v>35268436.165365599</v>
      </c>
      <c r="D26" s="362">
        <f>'[1]Adjusted Amounts'!C26</f>
        <v>0</v>
      </c>
      <c r="E26" s="362">
        <f>'[1]Adjusted Amounts'!H26</f>
        <v>0</v>
      </c>
      <c r="F26" s="362">
        <f t="shared" si="27"/>
        <v>0</v>
      </c>
      <c r="G26" s="319">
        <f t="shared" si="26"/>
        <v>0</v>
      </c>
      <c r="H26" s="362">
        <f t="shared" si="28"/>
        <v>0</v>
      </c>
      <c r="I26" s="362"/>
      <c r="J26" s="362">
        <f>-'Table 5C1A-Madison Prep'!H26</f>
        <v>0</v>
      </c>
      <c r="K26" s="362">
        <f>-'Table 5C1B-DArbonne'!H26</f>
        <v>0</v>
      </c>
      <c r="L26" s="362">
        <f>-'Table 5C1C-Intl_VIBE'!H26</f>
        <v>0</v>
      </c>
      <c r="M26" s="362">
        <f>-'Table 5C1D-NOMMA'!H26</f>
        <v>0</v>
      </c>
      <c r="N26" s="362">
        <f>-'Table 5C1E-LFNO'!H26</f>
        <v>0</v>
      </c>
      <c r="O26" s="362">
        <f>-'Table 5C1F-Lake Charles Charter'!H26</f>
        <v>0</v>
      </c>
      <c r="P26" s="362">
        <f>-'Table 5C1G-JS Clark Academy'!H26</f>
        <v>0</v>
      </c>
      <c r="Q26" s="362">
        <f>-'Table 5C1H-Southwest LA Charter'!H26</f>
        <v>0</v>
      </c>
      <c r="R26" s="322">
        <f>-('Table 5C2 - LA Virtual Admy'!H23+'Table 5C2 - LA Virtual Admy'!I23)</f>
        <v>-35854.648256894885</v>
      </c>
      <c r="S26" s="322">
        <f>-'Table 5C3 - LA Connections EBR'!H23-'Table 5C3 - LA Connections EBR'!I23</f>
        <v>-23903.098837929923</v>
      </c>
      <c r="T26" s="322">
        <f>-'Table 5D1 - New Vision'!G26</f>
        <v>0</v>
      </c>
      <c r="U26" s="322">
        <f>-'Table 5D2 - Glencoe'!G26</f>
        <v>0</v>
      </c>
      <c r="V26" s="322">
        <f>-'Table 5D3 - International'!G26</f>
        <v>0</v>
      </c>
      <c r="W26" s="322">
        <f>-'Table 5D4 - Avoyelles'!G26</f>
        <v>0</v>
      </c>
      <c r="X26" s="322">
        <f>-'Table 5D5 - Delhi'!G26</f>
        <v>0</v>
      </c>
      <c r="Y26" s="322">
        <f>-'Table 5D6 - Milestone'!G26</f>
        <v>0</v>
      </c>
      <c r="Z26" s="322">
        <f>-'Table 5D7 - Max'!G26</f>
        <v>0</v>
      </c>
      <c r="AA26" s="322">
        <f>-'Table 5D8 - Belle Chasse'!I26</f>
        <v>0</v>
      </c>
      <c r="AB26" s="322">
        <f>-'Table 5A4_LSDVI'!H26</f>
        <v>-23903.098837929923</v>
      </c>
      <c r="AC26" s="322">
        <f>-'Table 5A5_SSD'!H26</f>
        <v>-17927.324128447442</v>
      </c>
      <c r="AD26" s="322">
        <f>-'Table 5A2 LSMSA'!H26</f>
        <v>-11951.549418964962</v>
      </c>
      <c r="AE26" s="322">
        <f>-'Table 5A3 NOCCA'!H26</f>
        <v>0</v>
      </c>
      <c r="AF26" s="322">
        <v>0</v>
      </c>
      <c r="AG26" s="322">
        <f t="shared" si="29"/>
        <v>-113539.71948016713</v>
      </c>
      <c r="AH26" s="569">
        <f t="shared" si="30"/>
        <v>35154896</v>
      </c>
      <c r="AI26" s="319">
        <f t="shared" si="31"/>
        <v>2929575</v>
      </c>
      <c r="AJ26" s="319">
        <f>'Table 4A Level 4'!G25</f>
        <v>0</v>
      </c>
      <c r="AK26" s="319">
        <f>'Table 4A Level 4'!I25</f>
        <v>0</v>
      </c>
      <c r="AL26" s="319">
        <f>'Table 4A Level 4'!J25</f>
        <v>0</v>
      </c>
      <c r="AM26" s="362">
        <f t="shared" si="32"/>
        <v>35154896</v>
      </c>
      <c r="AN26" s="1580"/>
      <c r="AO26" s="1583"/>
      <c r="AP26" s="1583"/>
      <c r="AR26" s="1331"/>
      <c r="AS26" s="970"/>
      <c r="AT26" s="283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</row>
    <row r="27" spans="1:67">
      <c r="A27" s="99">
        <v>21</v>
      </c>
      <c r="B27" s="301" t="s">
        <v>115</v>
      </c>
      <c r="C27" s="310">
        <f>'Table 3 Levels 1&amp;2'!BW29</f>
        <v>19280509.109302562</v>
      </c>
      <c r="D27" s="361">
        <f>'[1]Adjusted Amounts'!C27</f>
        <v>0</v>
      </c>
      <c r="E27" s="361">
        <f>'[1]Adjusted Amounts'!H27</f>
        <v>0</v>
      </c>
      <c r="F27" s="361">
        <f t="shared" si="27"/>
        <v>0</v>
      </c>
      <c r="G27" s="310">
        <f t="shared" si="26"/>
        <v>0</v>
      </c>
      <c r="H27" s="361">
        <f t="shared" si="28"/>
        <v>0</v>
      </c>
      <c r="I27" s="361"/>
      <c r="J27" s="361">
        <f>-'Table 5C1A-Madison Prep'!H27</f>
        <v>0</v>
      </c>
      <c r="K27" s="361">
        <f>-'Table 5C1B-DArbonne'!H27</f>
        <v>0</v>
      </c>
      <c r="L27" s="361">
        <f>-'Table 5C1C-Intl_VIBE'!H27</f>
        <v>0</v>
      </c>
      <c r="M27" s="361">
        <f>-'Table 5C1D-NOMMA'!H27</f>
        <v>0</v>
      </c>
      <c r="N27" s="361">
        <f>-'Table 5C1E-LFNO'!H27</f>
        <v>0</v>
      </c>
      <c r="O27" s="361">
        <f>-'Table 5C1F-Lake Charles Charter'!H27</f>
        <v>0</v>
      </c>
      <c r="P27" s="361">
        <f>-'Table 5C1G-JS Clark Academy'!H27</f>
        <v>0</v>
      </c>
      <c r="Q27" s="361">
        <f>-'Table 5C1H-Southwest LA Charter'!H27</f>
        <v>0</v>
      </c>
      <c r="R27" s="315">
        <f>-('Table 5C2 - LA Virtual Admy'!H24+'Table 5C2 - LA Virtual Admy'!I24)</f>
        <v>-18810.518943195835</v>
      </c>
      <c r="S27" s="315">
        <f>-'Table 5C3 - LA Connections EBR'!H24-'Table 5C3 - LA Connections EBR'!I24</f>
        <v>-62701.729810652781</v>
      </c>
      <c r="T27" s="315">
        <f>-'Table 5D1 - New Vision'!G27</f>
        <v>0</v>
      </c>
      <c r="U27" s="315">
        <f>-'Table 5D2 - Glencoe'!G27</f>
        <v>0</v>
      </c>
      <c r="V27" s="315">
        <f>-'Table 5D3 - International'!G27</f>
        <v>0</v>
      </c>
      <c r="W27" s="315">
        <f>-'Table 5D4 - Avoyelles'!G27</f>
        <v>0</v>
      </c>
      <c r="X27" s="315">
        <f>-'Table 5D5 - Delhi'!G27</f>
        <v>-426892.41023926996</v>
      </c>
      <c r="Y27" s="315">
        <f>-'Table 5D6 - Milestone'!G27</f>
        <v>0</v>
      </c>
      <c r="Z27" s="315">
        <f>-'Table 5D7 - Max'!G27</f>
        <v>0</v>
      </c>
      <c r="AA27" s="315">
        <f>-'Table 5D8 - Belle Chasse'!I27</f>
        <v>0</v>
      </c>
      <c r="AB27" s="315">
        <f>-'Table 5A4_LSDVI'!H27</f>
        <v>0</v>
      </c>
      <c r="AC27" s="315">
        <f>-'Table 5A5_SSD'!H27</f>
        <v>-6270.1729810652787</v>
      </c>
      <c r="AD27" s="1606">
        <f>-'Table 5A2 LSMSA'!H27</f>
        <v>0</v>
      </c>
      <c r="AE27" s="1606">
        <f>-'Table 5A3 NOCCA'!H27</f>
        <v>0</v>
      </c>
      <c r="AF27" s="315">
        <f>-('Table 5F Scholarships '!Q209+'Table 5F Scholarships '!S209)</f>
        <v>-255922.38777414488</v>
      </c>
      <c r="AG27" s="315">
        <f t="shared" si="29"/>
        <v>-770597.21974832867</v>
      </c>
      <c r="AH27" s="568">
        <f t="shared" si="30"/>
        <v>18509912</v>
      </c>
      <c r="AI27" s="310">
        <f t="shared" si="31"/>
        <v>1542493</v>
      </c>
      <c r="AJ27" s="310">
        <f>'Table 4A Level 4'!G26</f>
        <v>0</v>
      </c>
      <c r="AK27" s="1576">
        <f>'Table 4A Level 4'!I26</f>
        <v>0</v>
      </c>
      <c r="AL27" s="1576">
        <f>'Table 4A Level 4'!J26</f>
        <v>0</v>
      </c>
      <c r="AM27" s="361">
        <f t="shared" si="32"/>
        <v>18509912</v>
      </c>
      <c r="AN27" s="1580"/>
      <c r="AO27" s="1583"/>
      <c r="AP27" s="1583"/>
      <c r="AR27" s="1331"/>
      <c r="AS27" s="970"/>
      <c r="AT27" s="283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</row>
    <row r="28" spans="1:67">
      <c r="A28" s="99">
        <v>22</v>
      </c>
      <c r="B28" s="301" t="s">
        <v>116</v>
      </c>
      <c r="C28" s="310">
        <f>'Table 3 Levels 1&amp;2'!BW30</f>
        <v>21493469.6259472</v>
      </c>
      <c r="D28" s="361">
        <f>'[1]Adjusted Amounts'!C28</f>
        <v>0</v>
      </c>
      <c r="E28" s="361">
        <f>'[1]Adjusted Amounts'!H28</f>
        <v>0</v>
      </c>
      <c r="F28" s="361">
        <f t="shared" si="27"/>
        <v>0</v>
      </c>
      <c r="G28" s="310">
        <f t="shared" si="26"/>
        <v>0</v>
      </c>
      <c r="H28" s="361">
        <f t="shared" si="28"/>
        <v>0</v>
      </c>
      <c r="I28" s="361"/>
      <c r="J28" s="361">
        <f>-'Table 5C1A-Madison Prep'!H28</f>
        <v>0</v>
      </c>
      <c r="K28" s="361">
        <f>-'Table 5C1B-DArbonne'!H28</f>
        <v>0</v>
      </c>
      <c r="L28" s="361">
        <f>-'Table 5C1C-Intl_VIBE'!H28</f>
        <v>0</v>
      </c>
      <c r="M28" s="361">
        <f>-'Table 5C1D-NOMMA'!H28</f>
        <v>0</v>
      </c>
      <c r="N28" s="361">
        <f>-'Table 5C1E-LFNO'!H28</f>
        <v>0</v>
      </c>
      <c r="O28" s="361">
        <f>-'Table 5C1F-Lake Charles Charter'!H28</f>
        <v>0</v>
      </c>
      <c r="P28" s="361">
        <f>-'Table 5C1G-JS Clark Academy'!H28</f>
        <v>0</v>
      </c>
      <c r="Q28" s="361">
        <f>-'Table 5C1H-Southwest LA Charter'!H28</f>
        <v>0</v>
      </c>
      <c r="R28" s="315">
        <f>-('Table 5C2 - LA Virtual Admy'!H25+'Table 5C2 - LA Virtual Admy'!I25)</f>
        <v>-13375.119525791662</v>
      </c>
      <c r="S28" s="315">
        <f>-'Table 5C3 - LA Connections EBR'!H25-'Table 5C3 - LA Connections EBR'!I25</f>
        <v>-33437.798814479152</v>
      </c>
      <c r="T28" s="315">
        <f>-'Table 5D1 - New Vision'!G28</f>
        <v>0</v>
      </c>
      <c r="U28" s="315">
        <f>-'Table 5D2 - Glencoe'!G28</f>
        <v>0</v>
      </c>
      <c r="V28" s="315">
        <f>-'Table 5D3 - International'!G28</f>
        <v>0</v>
      </c>
      <c r="W28" s="315">
        <f>-'Table 5D4 - Avoyelles'!G28</f>
        <v>0</v>
      </c>
      <c r="X28" s="315">
        <f>-'Table 5D5 - Delhi'!G28</f>
        <v>0</v>
      </c>
      <c r="Y28" s="315">
        <f>-'Table 5D6 - Milestone'!G28</f>
        <v>0</v>
      </c>
      <c r="Z28" s="315">
        <f>-'Table 5D7 - Max'!G28</f>
        <v>0</v>
      </c>
      <c r="AA28" s="315">
        <f>-'Table 5D8 - Belle Chasse'!I28</f>
        <v>0</v>
      </c>
      <c r="AB28" s="315">
        <f>-'Table 5A4_LSDVI'!H28</f>
        <v>-6687.5597628958303</v>
      </c>
      <c r="AC28" s="315">
        <f>-'Table 5A5_SSD'!H28</f>
        <v>-13375.119525791661</v>
      </c>
      <c r="AD28" s="1606">
        <f>-'Table 5A2 LSMSA'!H28</f>
        <v>0</v>
      </c>
      <c r="AE28" s="1606">
        <f>-'Table 5A3 NOCCA'!H28</f>
        <v>0</v>
      </c>
      <c r="AF28" s="315">
        <f>-('Table 5F Scholarships '!Q211+'Table 5F Scholarships '!S211)</f>
        <v>-6687.4497834406939</v>
      </c>
      <c r="AG28" s="315">
        <f t="shared" si="29"/>
        <v>-73563.047412398999</v>
      </c>
      <c r="AH28" s="568">
        <f t="shared" si="30"/>
        <v>21419907</v>
      </c>
      <c r="AI28" s="310">
        <f t="shared" si="31"/>
        <v>1784992</v>
      </c>
      <c r="AJ28" s="310">
        <f>'Table 4A Level 4'!G27</f>
        <v>0</v>
      </c>
      <c r="AK28" s="1576">
        <f>'Table 4A Level 4'!I27</f>
        <v>0</v>
      </c>
      <c r="AL28" s="1576">
        <f>'Table 4A Level 4'!J27</f>
        <v>0</v>
      </c>
      <c r="AM28" s="361">
        <f t="shared" si="32"/>
        <v>21419907</v>
      </c>
      <c r="AN28" s="1580"/>
      <c r="AO28" s="1583"/>
      <c r="AP28" s="1583"/>
      <c r="AR28" s="1331"/>
      <c r="AS28" s="970"/>
      <c r="AT28" s="283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</row>
    <row r="29" spans="1:67">
      <c r="A29" s="99">
        <v>23</v>
      </c>
      <c r="B29" s="301" t="s">
        <v>117</v>
      </c>
      <c r="C29" s="310">
        <f>'Table 3 Levels 1&amp;2'!BW31</f>
        <v>74016610.477802008</v>
      </c>
      <c r="D29" s="361">
        <f>'[1]Adjusted Amounts'!C29</f>
        <v>-2758.9448518506833</v>
      </c>
      <c r="E29" s="361">
        <f>'[1]Adjusted Amounts'!H29</f>
        <v>0</v>
      </c>
      <c r="F29" s="361">
        <f t="shared" si="27"/>
        <v>-2758.9448518506833</v>
      </c>
      <c r="G29" s="310">
        <f t="shared" si="26"/>
        <v>0</v>
      </c>
      <c r="H29" s="361">
        <f t="shared" si="28"/>
        <v>-2758.9448518506833</v>
      </c>
      <c r="I29" s="361"/>
      <c r="J29" s="361">
        <f>-'Table 5C1A-Madison Prep'!H29</f>
        <v>0</v>
      </c>
      <c r="K29" s="361">
        <f>-'Table 5C1B-DArbonne'!H29</f>
        <v>0</v>
      </c>
      <c r="L29" s="361">
        <f>-'Table 5C1C-Intl_VIBE'!H29</f>
        <v>0</v>
      </c>
      <c r="M29" s="361">
        <f>-'Table 5C1D-NOMMA'!H29</f>
        <v>0</v>
      </c>
      <c r="N29" s="361">
        <f>-'Table 5C1E-LFNO'!H29</f>
        <v>0</v>
      </c>
      <c r="O29" s="361">
        <f>-'Table 5C1F-Lake Charles Charter'!H29</f>
        <v>0</v>
      </c>
      <c r="P29" s="361">
        <f>-'Table 5C1G-JS Clark Academy'!H29</f>
        <v>0</v>
      </c>
      <c r="Q29" s="361">
        <f>-'Table 5C1H-Southwest LA Charter'!H29</f>
        <v>0</v>
      </c>
      <c r="R29" s="315">
        <f>-('Table 5C2 - LA Virtual Admy'!H26+'Table 5C2 - LA Virtual Admy'!I26)</f>
        <v>-65722.417225974539</v>
      </c>
      <c r="S29" s="315">
        <f>-'Table 5C3 - LA Connections EBR'!H26-'Table 5C3 - LA Connections EBR'!I26</f>
        <v>-98583.625838961816</v>
      </c>
      <c r="T29" s="315">
        <f>-'Table 5D1 - New Vision'!G29</f>
        <v>0</v>
      </c>
      <c r="U29" s="315">
        <f>-'Table 5D2 - Glencoe'!G29</f>
        <v>-398615.18850619177</v>
      </c>
      <c r="V29" s="315">
        <f>-'Table 5D3 - International'!G29</f>
        <v>0</v>
      </c>
      <c r="W29" s="315">
        <f>-'Table 5D4 - Avoyelles'!G29</f>
        <v>0</v>
      </c>
      <c r="X29" s="315">
        <f>-'Table 5D5 - Delhi'!G29</f>
        <v>0</v>
      </c>
      <c r="Y29" s="315">
        <f>-'Table 5D6 - Milestone'!G29</f>
        <v>0</v>
      </c>
      <c r="Z29" s="315">
        <f>-'Table 5D7 - Max'!G29</f>
        <v>0</v>
      </c>
      <c r="AA29" s="315">
        <f>-'Table 5D8 - Belle Chasse'!I29</f>
        <v>0</v>
      </c>
      <c r="AB29" s="315">
        <f>-'Table 5A4_LSDVI'!H29</f>
        <v>-10953.73620432909</v>
      </c>
      <c r="AC29" s="315">
        <f>-'Table 5A5_SSD'!H29</f>
        <v>-43814.944817316362</v>
      </c>
      <c r="AD29" s="1606">
        <f>-'Table 5A2 LSMSA'!H29</f>
        <v>-16430.604306493638</v>
      </c>
      <c r="AE29" s="1606">
        <f>-'Table 5A3 NOCCA'!H29</f>
        <v>0</v>
      </c>
      <c r="AF29" s="315">
        <f>-('Table 5F Scholarships '!Q213+'Table 5F Scholarships '!S213)</f>
        <v>-5495.1397285280191</v>
      </c>
      <c r="AG29" s="315">
        <f t="shared" si="29"/>
        <v>-639615.65662779519</v>
      </c>
      <c r="AH29" s="568">
        <f t="shared" si="30"/>
        <v>73374236</v>
      </c>
      <c r="AI29" s="310">
        <f t="shared" si="31"/>
        <v>6114520</v>
      </c>
      <c r="AJ29" s="310">
        <f>'Table 4A Level 4'!G28</f>
        <v>34000</v>
      </c>
      <c r="AK29" s="1576">
        <f>'Table 4A Level 4'!I28</f>
        <v>200000</v>
      </c>
      <c r="AL29" s="1576">
        <f>'Table 4A Level 4'!J28</f>
        <v>0</v>
      </c>
      <c r="AM29" s="361">
        <f t="shared" si="32"/>
        <v>73608236</v>
      </c>
      <c r="AN29" s="1580"/>
      <c r="AO29" s="1583"/>
      <c r="AP29" s="1583"/>
      <c r="AR29" s="1331"/>
      <c r="AS29" s="970"/>
      <c r="AT29" s="283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</row>
    <row r="30" spans="1:67">
      <c r="A30" s="99">
        <v>24</v>
      </c>
      <c r="B30" s="301" t="s">
        <v>118</v>
      </c>
      <c r="C30" s="310">
        <f>'Table 3 Levels 1&amp;2'!BW32</f>
        <v>16368041.024999999</v>
      </c>
      <c r="D30" s="361">
        <f>'[1]Adjusted Amounts'!C30</f>
        <v>0</v>
      </c>
      <c r="E30" s="361">
        <f>'[1]Adjusted Amounts'!H30</f>
        <v>0</v>
      </c>
      <c r="F30" s="361">
        <f t="shared" si="27"/>
        <v>0</v>
      </c>
      <c r="G30" s="310">
        <f t="shared" si="26"/>
        <v>0</v>
      </c>
      <c r="H30" s="361">
        <f t="shared" si="28"/>
        <v>0</v>
      </c>
      <c r="I30" s="361"/>
      <c r="J30" s="361">
        <f>-'Table 5C1A-Madison Prep'!H30</f>
        <v>0</v>
      </c>
      <c r="K30" s="361">
        <f>-'Table 5C1B-DArbonne'!H30</f>
        <v>0</v>
      </c>
      <c r="L30" s="361">
        <f>-'Table 5C1C-Intl_VIBE'!H30</f>
        <v>0</v>
      </c>
      <c r="M30" s="361">
        <f>-'Table 5C1D-NOMMA'!H30</f>
        <v>0</v>
      </c>
      <c r="N30" s="361">
        <f>-'Table 5C1E-LFNO'!H30</f>
        <v>0</v>
      </c>
      <c r="O30" s="361">
        <f>-'Table 5C1F-Lake Charles Charter'!H30</f>
        <v>0</v>
      </c>
      <c r="P30" s="361">
        <f>-'Table 5C1G-JS Clark Academy'!H30</f>
        <v>0</v>
      </c>
      <c r="Q30" s="361">
        <f>-'Table 5C1H-Southwest LA Charter'!H30</f>
        <v>0</v>
      </c>
      <c r="R30" s="315">
        <f>-('Table 5C2 - LA Virtual Admy'!H27+'Table 5C2 - LA Virtual Admy'!I27)</f>
        <v>-35975.781758241763</v>
      </c>
      <c r="S30" s="315">
        <f>-'Table 5C3 - LA Connections EBR'!H27-'Table 5C3 - LA Connections EBR'!I27</f>
        <v>-3597.5781758241756</v>
      </c>
      <c r="T30" s="315">
        <f>-'Table 5D1 - New Vision'!G30</f>
        <v>0</v>
      </c>
      <c r="U30" s="315">
        <f>-'Table 5D2 - Glencoe'!G30</f>
        <v>0</v>
      </c>
      <c r="V30" s="315">
        <f>-'Table 5D3 - International'!G30</f>
        <v>0</v>
      </c>
      <c r="W30" s="315">
        <f>-'Table 5D4 - Avoyelles'!G30</f>
        <v>0</v>
      </c>
      <c r="X30" s="315">
        <f>-'Table 5D5 - Delhi'!G30</f>
        <v>0</v>
      </c>
      <c r="Y30" s="315">
        <f>-'Table 5D6 - Milestone'!G30</f>
        <v>0</v>
      </c>
      <c r="Z30" s="315">
        <f>-'Table 5D7 - Max'!G30</f>
        <v>0</v>
      </c>
      <c r="AA30" s="315">
        <f>-'Table 5D8 - Belle Chasse'!I30</f>
        <v>0</v>
      </c>
      <c r="AB30" s="315">
        <f>-'Table 5A4_LSDVI'!H30</f>
        <v>-14390.312703296704</v>
      </c>
      <c r="AC30" s="315">
        <f>-'Table 5A5_SSD'!H30</f>
        <v>-7195.156351648352</v>
      </c>
      <c r="AD30" s="1606">
        <f>-'Table 5A2 LSMSA'!H30</f>
        <v>-14390.312703296704</v>
      </c>
      <c r="AE30" s="1606">
        <f>-'Table 5A3 NOCCA'!H30</f>
        <v>0</v>
      </c>
      <c r="AF30" s="315">
        <f>-('Table 5F Scholarships '!Q231+'Table 5F Scholarships '!S231)</f>
        <v>-108179.30832763825</v>
      </c>
      <c r="AG30" s="315">
        <f t="shared" si="29"/>
        <v>-183728.45001994597</v>
      </c>
      <c r="AH30" s="568">
        <f t="shared" si="30"/>
        <v>16184313</v>
      </c>
      <c r="AI30" s="310">
        <f t="shared" si="31"/>
        <v>1348693</v>
      </c>
      <c r="AJ30" s="310">
        <f>'Table 4A Level 4'!G29</f>
        <v>0</v>
      </c>
      <c r="AK30" s="1576">
        <f>'Table 4A Level 4'!I29</f>
        <v>0</v>
      </c>
      <c r="AL30" s="1576">
        <f>'Table 4A Level 4'!J29</f>
        <v>0</v>
      </c>
      <c r="AM30" s="361">
        <f t="shared" si="32"/>
        <v>16184313</v>
      </c>
      <c r="AN30" s="1580"/>
      <c r="AO30" s="1583"/>
      <c r="AP30" s="1583"/>
      <c r="AR30" s="1331"/>
      <c r="AS30" s="970"/>
      <c r="AT30" s="283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</row>
    <row r="31" spans="1:67">
      <c r="A31" s="100">
        <v>25</v>
      </c>
      <c r="B31" s="302" t="s">
        <v>119</v>
      </c>
      <c r="C31" s="319">
        <f>'Table 3 Levels 1&amp;2'!BW33</f>
        <v>9930128.5659787208</v>
      </c>
      <c r="D31" s="362">
        <f>'[1]Adjusted Amounts'!C31</f>
        <v>0</v>
      </c>
      <c r="E31" s="362">
        <f>'[1]Adjusted Amounts'!H31</f>
        <v>0</v>
      </c>
      <c r="F31" s="362">
        <f t="shared" si="27"/>
        <v>0</v>
      </c>
      <c r="G31" s="319">
        <f t="shared" si="26"/>
        <v>0</v>
      </c>
      <c r="H31" s="362">
        <f t="shared" si="28"/>
        <v>0</v>
      </c>
      <c r="I31" s="362"/>
      <c r="J31" s="362">
        <f>-'Table 5C1A-Madison Prep'!H31</f>
        <v>0</v>
      </c>
      <c r="K31" s="362">
        <f>-'Table 5C1B-DArbonne'!H31</f>
        <v>0</v>
      </c>
      <c r="L31" s="362">
        <f>-'Table 5C1C-Intl_VIBE'!H31</f>
        <v>0</v>
      </c>
      <c r="M31" s="362">
        <f>-'Table 5C1D-NOMMA'!H31</f>
        <v>0</v>
      </c>
      <c r="N31" s="362">
        <f>-'Table 5C1E-LFNO'!H31</f>
        <v>0</v>
      </c>
      <c r="O31" s="362">
        <f>-'Table 5C1F-Lake Charles Charter'!H31</f>
        <v>0</v>
      </c>
      <c r="P31" s="362">
        <f>-'Table 5C1G-JS Clark Academy'!H31</f>
        <v>0</v>
      </c>
      <c r="Q31" s="362">
        <f>-'Table 5C1H-Southwest LA Charter'!H31</f>
        <v>0</v>
      </c>
      <c r="R31" s="322">
        <f>-('Table 5C2 - LA Virtual Admy'!H28+'Table 5C2 - LA Virtual Admy'!I28)</f>
        <v>-17812.476109378869</v>
      </c>
      <c r="S31" s="322">
        <f>-'Table 5C3 - LA Connections EBR'!H28-'Table 5C3 - LA Connections EBR'!I28</f>
        <v>-4453.1190273447173</v>
      </c>
      <c r="T31" s="322">
        <f>-'Table 5D1 - New Vision'!G31</f>
        <v>0</v>
      </c>
      <c r="U31" s="322">
        <f>-'Table 5D2 - Glencoe'!G31</f>
        <v>0</v>
      </c>
      <c r="V31" s="322">
        <f>-'Table 5D3 - International'!G31</f>
        <v>0</v>
      </c>
      <c r="W31" s="322">
        <f>-'Table 5D4 - Avoyelles'!G31</f>
        <v>0</v>
      </c>
      <c r="X31" s="322">
        <f>-'Table 5D5 - Delhi'!G31</f>
        <v>0</v>
      </c>
      <c r="Y31" s="322">
        <f>-'Table 5D6 - Milestone'!G31</f>
        <v>0</v>
      </c>
      <c r="Z31" s="322">
        <f>-'Table 5D7 - Max'!G31</f>
        <v>0</v>
      </c>
      <c r="AA31" s="322">
        <f>-'Table 5D8 - Belle Chasse'!I31</f>
        <v>0</v>
      </c>
      <c r="AB31" s="322">
        <f>-'Table 5A4_LSDVI'!H31</f>
        <v>0</v>
      </c>
      <c r="AC31" s="322">
        <f>-'Table 5A5_SSD'!H31</f>
        <v>0</v>
      </c>
      <c r="AD31" s="322">
        <f>-'Table 5A2 LSMSA'!H31</f>
        <v>0</v>
      </c>
      <c r="AE31" s="322">
        <f>-'Table 5A3 NOCCA'!H31</f>
        <v>0</v>
      </c>
      <c r="AF31" s="322">
        <f>-('Table 5F Scholarships '!Q237+'Table 5F Scholarships '!S237)</f>
        <v>-30884.213040351813</v>
      </c>
      <c r="AG31" s="322">
        <f t="shared" si="29"/>
        <v>-53149.8081770754</v>
      </c>
      <c r="AH31" s="569">
        <f t="shared" si="30"/>
        <v>9876979</v>
      </c>
      <c r="AI31" s="319">
        <f t="shared" si="31"/>
        <v>823082</v>
      </c>
      <c r="AJ31" s="319">
        <f>'Table 4A Level 4'!G30</f>
        <v>0</v>
      </c>
      <c r="AK31" s="319">
        <f>'Table 4A Level 4'!I30</f>
        <v>0</v>
      </c>
      <c r="AL31" s="319">
        <f>'Table 4A Level 4'!J30</f>
        <v>0</v>
      </c>
      <c r="AM31" s="362">
        <f t="shared" si="32"/>
        <v>9876979</v>
      </c>
      <c r="AN31" s="1580"/>
      <c r="AO31" s="1583"/>
      <c r="AP31" s="1583"/>
      <c r="AR31" s="1331"/>
      <c r="AS31" s="970"/>
      <c r="AT31" s="283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</row>
    <row r="32" spans="1:67">
      <c r="A32" s="99">
        <v>26</v>
      </c>
      <c r="B32" s="301" t="s">
        <v>120</v>
      </c>
      <c r="C32" s="310">
        <f>'Table 3 Levels 1&amp;2'!BW34</f>
        <v>187398578.10474902</v>
      </c>
      <c r="D32" s="361">
        <f>'[1]Adjusted Amounts'!C32</f>
        <v>-11961.53370293905</v>
      </c>
      <c r="E32" s="361">
        <f>'[1]Adjusted Amounts'!H32</f>
        <v>-582559.70179683762</v>
      </c>
      <c r="F32" s="361">
        <f t="shared" si="27"/>
        <v>-594521.23549977667</v>
      </c>
      <c r="G32" s="310">
        <f t="shared" si="26"/>
        <v>0</v>
      </c>
      <c r="H32" s="361">
        <f t="shared" si="28"/>
        <v>-594521.23549977667</v>
      </c>
      <c r="I32" s="361"/>
      <c r="J32" s="1246">
        <f>-'Table 5C1A-Madison Prep'!H32</f>
        <v>0</v>
      </c>
      <c r="K32" s="49">
        <f>-'Table 5C1B-DArbonne'!H32</f>
        <v>0</v>
      </c>
      <c r="L32" s="361">
        <f>-'Table 5C1C-Intl_VIBE'!H32</f>
        <v>-191250.25366378462</v>
      </c>
      <c r="M32" s="361">
        <f>-'Table 5C1D-NOMMA'!H32</f>
        <v>-457337.56310905021</v>
      </c>
      <c r="N32" s="361">
        <f>-'Table 5C1E-LFNO'!H32</f>
        <v>-203723.09629403145</v>
      </c>
      <c r="O32" s="361">
        <f>-'Table 5C1F-Lake Charles Charter'!H32</f>
        <v>0</v>
      </c>
      <c r="P32" s="361">
        <f>-'Table 5C1G-JS Clark Academy'!H32</f>
        <v>0</v>
      </c>
      <c r="Q32" s="361">
        <f>-'Table 5C1H-Southwest LA Charter'!H32</f>
        <v>0</v>
      </c>
      <c r="R32" s="315">
        <f>-('Table 5C2 - LA Virtual Admy'!H29+'Table 5C2 - LA Virtual Admy'!I29)</f>
        <v>-399130.9641678984</v>
      </c>
      <c r="S32" s="315">
        <f>-'Table 5C3 - LA Connections EBR'!H29-'Table 5C3 - LA Connections EBR'!I29</f>
        <v>-407446.1925880629</v>
      </c>
      <c r="T32" s="315">
        <f>-'Table 5D1 - New Vision'!G32</f>
        <v>0</v>
      </c>
      <c r="U32" s="315">
        <f>-'Table 5D2 - Glencoe'!G32</f>
        <v>0</v>
      </c>
      <c r="V32" s="315">
        <f>-'Table 5D3 - International'!G32</f>
        <v>-924151.11019077362</v>
      </c>
      <c r="W32" s="315">
        <f>-'Table 5D4 - Avoyelles'!G32</f>
        <v>0</v>
      </c>
      <c r="X32" s="315">
        <f>-'Table 5D5 - Delhi'!G32</f>
        <v>0</v>
      </c>
      <c r="Y32" s="315">
        <f>-'Table 5D6 - Milestone'!G32</f>
        <v>-471106.18540430145</v>
      </c>
      <c r="Z32" s="315">
        <f>-'Table 5D7 - Max'!G32</f>
        <v>0</v>
      </c>
      <c r="AA32" s="315">
        <f>-'Table 5D8 - Belle Chasse'!I32</f>
        <v>-1105505.7035347167</v>
      </c>
      <c r="AB32" s="315">
        <f>-'Table 5A4_LSDVI'!H32</f>
        <v>-24945.685260493647</v>
      </c>
      <c r="AC32" s="315">
        <f>-'Table 5A5_SSD'!H32</f>
        <v>-116413.19788230369</v>
      </c>
      <c r="AD32" s="1606">
        <f>-'Table 5A2 LSMSA'!H32</f>
        <v>-41576.142100822748</v>
      </c>
      <c r="AE32" s="1606">
        <f>-'Table 5A3 NOCCA'!H32</f>
        <v>-133043.65472263278</v>
      </c>
      <c r="AF32" s="315">
        <f>-('Table 5F Scholarships '!Q366+'Table 5F Scholarships '!S366)</f>
        <v>-1813716.374545173</v>
      </c>
      <c r="AG32" s="315">
        <f t="shared" si="29"/>
        <v>-6289346.123464046</v>
      </c>
      <c r="AH32" s="568">
        <f t="shared" si="30"/>
        <v>180514711</v>
      </c>
      <c r="AI32" s="310">
        <f t="shared" si="31"/>
        <v>15042893</v>
      </c>
      <c r="AJ32" s="310">
        <f>'Table 4A Level 4'!G31</f>
        <v>0</v>
      </c>
      <c r="AK32" s="1576">
        <f>'Table 4A Level 4'!I31</f>
        <v>160000</v>
      </c>
      <c r="AL32" s="1576">
        <f>'Table 4A Level 4'!J31</f>
        <v>0</v>
      </c>
      <c r="AM32" s="361">
        <f t="shared" si="32"/>
        <v>180674711</v>
      </c>
      <c r="AN32" s="1580"/>
      <c r="AO32" s="1583"/>
      <c r="AP32" s="1583"/>
      <c r="AR32" s="1331"/>
      <c r="AS32" s="970"/>
      <c r="AT32" s="283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</row>
    <row r="33" spans="1:67">
      <c r="A33" s="99">
        <v>27</v>
      </c>
      <c r="B33" s="301" t="s">
        <v>121</v>
      </c>
      <c r="C33" s="310">
        <f>'Table 3 Levels 1&amp;2'!BW35</f>
        <v>35559291.571489118</v>
      </c>
      <c r="D33" s="361">
        <f>'[1]Adjusted Amounts'!C33</f>
        <v>0</v>
      </c>
      <c r="E33" s="361">
        <f>'[1]Adjusted Amounts'!H33</f>
        <v>0</v>
      </c>
      <c r="F33" s="361">
        <f t="shared" si="27"/>
        <v>0</v>
      </c>
      <c r="G33" s="310">
        <f t="shared" si="26"/>
        <v>0</v>
      </c>
      <c r="H33" s="361">
        <f t="shared" si="28"/>
        <v>0</v>
      </c>
      <c r="I33" s="361"/>
      <c r="J33" s="361">
        <f>-'Table 5C1A-Madison Prep'!H33</f>
        <v>0</v>
      </c>
      <c r="K33" s="361">
        <f>-'Table 5C1B-DArbonne'!H33</f>
        <v>0</v>
      </c>
      <c r="L33" s="361">
        <f>-'Table 5C1C-Intl_VIBE'!H33</f>
        <v>0</v>
      </c>
      <c r="M33" s="361">
        <f>-'Table 5C1D-NOMMA'!H33</f>
        <v>0</v>
      </c>
      <c r="N33" s="361">
        <f>-'Table 5C1E-LFNO'!H33</f>
        <v>0</v>
      </c>
      <c r="O33" s="361">
        <f>-'Table 5C1F-Lake Charles Charter'!H33</f>
        <v>0</v>
      </c>
      <c r="P33" s="361">
        <f>-'Table 5C1G-JS Clark Academy'!H33</f>
        <v>0</v>
      </c>
      <c r="Q33" s="361">
        <f>-'Table 5C1H-Southwest LA Charter'!H33</f>
        <v>-50637.215566378247</v>
      </c>
      <c r="R33" s="315">
        <f>-('Table 5C2 - LA Virtual Admy'!H30+'Table 5C2 - LA Virtual Admy'!I30)</f>
        <v>-18988.955837391841</v>
      </c>
      <c r="S33" s="315">
        <f>-'Table 5C3 - LA Connections EBR'!H30-'Table 5C3 - LA Connections EBR'!I30</f>
        <v>-44307.563620580964</v>
      </c>
      <c r="T33" s="315">
        <f>-'Table 5D1 - New Vision'!G33</f>
        <v>0</v>
      </c>
      <c r="U33" s="315">
        <f>-'Table 5D2 - Glencoe'!G33</f>
        <v>0</v>
      </c>
      <c r="V33" s="315">
        <f>-'Table 5D3 - International'!G33</f>
        <v>0</v>
      </c>
      <c r="W33" s="315">
        <f>-'Table 5D4 - Avoyelles'!G33</f>
        <v>0</v>
      </c>
      <c r="X33" s="315">
        <f>-'Table 5D5 - Delhi'!G33</f>
        <v>0</v>
      </c>
      <c r="Y33" s="315">
        <f>-'Table 5D6 - Milestone'!G33</f>
        <v>0</v>
      </c>
      <c r="Z33" s="315">
        <f>-'Table 5D7 - Max'!G33</f>
        <v>0</v>
      </c>
      <c r="AA33" s="315">
        <f>-'Table 5D8 - Belle Chasse'!I33</f>
        <v>0</v>
      </c>
      <c r="AB33" s="315">
        <f>-'Table 5A4_LSDVI'!H33</f>
        <v>-12659.303891594562</v>
      </c>
      <c r="AC33" s="315">
        <f>-'Table 5A5_SSD'!H33</f>
        <v>-12659.303891594562</v>
      </c>
      <c r="AD33" s="1606">
        <f>-'Table 5A2 LSMSA'!H33</f>
        <v>0</v>
      </c>
      <c r="AE33" s="1606">
        <f>-'Table 5A3 NOCCA'!H33</f>
        <v>0</v>
      </c>
      <c r="AF33" s="315">
        <v>0</v>
      </c>
      <c r="AG33" s="315">
        <f t="shared" si="29"/>
        <v>-139252.34280754018</v>
      </c>
      <c r="AH33" s="568">
        <f t="shared" si="30"/>
        <v>35420039</v>
      </c>
      <c r="AI33" s="310">
        <f t="shared" si="31"/>
        <v>2951670</v>
      </c>
      <c r="AJ33" s="310">
        <f>'Table 4A Level 4'!G32</f>
        <v>0</v>
      </c>
      <c r="AK33" s="1576">
        <f>'Table 4A Level 4'!I32</f>
        <v>0</v>
      </c>
      <c r="AL33" s="1576">
        <f>'Table 4A Level 4'!J32</f>
        <v>0</v>
      </c>
      <c r="AM33" s="361">
        <f t="shared" si="32"/>
        <v>35420039</v>
      </c>
      <c r="AN33" s="1580"/>
      <c r="AO33" s="1583"/>
      <c r="AP33" s="1583"/>
      <c r="AR33" s="1331"/>
      <c r="AS33" s="970"/>
      <c r="AT33" s="283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</row>
    <row r="34" spans="1:67">
      <c r="A34" s="99">
        <v>28</v>
      </c>
      <c r="B34" s="301" t="s">
        <v>122</v>
      </c>
      <c r="C34" s="310">
        <f>'Table 3 Levels 1&amp;2'!BW36</f>
        <v>114676472.12840955</v>
      </c>
      <c r="D34" s="361">
        <f>'[1]Adjusted Amounts'!C34</f>
        <v>83265.783342431183</v>
      </c>
      <c r="E34" s="361">
        <f>'[1]Adjusted Amounts'!H34</f>
        <v>-102074.93510796013</v>
      </c>
      <c r="F34" s="361">
        <f t="shared" si="27"/>
        <v>-18809.15176552895</v>
      </c>
      <c r="G34" s="310">
        <f t="shared" si="26"/>
        <v>0</v>
      </c>
      <c r="H34" s="361">
        <f t="shared" si="28"/>
        <v>-18809.15176552895</v>
      </c>
      <c r="I34" s="361"/>
      <c r="J34" s="361">
        <f>-'Table 5C1A-Madison Prep'!H34</f>
        <v>0</v>
      </c>
      <c r="K34" s="361">
        <f>-'Table 5C1B-DArbonne'!H34</f>
        <v>0</v>
      </c>
      <c r="L34" s="361">
        <f>-'Table 5C1C-Intl_VIBE'!H34</f>
        <v>0</v>
      </c>
      <c r="M34" s="361">
        <f>-'Table 5C1D-NOMMA'!H34</f>
        <v>0</v>
      </c>
      <c r="N34" s="361">
        <f>-'Table 5C1E-LFNO'!H34</f>
        <v>0</v>
      </c>
      <c r="O34" s="361">
        <f>-'Table 5C1F-Lake Charles Charter'!H34</f>
        <v>0</v>
      </c>
      <c r="P34" s="361">
        <f>-'Table 5C1G-JS Clark Academy'!H34</f>
        <v>-3801.2056522508969</v>
      </c>
      <c r="Q34" s="361">
        <f>-'Table 5C1H-Southwest LA Charter'!H34</f>
        <v>0</v>
      </c>
      <c r="R34" s="315">
        <f>-('Table 5C2 - LA Virtual Admy'!H31+'Table 5C2 - LA Virtual Admy'!I31)</f>
        <v>-148247.02043778499</v>
      </c>
      <c r="S34" s="315">
        <f>-'Table 5C3 - LA Connections EBR'!H31-'Table 5C3 - LA Connections EBR'!I31</f>
        <v>-174855.46000354126</v>
      </c>
      <c r="T34" s="315">
        <f>-'Table 5D1 - New Vision'!G34</f>
        <v>0</v>
      </c>
      <c r="U34" s="315">
        <f>-'Table 5D2 - Glencoe'!G34</f>
        <v>0</v>
      </c>
      <c r="V34" s="315">
        <f>-'Table 5D3 - International'!G34</f>
        <v>0</v>
      </c>
      <c r="W34" s="315">
        <f>-'Table 5D4 - Avoyelles'!G34</f>
        <v>0</v>
      </c>
      <c r="X34" s="315">
        <f>-'Table 5D5 - Delhi'!G34</f>
        <v>0</v>
      </c>
      <c r="Y34" s="315">
        <f>-'Table 5D6 - Milestone'!G34</f>
        <v>0</v>
      </c>
      <c r="Z34" s="315">
        <f>-'Table 5D7 - Max'!G34</f>
        <v>0</v>
      </c>
      <c r="AA34" s="315">
        <f>-'Table 5D8 - Belle Chasse'!I34</f>
        <v>0</v>
      </c>
      <c r="AB34" s="315">
        <f>-'Table 5A4_LSDVI'!H34</f>
        <v>-3801.2056522508969</v>
      </c>
      <c r="AC34" s="315">
        <f>-'Table 5A5_SSD'!H34</f>
        <v>-38012.056522508967</v>
      </c>
      <c r="AD34" s="1606">
        <f>-'Table 5A2 LSMSA'!H34</f>
        <v>-45614.467827010769</v>
      </c>
      <c r="AE34" s="1606">
        <f>-'Table 5A3 NOCCA'!H34</f>
        <v>0</v>
      </c>
      <c r="AF34" s="315">
        <f>-('Table 5F Scholarships '!Q403+'Table 5F Scholarships '!S403)</f>
        <v>-518838.87324894196</v>
      </c>
      <c r="AG34" s="315">
        <f t="shared" si="29"/>
        <v>-933170.28934428981</v>
      </c>
      <c r="AH34" s="568">
        <f t="shared" si="30"/>
        <v>113724493</v>
      </c>
      <c r="AI34" s="310">
        <f t="shared" si="31"/>
        <v>9477041</v>
      </c>
      <c r="AJ34" s="310">
        <f>'Table 4A Level 4'!G33</f>
        <v>98000</v>
      </c>
      <c r="AK34" s="1576">
        <f>'Table 4A Level 4'!I33</f>
        <v>900000</v>
      </c>
      <c r="AL34" s="1576">
        <f>'Table 4A Level 4'!J33</f>
        <v>0</v>
      </c>
      <c r="AM34" s="361">
        <f t="shared" si="32"/>
        <v>114722493</v>
      </c>
      <c r="AN34" s="1580"/>
      <c r="AO34" s="1583"/>
      <c r="AP34" s="1583"/>
      <c r="AR34" s="1331"/>
      <c r="AS34" s="970"/>
      <c r="AT34" s="283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</row>
    <row r="35" spans="1:67">
      <c r="A35" s="99">
        <v>29</v>
      </c>
      <c r="B35" s="301" t="s">
        <v>123</v>
      </c>
      <c r="C35" s="310">
        <f>'Table 3 Levels 1&amp;2'!BW37</f>
        <v>64338627.622768953</v>
      </c>
      <c r="D35" s="361">
        <f>'[1]Adjusted Amounts'!C35</f>
        <v>0</v>
      </c>
      <c r="E35" s="361">
        <f>'[1]Adjusted Amounts'!H35</f>
        <v>0</v>
      </c>
      <c r="F35" s="361">
        <f t="shared" si="27"/>
        <v>0</v>
      </c>
      <c r="G35" s="310">
        <f t="shared" si="26"/>
        <v>0</v>
      </c>
      <c r="H35" s="361">
        <f t="shared" si="28"/>
        <v>0</v>
      </c>
      <c r="I35" s="361"/>
      <c r="J35" s="361">
        <f>-'Table 5C1A-Madison Prep'!H35</f>
        <v>0</v>
      </c>
      <c r="K35" s="361">
        <f>-'Table 5C1B-DArbonne'!H35</f>
        <v>0</v>
      </c>
      <c r="L35" s="361">
        <f>-'Table 5C1C-Intl_VIBE'!H35</f>
        <v>0</v>
      </c>
      <c r="M35" s="361">
        <f>-'Table 5C1D-NOMMA'!H35</f>
        <v>0</v>
      </c>
      <c r="N35" s="361">
        <f>-'Table 5C1E-LFNO'!H35</f>
        <v>0</v>
      </c>
      <c r="O35" s="361">
        <f>-'Table 5C1F-Lake Charles Charter'!H35</f>
        <v>0</v>
      </c>
      <c r="P35" s="361">
        <f>-'Table 5C1G-JS Clark Academy'!H35</f>
        <v>0</v>
      </c>
      <c r="Q35" s="361">
        <f>-'Table 5C1H-Southwest LA Charter'!H35</f>
        <v>0</v>
      </c>
      <c r="R35" s="315">
        <f>-('Table 5C2 - LA Virtual Admy'!H32+'Table 5C2 - LA Virtual Admy'!I32)</f>
        <v>-56005.616371346783</v>
      </c>
      <c r="S35" s="315">
        <f>-'Table 5C3 - LA Connections EBR'!H32-'Table 5C3 - LA Connections EBR'!I32</f>
        <v>-37337.077580897851</v>
      </c>
      <c r="T35" s="315">
        <f>-'Table 5D1 - New Vision'!G35</f>
        <v>0</v>
      </c>
      <c r="U35" s="315">
        <f>-'Table 5D2 - Glencoe'!G35</f>
        <v>0</v>
      </c>
      <c r="V35" s="315">
        <f>-'Table 5D3 - International'!G35</f>
        <v>0</v>
      </c>
      <c r="W35" s="315">
        <f>-'Table 5D4 - Avoyelles'!G35</f>
        <v>0</v>
      </c>
      <c r="X35" s="315">
        <f>-'Table 5D5 - Delhi'!G35</f>
        <v>0</v>
      </c>
      <c r="Y35" s="315">
        <f>-'Table 5D6 - Milestone'!G35</f>
        <v>0</v>
      </c>
      <c r="Z35" s="315">
        <f>-'Table 5D7 - Max'!G35</f>
        <v>-269712.39394823503</v>
      </c>
      <c r="AA35" s="315">
        <f>-'Table 5D8 - Belle Chasse'!I35</f>
        <v>0</v>
      </c>
      <c r="AB35" s="315">
        <f>-'Table 5A4_LSDVI'!H35</f>
        <v>-4667.1346976122313</v>
      </c>
      <c r="AC35" s="315">
        <f>-'Table 5A5_SSD'!H35</f>
        <v>-18668.538790448925</v>
      </c>
      <c r="AD35" s="1606">
        <f>-'Table 5A2 LSMSA'!H35</f>
        <v>-14001.404092836694</v>
      </c>
      <c r="AE35" s="1606">
        <f>-'Table 5A3 NOCCA'!H35</f>
        <v>-4667.1346976122313</v>
      </c>
      <c r="AF35" s="315">
        <f>-('Table 5F Scholarships '!Q422+'Table 5F Scholarships '!S422)</f>
        <v>-197762.42476322714</v>
      </c>
      <c r="AG35" s="315">
        <f t="shared" si="29"/>
        <v>-602821.724942217</v>
      </c>
      <c r="AH35" s="568">
        <f t="shared" si="30"/>
        <v>63735806</v>
      </c>
      <c r="AI35" s="310">
        <f t="shared" si="31"/>
        <v>5311317</v>
      </c>
      <c r="AJ35" s="310">
        <f>'Table 4A Level 4'!G34</f>
        <v>24000</v>
      </c>
      <c r="AK35" s="1576">
        <f>'Table 4A Level 4'!I34</f>
        <v>520000</v>
      </c>
      <c r="AL35" s="1576">
        <f>'Table 4A Level 4'!J34</f>
        <v>0</v>
      </c>
      <c r="AM35" s="361">
        <f t="shared" si="32"/>
        <v>64279806</v>
      </c>
      <c r="AN35" s="1580"/>
      <c r="AO35" s="1583"/>
      <c r="AP35" s="1583"/>
      <c r="AR35" s="1331"/>
      <c r="AS35" s="970"/>
      <c r="AT35" s="283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</row>
    <row r="36" spans="1:67">
      <c r="A36" s="100">
        <v>30</v>
      </c>
      <c r="B36" s="302" t="s">
        <v>124</v>
      </c>
      <c r="C36" s="319">
        <f>'Table 3 Levels 1&amp;2'!BW38</f>
        <v>15657124.487379469</v>
      </c>
      <c r="D36" s="362">
        <f>'[1]Adjusted Amounts'!C36</f>
        <v>0</v>
      </c>
      <c r="E36" s="362">
        <f>'[1]Adjusted Amounts'!H36</f>
        <v>0</v>
      </c>
      <c r="F36" s="362">
        <f t="shared" si="27"/>
        <v>0</v>
      </c>
      <c r="G36" s="319">
        <f t="shared" si="26"/>
        <v>0</v>
      </c>
      <c r="H36" s="362">
        <f t="shared" si="28"/>
        <v>0</v>
      </c>
      <c r="I36" s="362"/>
      <c r="J36" s="362">
        <f>-'Table 5C1A-Madison Prep'!H36</f>
        <v>0</v>
      </c>
      <c r="K36" s="362">
        <f>-'Table 5C1B-DArbonne'!H36</f>
        <v>0</v>
      </c>
      <c r="L36" s="362">
        <f>-'Table 5C1C-Intl_VIBE'!H36</f>
        <v>0</v>
      </c>
      <c r="M36" s="362">
        <f>-'Table 5C1D-NOMMA'!H36</f>
        <v>0</v>
      </c>
      <c r="N36" s="362">
        <f>-'Table 5C1E-LFNO'!H36</f>
        <v>0</v>
      </c>
      <c r="O36" s="362">
        <f>-'Table 5C1F-Lake Charles Charter'!H36</f>
        <v>0</v>
      </c>
      <c r="P36" s="362">
        <f>-'Table 5C1G-JS Clark Academy'!H36</f>
        <v>0</v>
      </c>
      <c r="Q36" s="362">
        <f>-'Table 5C1H-Southwest LA Charter'!H36</f>
        <v>0</v>
      </c>
      <c r="R36" s="322">
        <f>-('Table 5C2 - LA Virtual Admy'!H33+'Table 5C2 - LA Virtual Admy'!I33)</f>
        <v>-25284.716656244604</v>
      </c>
      <c r="S36" s="322">
        <f>-'Table 5C3 - LA Connections EBR'!H33-'Table 5C3 - LA Connections EBR'!I33</f>
        <v>-12642.358328122302</v>
      </c>
      <c r="T36" s="322">
        <f>-'Table 5D1 - New Vision'!G36</f>
        <v>0</v>
      </c>
      <c r="U36" s="322">
        <f>-'Table 5D2 - Glencoe'!G36</f>
        <v>0</v>
      </c>
      <c r="V36" s="322">
        <f>-'Table 5D3 - International'!G36</f>
        <v>0</v>
      </c>
      <c r="W36" s="322">
        <f>-'Table 5D4 - Avoyelles'!G36</f>
        <v>0</v>
      </c>
      <c r="X36" s="322">
        <f>-'Table 5D5 - Delhi'!G36</f>
        <v>0</v>
      </c>
      <c r="Y36" s="322">
        <f>-'Table 5D6 - Milestone'!G36</f>
        <v>0</v>
      </c>
      <c r="Z36" s="322">
        <f>-'Table 5D7 - Max'!G36</f>
        <v>0</v>
      </c>
      <c r="AA36" s="322">
        <f>-'Table 5D8 - Belle Chasse'!I36</f>
        <v>0</v>
      </c>
      <c r="AB36" s="322">
        <f>-'Table 5A4_LSDVI'!H36</f>
        <v>0</v>
      </c>
      <c r="AC36" s="322">
        <f>-'Table 5A5_SSD'!H36</f>
        <v>0</v>
      </c>
      <c r="AD36" s="322">
        <f>-'Table 5A2 LSMSA'!H36</f>
        <v>-6321.1791640611509</v>
      </c>
      <c r="AE36" s="322">
        <f>-'Table 5A3 NOCCA'!H36</f>
        <v>0</v>
      </c>
      <c r="AF36" s="322">
        <v>0</v>
      </c>
      <c r="AG36" s="322">
        <f t="shared" si="29"/>
        <v>-44248.254148428052</v>
      </c>
      <c r="AH36" s="569">
        <f t="shared" si="30"/>
        <v>15612876</v>
      </c>
      <c r="AI36" s="319">
        <f t="shared" si="31"/>
        <v>1301073</v>
      </c>
      <c r="AJ36" s="319">
        <f>'Table 4A Level 4'!G35</f>
        <v>0</v>
      </c>
      <c r="AK36" s="319">
        <f>'Table 4A Level 4'!I35</f>
        <v>0</v>
      </c>
      <c r="AL36" s="319">
        <f>'Table 4A Level 4'!J35</f>
        <v>0</v>
      </c>
      <c r="AM36" s="362">
        <f t="shared" si="32"/>
        <v>15612876</v>
      </c>
      <c r="AN36" s="1580"/>
      <c r="AO36" s="1583"/>
      <c r="AP36" s="1583"/>
      <c r="AR36" s="1331"/>
      <c r="AS36" s="970"/>
      <c r="AT36" s="283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</row>
    <row r="37" spans="1:67">
      <c r="A37" s="99">
        <v>31</v>
      </c>
      <c r="B37" s="301" t="s">
        <v>125</v>
      </c>
      <c r="C37" s="310">
        <f>'Table 3 Levels 1&amp;2'!BW39</f>
        <v>32056473.399660919</v>
      </c>
      <c r="D37" s="361">
        <f>'[1]Adjusted Amounts'!C37</f>
        <v>2426.8569762554553</v>
      </c>
      <c r="E37" s="361">
        <f>'[1]Adjusted Amounts'!H37</f>
        <v>-5004.9553776953999</v>
      </c>
      <c r="F37" s="361">
        <f t="shared" si="27"/>
        <v>-2578.0984014399446</v>
      </c>
      <c r="G37" s="310">
        <f t="shared" si="26"/>
        <v>0</v>
      </c>
      <c r="H37" s="361">
        <f t="shared" si="28"/>
        <v>-2578.0984014399446</v>
      </c>
      <c r="I37" s="361"/>
      <c r="J37" s="49">
        <f>-'Table 5C1A-Madison Prep'!H37</f>
        <v>0</v>
      </c>
      <c r="K37" s="361">
        <f>-'Table 5C1B-DArbonne'!H37</f>
        <v>-39527.553511295831</v>
      </c>
      <c r="L37" s="361">
        <f>-'Table 5C1C-Intl_VIBE'!H37</f>
        <v>0</v>
      </c>
      <c r="M37" s="361">
        <f>-'Table 5C1D-NOMMA'!H37</f>
        <v>0</v>
      </c>
      <c r="N37" s="361">
        <f>-'Table 5C1E-LFNO'!H37</f>
        <v>0</v>
      </c>
      <c r="O37" s="361">
        <f>-'Table 5C1F-Lake Charles Charter'!H37</f>
        <v>0</v>
      </c>
      <c r="P37" s="361">
        <f>-'Table 5C1G-JS Clark Academy'!H37</f>
        <v>0</v>
      </c>
      <c r="Q37" s="361">
        <f>-'Table 5C1H-Southwest LA Charter'!H37</f>
        <v>0</v>
      </c>
      <c r="R37" s="315">
        <f>-('Table 5C2 - LA Virtual Admy'!H34+'Table 5C2 - LA Virtual Admy'!I34)</f>
        <v>-9881.8883778239579</v>
      </c>
      <c r="S37" s="315">
        <f>-'Table 5C3 - LA Connections EBR'!H34-'Table 5C3 - LA Connections EBR'!I34</f>
        <v>-19763.776755647916</v>
      </c>
      <c r="T37" s="315">
        <f>-'Table 5D1 - New Vision'!G37</f>
        <v>0</v>
      </c>
      <c r="U37" s="315">
        <f>-'Table 5D2 - Glencoe'!G37</f>
        <v>0</v>
      </c>
      <c r="V37" s="315">
        <f>-'Table 5D3 - International'!G37</f>
        <v>0</v>
      </c>
      <c r="W37" s="315">
        <f>-'Table 5D4 - Avoyelles'!G37</f>
        <v>0</v>
      </c>
      <c r="X37" s="315">
        <f>-'Table 5D5 - Delhi'!G37</f>
        <v>0</v>
      </c>
      <c r="Y37" s="315">
        <f>-'Table 5D6 - Milestone'!G37</f>
        <v>0</v>
      </c>
      <c r="Z37" s="315">
        <f>-'Table 5D7 - Max'!G37</f>
        <v>0</v>
      </c>
      <c r="AA37" s="315">
        <f>-'Table 5D8 - Belle Chasse'!I37</f>
        <v>0</v>
      </c>
      <c r="AB37" s="315">
        <f>-'Table 5A4_LSDVI'!H37</f>
        <v>-14822.832566735937</v>
      </c>
      <c r="AC37" s="315">
        <f>-'Table 5A5_SSD'!H37</f>
        <v>-19763.776755647916</v>
      </c>
      <c r="AD37" s="1606">
        <f>-'Table 5A2 LSMSA'!H37</f>
        <v>-4940.9441889119789</v>
      </c>
      <c r="AE37" s="1606">
        <f>-'Table 5A3 NOCCA'!H37</f>
        <v>0</v>
      </c>
      <c r="AF37" s="315">
        <f>-('Table 5F Scholarships '!Q430+'Table 5F Scholarships '!S430)</f>
        <v>-376562.21456537407</v>
      </c>
      <c r="AG37" s="315">
        <f t="shared" si="29"/>
        <v>-485262.9867214376</v>
      </c>
      <c r="AH37" s="568">
        <f t="shared" si="30"/>
        <v>31568632</v>
      </c>
      <c r="AI37" s="310">
        <f t="shared" si="31"/>
        <v>2630719</v>
      </c>
      <c r="AJ37" s="310">
        <f>'Table 4A Level 4'!G36</f>
        <v>0</v>
      </c>
      <c r="AK37" s="1576">
        <f>'Table 4A Level 4'!I36</f>
        <v>0</v>
      </c>
      <c r="AL37" s="1576">
        <f>'Table 4A Level 4'!J36</f>
        <v>0</v>
      </c>
      <c r="AM37" s="361">
        <f t="shared" si="32"/>
        <v>31568632</v>
      </c>
      <c r="AN37" s="1580"/>
      <c r="AO37" s="1583"/>
      <c r="AP37" s="1583"/>
      <c r="AR37" s="1331"/>
      <c r="AS37" s="970"/>
      <c r="AT37" s="283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</row>
    <row r="38" spans="1:67">
      <c r="A38" s="99">
        <v>32</v>
      </c>
      <c r="B38" s="301" t="s">
        <v>126</v>
      </c>
      <c r="C38" s="310">
        <f>'Table 3 Levels 1&amp;2'!BW40</f>
        <v>150714126.13273761</v>
      </c>
      <c r="D38" s="361">
        <f>'[1]Adjusted Amounts'!C38</f>
        <v>0</v>
      </c>
      <c r="E38" s="361">
        <f>'[1]Adjusted Amounts'!H38</f>
        <v>0</v>
      </c>
      <c r="F38" s="361">
        <f t="shared" si="27"/>
        <v>0</v>
      </c>
      <c r="G38" s="310">
        <f t="shared" si="26"/>
        <v>0</v>
      </c>
      <c r="H38" s="361">
        <f t="shared" si="28"/>
        <v>0</v>
      </c>
      <c r="I38" s="361"/>
      <c r="J38" s="361">
        <f>-'Table 5C1A-Madison Prep'!H38</f>
        <v>0</v>
      </c>
      <c r="K38" s="361">
        <f>-'Table 5C1B-DArbonne'!H38</f>
        <v>0</v>
      </c>
      <c r="L38" s="361">
        <f>-'Table 5C1C-Intl_VIBE'!H38</f>
        <v>0</v>
      </c>
      <c r="M38" s="361">
        <f>-'Table 5C1D-NOMMA'!H38</f>
        <v>0</v>
      </c>
      <c r="N38" s="361">
        <f>-'Table 5C1E-LFNO'!H38</f>
        <v>0</v>
      </c>
      <c r="O38" s="361">
        <f>-'Table 5C1F-Lake Charles Charter'!H38</f>
        <v>0</v>
      </c>
      <c r="P38" s="361">
        <f>-'Table 5C1G-JS Clark Academy'!H38</f>
        <v>0</v>
      </c>
      <c r="Q38" s="361">
        <f>-'Table 5C1H-Southwest LA Charter'!H38</f>
        <v>0</v>
      </c>
      <c r="R38" s="315">
        <f>-('Table 5C2 - LA Virtual Admy'!H35+'Table 5C2 - LA Virtual Admy'!I35)</f>
        <v>-194054.97346993175</v>
      </c>
      <c r="S38" s="315">
        <f>-'Table 5C3 - LA Connections EBR'!H35-'Table 5C3 - LA Connections EBR'!I35</f>
        <v>-460880.56199108792</v>
      </c>
      <c r="T38" s="315">
        <f>-'Table 5D1 - New Vision'!G38</f>
        <v>0</v>
      </c>
      <c r="U38" s="315">
        <f>-'Table 5D2 - Glencoe'!G38</f>
        <v>0</v>
      </c>
      <c r="V38" s="315">
        <f>-'Table 5D3 - International'!G38</f>
        <v>0</v>
      </c>
      <c r="W38" s="315">
        <f>-'Table 5D4 - Avoyelles'!G38</f>
        <v>0</v>
      </c>
      <c r="X38" s="315">
        <f>-'Table 5D5 - Delhi'!G38</f>
        <v>0</v>
      </c>
      <c r="Y38" s="315">
        <f>-'Table 5D6 - Milestone'!G38</f>
        <v>0</v>
      </c>
      <c r="Z38" s="315">
        <f>-'Table 5D7 - Max'!G38</f>
        <v>-6163.6597309203398</v>
      </c>
      <c r="AA38" s="315">
        <f>-'Table 5D8 - Belle Chasse'!I38</f>
        <v>0</v>
      </c>
      <c r="AB38" s="315">
        <f>-'Table 5A4_LSDVI'!H38</f>
        <v>-90963.268814030511</v>
      </c>
      <c r="AC38" s="315">
        <f>-'Table 5A5_SSD'!H38</f>
        <v>-48513.743367482937</v>
      </c>
      <c r="AD38" s="1606">
        <f>-'Table 5A2 LSMSA'!H38</f>
        <v>-78834.832972159769</v>
      </c>
      <c r="AE38" s="1606">
        <f>-'Table 5A3 NOCCA'!H38</f>
        <v>-6064.2179209353671</v>
      </c>
      <c r="AF38" s="315">
        <f>-('Table 5F Scholarships '!Q433+'Table 5F Scholarships '!S433)</f>
        <v>-12056.764111230281</v>
      </c>
      <c r="AG38" s="315">
        <f t="shared" si="29"/>
        <v>-897532.02237777889</v>
      </c>
      <c r="AH38" s="568">
        <f t="shared" si="30"/>
        <v>149816594</v>
      </c>
      <c r="AI38" s="310">
        <f t="shared" si="31"/>
        <v>12484716</v>
      </c>
      <c r="AJ38" s="310">
        <f>'Table 4A Level 4'!G37</f>
        <v>0</v>
      </c>
      <c r="AK38" s="1576">
        <f>'Table 4A Level 4'!I37</f>
        <v>0</v>
      </c>
      <c r="AL38" s="1576">
        <f>'Table 4A Level 4'!J37</f>
        <v>0</v>
      </c>
      <c r="AM38" s="361">
        <f t="shared" si="32"/>
        <v>149816594</v>
      </c>
      <c r="AN38" s="1580"/>
      <c r="AO38" s="1583"/>
      <c r="AP38" s="1583"/>
      <c r="AR38" s="1331"/>
      <c r="AS38" s="970"/>
      <c r="AT38" s="283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</row>
    <row r="39" spans="1:67">
      <c r="A39" s="99">
        <v>33</v>
      </c>
      <c r="B39" s="301" t="s">
        <v>127</v>
      </c>
      <c r="C39" s="310">
        <f>'Table 3 Levels 1&amp;2'!BW41</f>
        <v>11547882.283284616</v>
      </c>
      <c r="D39" s="361">
        <f>'[1]Adjusted Amounts'!C39</f>
        <v>-22324.016662026203</v>
      </c>
      <c r="E39" s="361">
        <f>'[1]Adjusted Amounts'!H39</f>
        <v>-32256.428826750838</v>
      </c>
      <c r="F39" s="361">
        <f t="shared" si="27"/>
        <v>-54580.445488777041</v>
      </c>
      <c r="G39" s="310">
        <f t="shared" si="26"/>
        <v>0</v>
      </c>
      <c r="H39" s="361">
        <f t="shared" si="28"/>
        <v>-54580.445488777041</v>
      </c>
      <c r="I39" s="361"/>
      <c r="J39" s="361">
        <f>-'Table 5C1A-Madison Prep'!H39</f>
        <v>0</v>
      </c>
      <c r="K39" s="361">
        <f>-'Table 5C1B-DArbonne'!H39</f>
        <v>0</v>
      </c>
      <c r="L39" s="361">
        <f>-'Table 5C1C-Intl_VIBE'!H39</f>
        <v>0</v>
      </c>
      <c r="M39" s="361">
        <f>-'Table 5C1D-NOMMA'!H39</f>
        <v>0</v>
      </c>
      <c r="N39" s="361">
        <f>-'Table 5C1E-LFNO'!H39</f>
        <v>0</v>
      </c>
      <c r="O39" s="361">
        <f>-'Table 5C1F-Lake Charles Charter'!H39</f>
        <v>0</v>
      </c>
      <c r="P39" s="361">
        <f>-'Table 5C1G-JS Clark Academy'!H39</f>
        <v>0</v>
      </c>
      <c r="Q39" s="361">
        <f>-'Table 5C1H-Southwest LA Charter'!H39</f>
        <v>0</v>
      </c>
      <c r="R39" s="315">
        <f>-('Table 5C2 - LA Virtual Admy'!H36+'Table 5C2 - LA Virtual Admy'!I36)</f>
        <v>-11954.765450237521</v>
      </c>
      <c r="S39" s="315">
        <f>-'Table 5C3 - LA Connections EBR'!H36-'Table 5C3 - LA Connections EBR'!I36</f>
        <v>-23909.530900475042</v>
      </c>
      <c r="T39" s="315">
        <f>-'Table 5D1 - New Vision'!G39</f>
        <v>0</v>
      </c>
      <c r="U39" s="315">
        <f>-'Table 5D2 - Glencoe'!G39</f>
        <v>0</v>
      </c>
      <c r="V39" s="315">
        <f>-'Table 5D3 - International'!G39</f>
        <v>0</v>
      </c>
      <c r="W39" s="315">
        <f>-'Table 5D4 - Avoyelles'!G39</f>
        <v>0</v>
      </c>
      <c r="X39" s="315">
        <f>-'Table 5D5 - Delhi'!G39</f>
        <v>-818873.477696441</v>
      </c>
      <c r="Y39" s="315">
        <f>-'Table 5D6 - Milestone'!G39</f>
        <v>0</v>
      </c>
      <c r="Z39" s="315">
        <f>-'Table 5D7 - Max'!G39</f>
        <v>0</v>
      </c>
      <c r="AA39" s="315">
        <f>-'Table 5D8 - Belle Chasse'!I39</f>
        <v>0</v>
      </c>
      <c r="AB39" s="315">
        <f>-'Table 5A4_LSDVI'!H39</f>
        <v>-17932.14817535628</v>
      </c>
      <c r="AC39" s="315">
        <f>-'Table 5A5_SSD'!H39</f>
        <v>0</v>
      </c>
      <c r="AD39" s="1606">
        <f>-'Table 5A2 LSMSA'!H39</f>
        <v>0</v>
      </c>
      <c r="AE39" s="1606">
        <f>-'Table 5A3 NOCCA'!H39</f>
        <v>0</v>
      </c>
      <c r="AF39" s="315">
        <v>0</v>
      </c>
      <c r="AG39" s="315">
        <f t="shared" si="29"/>
        <v>-872669.92222250986</v>
      </c>
      <c r="AH39" s="568">
        <f t="shared" si="30"/>
        <v>10620632</v>
      </c>
      <c r="AI39" s="310">
        <f t="shared" si="31"/>
        <v>885053</v>
      </c>
      <c r="AJ39" s="310">
        <f>'Table 4A Level 4'!G38</f>
        <v>4000</v>
      </c>
      <c r="AK39" s="1576">
        <f>'Table 4A Level 4'!I38</f>
        <v>0</v>
      </c>
      <c r="AL39" s="1576">
        <f>'Table 4A Level 4'!J38</f>
        <v>0</v>
      </c>
      <c r="AM39" s="361">
        <f t="shared" si="32"/>
        <v>10624632</v>
      </c>
      <c r="AN39" s="1580"/>
      <c r="AO39" s="1583"/>
      <c r="AP39" s="1583"/>
      <c r="AR39" s="1331"/>
      <c r="AS39" s="970"/>
      <c r="AT39" s="283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</row>
    <row r="40" spans="1:67">
      <c r="A40" s="99">
        <v>34</v>
      </c>
      <c r="B40" s="301" t="s">
        <v>128</v>
      </c>
      <c r="C40" s="310">
        <f>'Table 3 Levels 1&amp;2'!BW42</f>
        <v>28319934.583161365</v>
      </c>
      <c r="D40" s="361">
        <f>'[1]Adjusted Amounts'!C40</f>
        <v>-3204.4489837342553</v>
      </c>
      <c r="E40" s="361">
        <f>'[1]Adjusted Amounts'!H40</f>
        <v>1192.1480811789743</v>
      </c>
      <c r="F40" s="361">
        <f t="shared" si="27"/>
        <v>-2012.300902555281</v>
      </c>
      <c r="G40" s="310">
        <f t="shared" si="26"/>
        <v>0</v>
      </c>
      <c r="H40" s="361">
        <f t="shared" si="28"/>
        <v>-2012.300902555281</v>
      </c>
      <c r="I40" s="361"/>
      <c r="J40" s="361">
        <f>-'Table 5C1A-Madison Prep'!H40</f>
        <v>0</v>
      </c>
      <c r="K40" s="361">
        <f>-'Table 5C1B-DArbonne'!H40</f>
        <v>0</v>
      </c>
      <c r="L40" s="361">
        <f>-'Table 5C1C-Intl_VIBE'!H40</f>
        <v>0</v>
      </c>
      <c r="M40" s="361">
        <f>-'Table 5C1D-NOMMA'!H40</f>
        <v>0</v>
      </c>
      <c r="N40" s="361">
        <f>-'Table 5C1E-LFNO'!H40</f>
        <v>0</v>
      </c>
      <c r="O40" s="361">
        <f>-'Table 5C1F-Lake Charles Charter'!H40</f>
        <v>0</v>
      </c>
      <c r="P40" s="361">
        <f>-'Table 5C1G-JS Clark Academy'!H40</f>
        <v>0</v>
      </c>
      <c r="Q40" s="361">
        <f>-'Table 5C1H-Southwest LA Charter'!H40</f>
        <v>0</v>
      </c>
      <c r="R40" s="315">
        <f>-('Table 5C2 - LA Virtual Admy'!H37+'Table 5C2 - LA Virtual Admy'!I37)</f>
        <v>-99047.592610974578</v>
      </c>
      <c r="S40" s="315">
        <f>-'Table 5C3 - LA Connections EBR'!H37-'Table 5C3 - LA Connections EBR'!I37</f>
        <v>-46222.209885121476</v>
      </c>
      <c r="T40" s="315">
        <f>-'Table 5D1 - New Vision'!G40</f>
        <v>-53402.866900937282</v>
      </c>
      <c r="U40" s="315">
        <f>-'Table 5D2 - Glencoe'!G40</f>
        <v>0</v>
      </c>
      <c r="V40" s="315">
        <f>-'Table 5D3 - International'!G40</f>
        <v>0</v>
      </c>
      <c r="W40" s="315">
        <f>-'Table 5D4 - Avoyelles'!G40</f>
        <v>0</v>
      </c>
      <c r="X40" s="315">
        <f>-'Table 5D5 - Delhi'!G40</f>
        <v>-12972.172769746343</v>
      </c>
      <c r="Y40" s="315">
        <f>-'Table 5D6 - Milestone'!G40</f>
        <v>0</v>
      </c>
      <c r="Z40" s="315">
        <f>-'Table 5D7 - Max'!G40</f>
        <v>0</v>
      </c>
      <c r="AA40" s="315">
        <f>-'Table 5D8 - Belle Chasse'!I40</f>
        <v>0</v>
      </c>
      <c r="AB40" s="315">
        <f>-'Table 5A4_LSDVI'!H40</f>
        <v>0</v>
      </c>
      <c r="AC40" s="315">
        <f>-'Table 5A5_SSD'!H40</f>
        <v>-6603.1728407316386</v>
      </c>
      <c r="AD40" s="1606">
        <f>-'Table 5A2 LSMSA'!H40</f>
        <v>-13206.345681463277</v>
      </c>
      <c r="AE40" s="1606">
        <f>-'Table 5A3 NOCCA'!H40</f>
        <v>0</v>
      </c>
      <c r="AF40" s="315">
        <f>-('Table 5F Scholarships '!Q438+'Table 5F Scholarships '!S438)</f>
        <v>-26295.420125137032</v>
      </c>
      <c r="AG40" s="315">
        <f t="shared" si="29"/>
        <v>-257749.78081411161</v>
      </c>
      <c r="AH40" s="568">
        <f t="shared" si="30"/>
        <v>28060173</v>
      </c>
      <c r="AI40" s="310">
        <f t="shared" si="31"/>
        <v>2338348</v>
      </c>
      <c r="AJ40" s="310">
        <f>'Table 4A Level 4'!G39</f>
        <v>0</v>
      </c>
      <c r="AK40" s="1576">
        <f>'Table 4A Level 4'!I39</f>
        <v>0</v>
      </c>
      <c r="AL40" s="1576">
        <f>'Table 4A Level 4'!J39</f>
        <v>0</v>
      </c>
      <c r="AM40" s="361">
        <f t="shared" si="32"/>
        <v>28060173</v>
      </c>
      <c r="AN40" s="1580"/>
      <c r="AO40" s="1583"/>
      <c r="AP40" s="1583"/>
      <c r="AR40" s="1331"/>
      <c r="AS40" s="970"/>
      <c r="AT40" s="283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</row>
    <row r="41" spans="1:67">
      <c r="A41" s="100">
        <v>35</v>
      </c>
      <c r="B41" s="302" t="s">
        <v>129</v>
      </c>
      <c r="C41" s="319">
        <f>'Table 3 Levels 1&amp;2'!BW43</f>
        <v>33284162.913246244</v>
      </c>
      <c r="D41" s="362">
        <f>'[1]Adjusted Amounts'!C41</f>
        <v>-2751.2730480111859</v>
      </c>
      <c r="E41" s="362">
        <f>'[1]Adjusted Amounts'!H41</f>
        <v>1366.9480546969935</v>
      </c>
      <c r="F41" s="362">
        <f t="shared" si="27"/>
        <v>-1384.3249933141924</v>
      </c>
      <c r="G41" s="319">
        <f t="shared" si="26"/>
        <v>0</v>
      </c>
      <c r="H41" s="362">
        <f t="shared" si="28"/>
        <v>-1384.3249933141924</v>
      </c>
      <c r="I41" s="362"/>
      <c r="J41" s="362">
        <f>-'Table 5C1A-Madison Prep'!H41</f>
        <v>0</v>
      </c>
      <c r="K41" s="362">
        <f>-'Table 5C1B-DArbonne'!H41</f>
        <v>0</v>
      </c>
      <c r="L41" s="362">
        <f>-'Table 5C1C-Intl_VIBE'!H41</f>
        <v>0</v>
      </c>
      <c r="M41" s="362">
        <f>-'Table 5C1D-NOMMA'!H41</f>
        <v>0</v>
      </c>
      <c r="N41" s="362">
        <f>-'Table 5C1E-LFNO'!H41</f>
        <v>0</v>
      </c>
      <c r="O41" s="362">
        <f>-'Table 5C1F-Lake Charles Charter'!H41</f>
        <v>0</v>
      </c>
      <c r="P41" s="362">
        <f>-'Table 5C1G-JS Clark Academy'!H41</f>
        <v>0</v>
      </c>
      <c r="Q41" s="362">
        <f>-'Table 5C1H-Southwest LA Charter'!H41</f>
        <v>0</v>
      </c>
      <c r="R41" s="322">
        <f>-('Table 5C2 - LA Virtual Admy'!H38+'Table 5C2 - LA Virtual Admy'!I38)</f>
        <v>-86868.429395331012</v>
      </c>
      <c r="S41" s="322">
        <f>-'Table 5C3 - LA Connections EBR'!H38-'Table 5C3 - LA Connections EBR'!I38</f>
        <v>-81758.521783840944</v>
      </c>
      <c r="T41" s="322">
        <f>-'Table 5D1 - New Vision'!G41</f>
        <v>0</v>
      </c>
      <c r="U41" s="322">
        <f>-'Table 5D2 - Glencoe'!G41</f>
        <v>0</v>
      </c>
      <c r="V41" s="322">
        <f>-'Table 5D3 - International'!G41</f>
        <v>0</v>
      </c>
      <c r="W41" s="322">
        <f>-'Table 5D4 - Avoyelles'!G41</f>
        <v>0</v>
      </c>
      <c r="X41" s="322">
        <f>-'Table 5D5 - Delhi'!G41</f>
        <v>0</v>
      </c>
      <c r="Y41" s="322">
        <f>-'Table 5D6 - Milestone'!G41</f>
        <v>0</v>
      </c>
      <c r="Z41" s="322">
        <f>-'Table 5D7 - Max'!G41</f>
        <v>0</v>
      </c>
      <c r="AA41" s="322">
        <f>-'Table 5D8 - Belle Chasse'!I41</f>
        <v>0</v>
      </c>
      <c r="AB41" s="322">
        <f>-'Table 5A4_LSDVI'!H41</f>
        <v>-15329.722834470176</v>
      </c>
      <c r="AC41" s="322">
        <f>-'Table 5A5_SSD'!H41</f>
        <v>-30659.445668940352</v>
      </c>
      <c r="AD41" s="322">
        <f>-'Table 5A2 LSMSA'!H41</f>
        <v>-66428.798949370772</v>
      </c>
      <c r="AE41" s="322">
        <f>-'Table 5A3 NOCCA'!H41</f>
        <v>0</v>
      </c>
      <c r="AF41" s="322">
        <f>-('Table 5F Scholarships '!Q441+'Table 5F Scholarships '!S441)</f>
        <v>-10269.679525805192</v>
      </c>
      <c r="AG41" s="322">
        <f t="shared" si="29"/>
        <v>-291314.59815775848</v>
      </c>
      <c r="AH41" s="569">
        <f t="shared" si="30"/>
        <v>32991464</v>
      </c>
      <c r="AI41" s="319">
        <f t="shared" si="31"/>
        <v>2749289</v>
      </c>
      <c r="AJ41" s="319">
        <f>'Table 4A Level 4'!G40</f>
        <v>0</v>
      </c>
      <c r="AK41" s="319">
        <f>'Table 4A Level 4'!I40</f>
        <v>0</v>
      </c>
      <c r="AL41" s="319">
        <f>'Table 4A Level 4'!J40</f>
        <v>0</v>
      </c>
      <c r="AM41" s="362">
        <f t="shared" si="32"/>
        <v>32991464</v>
      </c>
      <c r="AN41" s="1580"/>
      <c r="AO41" s="1583"/>
      <c r="AP41" s="1583"/>
      <c r="AR41" s="1331"/>
      <c r="AS41" s="970"/>
      <c r="AT41" s="283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</row>
    <row r="42" spans="1:67" ht="12.75" customHeight="1">
      <c r="A42" s="99">
        <v>36</v>
      </c>
      <c r="B42" s="301" t="s">
        <v>130</v>
      </c>
      <c r="C42" s="310">
        <f>'Table 3 Levels 1&amp;2'!BW44</f>
        <v>194452647.23014763</v>
      </c>
      <c r="D42" s="361">
        <f>'[1]Adjusted Amounts'!C42</f>
        <v>1989.6294367055889</v>
      </c>
      <c r="E42" s="361">
        <f>'[1]Adjusted Amounts'!H42</f>
        <v>-6370.9919334905071</v>
      </c>
      <c r="F42" s="361">
        <f t="shared" si="27"/>
        <v>-4381.3624967849182</v>
      </c>
      <c r="G42" s="310">
        <f t="shared" si="26"/>
        <v>0</v>
      </c>
      <c r="H42" s="361">
        <f t="shared" si="28"/>
        <v>-4381.3624967849182</v>
      </c>
      <c r="I42" s="361">
        <f>-'Table 5B1_RSD_Orleans'!H70</f>
        <v>-127614838.52687627</v>
      </c>
      <c r="J42" s="49">
        <f>-'Table 5C1A-Madison Prep'!H42</f>
        <v>0</v>
      </c>
      <c r="K42" s="361">
        <f>-'Table 5C1B-DArbonne'!H42</f>
        <v>0</v>
      </c>
      <c r="L42" s="361">
        <f>-'Table 5C1C-Intl_VIBE'!H42</f>
        <v>-1703204.6048857176</v>
      </c>
      <c r="M42" s="361">
        <f>-'Table 5C1D-NOMMA'!H42</f>
        <v>-458894.50494330213</v>
      </c>
      <c r="N42" s="361">
        <f>-'Table 5C1E-LFNO'!H42</f>
        <v>-644217.2857857896</v>
      </c>
      <c r="O42" s="361">
        <f>-'Table 5C1F-Lake Charles Charter'!H42</f>
        <v>0</v>
      </c>
      <c r="P42" s="361">
        <f>-'Table 5C1G-JS Clark Academy'!H42</f>
        <v>0</v>
      </c>
      <c r="Q42" s="361">
        <f>-'Table 5C1H-Southwest LA Charter'!H42</f>
        <v>0</v>
      </c>
      <c r="R42" s="315">
        <f>-('Table 5C2 - LA Virtual Admy'!H39+'Table 5C2 - LA Virtual Admy'!I39)</f>
        <v>-228469.5596930288</v>
      </c>
      <c r="S42" s="315">
        <f>-'Table 5C3 - LA Connections EBR'!H39-'Table 5C3 - LA Connections EBR'!I39</f>
        <v>-188926.75128461997</v>
      </c>
      <c r="T42" s="315">
        <f>-'Table 5D1 - New Vision'!G42</f>
        <v>0</v>
      </c>
      <c r="U42" s="315">
        <f>-'Table 5D2 - Glencoe'!G42</f>
        <v>0</v>
      </c>
      <c r="V42" s="315">
        <f>-'Table 5D3 - International'!G42</f>
        <v>-2046031.4953762046</v>
      </c>
      <c r="W42" s="315">
        <f>-'Table 5D4 - Avoyelles'!G42</f>
        <v>0</v>
      </c>
      <c r="X42" s="315">
        <f>-'Table 5D5 - Delhi'!G42</f>
        <v>0</v>
      </c>
      <c r="Y42" s="315">
        <f>-'Table 5D6 - Milestone'!G42</f>
        <v>-1486540.5146924008</v>
      </c>
      <c r="Z42" s="315">
        <f>-'Table 5D7 - Max'!G42</f>
        <v>0</v>
      </c>
      <c r="AA42" s="315">
        <f>-'Table 5D8 - Belle Chasse'!I42</f>
        <v>-850965.36009329022</v>
      </c>
      <c r="AB42" s="315">
        <f>-'Table 5A4_LSDVI'!H42</f>
        <v>-48536.918792080032</v>
      </c>
      <c r="AC42" s="315">
        <f>-'Table 5A5_SSD'!H42</f>
        <v>-123548.52056165827</v>
      </c>
      <c r="AD42" s="1606">
        <f>-'Table 5A2 LSMSA'!H42</f>
        <v>-26361.872272272551</v>
      </c>
      <c r="AE42" s="1606">
        <f>-'Table 5A3 NOCCA'!H42</f>
        <v>-228469.5596930288</v>
      </c>
      <c r="AF42" s="315">
        <f>-('Table 5F Scholarships '!Q684+'Table 5F Scholarships '!S684)</f>
        <v>-10580813.389491461</v>
      </c>
      <c r="AG42" s="315">
        <f>SUM(I42:AF42)</f>
        <v>-146229818.86444113</v>
      </c>
      <c r="AH42" s="568">
        <f>ROUND(C42+F42+AG42,0)</f>
        <v>48218447</v>
      </c>
      <c r="AI42" s="310">
        <f t="shared" si="31"/>
        <v>4018204</v>
      </c>
      <c r="AJ42" s="310">
        <f>'Table 4A Level 4'!G41</f>
        <v>62000</v>
      </c>
      <c r="AK42" s="1576">
        <f>'Table 4A Level 4'!I41</f>
        <v>460000</v>
      </c>
      <c r="AL42" s="1576">
        <f>'Table 4A Level 4'!J41</f>
        <v>0</v>
      </c>
      <c r="AM42" s="361">
        <f t="shared" si="32"/>
        <v>48740447</v>
      </c>
      <c r="AN42" s="1580"/>
      <c r="AO42" s="1583"/>
      <c r="AP42" s="1583"/>
      <c r="AR42" s="1331"/>
      <c r="AS42" s="970"/>
      <c r="AT42" s="283"/>
      <c r="AU42" s="1841"/>
      <c r="AV42" s="1841"/>
      <c r="AW42" s="1841"/>
      <c r="AX42" s="1841"/>
      <c r="AY42" s="1841"/>
      <c r="AZ42" s="1841"/>
      <c r="BA42" s="1841"/>
      <c r="BB42" s="1841"/>
      <c r="BC42" s="1841"/>
      <c r="BD42" s="1841"/>
      <c r="BE42" s="1841"/>
      <c r="BF42" s="1841"/>
      <c r="BG42" s="1841"/>
      <c r="BH42" s="1841"/>
      <c r="BI42" s="1841"/>
      <c r="BJ42" s="1841"/>
      <c r="BK42" s="1841"/>
      <c r="BL42" s="1841"/>
      <c r="BM42" s="1841"/>
      <c r="BN42" s="1841"/>
      <c r="BO42" s="1841"/>
    </row>
    <row r="43" spans="1:67">
      <c r="A43" s="99">
        <v>37</v>
      </c>
      <c r="B43" s="301" t="s">
        <v>131</v>
      </c>
      <c r="C43" s="310">
        <f>'Table 3 Levels 1&amp;2'!BW45</f>
        <v>121611955.29193006</v>
      </c>
      <c r="D43" s="361">
        <f>'[1]Adjusted Amounts'!C43</f>
        <v>6125.6994180640613</v>
      </c>
      <c r="E43" s="361">
        <f>'[1]Adjusted Amounts'!H43</f>
        <v>-121891.45617824208</v>
      </c>
      <c r="F43" s="361">
        <f t="shared" si="27"/>
        <v>-115765.75676017802</v>
      </c>
      <c r="G43" s="310">
        <f t="shared" si="26"/>
        <v>0</v>
      </c>
      <c r="H43" s="361">
        <f t="shared" si="28"/>
        <v>-115765.75676017802</v>
      </c>
      <c r="I43" s="361"/>
      <c r="J43" s="49">
        <f>-'Table 5C1A-Madison Prep'!H43</f>
        <v>0</v>
      </c>
      <c r="K43" s="361">
        <f>-'Table 5C1B-DArbonne'!H43</f>
        <v>-18415.256712678958</v>
      </c>
      <c r="L43" s="361">
        <f>-'Table 5C1C-Intl_VIBE'!H43</f>
        <v>0</v>
      </c>
      <c r="M43" s="361">
        <f>-'Table 5C1D-NOMMA'!H43</f>
        <v>0</v>
      </c>
      <c r="N43" s="361">
        <f>-'Table 5C1E-LFNO'!H43</f>
        <v>0</v>
      </c>
      <c r="O43" s="361">
        <f>-'Table 5C1F-Lake Charles Charter'!H43</f>
        <v>0</v>
      </c>
      <c r="P43" s="361">
        <f>-'Table 5C1G-JS Clark Academy'!H43</f>
        <v>0</v>
      </c>
      <c r="Q43" s="361">
        <f>-'Table 5C1H-Southwest LA Charter'!H43</f>
        <v>0</v>
      </c>
      <c r="R43" s="315">
        <f>-('Table 5C2 - LA Virtual Admy'!H40+'Table 5C2 - LA Virtual Admy'!I40)</f>
        <v>-227121.4994563738</v>
      </c>
      <c r="S43" s="315">
        <f>-'Table 5C3 - LA Connections EBR'!H40-'Table 5C3 - LA Connections EBR'!I40</f>
        <v>-104353.12137184743</v>
      </c>
      <c r="T43" s="315">
        <f>-'Table 5D1 - New Vision'!G43</f>
        <v>-756534.73998564458</v>
      </c>
      <c r="U43" s="315">
        <f>-'Table 5D2 - Glencoe'!G43</f>
        <v>0</v>
      </c>
      <c r="V43" s="315">
        <f>-'Table 5D3 - International'!G43</f>
        <v>0</v>
      </c>
      <c r="W43" s="315">
        <f>-'Table 5D4 - Avoyelles'!G43</f>
        <v>0</v>
      </c>
      <c r="X43" s="315">
        <f>-'Table 5D5 - Delhi'!G43</f>
        <v>-18035.497345103555</v>
      </c>
      <c r="Y43" s="315">
        <f>-'Table 5D6 - Milestone'!G43</f>
        <v>0</v>
      </c>
      <c r="Z43" s="315">
        <f>-'Table 5D7 - Max'!G43</f>
        <v>0</v>
      </c>
      <c r="AA43" s="315">
        <f>-'Table 5D8 - Belle Chasse'!I43</f>
        <v>0</v>
      </c>
      <c r="AB43" s="315">
        <f>-'Table 5A4_LSDVI'!H43</f>
        <v>-24553.675616905275</v>
      </c>
      <c r="AC43" s="315">
        <f>-'Table 5A5_SSD'!H43</f>
        <v>-61384.189042263191</v>
      </c>
      <c r="AD43" s="1606">
        <f>-'Table 5A2 LSMSA'!H43</f>
        <v>-36830.513425357916</v>
      </c>
      <c r="AE43" s="1606">
        <f>-'Table 5A3 NOCCA'!H43</f>
        <v>0</v>
      </c>
      <c r="AF43" s="315">
        <f>-('Table 5F Scholarships '!Q705+'Table 5F Scholarships '!S705)</f>
        <v>-299694.35533172643</v>
      </c>
      <c r="AG43" s="315">
        <f t="shared" si="29"/>
        <v>-1546922.8482879011</v>
      </c>
      <c r="AH43" s="568">
        <f t="shared" si="30"/>
        <v>119949267</v>
      </c>
      <c r="AI43" s="310">
        <f t="shared" si="31"/>
        <v>9995772</v>
      </c>
      <c r="AJ43" s="310">
        <f>'Table 4A Level 4'!G42</f>
        <v>0</v>
      </c>
      <c r="AK43" s="1576">
        <f>'Table 4A Level 4'!I42</f>
        <v>20000</v>
      </c>
      <c r="AL43" s="1576">
        <f>'Table 4A Level 4'!J42</f>
        <v>0</v>
      </c>
      <c r="AM43" s="361">
        <f t="shared" si="32"/>
        <v>119969267</v>
      </c>
      <c r="AN43" s="1581"/>
      <c r="AO43" s="1583"/>
      <c r="AP43" s="1583"/>
      <c r="AQ43" s="570"/>
      <c r="AR43" s="1332"/>
      <c r="AS43" s="1330"/>
      <c r="AT43" s="1328"/>
      <c r="AU43" s="570"/>
      <c r="AV43" s="570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</row>
    <row r="44" spans="1:67">
      <c r="A44" s="99">
        <v>38</v>
      </c>
      <c r="B44" s="301" t="s">
        <v>132</v>
      </c>
      <c r="C44" s="310">
        <f>'Table 3 Levels 1&amp;2'!BW46</f>
        <v>12483060.600514183</v>
      </c>
      <c r="D44" s="361">
        <f>'[1]Adjusted Amounts'!C44</f>
        <v>4839.7174128218885</v>
      </c>
      <c r="E44" s="361">
        <f>'[1]Adjusted Amounts'!H44</f>
        <v>-54131.246476337459</v>
      </c>
      <c r="F44" s="361">
        <f t="shared" si="27"/>
        <v>-49291.529063515569</v>
      </c>
      <c r="G44" s="310">
        <f t="shared" si="26"/>
        <v>0</v>
      </c>
      <c r="H44" s="361">
        <f t="shared" si="28"/>
        <v>-49291.529063515569</v>
      </c>
      <c r="I44" s="361"/>
      <c r="J44" s="49">
        <f>-'Table 5C1A-Madison Prep'!H44</f>
        <v>0</v>
      </c>
      <c r="K44" s="361">
        <f>-'Table 5C1B-DArbonne'!H44</f>
        <v>0</v>
      </c>
      <c r="L44" s="361">
        <f>-'Table 5C1C-Intl_VIBE'!H44</f>
        <v>0</v>
      </c>
      <c r="M44" s="361">
        <f>-'Table 5C1D-NOMMA'!H44</f>
        <v>-23268.094263782274</v>
      </c>
      <c r="N44" s="361">
        <f>-'Table 5C1E-LFNO'!H44</f>
        <v>-8725.5353489183526</v>
      </c>
      <c r="O44" s="361">
        <f>-'Table 5C1F-Lake Charles Charter'!H44</f>
        <v>0</v>
      </c>
      <c r="P44" s="361">
        <f>-'Table 5C1G-JS Clark Academy'!H44</f>
        <v>0</v>
      </c>
      <c r="Q44" s="361">
        <f>-'Table 5C1H-Southwest LA Charter'!H44</f>
        <v>0</v>
      </c>
      <c r="R44" s="315">
        <f>-('Table 5C2 - LA Virtual Admy'!H41+'Table 5C2 - LA Virtual Admy'!I41)</f>
        <v>-5817.0235659455684</v>
      </c>
      <c r="S44" s="315">
        <f>-'Table 5C3 - LA Connections EBR'!H41-'Table 5C3 - LA Connections EBR'!I41</f>
        <v>-17451.070697836705</v>
      </c>
      <c r="T44" s="315">
        <f>-'Table 5D1 - New Vision'!G44</f>
        <v>0</v>
      </c>
      <c r="U44" s="315">
        <f>-'Table 5D2 - Glencoe'!G44</f>
        <v>0</v>
      </c>
      <c r="V44" s="315">
        <f>-'Table 5D3 - International'!G44</f>
        <v>-2793.4019405358094</v>
      </c>
      <c r="W44" s="315">
        <f>-'Table 5D4 - Avoyelles'!G44</f>
        <v>0</v>
      </c>
      <c r="X44" s="315">
        <f>-'Table 5D5 - Delhi'!G44</f>
        <v>0</v>
      </c>
      <c r="Y44" s="315">
        <f>-'Table 5D6 - Milestone'!G44</f>
        <v>0</v>
      </c>
      <c r="Z44" s="315">
        <f>-'Table 5D7 - Max'!G44</f>
        <v>0</v>
      </c>
      <c r="AA44" s="315">
        <f>-'Table 5D8 - Belle Chasse'!I44</f>
        <v>-1387867.1943154486</v>
      </c>
      <c r="AB44" s="315">
        <f>-'Table 5A4_LSDVI'!H44</f>
        <v>0</v>
      </c>
      <c r="AC44" s="315">
        <f>-'Table 5A5_SSD'!H44</f>
        <v>0</v>
      </c>
      <c r="AD44" s="1606">
        <f>-'Table 5A2 LSMSA'!H44</f>
        <v>-5817.0235659455684</v>
      </c>
      <c r="AE44" s="1606">
        <f>-'Table 5A3 NOCCA'!H44</f>
        <v>-2908.5117829727842</v>
      </c>
      <c r="AF44" s="315">
        <f>-('Table 5F Scholarships '!Q707+'Table 5F Scholarships '!S707)</f>
        <v>-2884.150732555473</v>
      </c>
      <c r="AG44" s="315">
        <f t="shared" si="29"/>
        <v>-1457532.0062139414</v>
      </c>
      <c r="AH44" s="568">
        <f t="shared" si="30"/>
        <v>10976237</v>
      </c>
      <c r="AI44" s="310">
        <f t="shared" si="31"/>
        <v>914686</v>
      </c>
      <c r="AJ44" s="310">
        <f>'Table 4A Level 4'!G43</f>
        <v>8000</v>
      </c>
      <c r="AK44" s="1576">
        <f>'Table 4A Level 4'!I43</f>
        <v>60000</v>
      </c>
      <c r="AL44" s="1576">
        <f>'Table 4A Level 4'!J43</f>
        <v>0</v>
      </c>
      <c r="AM44" s="361">
        <f t="shared" si="32"/>
        <v>11044237</v>
      </c>
      <c r="AN44" s="1581"/>
      <c r="AO44" s="1583"/>
      <c r="AP44" s="1583"/>
      <c r="AQ44" s="570"/>
      <c r="AR44" s="1332"/>
      <c r="AS44" s="1330"/>
      <c r="AT44" s="1328"/>
      <c r="AU44" s="570"/>
      <c r="AV44" s="570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</row>
    <row r="45" spans="1:67">
      <c r="A45" s="99">
        <v>39</v>
      </c>
      <c r="B45" s="301" t="s">
        <v>133</v>
      </c>
      <c r="C45" s="310">
        <f>'Table 3 Levels 1&amp;2'!BW47</f>
        <v>12686110.686437491</v>
      </c>
      <c r="D45" s="361">
        <f>'[1]Adjusted Amounts'!C45</f>
        <v>0</v>
      </c>
      <c r="E45" s="361">
        <f>'[1]Adjusted Amounts'!H45</f>
        <v>0</v>
      </c>
      <c r="F45" s="361">
        <f t="shared" si="27"/>
        <v>0</v>
      </c>
      <c r="G45" s="310">
        <f t="shared" si="26"/>
        <v>0</v>
      </c>
      <c r="H45" s="361">
        <f t="shared" si="28"/>
        <v>0</v>
      </c>
      <c r="I45" s="361">
        <f>-'Table 5B2_RSD_LA'!H23</f>
        <v>-1016895.4737288136</v>
      </c>
      <c r="J45" s="361">
        <f>-'Table 5C1A-Madison Prep'!H45</f>
        <v>0</v>
      </c>
      <c r="K45" s="361">
        <f>-'Table 5C1B-DArbonne'!H45</f>
        <v>0</v>
      </c>
      <c r="L45" s="361">
        <f>-'Table 5C1C-Intl_VIBE'!H45</f>
        <v>0</v>
      </c>
      <c r="M45" s="361">
        <f>-'Table 5C1D-NOMMA'!H45</f>
        <v>0</v>
      </c>
      <c r="N45" s="361">
        <f>-'Table 5C1E-LFNO'!H45</f>
        <v>0</v>
      </c>
      <c r="O45" s="361">
        <f>-'Table 5C1F-Lake Charles Charter'!H45</f>
        <v>0</v>
      </c>
      <c r="P45" s="361">
        <f>-'Table 5C1G-JS Clark Academy'!H45</f>
        <v>0</v>
      </c>
      <c r="Q45" s="361">
        <f>-'Table 5C1H-Southwest LA Charter'!H45</f>
        <v>0</v>
      </c>
      <c r="R45" s="315">
        <f>-('Table 5C2 - LA Virtual Admy'!H42+'Table 5C2 - LA Virtual Admy'!I42)</f>
        <v>-13206.430890995991</v>
      </c>
      <c r="S45" s="315">
        <f>-'Table 5C3 - LA Connections EBR'!H42-'Table 5C3 - LA Connections EBR'!I42</f>
        <v>-22010.718151659989</v>
      </c>
      <c r="T45" s="315">
        <f>-'Table 5D1 - New Vision'!G45</f>
        <v>0</v>
      </c>
      <c r="U45" s="315">
        <f>-'Table 5D2 - Glencoe'!G45</f>
        <v>0</v>
      </c>
      <c r="V45" s="315">
        <f>-'Table 5D3 - International'!G45</f>
        <v>0</v>
      </c>
      <c r="W45" s="315">
        <f>-'Table 5D4 - Avoyelles'!G45</f>
        <v>-4158.6120353475562</v>
      </c>
      <c r="X45" s="315">
        <f>-'Table 5D5 - Delhi'!G45</f>
        <v>0</v>
      </c>
      <c r="Y45" s="315">
        <f>-'Table 5D6 - Milestone'!G45</f>
        <v>0</v>
      </c>
      <c r="Z45" s="315">
        <f>-'Table 5D7 - Max'!G45</f>
        <v>0</v>
      </c>
      <c r="AA45" s="315">
        <f>-'Table 5D8 - Belle Chasse'!I45</f>
        <v>0</v>
      </c>
      <c r="AB45" s="315">
        <f>-'Table 5A4_LSDVI'!H45</f>
        <v>-26412.861781991985</v>
      </c>
      <c r="AC45" s="315">
        <f>-'Table 5A5_SSD'!H45</f>
        <v>-4402.1436303319979</v>
      </c>
      <c r="AD45" s="1606">
        <f>-'Table 5A2 LSMSA'!H45</f>
        <v>-26412.861781991985</v>
      </c>
      <c r="AE45" s="1606">
        <f>-'Table 5A3 NOCCA'!H45</f>
        <v>0</v>
      </c>
      <c r="AF45" s="315">
        <f>-('Table 5F Scholarships '!Q717+'Table 5F Scholarships '!S717)</f>
        <v>-129441.93798564245</v>
      </c>
      <c r="AG45" s="315">
        <f t="shared" si="29"/>
        <v>-1242941.0399867757</v>
      </c>
      <c r="AH45" s="568">
        <f t="shared" si="30"/>
        <v>11443170</v>
      </c>
      <c r="AI45" s="310">
        <f t="shared" si="31"/>
        <v>953598</v>
      </c>
      <c r="AJ45" s="310">
        <f>'Table 4A Level 4'!G44</f>
        <v>0</v>
      </c>
      <c r="AK45" s="1576">
        <f>'Table 4A Level 4'!I44</f>
        <v>0</v>
      </c>
      <c r="AL45" s="1576">
        <f>'Table 4A Level 4'!J44</f>
        <v>0</v>
      </c>
      <c r="AM45" s="361">
        <f t="shared" si="32"/>
        <v>11443170</v>
      </c>
      <c r="AN45" s="1581"/>
      <c r="AO45" s="1583"/>
      <c r="AP45" s="1583"/>
      <c r="AQ45" s="570"/>
      <c r="AR45" s="1332"/>
      <c r="AS45" s="1330"/>
      <c r="AT45" s="1328"/>
      <c r="AU45" s="570"/>
      <c r="AV45" s="570"/>
    </row>
    <row r="46" spans="1:67">
      <c r="A46" s="100">
        <v>40</v>
      </c>
      <c r="B46" s="302" t="s">
        <v>134</v>
      </c>
      <c r="C46" s="319">
        <f>'Table 3 Levels 1&amp;2'!BW48</f>
        <v>129001774.0426162</v>
      </c>
      <c r="D46" s="362">
        <f>'[1]Adjusted Amounts'!C46</f>
        <v>-49491.345815212408</v>
      </c>
      <c r="E46" s="362">
        <f>'[1]Adjusted Amounts'!H46</f>
        <v>-84696.403939664335</v>
      </c>
      <c r="F46" s="362">
        <f t="shared" si="27"/>
        <v>-134187.74975487674</v>
      </c>
      <c r="G46" s="319">
        <f t="shared" si="26"/>
        <v>0</v>
      </c>
      <c r="H46" s="362">
        <f t="shared" si="28"/>
        <v>-134187.74975487674</v>
      </c>
      <c r="I46" s="362"/>
      <c r="J46" s="362">
        <f>-'Table 5C1A-Madison Prep'!H46</f>
        <v>0</v>
      </c>
      <c r="K46" s="362">
        <f>-'Table 5C1B-DArbonne'!H46</f>
        <v>0</v>
      </c>
      <c r="L46" s="362">
        <f>-'Table 5C1C-Intl_VIBE'!H46</f>
        <v>0</v>
      </c>
      <c r="M46" s="362">
        <f>-'Table 5C1D-NOMMA'!H46</f>
        <v>0</v>
      </c>
      <c r="N46" s="362">
        <f>-'Table 5C1E-LFNO'!H46</f>
        <v>0</v>
      </c>
      <c r="O46" s="362">
        <f>-'Table 5C1F-Lake Charles Charter'!H46</f>
        <v>0</v>
      </c>
      <c r="P46" s="362">
        <f>-'Table 5C1G-JS Clark Academy'!H46</f>
        <v>0</v>
      </c>
      <c r="Q46" s="362">
        <f>-'Table 5C1H-Southwest LA Charter'!H46</f>
        <v>0</v>
      </c>
      <c r="R46" s="322">
        <f>-('Table 5C2 - LA Virtual Admy'!H43+'Table 5C2 - LA Virtual Admy'!I43)</f>
        <v>-178749.07949817629</v>
      </c>
      <c r="S46" s="322">
        <f>-'Table 5C3 - LA Connections EBR'!H43-'Table 5C3 - LA Connections EBR'!I43</f>
        <v>-150819.53582658625</v>
      </c>
      <c r="T46" s="322">
        <f>-'Table 5D1 - New Vision'!G46</f>
        <v>0</v>
      </c>
      <c r="U46" s="322">
        <f>-'Table 5D2 - Glencoe'!G46</f>
        <v>0</v>
      </c>
      <c r="V46" s="322">
        <f>-'Table 5D3 - International'!G46</f>
        <v>0</v>
      </c>
      <c r="W46" s="322">
        <f>-'Table 5D4 - Avoyelles'!G46</f>
        <v>-21687.051479045324</v>
      </c>
      <c r="X46" s="322">
        <f>-'Table 5D5 - Delhi'!G46</f>
        <v>0</v>
      </c>
      <c r="Y46" s="322">
        <f>-'Table 5D6 - Milestone'!G46</f>
        <v>0</v>
      </c>
      <c r="Z46" s="322">
        <f>-'Table 5D7 - Max'!G46</f>
        <v>0</v>
      </c>
      <c r="AA46" s="322">
        <f>-'Table 5D8 - Belle Chasse'!I46</f>
        <v>0</v>
      </c>
      <c r="AB46" s="322">
        <f>-'Table 5A4_LSDVI'!H46</f>
        <v>-16757.726202954025</v>
      </c>
      <c r="AC46" s="322">
        <f>-'Table 5A5_SSD'!H46</f>
        <v>-173163.17076385827</v>
      </c>
      <c r="AD46" s="322">
        <f>-'Table 5A2 LSMSA'!H46</f>
        <v>-44687.269874544072</v>
      </c>
      <c r="AE46" s="322">
        <f>-'Table 5A3 NOCCA'!H46</f>
        <v>0</v>
      </c>
      <c r="AF46" s="322">
        <f>-('Table 5F Scholarships '!Q735+'Table 5F Scholarships '!S735)</f>
        <v>-438041.79468724935</v>
      </c>
      <c r="AG46" s="322">
        <f t="shared" si="29"/>
        <v>-1023905.6283324136</v>
      </c>
      <c r="AH46" s="569">
        <f t="shared" si="30"/>
        <v>127843681</v>
      </c>
      <c r="AI46" s="319">
        <f t="shared" si="31"/>
        <v>10653640</v>
      </c>
      <c r="AJ46" s="319">
        <f>'Table 4A Level 4'!G45</f>
        <v>0</v>
      </c>
      <c r="AK46" s="319">
        <f>'Table 4A Level 4'!I45</f>
        <v>0</v>
      </c>
      <c r="AL46" s="319">
        <f>'Table 4A Level 4'!J45</f>
        <v>0</v>
      </c>
      <c r="AM46" s="362">
        <f t="shared" si="32"/>
        <v>127843681</v>
      </c>
      <c r="AN46" s="1580"/>
      <c r="AO46" s="1583"/>
      <c r="AP46" s="1583"/>
      <c r="AR46" s="1331"/>
      <c r="AS46" s="758"/>
      <c r="AT46" s="283"/>
    </row>
    <row r="47" spans="1:67">
      <c r="A47" s="99">
        <v>41</v>
      </c>
      <c r="B47" s="301" t="s">
        <v>135</v>
      </c>
      <c r="C47" s="310">
        <f>'Table 3 Levels 1&amp;2'!BW49</f>
        <v>3510757.3509999998</v>
      </c>
      <c r="D47" s="361">
        <f>'[1]Adjusted Amounts'!C47</f>
        <v>0</v>
      </c>
      <c r="E47" s="361">
        <f>'[1]Adjusted Amounts'!H47</f>
        <v>0</v>
      </c>
      <c r="F47" s="361">
        <f t="shared" si="27"/>
        <v>0</v>
      </c>
      <c r="G47" s="310">
        <f t="shared" si="26"/>
        <v>0</v>
      </c>
      <c r="H47" s="361">
        <f t="shared" si="28"/>
        <v>0</v>
      </c>
      <c r="I47" s="361"/>
      <c r="J47" s="361">
        <f>-'Table 5C1A-Madison Prep'!H47</f>
        <v>0</v>
      </c>
      <c r="K47" s="361">
        <f>-'Table 5C1B-DArbonne'!H47</f>
        <v>0</v>
      </c>
      <c r="L47" s="361">
        <f>-'Table 5C1C-Intl_VIBE'!H47</f>
        <v>0</v>
      </c>
      <c r="M47" s="361">
        <f>-'Table 5C1D-NOMMA'!H47</f>
        <v>0</v>
      </c>
      <c r="N47" s="361">
        <f>-'Table 5C1E-LFNO'!H47</f>
        <v>0</v>
      </c>
      <c r="O47" s="361">
        <f>-'Table 5C1F-Lake Charles Charter'!H47</f>
        <v>0</v>
      </c>
      <c r="P47" s="361">
        <f>-'Table 5C1G-JS Clark Academy'!H47</f>
        <v>0</v>
      </c>
      <c r="Q47" s="361">
        <f>-'Table 5C1H-Southwest LA Charter'!H47</f>
        <v>0</v>
      </c>
      <c r="R47" s="315">
        <f>-('Table 5C2 - LA Virtual Admy'!H44+'Table 5C2 - LA Virtual Admy'!I44)</f>
        <v>-2488.2598121899364</v>
      </c>
      <c r="S47" s="315">
        <f>-'Table 5C3 - LA Connections EBR'!H44-'Table 5C3 - LA Connections EBR'!I44</f>
        <v>-2488.2598121899364</v>
      </c>
      <c r="T47" s="315">
        <f>-'Table 5D1 - New Vision'!G47</f>
        <v>0</v>
      </c>
      <c r="U47" s="315">
        <f>-'Table 5D2 - Glencoe'!G47</f>
        <v>0</v>
      </c>
      <c r="V47" s="315">
        <f>-'Table 5D3 - International'!G47</f>
        <v>0</v>
      </c>
      <c r="W47" s="315">
        <f>-'Table 5D4 - Avoyelles'!G47</f>
        <v>0</v>
      </c>
      <c r="X47" s="315">
        <f>-'Table 5D5 - Delhi'!G47</f>
        <v>0</v>
      </c>
      <c r="Y47" s="315">
        <f>-'Table 5D6 - Milestone'!G47</f>
        <v>0</v>
      </c>
      <c r="Z47" s="315">
        <f>-'Table 5D7 - Max'!G47</f>
        <v>0</v>
      </c>
      <c r="AA47" s="315">
        <f>-'Table 5D8 - Belle Chasse'!I47</f>
        <v>0</v>
      </c>
      <c r="AB47" s="315">
        <f>-'Table 5A4_LSDVI'!H47</f>
        <v>0</v>
      </c>
      <c r="AC47" s="315">
        <f>-'Table 5A5_SSD'!H47</f>
        <v>0</v>
      </c>
      <c r="AD47" s="1606">
        <f>-'Table 5A2 LSMSA'!H47</f>
        <v>0</v>
      </c>
      <c r="AE47" s="1606">
        <f>-'Table 5A3 NOCCA'!H47</f>
        <v>0</v>
      </c>
      <c r="AF47" s="315">
        <v>0</v>
      </c>
      <c r="AG47" s="315">
        <f t="shared" si="29"/>
        <v>-4976.5196243798728</v>
      </c>
      <c r="AH47" s="568">
        <f t="shared" si="30"/>
        <v>3505781</v>
      </c>
      <c r="AI47" s="310">
        <f t="shared" si="31"/>
        <v>292148</v>
      </c>
      <c r="AJ47" s="310">
        <f>'Table 4A Level 4'!G46</f>
        <v>0</v>
      </c>
      <c r="AK47" s="1576">
        <f>'Table 4A Level 4'!I46</f>
        <v>0</v>
      </c>
      <c r="AL47" s="1576">
        <f>'Table 4A Level 4'!J46</f>
        <v>0</v>
      </c>
      <c r="AM47" s="361">
        <f t="shared" si="32"/>
        <v>3505781</v>
      </c>
      <c r="AN47" s="1580"/>
      <c r="AO47" s="1583"/>
      <c r="AP47" s="1583"/>
      <c r="AR47" s="1331"/>
      <c r="AS47" s="758"/>
      <c r="AT47" s="283"/>
    </row>
    <row r="48" spans="1:67">
      <c r="A48" s="99">
        <v>42</v>
      </c>
      <c r="B48" s="301" t="s">
        <v>136</v>
      </c>
      <c r="C48" s="310">
        <f>'Table 3 Levels 1&amp;2'!BW50</f>
        <v>21790936.913252164</v>
      </c>
      <c r="D48" s="361">
        <f>'[1]Adjusted Amounts'!C48</f>
        <v>-6035.3656550306769</v>
      </c>
      <c r="E48" s="361">
        <f>'[1]Adjusted Amounts'!H48</f>
        <v>-14321.847018228429</v>
      </c>
      <c r="F48" s="361">
        <f t="shared" si="27"/>
        <v>-20357.212673259106</v>
      </c>
      <c r="G48" s="310">
        <f t="shared" si="26"/>
        <v>0</v>
      </c>
      <c r="H48" s="361">
        <f t="shared" si="28"/>
        <v>-20357.212673259106</v>
      </c>
      <c r="I48" s="361"/>
      <c r="J48" s="361">
        <f>-'Table 5C1A-Madison Prep'!H48</f>
        <v>0</v>
      </c>
      <c r="K48" s="361">
        <f>-'Table 5C1B-DArbonne'!H48</f>
        <v>0</v>
      </c>
      <c r="L48" s="361">
        <f>-'Table 5C1C-Intl_VIBE'!H48</f>
        <v>0</v>
      </c>
      <c r="M48" s="361">
        <f>-'Table 5C1D-NOMMA'!H48</f>
        <v>0</v>
      </c>
      <c r="N48" s="361">
        <f>-'Table 5C1E-LFNO'!H48</f>
        <v>0</v>
      </c>
      <c r="O48" s="361">
        <f>-'Table 5C1F-Lake Charles Charter'!H48</f>
        <v>0</v>
      </c>
      <c r="P48" s="361">
        <f>-'Table 5C1G-JS Clark Academy'!H48</f>
        <v>0</v>
      </c>
      <c r="Q48" s="361">
        <f>-'Table 5C1H-Southwest LA Charter'!H48</f>
        <v>0</v>
      </c>
      <c r="R48" s="315">
        <f>-('Table 5C2 - LA Virtual Admy'!H45+'Table 5C2 - LA Virtual Admy'!I45)</f>
        <v>-39430.280642483325</v>
      </c>
      <c r="S48" s="315">
        <f>-'Table 5C3 - LA Connections EBR'!H45-'Table 5C3 - LA Connections EBR'!I45</f>
        <v>-28164.486173202378</v>
      </c>
      <c r="T48" s="315">
        <f>-'Table 5D1 - New Vision'!G48</f>
        <v>-29074.563782629986</v>
      </c>
      <c r="U48" s="315">
        <f>-'Table 5D2 - Glencoe'!G48</f>
        <v>0</v>
      </c>
      <c r="V48" s="315">
        <f>-'Table 5D3 - International'!G48</f>
        <v>0</v>
      </c>
      <c r="W48" s="315">
        <f>-'Table 5D4 - Avoyelles'!G48</f>
        <v>0</v>
      </c>
      <c r="X48" s="315">
        <f>-'Table 5D5 - Delhi'!G48</f>
        <v>-2334640.9231945332</v>
      </c>
      <c r="Y48" s="315">
        <f>-'Table 5D6 - Milestone'!G48</f>
        <v>0</v>
      </c>
      <c r="Z48" s="315">
        <f>-'Table 5D7 - Max'!G48</f>
        <v>0</v>
      </c>
      <c r="AA48" s="315">
        <f>-'Table 5D8 - Belle Chasse'!I48</f>
        <v>0</v>
      </c>
      <c r="AB48" s="315">
        <f>-'Table 5A4_LSDVI'!H48</f>
        <v>0</v>
      </c>
      <c r="AC48" s="315">
        <f>-'Table 5A5_SSD'!H48</f>
        <v>-5632.8972346404753</v>
      </c>
      <c r="AD48" s="1606">
        <f>-'Table 5A2 LSMSA'!H48</f>
        <v>0</v>
      </c>
      <c r="AE48" s="1606">
        <f>-'Table 5A3 NOCCA'!H48</f>
        <v>0</v>
      </c>
      <c r="AF48" s="315">
        <f>-('Table 5F Scholarships '!Q739+'Table 5F Scholarships '!S739)</f>
        <v>-33878.415840211193</v>
      </c>
      <c r="AG48" s="315">
        <f t="shared" si="29"/>
        <v>-2470821.5668677008</v>
      </c>
      <c r="AH48" s="568">
        <f t="shared" si="30"/>
        <v>19299758</v>
      </c>
      <c r="AI48" s="310">
        <f t="shared" si="31"/>
        <v>1608313</v>
      </c>
      <c r="AJ48" s="310">
        <f>'Table 4A Level 4'!G47</f>
        <v>0</v>
      </c>
      <c r="AK48" s="1576">
        <f>'Table 4A Level 4'!I47</f>
        <v>0</v>
      </c>
      <c r="AL48" s="1576">
        <f>'Table 4A Level 4'!J47</f>
        <v>0</v>
      </c>
      <c r="AM48" s="361">
        <f t="shared" si="32"/>
        <v>19299758</v>
      </c>
      <c r="AN48" s="1580"/>
      <c r="AO48" s="1583"/>
      <c r="AP48" s="1583"/>
      <c r="AQ48" s="1587"/>
      <c r="AR48" s="1331"/>
      <c r="AS48" s="758"/>
      <c r="AT48" s="283"/>
    </row>
    <row r="49" spans="1:46">
      <c r="A49" s="99">
        <v>43</v>
      </c>
      <c r="B49" s="301" t="s">
        <v>137</v>
      </c>
      <c r="C49" s="310">
        <f>'Table 3 Levels 1&amp;2'!BW51</f>
        <v>21261373.88572688</v>
      </c>
      <c r="D49" s="361">
        <f>'[1]Adjusted Amounts'!C49</f>
        <v>0</v>
      </c>
      <c r="E49" s="361">
        <f>'[1]Adjusted Amounts'!H49</f>
        <v>0</v>
      </c>
      <c r="F49" s="361">
        <f t="shared" si="27"/>
        <v>0</v>
      </c>
      <c r="G49" s="310">
        <f t="shared" si="26"/>
        <v>0</v>
      </c>
      <c r="H49" s="361">
        <f t="shared" si="28"/>
        <v>0</v>
      </c>
      <c r="I49" s="361"/>
      <c r="J49" s="361">
        <f>-'Table 5C1A-Madison Prep'!H49</f>
        <v>0</v>
      </c>
      <c r="K49" s="361">
        <f>-'Table 5C1B-DArbonne'!H49</f>
        <v>0</v>
      </c>
      <c r="L49" s="361">
        <f>-'Table 5C1C-Intl_VIBE'!H49</f>
        <v>0</v>
      </c>
      <c r="M49" s="361">
        <f>-'Table 5C1D-NOMMA'!H49</f>
        <v>0</v>
      </c>
      <c r="N49" s="361">
        <f>-'Table 5C1E-LFNO'!H49</f>
        <v>0</v>
      </c>
      <c r="O49" s="361">
        <f>-'Table 5C1F-Lake Charles Charter'!H49</f>
        <v>0</v>
      </c>
      <c r="P49" s="361">
        <f>-'Table 5C1G-JS Clark Academy'!H49</f>
        <v>0</v>
      </c>
      <c r="Q49" s="361">
        <f>-'Table 5C1H-Southwest LA Charter'!H49</f>
        <v>0</v>
      </c>
      <c r="R49" s="315">
        <f>-('Table 5C2 - LA Virtual Admy'!H46+'Table 5C2 - LA Virtual Admy'!I46)</f>
        <v>-31655.6775450028</v>
      </c>
      <c r="S49" s="315">
        <f>-'Table 5C3 - LA Connections EBR'!H46-'Table 5C3 - LA Connections EBR'!I46</f>
        <v>-31655.6775450028</v>
      </c>
      <c r="T49" s="315">
        <f>-'Table 5D1 - New Vision'!G49</f>
        <v>0</v>
      </c>
      <c r="U49" s="315">
        <f>-'Table 5D2 - Glencoe'!G49</f>
        <v>0</v>
      </c>
      <c r="V49" s="315">
        <f>-'Table 5D3 - International'!G49</f>
        <v>0</v>
      </c>
      <c r="W49" s="315">
        <f>-'Table 5D4 - Avoyelles'!G49</f>
        <v>0</v>
      </c>
      <c r="X49" s="315">
        <f>-'Table 5D5 - Delhi'!G49</f>
        <v>0</v>
      </c>
      <c r="Y49" s="315">
        <f>-'Table 5D6 - Milestone'!G49</f>
        <v>0</v>
      </c>
      <c r="Z49" s="315">
        <f>-'Table 5D7 - Max'!G49</f>
        <v>0</v>
      </c>
      <c r="AA49" s="315">
        <f>-'Table 5D8 - Belle Chasse'!I49</f>
        <v>0</v>
      </c>
      <c r="AB49" s="315">
        <f>-'Table 5A4_LSDVI'!H49</f>
        <v>0</v>
      </c>
      <c r="AC49" s="315">
        <f>-'Table 5A5_SSD'!H49</f>
        <v>-10551.892515000933</v>
      </c>
      <c r="AD49" s="1606">
        <f>-'Table 5A2 LSMSA'!H49</f>
        <v>-26379.731287502331</v>
      </c>
      <c r="AE49" s="1606">
        <f>-'Table 5A3 NOCCA'!H49</f>
        <v>0</v>
      </c>
      <c r="AF49" s="315">
        <v>0</v>
      </c>
      <c r="AG49" s="315">
        <f t="shared" si="29"/>
        <v>-100242.97889250887</v>
      </c>
      <c r="AH49" s="565">
        <f t="shared" si="30"/>
        <v>21161131</v>
      </c>
      <c r="AI49" s="310">
        <f t="shared" si="31"/>
        <v>1763428</v>
      </c>
      <c r="AJ49" s="310">
        <f>'Table 4A Level 4'!G48</f>
        <v>0</v>
      </c>
      <c r="AK49" s="1576">
        <f>'Table 4A Level 4'!I48</f>
        <v>0</v>
      </c>
      <c r="AL49" s="1576">
        <f>'Table 4A Level 4'!J48</f>
        <v>0</v>
      </c>
      <c r="AM49" s="310">
        <f t="shared" si="32"/>
        <v>21161131</v>
      </c>
      <c r="AN49" s="1579"/>
      <c r="AO49" s="1582"/>
      <c r="AP49" s="1586"/>
      <c r="AQ49" s="1587"/>
      <c r="AR49" s="1331"/>
      <c r="AS49" s="758"/>
      <c r="AT49" s="283"/>
    </row>
    <row r="50" spans="1:46">
      <c r="A50" s="99">
        <v>44</v>
      </c>
      <c r="B50" s="301" t="s">
        <v>138</v>
      </c>
      <c r="C50" s="310">
        <f>'Table 3 Levels 1&amp;2'!BW52</f>
        <v>34166423.429964535</v>
      </c>
      <c r="D50" s="361">
        <f>'[1]Adjusted Amounts'!C50</f>
        <v>0</v>
      </c>
      <c r="E50" s="361">
        <f>'[1]Adjusted Amounts'!H50</f>
        <v>-4776.3387591922656</v>
      </c>
      <c r="F50" s="361">
        <f t="shared" si="27"/>
        <v>-4776.3387591922656</v>
      </c>
      <c r="G50" s="310">
        <f t="shared" si="26"/>
        <v>0</v>
      </c>
      <c r="H50" s="361">
        <f t="shared" si="28"/>
        <v>-4776.3387591922656</v>
      </c>
      <c r="I50" s="361"/>
      <c r="J50" s="49">
        <f>-'Table 5C1A-Madison Prep'!H50</f>
        <v>0</v>
      </c>
      <c r="K50" s="361">
        <f>-'Table 5C1B-DArbonne'!H50</f>
        <v>0</v>
      </c>
      <c r="L50" s="361">
        <f>-'Table 5C1C-Intl_VIBE'!H50</f>
        <v>-21250.863808499489</v>
      </c>
      <c r="M50" s="361">
        <f>-'Table 5C1D-NOMMA'!H50</f>
        <v>-10625.431904249745</v>
      </c>
      <c r="N50" s="361">
        <f>-'Table 5C1E-LFNO'!H50</f>
        <v>-10625.431904249745</v>
      </c>
      <c r="O50" s="361">
        <f>-'Table 5C1F-Lake Charles Charter'!H50</f>
        <v>0</v>
      </c>
      <c r="P50" s="361">
        <f>-'Table 5C1G-JS Clark Academy'!H50</f>
        <v>0</v>
      </c>
      <c r="Q50" s="361">
        <f>-'Table 5C1H-Southwest LA Charter'!H50</f>
        <v>0</v>
      </c>
      <c r="R50" s="315">
        <f>-('Table 5C2 - LA Virtual Admy'!H47+'Table 5C2 - LA Virtual Admy'!I47)</f>
        <v>-15938.147856374617</v>
      </c>
      <c r="S50" s="315">
        <f>-'Table 5C3 - LA Connections EBR'!H47-'Table 5C3 - LA Connections EBR'!I47</f>
        <v>-47814.443569123847</v>
      </c>
      <c r="T50" s="315">
        <f>-'Table 5D1 - New Vision'!G50</f>
        <v>0</v>
      </c>
      <c r="U50" s="315">
        <f>-'Table 5D2 - Glencoe'!G50</f>
        <v>0</v>
      </c>
      <c r="V50" s="315">
        <f>-'Table 5D3 - International'!G50</f>
        <v>-75101.125535630563</v>
      </c>
      <c r="W50" s="315">
        <f>-'Table 5D4 - Avoyelles'!G50</f>
        <v>0</v>
      </c>
      <c r="X50" s="315">
        <f>-'Table 5D5 - Delhi'!G50</f>
        <v>0</v>
      </c>
      <c r="Y50" s="315">
        <f>-'Table 5D6 - Milestone'!G50</f>
        <v>-5355.3203352417559</v>
      </c>
      <c r="Z50" s="315">
        <f>-'Table 5D7 - Max'!G50</f>
        <v>0</v>
      </c>
      <c r="AA50" s="315">
        <f>-'Table 5D8 - Belle Chasse'!I50</f>
        <v>-16315.375116849542</v>
      </c>
      <c r="AB50" s="315">
        <f>-'Table 5A4_LSDVI'!H50</f>
        <v>-37189.01166487411</v>
      </c>
      <c r="AC50" s="315">
        <f>-'Table 5A5_SSD'!H50</f>
        <v>-10625.431904249745</v>
      </c>
      <c r="AD50" s="1606">
        <f>-'Table 5A2 LSMSA'!H50</f>
        <v>-10625.431904249745</v>
      </c>
      <c r="AE50" s="1606">
        <f>-'Table 5A3 NOCCA'!H50</f>
        <v>-15938.147856374617</v>
      </c>
      <c r="AF50" s="315">
        <f>-('Table 5F Scholarships '!Q747+'Table 5F Scholarships '!S747)</f>
        <v>-98513.657362130267</v>
      </c>
      <c r="AG50" s="315">
        <f t="shared" si="29"/>
        <v>-375917.82072209776</v>
      </c>
      <c r="AH50" s="565">
        <f t="shared" si="30"/>
        <v>33785729</v>
      </c>
      <c r="AI50" s="310">
        <f t="shared" si="31"/>
        <v>2815477</v>
      </c>
      <c r="AJ50" s="310">
        <f>'Table 4A Level 4'!G49</f>
        <v>0</v>
      </c>
      <c r="AK50" s="1576">
        <f>'Table 4A Level 4'!I49</f>
        <v>0</v>
      </c>
      <c r="AL50" s="1576">
        <f>'Table 4A Level 4'!J49</f>
        <v>0</v>
      </c>
      <c r="AM50" s="310">
        <f t="shared" si="32"/>
        <v>33785729</v>
      </c>
      <c r="AN50" s="1579"/>
      <c r="AO50" s="1582"/>
      <c r="AP50" s="1582"/>
      <c r="AR50" s="1331"/>
      <c r="AS50" s="758"/>
      <c r="AT50" s="283"/>
    </row>
    <row r="51" spans="1:46">
      <c r="A51" s="100">
        <v>45</v>
      </c>
      <c r="B51" s="302" t="s">
        <v>139</v>
      </c>
      <c r="C51" s="319">
        <f>'Table 3 Levels 1&amp;2'!BW53</f>
        <v>27728987.420827944</v>
      </c>
      <c r="D51" s="362">
        <f>'[1]Adjusted Amounts'!C51</f>
        <v>0</v>
      </c>
      <c r="E51" s="362">
        <f>'[1]Adjusted Amounts'!H51</f>
        <v>0</v>
      </c>
      <c r="F51" s="362">
        <f t="shared" si="27"/>
        <v>0</v>
      </c>
      <c r="G51" s="319">
        <f t="shared" si="26"/>
        <v>0</v>
      </c>
      <c r="H51" s="362">
        <f t="shared" si="28"/>
        <v>0</v>
      </c>
      <c r="I51" s="362"/>
      <c r="J51" s="58">
        <f>-'Table 5C1A-Madison Prep'!H51</f>
        <v>0</v>
      </c>
      <c r="K51" s="362">
        <f>-'Table 5C1B-DArbonne'!H51</f>
        <v>0</v>
      </c>
      <c r="L51" s="362">
        <f>-'Table 5C1C-Intl_VIBE'!H51</f>
        <v>-5826.4357684630741</v>
      </c>
      <c r="M51" s="362">
        <f>-'Table 5C1D-NOMMA'!H51</f>
        <v>0</v>
      </c>
      <c r="N51" s="362">
        <f>-'Table 5C1E-LFNO'!H51</f>
        <v>-2913.217884231537</v>
      </c>
      <c r="O51" s="362">
        <f>-'Table 5C1F-Lake Charles Charter'!H51</f>
        <v>0</v>
      </c>
      <c r="P51" s="362">
        <f>-'Table 5C1G-JS Clark Academy'!H51</f>
        <v>0</v>
      </c>
      <c r="Q51" s="362">
        <f>-'Table 5C1H-Southwest LA Charter'!H51</f>
        <v>0</v>
      </c>
      <c r="R51" s="322">
        <f>-('Table 5C2 - LA Virtual Admy'!H48+'Table 5C2 - LA Virtual Admy'!I48)</f>
        <v>-5826.4357684630741</v>
      </c>
      <c r="S51" s="322">
        <f>-'Table 5C3 - LA Connections EBR'!H48-'Table 5C3 - LA Connections EBR'!I48</f>
        <v>-55351.1398003992</v>
      </c>
      <c r="T51" s="322">
        <f>-'Table 5D1 - New Vision'!G51</f>
        <v>0</v>
      </c>
      <c r="U51" s="322">
        <f>-'Table 5D2 - Glencoe'!G51</f>
        <v>0</v>
      </c>
      <c r="V51" s="322">
        <f>-'Table 5D3 - International'!G51</f>
        <v>-14370.340208972812</v>
      </c>
      <c r="W51" s="322">
        <f>-'Table 5D4 - Avoyelles'!G51</f>
        <v>0</v>
      </c>
      <c r="X51" s="322">
        <f>-'Table 5D5 - Delhi'!G51</f>
        <v>0</v>
      </c>
      <c r="Y51" s="322">
        <f>-'Table 5D6 - Milestone'!G51</f>
        <v>0</v>
      </c>
      <c r="Z51" s="322">
        <f>-'Table 5D7 - Max'!G51</f>
        <v>-5636.9393884330184</v>
      </c>
      <c r="AA51" s="322">
        <f>-'Table 5D8 - Belle Chasse'!I51</f>
        <v>-2948.1603043898449</v>
      </c>
      <c r="AB51" s="322">
        <f>-'Table 5A4_LSDVI'!H51</f>
        <v>-2913.217884231537</v>
      </c>
      <c r="AC51" s="322">
        <f>-'Table 5A5_SSD'!H51</f>
        <v>-5826.4357684630741</v>
      </c>
      <c r="AD51" s="322">
        <f>-'Table 5A2 LSMSA'!H51</f>
        <v>-14566.089421157687</v>
      </c>
      <c r="AE51" s="322">
        <f>-'Table 5A3 NOCCA'!H51</f>
        <v>-14566.089421157687</v>
      </c>
      <c r="AF51" s="322">
        <f>-('Table 5F Scholarships '!Q757+'Table 5F Scholarships '!S757)</f>
        <v>-60289.658920664515</v>
      </c>
      <c r="AG51" s="322">
        <f t="shared" si="29"/>
        <v>-191034.16053902704</v>
      </c>
      <c r="AH51" s="566">
        <f t="shared" si="30"/>
        <v>27537953</v>
      </c>
      <c r="AI51" s="319">
        <f t="shared" si="31"/>
        <v>2294829</v>
      </c>
      <c r="AJ51" s="319">
        <f>'Table 4A Level 4'!G50</f>
        <v>0</v>
      </c>
      <c r="AK51" s="319">
        <f>'Table 4A Level 4'!I50</f>
        <v>0</v>
      </c>
      <c r="AL51" s="319">
        <f>'Table 4A Level 4'!J50</f>
        <v>0</v>
      </c>
      <c r="AM51" s="319">
        <f t="shared" si="32"/>
        <v>27537953</v>
      </c>
      <c r="AN51" s="1579"/>
      <c r="AO51" s="1582"/>
      <c r="AP51" s="1586"/>
      <c r="AR51" s="1331"/>
      <c r="AS51" s="758"/>
      <c r="AT51" s="283"/>
    </row>
    <row r="52" spans="1:46">
      <c r="A52" s="99">
        <v>46</v>
      </c>
      <c r="B52" s="301" t="s">
        <v>140</v>
      </c>
      <c r="C52" s="310">
        <f>'Table 3 Levels 1&amp;2'!BW54</f>
        <v>6791389.0371512007</v>
      </c>
      <c r="D52" s="361">
        <f>'[1]Adjusted Amounts'!C52</f>
        <v>-6530.1710099800548</v>
      </c>
      <c r="E52" s="361">
        <f>'[1]Adjusted Amounts'!H52</f>
        <v>-74580.787947261226</v>
      </c>
      <c r="F52" s="361">
        <f t="shared" si="27"/>
        <v>-81110.958957241281</v>
      </c>
      <c r="G52" s="310">
        <f t="shared" si="26"/>
        <v>0</v>
      </c>
      <c r="H52" s="361">
        <f t="shared" si="28"/>
        <v>-81110.958957241281</v>
      </c>
      <c r="I52" s="361">
        <f>-'Table 5B2_RSD_LA'!H35</f>
        <v>-1992943.96</v>
      </c>
      <c r="J52" s="361">
        <f>-'Table 5C1A-Madison Prep'!H52</f>
        <v>0</v>
      </c>
      <c r="K52" s="361">
        <f>-'Table 5C1B-DArbonne'!H52</f>
        <v>0</v>
      </c>
      <c r="L52" s="361">
        <f>-'Table 5C1C-Intl_VIBE'!H52</f>
        <v>0</v>
      </c>
      <c r="M52" s="361">
        <f>-'Table 5C1D-NOMMA'!H52</f>
        <v>0</v>
      </c>
      <c r="N52" s="361">
        <f>-'Table 5C1E-LFNO'!H52</f>
        <v>0</v>
      </c>
      <c r="O52" s="361">
        <f>-'Table 5C1F-Lake Charles Charter'!H52</f>
        <v>0</v>
      </c>
      <c r="P52" s="361">
        <f>-'Table 5C1G-JS Clark Academy'!H52</f>
        <v>0</v>
      </c>
      <c r="Q52" s="361">
        <f>-'Table 5C1H-Southwest LA Charter'!H52</f>
        <v>0</v>
      </c>
      <c r="R52" s="315">
        <f>-('Table 5C2 - LA Virtual Admy'!H49+'Table 5C2 - LA Virtual Admy'!I49)</f>
        <v>-56761.07232159777</v>
      </c>
      <c r="S52" s="315">
        <f>-'Table 5C3 - LA Connections EBR'!H49-'Table 5C3 - LA Connections EBR'!I49</f>
        <v>-31533.92906755432</v>
      </c>
      <c r="T52" s="315">
        <f>-'Table 5D1 - New Vision'!G52</f>
        <v>0</v>
      </c>
      <c r="U52" s="315">
        <f>-'Table 5D2 - Glencoe'!G52</f>
        <v>0</v>
      </c>
      <c r="V52" s="315">
        <f>-'Table 5D3 - International'!G52</f>
        <v>0</v>
      </c>
      <c r="W52" s="315">
        <f>-'Table 5D4 - Avoyelles'!G52</f>
        <v>0</v>
      </c>
      <c r="X52" s="315">
        <f>-'Table 5D5 - Delhi'!G52</f>
        <v>0</v>
      </c>
      <c r="Y52" s="315">
        <f>-'Table 5D6 - Milestone'!G52</f>
        <v>0</v>
      </c>
      <c r="Z52" s="315">
        <f>-'Table 5D7 - Max'!G52</f>
        <v>0</v>
      </c>
      <c r="AA52" s="315">
        <f>-'Table 5D8 - Belle Chasse'!I52</f>
        <v>0</v>
      </c>
      <c r="AB52" s="315">
        <f>-'Table 5A4_LSDVI'!H52</f>
        <v>0</v>
      </c>
      <c r="AC52" s="315">
        <f>-'Table 5A5_SSD'!H52</f>
        <v>-6306.7858135108636</v>
      </c>
      <c r="AD52" s="1606">
        <f>-'Table 5A2 LSMSA'!H52</f>
        <v>0</v>
      </c>
      <c r="AE52" s="1606">
        <f>-'Table 5A3 NOCCA'!H52</f>
        <v>0</v>
      </c>
      <c r="AF52" s="315">
        <f>-('Table 5F Scholarships '!Q764+'Table 5F Scholarships '!S764)</f>
        <v>-32645.812034266688</v>
      </c>
      <c r="AG52" s="315">
        <f t="shared" si="29"/>
        <v>-2120191.5592369298</v>
      </c>
      <c r="AH52" s="565">
        <f t="shared" si="30"/>
        <v>4590087</v>
      </c>
      <c r="AI52" s="310">
        <f t="shared" si="31"/>
        <v>382507</v>
      </c>
      <c r="AJ52" s="310">
        <f>'Table 4A Level 4'!G51</f>
        <v>0</v>
      </c>
      <c r="AK52" s="1576">
        <f>'Table 4A Level 4'!I51</f>
        <v>0</v>
      </c>
      <c r="AL52" s="1576">
        <f>'Table 4A Level 4'!J51</f>
        <v>0</v>
      </c>
      <c r="AM52" s="310">
        <f t="shared" si="32"/>
        <v>4590087</v>
      </c>
      <c r="AN52" s="1579"/>
      <c r="AO52" s="1582"/>
      <c r="AP52" s="1586"/>
      <c r="AR52" s="1331"/>
      <c r="AS52" s="758"/>
      <c r="AT52" s="283"/>
    </row>
    <row r="53" spans="1:46">
      <c r="A53" s="99">
        <v>47</v>
      </c>
      <c r="B53" s="301" t="s">
        <v>141</v>
      </c>
      <c r="C53" s="310">
        <f>'Table 3 Levels 1&amp;2'!BW55</f>
        <v>13153390.792927578</v>
      </c>
      <c r="D53" s="361">
        <f>'[1]Adjusted Amounts'!C53</f>
        <v>0</v>
      </c>
      <c r="E53" s="361">
        <f>'[1]Adjusted Amounts'!H53</f>
        <v>-1073.8229989883496</v>
      </c>
      <c r="F53" s="361">
        <f t="shared" si="27"/>
        <v>-1073.8229989883496</v>
      </c>
      <c r="G53" s="310">
        <f t="shared" si="26"/>
        <v>0</v>
      </c>
      <c r="H53" s="361">
        <f t="shared" si="28"/>
        <v>-1073.8229989883496</v>
      </c>
      <c r="I53" s="361"/>
      <c r="J53" s="361">
        <f>-'Table 5C1A-Madison Prep'!H53</f>
        <v>0</v>
      </c>
      <c r="K53" s="361">
        <f>-'Table 5C1B-DArbonne'!H53</f>
        <v>0</v>
      </c>
      <c r="L53" s="361">
        <f>-'Table 5C1C-Intl_VIBE'!H53</f>
        <v>0</v>
      </c>
      <c r="M53" s="361">
        <f>-'Table 5C1D-NOMMA'!H53</f>
        <v>0</v>
      </c>
      <c r="N53" s="361">
        <f>-'Table 5C1E-LFNO'!H53</f>
        <v>0</v>
      </c>
      <c r="O53" s="361">
        <f>-'Table 5C1F-Lake Charles Charter'!H53</f>
        <v>0</v>
      </c>
      <c r="P53" s="361">
        <f>-'Table 5C1G-JS Clark Academy'!H53</f>
        <v>0</v>
      </c>
      <c r="Q53" s="361">
        <f>-'Table 5C1H-Southwest LA Charter'!H53</f>
        <v>0</v>
      </c>
      <c r="R53" s="315">
        <f>-('Table 5C2 - LA Virtual Admy'!H50+'Table 5C2 - LA Virtual Admy'!I50)</f>
        <v>-7239.6360294428305</v>
      </c>
      <c r="S53" s="315">
        <f>-'Table 5C3 - LA Connections EBR'!H50-'Table 5C3 - LA Connections EBR'!I50</f>
        <v>-3619.8180147214152</v>
      </c>
      <c r="T53" s="315">
        <f>-'Table 5D1 - New Vision'!G53</f>
        <v>0</v>
      </c>
      <c r="U53" s="315">
        <f>-'Table 5D2 - Glencoe'!G53</f>
        <v>0</v>
      </c>
      <c r="V53" s="315">
        <f>-'Table 5D3 - International'!G53</f>
        <v>0</v>
      </c>
      <c r="W53" s="315">
        <f>-'Table 5D4 - Avoyelles'!G53</f>
        <v>0</v>
      </c>
      <c r="X53" s="315">
        <f>-'Table 5D5 - Delhi'!G53</f>
        <v>0</v>
      </c>
      <c r="Y53" s="315">
        <f>-'Table 5D6 - Milestone'!G53</f>
        <v>0</v>
      </c>
      <c r="Z53" s="315">
        <f>-'Table 5D7 - Max'!G53</f>
        <v>-10104.809474119162</v>
      </c>
      <c r="AA53" s="315">
        <f>-'Table 5D8 - Belle Chasse'!I53</f>
        <v>0</v>
      </c>
      <c r="AB53" s="315">
        <f>-'Table 5A4_LSDVI'!H53</f>
        <v>-3619.8180147214152</v>
      </c>
      <c r="AC53" s="315">
        <f>-'Table 5A5_SSD'!H53</f>
        <v>0</v>
      </c>
      <c r="AD53" s="1606">
        <f>-'Table 5A2 LSMSA'!H53</f>
        <v>-10859.454044164246</v>
      </c>
      <c r="AE53" s="1606">
        <f>-'Table 5A3 NOCCA'!H53</f>
        <v>0</v>
      </c>
      <c r="AF53" s="315">
        <f>-('Table 5F Scholarships '!Q773+'Table 5F Scholarships '!S773)</f>
        <v>-21760.121966724953</v>
      </c>
      <c r="AG53" s="315">
        <f t="shared" si="29"/>
        <v>-57203.65754389402</v>
      </c>
      <c r="AH53" s="565">
        <f t="shared" si="30"/>
        <v>13095113</v>
      </c>
      <c r="AI53" s="310">
        <f t="shared" si="31"/>
        <v>1091259</v>
      </c>
      <c r="AJ53" s="310">
        <f>'Table 4A Level 4'!G52</f>
        <v>0</v>
      </c>
      <c r="AK53" s="1576">
        <f>'Table 4A Level 4'!I52</f>
        <v>0</v>
      </c>
      <c r="AL53" s="1576">
        <f>'Table 4A Level 4'!J52</f>
        <v>0</v>
      </c>
      <c r="AM53" s="310">
        <f t="shared" si="32"/>
        <v>13095113</v>
      </c>
      <c r="AN53" s="1579"/>
      <c r="AO53" s="1582"/>
      <c r="AP53" s="1586"/>
      <c r="AR53" s="1331"/>
      <c r="AS53" s="758"/>
      <c r="AT53" s="283"/>
    </row>
    <row r="54" spans="1:46">
      <c r="A54" s="99">
        <v>48</v>
      </c>
      <c r="B54" s="301" t="s">
        <v>202</v>
      </c>
      <c r="C54" s="310">
        <f>'Table 3 Levels 1&amp;2'!BW56</f>
        <v>32127031.035045344</v>
      </c>
      <c r="D54" s="361">
        <f>'[1]Adjusted Amounts'!C54</f>
        <v>0</v>
      </c>
      <c r="E54" s="361">
        <f>'[1]Adjusted Amounts'!H54</f>
        <v>-8503.3238461671681</v>
      </c>
      <c r="F54" s="361">
        <f t="shared" si="27"/>
        <v>-8503.3238461671681</v>
      </c>
      <c r="G54" s="310">
        <f t="shared" si="26"/>
        <v>0</v>
      </c>
      <c r="H54" s="361">
        <f t="shared" si="28"/>
        <v>-8503.3238461671681</v>
      </c>
      <c r="I54" s="361"/>
      <c r="J54" s="49">
        <f>-'Table 5C1A-Madison Prep'!H54</f>
        <v>0</v>
      </c>
      <c r="K54" s="361">
        <f>-'Table 5C1B-DArbonne'!H54</f>
        <v>0</v>
      </c>
      <c r="L54" s="361">
        <f>-'Table 5C1C-Intl_VIBE'!H54</f>
        <v>-10260.96723070171</v>
      </c>
      <c r="M54" s="361">
        <f>-'Table 5C1D-NOMMA'!H54</f>
        <v>0</v>
      </c>
      <c r="N54" s="361">
        <f>-'Table 5C1E-LFNO'!H54</f>
        <v>0</v>
      </c>
      <c r="O54" s="361">
        <f>-'Table 5C1F-Lake Charles Charter'!H54</f>
        <v>0</v>
      </c>
      <c r="P54" s="361">
        <f>-'Table 5C1G-JS Clark Academy'!H54</f>
        <v>0</v>
      </c>
      <c r="Q54" s="361">
        <f>-'Table 5C1H-Southwest LA Charter'!H54</f>
        <v>0</v>
      </c>
      <c r="R54" s="315">
        <f>-('Table 5C2 - LA Virtual Admy'!H51+'Table 5C2 - LA Virtual Admy'!I51)</f>
        <v>-148784.0248451748</v>
      </c>
      <c r="S54" s="315">
        <f>-'Table 5C3 - LA Connections EBR'!H51-'Table 5C3 - LA Connections EBR'!I51</f>
        <v>-92348.705076315397</v>
      </c>
      <c r="T54" s="315">
        <f>-'Table 5D1 - New Vision'!G54</f>
        <v>0</v>
      </c>
      <c r="U54" s="315">
        <f>-'Table 5D2 - Glencoe'!G54</f>
        <v>0</v>
      </c>
      <c r="V54" s="315">
        <f>-'Table 5D3 - International'!G54</f>
        <v>-34819.566410397165</v>
      </c>
      <c r="W54" s="315">
        <f>-'Table 5D4 - Avoyelles'!G54</f>
        <v>0</v>
      </c>
      <c r="X54" s="315">
        <f>-'Table 5D5 - Delhi'!G54</f>
        <v>0</v>
      </c>
      <c r="Y54" s="315">
        <f>-'Table 5D6 - Milestone'!G54</f>
        <v>0</v>
      </c>
      <c r="Z54" s="315">
        <f>-'Table 5D7 - Max'!G54</f>
        <v>0</v>
      </c>
      <c r="AA54" s="315">
        <f>-'Table 5D8 - Belle Chasse'!I54</f>
        <v>0</v>
      </c>
      <c r="AB54" s="315">
        <f>-'Table 5A4_LSDVI'!H54</f>
        <v>-10260.96723070171</v>
      </c>
      <c r="AC54" s="315">
        <f>-'Table 5A5_SSD'!H54</f>
        <v>0</v>
      </c>
      <c r="AD54" s="1606">
        <f>-'Table 5A2 LSMSA'!H54</f>
        <v>-10260.96723070171</v>
      </c>
      <c r="AE54" s="1606">
        <f>-'Table 5A3 NOCCA'!H54</f>
        <v>-5130.483615350855</v>
      </c>
      <c r="AF54" s="315">
        <f>-('Table 5F Scholarships '!Q815+'Table 5F Scholarships '!S815)</f>
        <v>-1044556.2720760937</v>
      </c>
      <c r="AG54" s="315">
        <f t="shared" si="29"/>
        <v>-1356421.9537154371</v>
      </c>
      <c r="AH54" s="565">
        <f t="shared" si="30"/>
        <v>30762106</v>
      </c>
      <c r="AI54" s="310">
        <f t="shared" si="31"/>
        <v>2563509</v>
      </c>
      <c r="AJ54" s="310">
        <f>'Table 4A Level 4'!G53</f>
        <v>0</v>
      </c>
      <c r="AK54" s="1576">
        <f>'Table 4A Level 4'!I53</f>
        <v>0</v>
      </c>
      <c r="AL54" s="1576">
        <f>'Table 4A Level 4'!J53</f>
        <v>0</v>
      </c>
      <c r="AM54" s="310">
        <f t="shared" si="32"/>
        <v>30762106</v>
      </c>
      <c r="AN54" s="1579"/>
      <c r="AO54" s="1582"/>
      <c r="AP54" s="1586"/>
      <c r="AR54" s="1331"/>
      <c r="AS54" s="758"/>
      <c r="AT54" s="283"/>
    </row>
    <row r="55" spans="1:46">
      <c r="A55" s="99">
        <v>49</v>
      </c>
      <c r="B55" s="301" t="s">
        <v>142</v>
      </c>
      <c r="C55" s="310">
        <f>'Table 3 Levels 1&amp;2'!BW57</f>
        <v>78161389.404996097</v>
      </c>
      <c r="D55" s="361">
        <f>'[1]Adjusted Amounts'!C55</f>
        <v>-2722.1213310343373</v>
      </c>
      <c r="E55" s="361">
        <f>'[1]Adjusted Amounts'!H55</f>
        <v>83457.511298642872</v>
      </c>
      <c r="F55" s="361">
        <f t="shared" si="27"/>
        <v>80735.389967608528</v>
      </c>
      <c r="G55" s="310">
        <f t="shared" si="26"/>
        <v>80735.389967608528</v>
      </c>
      <c r="H55" s="361">
        <f t="shared" si="28"/>
        <v>0</v>
      </c>
      <c r="I55" s="361"/>
      <c r="J55" s="361">
        <f>-'Table 5C1A-Madison Prep'!H55</f>
        <v>0</v>
      </c>
      <c r="K55" s="361">
        <f>-'Table 5C1B-DArbonne'!H55</f>
        <v>0</v>
      </c>
      <c r="L55" s="361">
        <f>-'Table 5C1C-Intl_VIBE'!H55</f>
        <v>0</v>
      </c>
      <c r="M55" s="361">
        <f>-'Table 5C1D-NOMMA'!H55</f>
        <v>0</v>
      </c>
      <c r="N55" s="361">
        <f>-'Table 5C1E-LFNO'!H55</f>
        <v>0</v>
      </c>
      <c r="O55" s="361">
        <f>-'Table 5C1F-Lake Charles Charter'!H55</f>
        <v>0</v>
      </c>
      <c r="P55" s="361">
        <f>-'Table 5C1G-JS Clark Academy'!H55</f>
        <v>-895870.0629212209</v>
      </c>
      <c r="Q55" s="361">
        <f>-'Table 5C1H-Southwest LA Charter'!H55</f>
        <v>0</v>
      </c>
      <c r="R55" s="315">
        <f>-('Table 5C2 - LA Virtual Admy'!H52+'Table 5C2 - LA Virtual Admy'!I52)</f>
        <v>-252131.09555267892</v>
      </c>
      <c r="S55" s="315">
        <f>-'Table 5C3 - LA Connections EBR'!H52-'Table 5C3 - LA Connections EBR'!I52</f>
        <v>-171663.7246316112</v>
      </c>
      <c r="T55" s="315">
        <f>-'Table 5D1 - New Vision'!G55</f>
        <v>0</v>
      </c>
      <c r="U55" s="315">
        <f>-'Table 5D2 - Glencoe'!G55</f>
        <v>0</v>
      </c>
      <c r="V55" s="315">
        <f>-'Table 5D3 - International'!G55</f>
        <v>0</v>
      </c>
      <c r="W55" s="315">
        <f>-'Table 5D4 - Avoyelles'!G55</f>
        <v>-10652.351060362344</v>
      </c>
      <c r="X55" s="315">
        <f>-'Table 5D5 - Delhi'!G55</f>
        <v>0</v>
      </c>
      <c r="Y55" s="315">
        <f>-'Table 5D6 - Milestone'!G55</f>
        <v>0</v>
      </c>
      <c r="Z55" s="315">
        <f>-'Table 5D7 - Max'!G55</f>
        <v>0</v>
      </c>
      <c r="AA55" s="315">
        <f>-'Table 5D8 - Belle Chasse'!I55</f>
        <v>0</v>
      </c>
      <c r="AB55" s="315">
        <f>-'Table 5A4_LSDVI'!H55</f>
        <v>-21457.965578951396</v>
      </c>
      <c r="AC55" s="315">
        <f>-'Table 5A5_SSD'!H55</f>
        <v>-16093.474184213548</v>
      </c>
      <c r="AD55" s="1606">
        <f>-'Table 5A2 LSMSA'!H55</f>
        <v>-26822.456973689248</v>
      </c>
      <c r="AE55" s="1606">
        <f>-'Table 5A3 NOCCA'!H55</f>
        <v>0</v>
      </c>
      <c r="AF55" s="315">
        <f>-('Table 5F Scholarships '!Q824+'Table 5F Scholarships '!S824)</f>
        <v>-347231.40849537076</v>
      </c>
      <c r="AG55" s="315">
        <f t="shared" si="29"/>
        <v>-1741922.5393980981</v>
      </c>
      <c r="AH55" s="565">
        <f t="shared" si="30"/>
        <v>76500202</v>
      </c>
      <c r="AI55" s="310">
        <f t="shared" si="31"/>
        <v>6375017</v>
      </c>
      <c r="AJ55" s="310">
        <f>'Table 4A Level 4'!G54</f>
        <v>0</v>
      </c>
      <c r="AK55" s="1576">
        <f>'Table 4A Level 4'!I54</f>
        <v>80000</v>
      </c>
      <c r="AL55" s="1576">
        <f>'Table 4A Level 4'!J54</f>
        <v>0</v>
      </c>
      <c r="AM55" s="310">
        <f t="shared" si="32"/>
        <v>76580202</v>
      </c>
      <c r="AN55" s="1579"/>
      <c r="AO55" s="1582"/>
      <c r="AP55" s="1586"/>
      <c r="AR55" s="1331"/>
      <c r="AS55" s="758"/>
      <c r="AT55" s="283"/>
    </row>
    <row r="56" spans="1:46">
      <c r="A56" s="100">
        <v>50</v>
      </c>
      <c r="B56" s="302" t="s">
        <v>143</v>
      </c>
      <c r="C56" s="319">
        <f>'Table 3 Levels 1&amp;2'!BW58</f>
        <v>44256355.072852798</v>
      </c>
      <c r="D56" s="362">
        <f>'[1]Adjusted Amounts'!C56</f>
        <v>8551.242432594765</v>
      </c>
      <c r="E56" s="362">
        <f>'[1]Adjusted Amounts'!H56</f>
        <v>3990.0443080793157</v>
      </c>
      <c r="F56" s="362">
        <f t="shared" si="27"/>
        <v>12541.286740674081</v>
      </c>
      <c r="G56" s="319">
        <f t="shared" si="26"/>
        <v>12541.286740674081</v>
      </c>
      <c r="H56" s="362">
        <f t="shared" si="28"/>
        <v>0</v>
      </c>
      <c r="I56" s="362"/>
      <c r="J56" s="362">
        <f>-'Table 5C1A-Madison Prep'!H56</f>
        <v>0</v>
      </c>
      <c r="K56" s="362">
        <f>-'Table 5C1B-DArbonne'!H56</f>
        <v>0</v>
      </c>
      <c r="L56" s="362">
        <f>-'Table 5C1C-Intl_VIBE'!H56</f>
        <v>0</v>
      </c>
      <c r="M56" s="362">
        <f>-'Table 5C1D-NOMMA'!H56</f>
        <v>0</v>
      </c>
      <c r="N56" s="362">
        <f>-'Table 5C1E-LFNO'!H56</f>
        <v>0</v>
      </c>
      <c r="O56" s="362">
        <f>-'Table 5C1F-Lake Charles Charter'!H56</f>
        <v>0</v>
      </c>
      <c r="P56" s="362">
        <f>-'Table 5C1G-JS Clark Academy'!H56</f>
        <v>0</v>
      </c>
      <c r="Q56" s="362">
        <f>-'Table 5C1H-Southwest LA Charter'!H56</f>
        <v>0</v>
      </c>
      <c r="R56" s="322">
        <f>-('Table 5C2 - LA Virtual Admy'!H53+'Table 5C2 - LA Virtual Admy'!I53)</f>
        <v>-55887.975045905798</v>
      </c>
      <c r="S56" s="322">
        <f>-'Table 5C3 - LA Connections EBR'!H53-'Table 5C3 - LA Connections EBR'!I53</f>
        <v>-61476.772550496375</v>
      </c>
      <c r="T56" s="322">
        <f>-'Table 5D1 - New Vision'!G56</f>
        <v>0</v>
      </c>
      <c r="U56" s="322">
        <f>-'Table 5D2 - Glencoe'!G56</f>
        <v>0</v>
      </c>
      <c r="V56" s="322">
        <f>-'Table 5D3 - International'!G56</f>
        <v>0</v>
      </c>
      <c r="W56" s="322">
        <f>-'Table 5D4 - Avoyelles'!G56</f>
        <v>0</v>
      </c>
      <c r="X56" s="322">
        <f>-'Table 5D5 - Delhi'!G56</f>
        <v>0</v>
      </c>
      <c r="Y56" s="322">
        <f>-'Table 5D6 - Milestone'!G56</f>
        <v>0</v>
      </c>
      <c r="Z56" s="322">
        <f>-'Table 5D7 - Max'!G56</f>
        <v>0</v>
      </c>
      <c r="AA56" s="322">
        <f>-'Table 5D8 - Belle Chasse'!I56</f>
        <v>0</v>
      </c>
      <c r="AB56" s="322">
        <f>-'Table 5A4_LSDVI'!H56</f>
        <v>-11177.595009181159</v>
      </c>
      <c r="AC56" s="322">
        <f>-'Table 5A5_SSD'!H56</f>
        <v>-5588.7975045905796</v>
      </c>
      <c r="AD56" s="322">
        <f>-'Table 5A2 LSMSA'!H56</f>
        <v>-22355.190018362318</v>
      </c>
      <c r="AE56" s="322">
        <f>-'Table 5A3 NOCCA'!H56</f>
        <v>0</v>
      </c>
      <c r="AF56" s="322">
        <f>-('Table 5F Scholarships '!Q844+'Table 5F Scholarships '!S844)</f>
        <v>-151660.85121692266</v>
      </c>
      <c r="AG56" s="322">
        <f t="shared" si="29"/>
        <v>-308147.18134545884</v>
      </c>
      <c r="AH56" s="566">
        <f t="shared" si="30"/>
        <v>43960749</v>
      </c>
      <c r="AI56" s="319">
        <f t="shared" si="31"/>
        <v>3663396</v>
      </c>
      <c r="AJ56" s="319">
        <f>'Table 4A Level 4'!G55</f>
        <v>28000</v>
      </c>
      <c r="AK56" s="319">
        <f>'Table 4A Level 4'!I55</f>
        <v>180000</v>
      </c>
      <c r="AL56" s="319">
        <f>'Table 4A Level 4'!J55</f>
        <v>0</v>
      </c>
      <c r="AM56" s="319">
        <f t="shared" si="32"/>
        <v>44168749</v>
      </c>
      <c r="AN56" s="1579"/>
      <c r="AO56" s="1582"/>
      <c r="AP56" s="1586"/>
      <c r="AR56" s="1331"/>
      <c r="AS56" s="758"/>
      <c r="AT56" s="283"/>
    </row>
    <row r="57" spans="1:46">
      <c r="A57" s="99">
        <v>51</v>
      </c>
      <c r="B57" s="301" t="s">
        <v>144</v>
      </c>
      <c r="C57" s="310">
        <f>'Table 3 Levels 1&amp;2'!BW59</f>
        <v>46430857.588598892</v>
      </c>
      <c r="D57" s="361">
        <f>'[1]Adjusted Amounts'!C57</f>
        <v>-23603.564440792776</v>
      </c>
      <c r="E57" s="361">
        <f>'[1]Adjusted Amounts'!H57</f>
        <v>2669.0196868293133</v>
      </c>
      <c r="F57" s="361">
        <f t="shared" si="27"/>
        <v>-20934.544753963462</v>
      </c>
      <c r="G57" s="310">
        <f t="shared" si="26"/>
        <v>0</v>
      </c>
      <c r="H57" s="361">
        <f t="shared" si="28"/>
        <v>-20934.544753963462</v>
      </c>
      <c r="I57" s="361"/>
      <c r="J57" s="361">
        <f>-'Table 5C1A-Madison Prep'!H57</f>
        <v>0</v>
      </c>
      <c r="K57" s="361">
        <f>-'Table 5C1B-DArbonne'!H57</f>
        <v>0</v>
      </c>
      <c r="L57" s="361">
        <f>-'Table 5C1C-Intl_VIBE'!H57</f>
        <v>0</v>
      </c>
      <c r="M57" s="361">
        <f>-'Table 5C1D-NOMMA'!H57</f>
        <v>0</v>
      </c>
      <c r="N57" s="361">
        <f>-'Table 5C1E-LFNO'!H57</f>
        <v>0</v>
      </c>
      <c r="O57" s="361">
        <f>-'Table 5C1F-Lake Charles Charter'!H57</f>
        <v>0</v>
      </c>
      <c r="P57" s="361">
        <f>-'Table 5C1G-JS Clark Academy'!H57</f>
        <v>0</v>
      </c>
      <c r="Q57" s="361">
        <f>-'Table 5C1H-Southwest LA Charter'!H57</f>
        <v>0</v>
      </c>
      <c r="R57" s="315">
        <f>-('Table 5C2 - LA Virtual Admy'!H54+'Table 5C2 - LA Virtual Admy'!I54)</f>
        <v>-4997.006172715046</v>
      </c>
      <c r="S57" s="315">
        <f>-'Table 5C3 - LA Connections EBR'!H54-'Table 5C3 - LA Connections EBR'!I54</f>
        <v>-4997.006172715046</v>
      </c>
      <c r="T57" s="315">
        <f>-'Table 5D1 - New Vision'!G57</f>
        <v>0</v>
      </c>
      <c r="U57" s="315">
        <f>-'Table 5D2 - Glencoe'!G57</f>
        <v>-1403071.1946436295</v>
      </c>
      <c r="V57" s="315">
        <f>-'Table 5D3 - International'!G57</f>
        <v>0</v>
      </c>
      <c r="W57" s="315">
        <f>-'Table 5D4 - Avoyelles'!G57</f>
        <v>0</v>
      </c>
      <c r="X57" s="315">
        <f>-'Table 5D5 - Delhi'!G57</f>
        <v>0</v>
      </c>
      <c r="Y57" s="315">
        <f>-'Table 5D6 - Milestone'!G57</f>
        <v>0</v>
      </c>
      <c r="Z57" s="315">
        <f>-'Table 5D7 - Max'!G57</f>
        <v>-9899.1159654000367</v>
      </c>
      <c r="AA57" s="315">
        <f>-'Table 5D8 - Belle Chasse'!I57</f>
        <v>0</v>
      </c>
      <c r="AB57" s="315">
        <f>-'Table 5A4_LSDVI'!H57</f>
        <v>-14991.018518145138</v>
      </c>
      <c r="AC57" s="315">
        <f>-'Table 5A5_SSD'!H57</f>
        <v>-9994.012345430092</v>
      </c>
      <c r="AD57" s="1606">
        <f>-'Table 5A2 LSMSA'!H57</f>
        <v>-14991.018518145138</v>
      </c>
      <c r="AE57" s="1606">
        <f>-'Table 5A3 NOCCA'!H57</f>
        <v>0</v>
      </c>
      <c r="AF57" s="315">
        <f>-('Table 5F Scholarships '!Q848+'Table 5F Scholarships '!S848)</f>
        <v>-20128.93090769522</v>
      </c>
      <c r="AG57" s="315">
        <f t="shared" si="29"/>
        <v>-1483069.3032438757</v>
      </c>
      <c r="AH57" s="565">
        <f t="shared" si="30"/>
        <v>44926854</v>
      </c>
      <c r="AI57" s="310">
        <f t="shared" si="31"/>
        <v>3743905</v>
      </c>
      <c r="AJ57" s="310">
        <f>'Table 4A Level 4'!G56</f>
        <v>0</v>
      </c>
      <c r="AK57" s="1576">
        <f>'Table 4A Level 4'!I56</f>
        <v>0</v>
      </c>
      <c r="AL57" s="1576">
        <f>'Table 4A Level 4'!J56</f>
        <v>0</v>
      </c>
      <c r="AM57" s="310">
        <f t="shared" si="32"/>
        <v>44926854</v>
      </c>
      <c r="AN57" s="1579"/>
      <c r="AO57" s="1582"/>
      <c r="AP57" s="1586"/>
      <c r="AR57" s="1331"/>
      <c r="AS57" s="758"/>
      <c r="AT57" s="283"/>
    </row>
    <row r="58" spans="1:46">
      <c r="A58" s="99">
        <v>52</v>
      </c>
      <c r="B58" s="301" t="s">
        <v>145</v>
      </c>
      <c r="C58" s="310">
        <f>'Table 3 Levels 1&amp;2'!BW60</f>
        <v>209962379.58237889</v>
      </c>
      <c r="D58" s="361">
        <f>'[1]Adjusted Amounts'!C58</f>
        <v>-33867.362356248894</v>
      </c>
      <c r="E58" s="361">
        <f>'[1]Adjusted Amounts'!H58</f>
        <v>-149182.40479401342</v>
      </c>
      <c r="F58" s="361">
        <f t="shared" si="27"/>
        <v>-183049.76715026231</v>
      </c>
      <c r="G58" s="310">
        <f t="shared" si="26"/>
        <v>0</v>
      </c>
      <c r="H58" s="361">
        <f t="shared" si="28"/>
        <v>-183049.76715026231</v>
      </c>
      <c r="I58" s="361"/>
      <c r="J58" s="49">
        <f>-'Table 5C1A-Madison Prep'!H58</f>
        <v>0</v>
      </c>
      <c r="K58" s="361">
        <f>-'Table 5C1B-DArbonne'!H58</f>
        <v>0</v>
      </c>
      <c r="L58" s="361">
        <f>-'Table 5C1C-Intl_VIBE'!H58</f>
        <v>-16941.034788335612</v>
      </c>
      <c r="M58" s="361">
        <f>-'Table 5C1D-NOMMA'!H58</f>
        <v>0</v>
      </c>
      <c r="N58" s="361">
        <f>-'Table 5C1E-LFNO'!H58</f>
        <v>-5647.0115961118699</v>
      </c>
      <c r="O58" s="361">
        <f>-'Table 5C1F-Lake Charles Charter'!H58</f>
        <v>0</v>
      </c>
      <c r="P58" s="361">
        <f>-'Table 5C1G-JS Clark Academy'!H58</f>
        <v>0</v>
      </c>
      <c r="Q58" s="361">
        <f>-'Table 5C1H-Southwest LA Charter'!H58</f>
        <v>0</v>
      </c>
      <c r="R58" s="315">
        <f>-('Table 5C2 - LA Virtual Admy'!H55+'Table 5C2 - LA Virtual Admy'!I55)</f>
        <v>-383996.78853560716</v>
      </c>
      <c r="S58" s="315">
        <f>-'Table 5C3 - LA Connections EBR'!H55-'Table 5C3 - LA Connections EBR'!I55</f>
        <v>-604230.2407839701</v>
      </c>
      <c r="T58" s="315">
        <f>-'Table 5D1 - New Vision'!G58</f>
        <v>0</v>
      </c>
      <c r="U58" s="315">
        <f>-'Table 5D2 - Glencoe'!G58</f>
        <v>0</v>
      </c>
      <c r="V58" s="315">
        <f>-'Table 5D3 - International'!G58</f>
        <v>-68441.421044098737</v>
      </c>
      <c r="W58" s="315">
        <f>-'Table 5D4 - Avoyelles'!G58</f>
        <v>0</v>
      </c>
      <c r="X58" s="315">
        <f>-'Table 5D5 - Delhi'!G58</f>
        <v>0</v>
      </c>
      <c r="Y58" s="315">
        <f>-'Table 5D6 - Milestone'!G58</f>
        <v>0</v>
      </c>
      <c r="Z58" s="315">
        <f>-'Table 5D7 - Max'!G58</f>
        <v>0</v>
      </c>
      <c r="AA58" s="315">
        <f>-'Table 5D8 - Belle Chasse'!I58</f>
        <v>-17332.632048810534</v>
      </c>
      <c r="AB58" s="315">
        <f>-'Table 5A4_LSDVI'!H58</f>
        <v>-39529.081172783088</v>
      </c>
      <c r="AC58" s="315">
        <f>-'Table 5A5_SSD'!H58</f>
        <v>-56470.115961118696</v>
      </c>
      <c r="AD58" s="1606">
        <f>-'Table 5A2 LSMSA'!H58</f>
        <v>-101646.20873001366</v>
      </c>
      <c r="AE58" s="1606">
        <f>-'Table 5A3 NOCCA'!H58</f>
        <v>-79058.162345566176</v>
      </c>
      <c r="AF58" s="315">
        <f>-('Table 5F Scholarships '!Q867+'Table 5F Scholarships '!S867)</f>
        <v>-247022.67943358986</v>
      </c>
      <c r="AG58" s="315">
        <f t="shared" si="29"/>
        <v>-1620315.3764400054</v>
      </c>
      <c r="AH58" s="565">
        <f t="shared" si="30"/>
        <v>208159014</v>
      </c>
      <c r="AI58" s="310">
        <f t="shared" si="31"/>
        <v>17346585</v>
      </c>
      <c r="AJ58" s="310">
        <f>'Table 4A Level 4'!G57</f>
        <v>0</v>
      </c>
      <c r="AK58" s="1576">
        <f>'Table 4A Level 4'!I57</f>
        <v>0</v>
      </c>
      <c r="AL58" s="1576">
        <f>'Table 4A Level 4'!J57</f>
        <v>0</v>
      </c>
      <c r="AM58" s="310">
        <f t="shared" si="32"/>
        <v>208159014</v>
      </c>
      <c r="AN58" s="1579"/>
      <c r="AO58" s="1582"/>
      <c r="AP58" s="1582"/>
      <c r="AR58" s="1331"/>
      <c r="AS58" s="758"/>
      <c r="AT58" s="283"/>
    </row>
    <row r="59" spans="1:46">
      <c r="A59" s="99">
        <v>53</v>
      </c>
      <c r="B59" s="301" t="s">
        <v>146</v>
      </c>
      <c r="C59" s="310">
        <f>'Table 3 Levels 1&amp;2'!BW61</f>
        <v>104319526.4213376</v>
      </c>
      <c r="D59" s="361">
        <f>'[1]Adjusted Amounts'!C59</f>
        <v>2717.5270563218037</v>
      </c>
      <c r="E59" s="361">
        <f>'[1]Adjusted Amounts'!H59</f>
        <v>535.55789488016489</v>
      </c>
      <c r="F59" s="361">
        <f t="shared" si="27"/>
        <v>3253.0849512019686</v>
      </c>
      <c r="G59" s="310">
        <f t="shared" si="26"/>
        <v>3253.0849512019686</v>
      </c>
      <c r="H59" s="361">
        <f t="shared" si="28"/>
        <v>0</v>
      </c>
      <c r="I59" s="361"/>
      <c r="J59" s="361">
        <f>-'Table 5C1A-Madison Prep'!H59</f>
        <v>0</v>
      </c>
      <c r="K59" s="361">
        <f>-'Table 5C1B-DArbonne'!H59</f>
        <v>0</v>
      </c>
      <c r="L59" s="361">
        <f>-'Table 5C1C-Intl_VIBE'!H59</f>
        <v>0</v>
      </c>
      <c r="M59" s="361">
        <f>-'Table 5C1D-NOMMA'!H59</f>
        <v>0</v>
      </c>
      <c r="N59" s="361">
        <f>-'Table 5C1E-LFNO'!H59</f>
        <v>0</v>
      </c>
      <c r="O59" s="361">
        <f>-'Table 5C1F-Lake Charles Charter'!H59</f>
        <v>0</v>
      </c>
      <c r="P59" s="361">
        <f>-'Table 5C1G-JS Clark Academy'!H59</f>
        <v>0</v>
      </c>
      <c r="Q59" s="361">
        <f>-'Table 5C1H-Southwest LA Charter'!H59</f>
        <v>0</v>
      </c>
      <c r="R59" s="315">
        <f>-('Table 5C2 - LA Virtual Admy'!H56+'Table 5C2 - LA Virtual Admy'!I56)</f>
        <v>-276901.83299152832</v>
      </c>
      <c r="S59" s="315">
        <f>-'Table 5C3 - LA Connections EBR'!H56-'Table 5C3 - LA Connections EBR'!I56</f>
        <v>-298619.62381439336</v>
      </c>
      <c r="T59" s="315">
        <f>-'Table 5D1 - New Vision'!G59</f>
        <v>0</v>
      </c>
      <c r="U59" s="315">
        <f>-'Table 5D2 - Glencoe'!G59</f>
        <v>0</v>
      </c>
      <c r="V59" s="315">
        <f>-'Table 5D3 - International'!G59</f>
        <v>0</v>
      </c>
      <c r="W59" s="315">
        <f>-'Table 5D4 - Avoyelles'!G59</f>
        <v>0</v>
      </c>
      <c r="X59" s="315">
        <f>-'Table 5D5 - Delhi'!G59</f>
        <v>0</v>
      </c>
      <c r="Y59" s="315">
        <f>-'Table 5D6 - Milestone'!G59</f>
        <v>0</v>
      </c>
      <c r="Z59" s="315">
        <f>-'Table 5D7 - Max'!G59</f>
        <v>0</v>
      </c>
      <c r="AA59" s="315">
        <f>-'Table 5D8 - Belle Chasse'!I59</f>
        <v>0</v>
      </c>
      <c r="AB59" s="315">
        <f>-'Table 5A4_LSDVI'!H59</f>
        <v>-43435.581645729937</v>
      </c>
      <c r="AC59" s="315">
        <f>-'Table 5A5_SSD'!H59</f>
        <v>-27147.238528581212</v>
      </c>
      <c r="AD59" s="1606">
        <f>-'Table 5A2 LSMSA'!H59</f>
        <v>-38006.1339400137</v>
      </c>
      <c r="AE59" s="1606">
        <f>-'Table 5A3 NOCCA'!H59</f>
        <v>-5429.4477057162421</v>
      </c>
      <c r="AF59" s="315">
        <f>-('Table 5F Scholarships '!Q881+'Table 5F Scholarships '!S881)</f>
        <v>-266081.20586062246</v>
      </c>
      <c r="AG59" s="315">
        <f t="shared" si="29"/>
        <v>-955621.06448658521</v>
      </c>
      <c r="AH59" s="565">
        <f t="shared" si="30"/>
        <v>103367158</v>
      </c>
      <c r="AI59" s="310">
        <f t="shared" si="31"/>
        <v>8613930</v>
      </c>
      <c r="AJ59" s="310">
        <f>'Table 4A Level 4'!G58</f>
        <v>8000</v>
      </c>
      <c r="AK59" s="1576">
        <f>'Table 4A Level 4'!I58</f>
        <v>60000</v>
      </c>
      <c r="AL59" s="1576">
        <f>'Table 4A Level 4'!J58</f>
        <v>0</v>
      </c>
      <c r="AM59" s="310">
        <f t="shared" si="32"/>
        <v>103435158</v>
      </c>
      <c r="AN59" s="1579"/>
      <c r="AO59" s="1582"/>
      <c r="AP59" s="1586"/>
      <c r="AR59" s="1331"/>
      <c r="AS59" s="758"/>
      <c r="AT59" s="283"/>
    </row>
    <row r="60" spans="1:46">
      <c r="A60" s="99">
        <v>54</v>
      </c>
      <c r="B60" s="301" t="s">
        <v>147</v>
      </c>
      <c r="C60" s="310">
        <f>'Table 3 Levels 1&amp;2'!BW62</f>
        <v>4696376.6816308238</v>
      </c>
      <c r="D60" s="361">
        <f>'[1]Adjusted Amounts'!C60</f>
        <v>0</v>
      </c>
      <c r="E60" s="361">
        <f>'[1]Adjusted Amounts'!H60</f>
        <v>0</v>
      </c>
      <c r="F60" s="361">
        <f t="shared" si="27"/>
        <v>0</v>
      </c>
      <c r="G60" s="310">
        <f t="shared" si="26"/>
        <v>0</v>
      </c>
      <c r="H60" s="361">
        <f t="shared" si="28"/>
        <v>0</v>
      </c>
      <c r="I60" s="361"/>
      <c r="J60" s="361">
        <f>-'Table 5C1A-Madison Prep'!H60</f>
        <v>0</v>
      </c>
      <c r="K60" s="361">
        <f>-'Table 5C1B-DArbonne'!H60</f>
        <v>0</v>
      </c>
      <c r="L60" s="361">
        <f>-'Table 5C1C-Intl_VIBE'!H60</f>
        <v>0</v>
      </c>
      <c r="M60" s="361">
        <f>-'Table 5C1D-NOMMA'!H60</f>
        <v>0</v>
      </c>
      <c r="N60" s="361">
        <f>-'Table 5C1E-LFNO'!H60</f>
        <v>0</v>
      </c>
      <c r="O60" s="361">
        <f>-'Table 5C1F-Lake Charles Charter'!H60</f>
        <v>0</v>
      </c>
      <c r="P60" s="361">
        <f>-'Table 5C1G-JS Clark Academy'!H60</f>
        <v>0</v>
      </c>
      <c r="Q60" s="361">
        <f>-'Table 5C1H-Southwest LA Charter'!H60</f>
        <v>0</v>
      </c>
      <c r="R60" s="315">
        <f>-('Table 5C2 - LA Virtual Admy'!H57+'Table 5C2 - LA Virtual Admy'!I57)</f>
        <v>0</v>
      </c>
      <c r="S60" s="315">
        <f>-'Table 5C3 - LA Connections EBR'!H57-'Table 5C3 - LA Connections EBR'!I57</f>
        <v>-34292.888218966422</v>
      </c>
      <c r="T60" s="315">
        <f>-'Table 5D1 - New Vision'!G60</f>
        <v>0</v>
      </c>
      <c r="U60" s="315">
        <f>-'Table 5D2 - Glencoe'!G60</f>
        <v>0</v>
      </c>
      <c r="V60" s="315">
        <f>-'Table 5D3 - International'!G60</f>
        <v>0</v>
      </c>
      <c r="W60" s="315">
        <f>-'Table 5D4 - Avoyelles'!G60</f>
        <v>0</v>
      </c>
      <c r="X60" s="315">
        <f>-'Table 5D5 - Delhi'!G60</f>
        <v>-19302.453563804451</v>
      </c>
      <c r="Y60" s="315">
        <f>-'Table 5D6 - Milestone'!G60</f>
        <v>0</v>
      </c>
      <c r="Z60" s="315">
        <f>-'Table 5D7 - Max'!G60</f>
        <v>0</v>
      </c>
      <c r="AA60" s="315">
        <f>-'Table 5D8 - Belle Chasse'!I60</f>
        <v>0</v>
      </c>
      <c r="AB60" s="315">
        <f>-'Table 5A4_LSDVI'!H60</f>
        <v>0</v>
      </c>
      <c r="AC60" s="315">
        <f>-'Table 5A5_SSD'!H60</f>
        <v>0</v>
      </c>
      <c r="AD60" s="1606">
        <f>-'Table 5A2 LSMSA'!H60</f>
        <v>0</v>
      </c>
      <c r="AE60" s="1606">
        <f>-'Table 5A3 NOCCA'!H60</f>
        <v>0</v>
      </c>
      <c r="AF60" s="315">
        <v>0</v>
      </c>
      <c r="AG60" s="315">
        <f t="shared" si="29"/>
        <v>-53595.341782770876</v>
      </c>
      <c r="AH60" s="565">
        <f t="shared" si="30"/>
        <v>4642781</v>
      </c>
      <c r="AI60" s="310">
        <f t="shared" si="31"/>
        <v>386898</v>
      </c>
      <c r="AJ60" s="310">
        <f>'Table 4A Level 4'!G59</f>
        <v>0</v>
      </c>
      <c r="AK60" s="1576">
        <f>'Table 4A Level 4'!I59</f>
        <v>0</v>
      </c>
      <c r="AL60" s="1576">
        <f>'Table 4A Level 4'!J59</f>
        <v>0</v>
      </c>
      <c r="AM60" s="310">
        <f t="shared" si="32"/>
        <v>4642781</v>
      </c>
      <c r="AN60" s="1579"/>
      <c r="AO60" s="1582"/>
      <c r="AP60" s="1586"/>
      <c r="AR60" s="1331"/>
      <c r="AS60" s="758"/>
      <c r="AT60" s="283"/>
    </row>
    <row r="61" spans="1:46">
      <c r="A61" s="100">
        <v>55</v>
      </c>
      <c r="B61" s="302" t="s">
        <v>148</v>
      </c>
      <c r="C61" s="319">
        <f>'Table 3 Levels 1&amp;2'!BW63</f>
        <v>87607626.175575376</v>
      </c>
      <c r="D61" s="362">
        <f>'[1]Adjusted Amounts'!C61</f>
        <v>0</v>
      </c>
      <c r="E61" s="362">
        <f>'[1]Adjusted Amounts'!H61</f>
        <v>-23845.064156321067</v>
      </c>
      <c r="F61" s="362">
        <f t="shared" si="27"/>
        <v>-23845.064156321067</v>
      </c>
      <c r="G61" s="319">
        <f t="shared" si="26"/>
        <v>0</v>
      </c>
      <c r="H61" s="362">
        <f t="shared" si="28"/>
        <v>-23845.064156321067</v>
      </c>
      <c r="I61" s="362"/>
      <c r="J61" s="362">
        <f>-'Table 5C1A-Madison Prep'!H61</f>
        <v>0</v>
      </c>
      <c r="K61" s="362">
        <f>-'Table 5C1B-DArbonne'!H61</f>
        <v>0</v>
      </c>
      <c r="L61" s="362">
        <f>-'Table 5C1C-Intl_VIBE'!H61</f>
        <v>0</v>
      </c>
      <c r="M61" s="362">
        <f>-'Table 5C1D-NOMMA'!H61</f>
        <v>0</v>
      </c>
      <c r="N61" s="362">
        <f>-'Table 5C1E-LFNO'!H61</f>
        <v>0</v>
      </c>
      <c r="O61" s="362">
        <f>-'Table 5C1F-Lake Charles Charter'!H61</f>
        <v>0</v>
      </c>
      <c r="P61" s="362">
        <f>-'Table 5C1G-JS Clark Academy'!H61</f>
        <v>0</v>
      </c>
      <c r="Q61" s="362">
        <f>-'Table 5C1H-Southwest LA Charter'!H61</f>
        <v>0</v>
      </c>
      <c r="R61" s="322">
        <f>-('Table 5C2 - LA Virtual Admy'!H58+'Table 5C2 - LA Virtual Admy'!I58)</f>
        <v>-103114.9451066278</v>
      </c>
      <c r="S61" s="322">
        <f>-'Table 5C3 - LA Connections EBR'!H58-'Table 5C3 - LA Connections EBR'!I58</f>
        <v>-191499.1837694516</v>
      </c>
      <c r="T61" s="322">
        <f>-'Table 5D1 - New Vision'!G61</f>
        <v>0</v>
      </c>
      <c r="U61" s="322">
        <f>-'Table 5D2 - Glencoe'!G61</f>
        <v>0</v>
      </c>
      <c r="V61" s="322">
        <f>-'Table 5D3 - International'!G61</f>
        <v>0</v>
      </c>
      <c r="W61" s="322">
        <f>-'Table 5D4 - Avoyelles'!G61</f>
        <v>0</v>
      </c>
      <c r="X61" s="322">
        <f>-'Table 5D5 - Delhi'!G61</f>
        <v>0</v>
      </c>
      <c r="Y61" s="322">
        <f>-'Table 5D6 - Milestone'!G61</f>
        <v>0</v>
      </c>
      <c r="Z61" s="322">
        <f>-'Table 5D7 - Max'!G61</f>
        <v>-205295.21352387738</v>
      </c>
      <c r="AA61" s="322">
        <f>-'Table 5D8 - Belle Chasse'!I61</f>
        <v>0</v>
      </c>
      <c r="AB61" s="322">
        <f>-'Table 5A4_LSDVI'!H61</f>
        <v>-29461.412887607941</v>
      </c>
      <c r="AC61" s="322">
        <f>-'Table 5A5_SSD'!H61</f>
        <v>-34371.648368875933</v>
      </c>
      <c r="AD61" s="322">
        <f>-'Table 5A2 LSMSA'!H61</f>
        <v>-54012.590293947891</v>
      </c>
      <c r="AE61" s="322">
        <f>-'Table 5A3 NOCCA'!H61</f>
        <v>-4910.2354812679905</v>
      </c>
      <c r="AF61" s="322">
        <f>-('Table 5F Scholarships '!Q895+'Table 5F Scholarships '!S895)</f>
        <v>-112864.63696302983</v>
      </c>
      <c r="AG61" s="322">
        <f t="shared" si="29"/>
        <v>-735529.8663946864</v>
      </c>
      <c r="AH61" s="566">
        <f t="shared" si="30"/>
        <v>86848251</v>
      </c>
      <c r="AI61" s="319">
        <f t="shared" si="31"/>
        <v>7237354</v>
      </c>
      <c r="AJ61" s="319">
        <f>'Table 4A Level 4'!G60</f>
        <v>0</v>
      </c>
      <c r="AK61" s="319">
        <f>'Table 4A Level 4'!I60</f>
        <v>0</v>
      </c>
      <c r="AL61" s="319">
        <f>'Table 4A Level 4'!J60</f>
        <v>0</v>
      </c>
      <c r="AM61" s="319">
        <f t="shared" si="32"/>
        <v>86848251</v>
      </c>
      <c r="AN61" s="1579"/>
      <c r="AO61" s="1582"/>
      <c r="AP61" s="1586"/>
      <c r="AR61" s="1331"/>
      <c r="AS61" s="758"/>
      <c r="AT61" s="283"/>
    </row>
    <row r="62" spans="1:46">
      <c r="A62" s="99">
        <v>56</v>
      </c>
      <c r="B62" s="301" t="s">
        <v>149</v>
      </c>
      <c r="C62" s="310">
        <f>'Table 3 Levels 1&amp;2'!BW64</f>
        <v>15942125.314851202</v>
      </c>
      <c r="D62" s="361">
        <f>'[1]Adjusted Amounts'!C62</f>
        <v>0</v>
      </c>
      <c r="E62" s="361">
        <f>'[1]Adjusted Amounts'!H62</f>
        <v>0</v>
      </c>
      <c r="F62" s="361">
        <f t="shared" si="27"/>
        <v>0</v>
      </c>
      <c r="G62" s="310">
        <f t="shared" si="26"/>
        <v>0</v>
      </c>
      <c r="H62" s="361">
        <f t="shared" si="28"/>
        <v>0</v>
      </c>
      <c r="I62" s="361"/>
      <c r="J62" s="49">
        <f>-'Table 5C1A-Madison Prep'!H62</f>
        <v>0</v>
      </c>
      <c r="K62" s="361">
        <f>-'Table 5C1B-DArbonne'!H62-'Table 5C1B-DArbonne'!H76</f>
        <v>-2947047.6255888953</v>
      </c>
      <c r="L62" s="361">
        <f>-'Table 5C1C-Intl_VIBE'!H62</f>
        <v>0</v>
      </c>
      <c r="M62" s="361">
        <f>-'Table 5C1D-NOMMA'!H62</f>
        <v>0</v>
      </c>
      <c r="N62" s="361">
        <f>-'Table 5C1E-LFNO'!H62</f>
        <v>0</v>
      </c>
      <c r="O62" s="361">
        <f>-'Table 5C1F-Lake Charles Charter'!H62</f>
        <v>0</v>
      </c>
      <c r="P62" s="361">
        <f>-'Table 5C1G-JS Clark Academy'!H62</f>
        <v>0</v>
      </c>
      <c r="Q62" s="361">
        <f>-'Table 5C1H-Southwest LA Charter'!H62</f>
        <v>0</v>
      </c>
      <c r="R62" s="315">
        <f>-('Table 5C2 - LA Virtual Admy'!H59+'Table 5C2 - LA Virtual Admy'!I59)</f>
        <v>-38776.942441959145</v>
      </c>
      <c r="S62" s="315">
        <f>-'Table 5C3 - LA Connections EBR'!H59-'Table 5C3 - LA Connections EBR'!I59</f>
        <v>-27697.816029970822</v>
      </c>
      <c r="T62" s="315">
        <f>-'Table 5D1 - New Vision'!G62</f>
        <v>0</v>
      </c>
      <c r="U62" s="315">
        <f>-'Table 5D2 - Glencoe'!G62</f>
        <v>0</v>
      </c>
      <c r="V62" s="315">
        <f>-'Table 5D3 - International'!G62</f>
        <v>0</v>
      </c>
      <c r="W62" s="315">
        <f>-'Table 5D4 - Avoyelles'!G62</f>
        <v>0</v>
      </c>
      <c r="X62" s="315">
        <f>-'Table 5D5 - Delhi'!G62</f>
        <v>0</v>
      </c>
      <c r="Y62" s="315">
        <f>-'Table 5D6 - Milestone'!G62</f>
        <v>0</v>
      </c>
      <c r="Z62" s="315">
        <f>-'Table 5D7 - Max'!G62</f>
        <v>0</v>
      </c>
      <c r="AA62" s="315">
        <f>-'Table 5D8 - Belle Chasse'!I62</f>
        <v>0</v>
      </c>
      <c r="AB62" s="315">
        <f>-'Table 5A4_LSDVI'!H62</f>
        <v>0</v>
      </c>
      <c r="AC62" s="315">
        <f>-'Table 5A5_SSD'!H62</f>
        <v>-5539.5632059941636</v>
      </c>
      <c r="AD62" s="1606">
        <f>-'Table 5A2 LSMSA'!H62</f>
        <v>-22158.252823976654</v>
      </c>
      <c r="AE62" s="1606">
        <f>-'Table 5A3 NOCCA'!H62</f>
        <v>0</v>
      </c>
      <c r="AF62" s="315">
        <f>-('Table 5F Scholarships '!Q905+'Table 5F Scholarships '!S905)</f>
        <v>-72747.431864271624</v>
      </c>
      <c r="AG62" s="315">
        <f t="shared" si="29"/>
        <v>-3113967.6319550676</v>
      </c>
      <c r="AH62" s="565">
        <f t="shared" si="30"/>
        <v>12828158</v>
      </c>
      <c r="AI62" s="310">
        <f t="shared" si="31"/>
        <v>1069013</v>
      </c>
      <c r="AJ62" s="310">
        <f>'Table 4A Level 4'!G61</f>
        <v>0</v>
      </c>
      <c r="AK62" s="1576">
        <f>'Table 4A Level 4'!I61</f>
        <v>0</v>
      </c>
      <c r="AL62" s="1576">
        <f>'Table 4A Level 4'!J61</f>
        <v>0</v>
      </c>
      <c r="AM62" s="310">
        <f t="shared" si="32"/>
        <v>12828158</v>
      </c>
      <c r="AN62" s="1579"/>
      <c r="AO62" s="1582"/>
      <c r="AP62" s="1586"/>
      <c r="AR62" s="1331"/>
      <c r="AS62" s="758"/>
      <c r="AT62" s="283"/>
    </row>
    <row r="63" spans="1:46">
      <c r="A63" s="99">
        <v>57</v>
      </c>
      <c r="B63" s="301" t="s">
        <v>150</v>
      </c>
      <c r="C63" s="310">
        <f>'Table 3 Levels 1&amp;2'!BW65</f>
        <v>47112673.677430004</v>
      </c>
      <c r="D63" s="361">
        <f>'[1]Adjusted Amounts'!C63</f>
        <v>0</v>
      </c>
      <c r="E63" s="361">
        <f>'[1]Adjusted Amounts'!H63</f>
        <v>0</v>
      </c>
      <c r="F63" s="361">
        <f t="shared" si="27"/>
        <v>0</v>
      </c>
      <c r="G63" s="310">
        <f t="shared" si="26"/>
        <v>0</v>
      </c>
      <c r="H63" s="361">
        <f t="shared" si="28"/>
        <v>0</v>
      </c>
      <c r="I63" s="361"/>
      <c r="J63" s="361">
        <f>-'Table 5C1A-Madison Prep'!H63</f>
        <v>0</v>
      </c>
      <c r="K63" s="361">
        <f>-'Table 5C1B-DArbonne'!H63</f>
        <v>0</v>
      </c>
      <c r="L63" s="361">
        <f>-'Table 5C1C-Intl_VIBE'!H63</f>
        <v>0</v>
      </c>
      <c r="M63" s="361">
        <f>-'Table 5C1D-NOMMA'!H63</f>
        <v>0</v>
      </c>
      <c r="N63" s="361">
        <f>-'Table 5C1E-LFNO'!H63</f>
        <v>0</v>
      </c>
      <c r="O63" s="361">
        <f>-'Table 5C1F-Lake Charles Charter'!H63</f>
        <v>0</v>
      </c>
      <c r="P63" s="361">
        <f>-'Table 5C1G-JS Clark Academy'!H63</f>
        <v>0</v>
      </c>
      <c r="Q63" s="361">
        <f>-'Table 5C1H-Southwest LA Charter'!H63</f>
        <v>0</v>
      </c>
      <c r="R63" s="315">
        <f>-('Table 5C2 - LA Virtual Admy'!H60+'Table 5C2 - LA Virtual Admy'!I60)</f>
        <v>-51990.616744018997</v>
      </c>
      <c r="S63" s="315">
        <f>-'Table 5C3 - LA Connections EBR'!H60-'Table 5C3 - LA Connections EBR'!I60</f>
        <v>-31194.370046411394</v>
      </c>
      <c r="T63" s="315">
        <f>-'Table 5D1 - New Vision'!G63</f>
        <v>0</v>
      </c>
      <c r="U63" s="315">
        <f>-'Table 5D2 - Glencoe'!G63</f>
        <v>0</v>
      </c>
      <c r="V63" s="315">
        <f>-'Table 5D3 - International'!G63</f>
        <v>0</v>
      </c>
      <c r="W63" s="315">
        <f>-'Table 5D4 - Avoyelles'!G63</f>
        <v>0</v>
      </c>
      <c r="X63" s="315">
        <f>-'Table 5D5 - Delhi'!G63</f>
        <v>0</v>
      </c>
      <c r="Y63" s="315">
        <f>-'Table 5D6 - Milestone'!G63</f>
        <v>0</v>
      </c>
      <c r="Z63" s="315">
        <f>-'Table 5D7 - Max'!G63</f>
        <v>0</v>
      </c>
      <c r="AA63" s="315">
        <f>-'Table 5D8 - Belle Chasse'!I63</f>
        <v>0</v>
      </c>
      <c r="AB63" s="315">
        <f>-'Table 5A4_LSDVI'!H63</f>
        <v>0</v>
      </c>
      <c r="AC63" s="315">
        <f>-'Table 5A5_SSD'!H63</f>
        <v>-15597.185023205697</v>
      </c>
      <c r="AD63" s="1606">
        <f>-'Table 5A2 LSMSA'!H63</f>
        <v>-20796.246697607596</v>
      </c>
      <c r="AE63" s="1606">
        <f>-'Table 5A3 NOCCA'!H63</f>
        <v>0</v>
      </c>
      <c r="AF63" s="315">
        <f>-('Table 5F Scholarships '!Q910+'Table 5F Scholarships '!S910)</f>
        <v>-41452.5728900596</v>
      </c>
      <c r="AG63" s="315">
        <f t="shared" si="29"/>
        <v>-161030.99140130327</v>
      </c>
      <c r="AH63" s="565">
        <f t="shared" si="30"/>
        <v>46951643</v>
      </c>
      <c r="AI63" s="310">
        <f t="shared" si="31"/>
        <v>3912637</v>
      </c>
      <c r="AJ63" s="310">
        <f>'Table 4A Level 4'!G62</f>
        <v>0</v>
      </c>
      <c r="AK63" s="1576">
        <f>'Table 4A Level 4'!I62</f>
        <v>0</v>
      </c>
      <c r="AL63" s="1576">
        <f>'Table 4A Level 4'!J62</f>
        <v>0</v>
      </c>
      <c r="AM63" s="310">
        <f t="shared" si="32"/>
        <v>46951643</v>
      </c>
      <c r="AN63" s="1579"/>
      <c r="AO63" s="1582"/>
      <c r="AP63" s="1582"/>
      <c r="AR63" s="1331"/>
      <c r="AS63" s="758"/>
      <c r="AT63" s="283"/>
    </row>
    <row r="64" spans="1:46">
      <c r="A64" s="99">
        <v>58</v>
      </c>
      <c r="B64" s="301" t="s">
        <v>151</v>
      </c>
      <c r="C64" s="310">
        <f>'Table 3 Levels 1&amp;2'!BW66</f>
        <v>55825605.049079597</v>
      </c>
      <c r="D64" s="361">
        <f>'[1]Adjusted Amounts'!C64</f>
        <v>0</v>
      </c>
      <c r="E64" s="361">
        <f>'[1]Adjusted Amounts'!H64</f>
        <v>-8203.3462903040272</v>
      </c>
      <c r="F64" s="361">
        <f t="shared" si="27"/>
        <v>-8203.3462903040272</v>
      </c>
      <c r="G64" s="310">
        <f t="shared" si="26"/>
        <v>0</v>
      </c>
      <c r="H64" s="361">
        <f t="shared" si="28"/>
        <v>-8203.3462903040272</v>
      </c>
      <c r="I64" s="361"/>
      <c r="J64" s="361">
        <f>-'Table 5C1A-Madison Prep'!H64</f>
        <v>0</v>
      </c>
      <c r="K64" s="361">
        <f>-'Table 5C1B-DArbonne'!H64</f>
        <v>0</v>
      </c>
      <c r="L64" s="361">
        <f>-'Table 5C1C-Intl_VIBE'!H64</f>
        <v>0</v>
      </c>
      <c r="M64" s="361">
        <f>-'Table 5C1D-NOMMA'!H64</f>
        <v>0</v>
      </c>
      <c r="N64" s="361">
        <f>-'Table 5C1E-LFNO'!H64</f>
        <v>0</v>
      </c>
      <c r="O64" s="361">
        <f>-'Table 5C1F-Lake Charles Charter'!H64</f>
        <v>0</v>
      </c>
      <c r="P64" s="361">
        <f>-'Table 5C1G-JS Clark Academy'!H64</f>
        <v>0</v>
      </c>
      <c r="Q64" s="361">
        <f>-'Table 5C1H-Southwest LA Charter'!H64</f>
        <v>0</v>
      </c>
      <c r="R64" s="315">
        <f>-('Table 5C2 - LA Virtual Admy'!H61+'Table 5C2 - LA Virtual Admy'!I61)</f>
        <v>-183952.71130503985</v>
      </c>
      <c r="S64" s="315">
        <f>-'Table 5C3 - LA Connections EBR'!H61-'Table 5C3 - LA Connections EBR'!I61</f>
        <v>-171689.19721803721</v>
      </c>
      <c r="T64" s="315">
        <f>-'Table 5D1 - New Vision'!G64</f>
        <v>0</v>
      </c>
      <c r="U64" s="315">
        <f>-'Table 5D2 - Glencoe'!G64</f>
        <v>0</v>
      </c>
      <c r="V64" s="315">
        <f>-'Table 5D3 - International'!G64</f>
        <v>0</v>
      </c>
      <c r="W64" s="315">
        <f>-'Table 5D4 - Avoyelles'!G64</f>
        <v>0</v>
      </c>
      <c r="X64" s="315">
        <f>-'Table 5D5 - Delhi'!G64</f>
        <v>0</v>
      </c>
      <c r="Y64" s="315">
        <f>-'Table 5D6 - Milestone'!G64</f>
        <v>0</v>
      </c>
      <c r="Z64" s="315">
        <f>-'Table 5D7 - Max'!G64</f>
        <v>0</v>
      </c>
      <c r="AA64" s="315">
        <f>-'Table 5D8 - Belle Chasse'!I64</f>
        <v>0</v>
      </c>
      <c r="AB64" s="315">
        <f>-'Table 5A4_LSDVI'!H64</f>
        <v>-6131.7570435013286</v>
      </c>
      <c r="AC64" s="315">
        <f>-'Table 5A5_SSD'!H64</f>
        <v>-6131.7570435013286</v>
      </c>
      <c r="AD64" s="1606">
        <f>-'Table 5A2 LSMSA'!H64</f>
        <v>-79712.841565517272</v>
      </c>
      <c r="AE64" s="1606">
        <f>-'Table 5A3 NOCCA'!H64</f>
        <v>0</v>
      </c>
      <c r="AF64" s="315">
        <v>0</v>
      </c>
      <c r="AG64" s="315">
        <f t="shared" si="29"/>
        <v>-447618.26417559688</v>
      </c>
      <c r="AH64" s="565">
        <f t="shared" si="30"/>
        <v>55369783</v>
      </c>
      <c r="AI64" s="310">
        <f t="shared" si="31"/>
        <v>4614149</v>
      </c>
      <c r="AJ64" s="310">
        <f>'Table 4A Level 4'!G63</f>
        <v>0</v>
      </c>
      <c r="AK64" s="1576">
        <f>'Table 4A Level 4'!I63</f>
        <v>0</v>
      </c>
      <c r="AL64" s="1576">
        <f>'Table 4A Level 4'!J63</f>
        <v>0</v>
      </c>
      <c r="AM64" s="310">
        <f t="shared" si="32"/>
        <v>55369783</v>
      </c>
      <c r="AN64" s="1579"/>
      <c r="AO64" s="1582"/>
      <c r="AP64" s="1586"/>
      <c r="AR64" s="1331"/>
      <c r="AS64" s="758"/>
      <c r="AT64" s="283"/>
    </row>
    <row r="65" spans="1:46">
      <c r="A65" s="99">
        <v>59</v>
      </c>
      <c r="B65" s="301" t="s">
        <v>152</v>
      </c>
      <c r="C65" s="310">
        <f>'Table 3 Levels 1&amp;2'!BW67</f>
        <v>36463195.869945996</v>
      </c>
      <c r="D65" s="361">
        <f>'[1]Adjusted Amounts'!C65</f>
        <v>0</v>
      </c>
      <c r="E65" s="361">
        <f>'[1]Adjusted Amounts'!H65</f>
        <v>0</v>
      </c>
      <c r="F65" s="361">
        <f t="shared" si="27"/>
        <v>0</v>
      </c>
      <c r="G65" s="310">
        <f t="shared" si="26"/>
        <v>0</v>
      </c>
      <c r="H65" s="361">
        <f t="shared" si="28"/>
        <v>0</v>
      </c>
      <c r="I65" s="361"/>
      <c r="J65" s="361">
        <f>-'Table 5C1A-Madison Prep'!H65</f>
        <v>0</v>
      </c>
      <c r="K65" s="361">
        <f>-'Table 5C1B-DArbonne'!H65</f>
        <v>0</v>
      </c>
      <c r="L65" s="361">
        <f>-'Table 5C1C-Intl_VIBE'!H65</f>
        <v>0</v>
      </c>
      <c r="M65" s="361">
        <f>-'Table 5C1D-NOMMA'!H65</f>
        <v>0</v>
      </c>
      <c r="N65" s="361">
        <f>-'Table 5C1E-LFNO'!H65</f>
        <v>0</v>
      </c>
      <c r="O65" s="361">
        <f>-'Table 5C1F-Lake Charles Charter'!H65</f>
        <v>0</v>
      </c>
      <c r="P65" s="361">
        <f>-'Table 5C1G-JS Clark Academy'!H65</f>
        <v>0</v>
      </c>
      <c r="Q65" s="361">
        <f>-'Table 5C1H-Southwest LA Charter'!H65</f>
        <v>0</v>
      </c>
      <c r="R65" s="315">
        <f>-('Table 5C2 - LA Virtual Admy'!H62+'Table 5C2 - LA Virtual Admy'!I62)</f>
        <v>-90242.860929240036</v>
      </c>
      <c r="S65" s="315">
        <f>-'Table 5C3 - LA Connections EBR'!H62-'Table 5C3 - LA Connections EBR'!I62</f>
        <v>-97184.619462258503</v>
      </c>
      <c r="T65" s="315">
        <f>-'Table 5D1 - New Vision'!G65</f>
        <v>0</v>
      </c>
      <c r="U65" s="315">
        <f>-'Table 5D2 - Glencoe'!G65</f>
        <v>0</v>
      </c>
      <c r="V65" s="315">
        <f>-'Table 5D3 - International'!G65</f>
        <v>0</v>
      </c>
      <c r="W65" s="315">
        <f>-'Table 5D4 - Avoyelles'!G65</f>
        <v>0</v>
      </c>
      <c r="X65" s="315">
        <f>-'Table 5D5 - Delhi'!G65</f>
        <v>0</v>
      </c>
      <c r="Y65" s="315">
        <f>-'Table 5D6 - Milestone'!G65</f>
        <v>0</v>
      </c>
      <c r="Z65" s="315">
        <f>-'Table 5D7 - Max'!G65</f>
        <v>0</v>
      </c>
      <c r="AA65" s="315">
        <f>-'Table 5D8 - Belle Chasse'!I65</f>
        <v>0</v>
      </c>
      <c r="AB65" s="315">
        <f>-'Table 5A4_LSDVI'!H65</f>
        <v>-6941.7585330184647</v>
      </c>
      <c r="AC65" s="315">
        <f>-'Table 5A5_SSD'!H65</f>
        <v>-13883.517066036929</v>
      </c>
      <c r="AD65" s="1606">
        <f>-'Table 5A2 LSMSA'!H65</f>
        <v>0</v>
      </c>
      <c r="AE65" s="1606">
        <f>-'Table 5A3 NOCCA'!H65</f>
        <v>-6941.7585330184647</v>
      </c>
      <c r="AF65" s="315">
        <f>-('Table 5F Scholarships '!Q912+'Table 5F Scholarships '!S912)</f>
        <v>-13851.539546162365</v>
      </c>
      <c r="AG65" s="315">
        <f t="shared" si="29"/>
        <v>-229046.05406973476</v>
      </c>
      <c r="AH65" s="565">
        <f t="shared" si="30"/>
        <v>36234150</v>
      </c>
      <c r="AI65" s="310">
        <f t="shared" si="31"/>
        <v>3019513</v>
      </c>
      <c r="AJ65" s="310">
        <f>'Table 4A Level 4'!G64</f>
        <v>0</v>
      </c>
      <c r="AK65" s="1576">
        <f>'Table 4A Level 4'!I64</f>
        <v>0</v>
      </c>
      <c r="AL65" s="1576">
        <f>'Table 4A Level 4'!J64</f>
        <v>0</v>
      </c>
      <c r="AM65" s="310">
        <f t="shared" si="32"/>
        <v>36234150</v>
      </c>
      <c r="AN65" s="1579"/>
      <c r="AO65" s="1582"/>
      <c r="AP65" s="1586"/>
      <c r="AR65" s="1331"/>
      <c r="AS65" s="758"/>
      <c r="AT65" s="283"/>
    </row>
    <row r="66" spans="1:46">
      <c r="A66" s="100">
        <v>60</v>
      </c>
      <c r="B66" s="302" t="s">
        <v>153</v>
      </c>
      <c r="C66" s="319">
        <f>'Table 3 Levels 1&amp;2'!BW68</f>
        <v>35786443.115784958</v>
      </c>
      <c r="D66" s="362">
        <f>'[1]Adjusted Amounts'!C66</f>
        <v>-2753.9485829962941</v>
      </c>
      <c r="E66" s="362">
        <f>'[1]Adjusted Amounts'!H66</f>
        <v>-4532.3080144258711</v>
      </c>
      <c r="F66" s="362">
        <f t="shared" si="27"/>
        <v>-7286.2565974221652</v>
      </c>
      <c r="G66" s="319">
        <f t="shared" si="26"/>
        <v>0</v>
      </c>
      <c r="H66" s="362">
        <f t="shared" si="28"/>
        <v>-7286.2565974221652</v>
      </c>
      <c r="I66" s="362"/>
      <c r="J66" s="362">
        <f>-'Table 5C1A-Madison Prep'!H66</f>
        <v>0</v>
      </c>
      <c r="K66" s="362">
        <f>-'Table 5C1B-DArbonne'!H66</f>
        <v>0</v>
      </c>
      <c r="L66" s="362">
        <f>-'Table 5C1C-Intl_VIBE'!H66</f>
        <v>0</v>
      </c>
      <c r="M66" s="362">
        <f>-'Table 5C1D-NOMMA'!H66</f>
        <v>0</v>
      </c>
      <c r="N66" s="362">
        <f>-'Table 5C1E-LFNO'!H66</f>
        <v>0</v>
      </c>
      <c r="O66" s="362">
        <f>-'Table 5C1F-Lake Charles Charter'!H66</f>
        <v>0</v>
      </c>
      <c r="P66" s="362">
        <f>-'Table 5C1G-JS Clark Academy'!H66</f>
        <v>0</v>
      </c>
      <c r="Q66" s="362">
        <f>-'Table 5C1H-Southwest LA Charter'!H66</f>
        <v>0</v>
      </c>
      <c r="R66" s="322">
        <f>-('Table 5C2 - LA Virtual Admy'!H63+'Table 5C2 - LA Virtual Admy'!I63)</f>
        <v>-93443.857670456782</v>
      </c>
      <c r="S66" s="322">
        <f>-'Table 5C3 - LA Connections EBR'!H63-'Table 5C3 - LA Connections EBR'!I63</f>
        <v>-142914.13526069862</v>
      </c>
      <c r="T66" s="322">
        <f>-'Table 5D1 - New Vision'!G66</f>
        <v>0</v>
      </c>
      <c r="U66" s="322">
        <f>-'Table 5D2 - Glencoe'!G66</f>
        <v>0</v>
      </c>
      <c r="V66" s="322">
        <f>-'Table 5D3 - International'!G66</f>
        <v>0</v>
      </c>
      <c r="W66" s="322">
        <f>-'Table 5D4 - Avoyelles'!G66</f>
        <v>0</v>
      </c>
      <c r="X66" s="322">
        <f>-'Table 5D5 - Delhi'!G66</f>
        <v>0</v>
      </c>
      <c r="Y66" s="322">
        <f>-'Table 5D6 - Milestone'!G66</f>
        <v>0</v>
      </c>
      <c r="Z66" s="322">
        <f>-'Table 5D7 - Max'!G66</f>
        <v>0</v>
      </c>
      <c r="AA66" s="322">
        <f>-'Table 5D8 - Belle Chasse'!I66</f>
        <v>0</v>
      </c>
      <c r="AB66" s="322">
        <f>-'Table 5A4_LSDVI'!H66</f>
        <v>-16490.092530080608</v>
      </c>
      <c r="AC66" s="322">
        <f>-'Table 5A5_SSD'!H66</f>
        <v>-60463.672610295573</v>
      </c>
      <c r="AD66" s="322">
        <f>-'Table 5A2 LSMSA'!H66</f>
        <v>-21986.79004010748</v>
      </c>
      <c r="AE66" s="322">
        <f>-'Table 5A3 NOCCA'!H66</f>
        <v>0</v>
      </c>
      <c r="AF66" s="322">
        <v>0</v>
      </c>
      <c r="AG66" s="322">
        <f t="shared" si="29"/>
        <v>-335298.5481116391</v>
      </c>
      <c r="AH66" s="566">
        <f t="shared" si="30"/>
        <v>35443858</v>
      </c>
      <c r="AI66" s="319">
        <f t="shared" si="31"/>
        <v>2953655</v>
      </c>
      <c r="AJ66" s="319">
        <f>'Table 4A Level 4'!G65</f>
        <v>0</v>
      </c>
      <c r="AK66" s="319">
        <f>'Table 4A Level 4'!I65</f>
        <v>0</v>
      </c>
      <c r="AL66" s="319">
        <f>'Table 4A Level 4'!J65</f>
        <v>0</v>
      </c>
      <c r="AM66" s="319">
        <f t="shared" si="32"/>
        <v>35443858</v>
      </c>
      <c r="AN66" s="1579"/>
      <c r="AO66" s="1582"/>
      <c r="AP66" s="1582"/>
      <c r="AR66" s="1331"/>
      <c r="AS66" s="758"/>
      <c r="AT66" s="283"/>
    </row>
    <row r="67" spans="1:46">
      <c r="A67" s="99">
        <v>61</v>
      </c>
      <c r="B67" s="301" t="s">
        <v>154</v>
      </c>
      <c r="C67" s="310">
        <f>'Table 3 Levels 1&amp;2'!BW69</f>
        <v>13482930.624067217</v>
      </c>
      <c r="D67" s="361">
        <f>'[1]Adjusted Amounts'!C67</f>
        <v>0</v>
      </c>
      <c r="E67" s="361">
        <f>'[1]Adjusted Amounts'!H67</f>
        <v>0</v>
      </c>
      <c r="F67" s="361">
        <f t="shared" si="27"/>
        <v>0</v>
      </c>
      <c r="G67" s="310">
        <f t="shared" si="26"/>
        <v>0</v>
      </c>
      <c r="H67" s="361">
        <f t="shared" si="28"/>
        <v>0</v>
      </c>
      <c r="I67" s="361"/>
      <c r="J67" s="361">
        <f>-'Table 5C1A-Madison Prep'!H67</f>
        <v>-3706.4819101339244</v>
      </c>
      <c r="K67" s="361">
        <f>-'Table 5C1B-DArbonne'!H67</f>
        <v>0</v>
      </c>
      <c r="L67" s="361">
        <f>-'Table 5C1C-Intl_VIBE'!H67</f>
        <v>0</v>
      </c>
      <c r="M67" s="361">
        <f>-'Table 5C1D-NOMMA'!H67</f>
        <v>0</v>
      </c>
      <c r="N67" s="361">
        <f>-'Table 5C1E-LFNO'!H67</f>
        <v>0</v>
      </c>
      <c r="O67" s="361">
        <f>-'Table 5C1F-Lake Charles Charter'!H67</f>
        <v>0</v>
      </c>
      <c r="P67" s="361">
        <f>-'Table 5C1G-JS Clark Academy'!H67</f>
        <v>0</v>
      </c>
      <c r="Q67" s="361">
        <f>-'Table 5C1H-Southwest LA Charter'!H67</f>
        <v>0</v>
      </c>
      <c r="R67" s="315">
        <f>-('Table 5C2 - LA Virtual Admy'!H64+'Table 5C2 - LA Virtual Admy'!I64)</f>
        <v>-22238.891460803548</v>
      </c>
      <c r="S67" s="315">
        <f>-'Table 5C3 - LA Connections EBR'!H64-'Table 5C3 - LA Connections EBR'!I64</f>
        <v>-33358.337191205319</v>
      </c>
      <c r="T67" s="315">
        <f>-'Table 5D1 - New Vision'!G67</f>
        <v>0</v>
      </c>
      <c r="U67" s="315">
        <f>-'Table 5D2 - Glencoe'!G67</f>
        <v>0</v>
      </c>
      <c r="V67" s="315">
        <f>-'Table 5D3 - International'!G67</f>
        <v>0</v>
      </c>
      <c r="W67" s="315">
        <f>-'Table 5D4 - Avoyelles'!G67</f>
        <v>0</v>
      </c>
      <c r="X67" s="315">
        <f>-'Table 5D5 - Delhi'!G67</f>
        <v>0</v>
      </c>
      <c r="Y67" s="315">
        <f>-'Table 5D6 - Milestone'!G67</f>
        <v>0</v>
      </c>
      <c r="Z67" s="315">
        <f>-'Table 5D7 - Max'!G67</f>
        <v>0</v>
      </c>
      <c r="AA67" s="315">
        <f>-'Table 5D8 - Belle Chasse'!I67</f>
        <v>0</v>
      </c>
      <c r="AB67" s="315">
        <f>-'Table 5A4_LSDVI'!H67</f>
        <v>-22238.891460803545</v>
      </c>
      <c r="AC67" s="315">
        <f>-'Table 5A5_SSD'!H67</f>
        <v>0</v>
      </c>
      <c r="AD67" s="1606">
        <f>-'Table 5A2 LSMSA'!H67</f>
        <v>0</v>
      </c>
      <c r="AE67" s="1606">
        <f>-'Table 5A3 NOCCA'!H67</f>
        <v>0</v>
      </c>
      <c r="AF67" s="315">
        <f>-('Table 5F Scholarships '!Q925+'Table 5F Scholarships '!S925)</f>
        <v>-43163.965120899898</v>
      </c>
      <c r="AG67" s="315">
        <f t="shared" si="29"/>
        <v>-124706.56714384623</v>
      </c>
      <c r="AH67" s="565">
        <f t="shared" si="30"/>
        <v>13358224</v>
      </c>
      <c r="AI67" s="310">
        <f t="shared" si="31"/>
        <v>1113185</v>
      </c>
      <c r="AJ67" s="310">
        <f>'Table 4A Level 4'!G66</f>
        <v>0</v>
      </c>
      <c r="AK67" s="1576">
        <f>'Table 4A Level 4'!I66</f>
        <v>0</v>
      </c>
      <c r="AL67" s="1576">
        <f>'Table 4A Level 4'!J66</f>
        <v>0</v>
      </c>
      <c r="AM67" s="310">
        <f t="shared" si="32"/>
        <v>13358224</v>
      </c>
      <c r="AN67" s="1579"/>
      <c r="AO67" s="1582"/>
      <c r="AP67" s="1586"/>
      <c r="AR67" s="1331"/>
      <c r="AS67" s="758"/>
      <c r="AT67" s="283"/>
    </row>
    <row r="68" spans="1:46">
      <c r="A68" s="99">
        <v>62</v>
      </c>
      <c r="B68" s="301" t="s">
        <v>155</v>
      </c>
      <c r="C68" s="310">
        <f>'Table 3 Levels 1&amp;2'!BW70</f>
        <v>13094731.027057093</v>
      </c>
      <c r="D68" s="361">
        <f>'[1]Adjusted Amounts'!C68</f>
        <v>0</v>
      </c>
      <c r="E68" s="361">
        <f>'[1]Adjusted Amounts'!H68</f>
        <v>0</v>
      </c>
      <c r="F68" s="361">
        <f t="shared" si="27"/>
        <v>0</v>
      </c>
      <c r="G68" s="310">
        <f t="shared" si="26"/>
        <v>0</v>
      </c>
      <c r="H68" s="361">
        <f t="shared" si="28"/>
        <v>0</v>
      </c>
      <c r="I68" s="361"/>
      <c r="J68" s="361">
        <f>-'Table 5C1A-Madison Prep'!H68</f>
        <v>0</v>
      </c>
      <c r="K68" s="361">
        <f>-'Table 5C1B-DArbonne'!H68</f>
        <v>0</v>
      </c>
      <c r="L68" s="361">
        <f>-'Table 5C1C-Intl_VIBE'!H68</f>
        <v>0</v>
      </c>
      <c r="M68" s="361">
        <f>-'Table 5C1D-NOMMA'!H68</f>
        <v>0</v>
      </c>
      <c r="N68" s="361">
        <f>-'Table 5C1E-LFNO'!H68</f>
        <v>0</v>
      </c>
      <c r="O68" s="361">
        <f>-'Table 5C1F-Lake Charles Charter'!H68</f>
        <v>0</v>
      </c>
      <c r="P68" s="361">
        <f>-'Table 5C1G-JS Clark Academy'!H68</f>
        <v>0</v>
      </c>
      <c r="Q68" s="361">
        <f>-'Table 5C1H-Southwest LA Charter'!H68</f>
        <v>0</v>
      </c>
      <c r="R68" s="315">
        <f>-('Table 5C2 - LA Virtual Admy'!H65+'Table 5C2 - LA Virtual Admy'!I65)</f>
        <v>-6110.3314397890799</v>
      </c>
      <c r="S68" s="315">
        <f>-'Table 5C3 - LA Connections EBR'!H65-'Table 5C3 - LA Connections EBR'!I65</f>
        <v>-6110.3314397890799</v>
      </c>
      <c r="T68" s="315">
        <f>-'Table 5D1 - New Vision'!G68</f>
        <v>0</v>
      </c>
      <c r="U68" s="315">
        <f>-'Table 5D2 - Glencoe'!G68</f>
        <v>0</v>
      </c>
      <c r="V68" s="315">
        <f>-'Table 5D3 - International'!G68</f>
        <v>0</v>
      </c>
      <c r="W68" s="315">
        <f>-'Table 5D4 - Avoyelles'!G68</f>
        <v>0</v>
      </c>
      <c r="X68" s="315">
        <f>-'Table 5D5 - Delhi'!G68</f>
        <v>-220365.89942150205</v>
      </c>
      <c r="Y68" s="315">
        <f>-'Table 5D6 - Milestone'!G68</f>
        <v>0</v>
      </c>
      <c r="Z68" s="315">
        <f>-'Table 5D7 - Max'!G68</f>
        <v>0</v>
      </c>
      <c r="AA68" s="315">
        <f>-'Table 5D8 - Belle Chasse'!I68</f>
        <v>0</v>
      </c>
      <c r="AB68" s="315">
        <f>-'Table 5A4_LSDVI'!H68</f>
        <v>-6110.3314397890799</v>
      </c>
      <c r="AC68" s="315">
        <f>-'Table 5A5_SSD'!H68</f>
        <v>-6110.3314397890799</v>
      </c>
      <c r="AD68" s="1606">
        <f>-'Table 5A2 LSMSA'!H68</f>
        <v>0</v>
      </c>
      <c r="AE68" s="1606">
        <f>-'Table 5A3 NOCCA'!H68</f>
        <v>0</v>
      </c>
      <c r="AF68" s="315">
        <v>0</v>
      </c>
      <c r="AG68" s="315">
        <f t="shared" si="29"/>
        <v>-244807.2251806584</v>
      </c>
      <c r="AH68" s="565">
        <f t="shared" si="30"/>
        <v>12849924</v>
      </c>
      <c r="AI68" s="310">
        <f t="shared" si="31"/>
        <v>1070827</v>
      </c>
      <c r="AJ68" s="310">
        <f>'Table 4A Level 4'!G67</f>
        <v>0</v>
      </c>
      <c r="AK68" s="1576">
        <f>'Table 4A Level 4'!I67</f>
        <v>0</v>
      </c>
      <c r="AL68" s="1576">
        <f>'Table 4A Level 4'!J67</f>
        <v>0</v>
      </c>
      <c r="AM68" s="310">
        <f t="shared" si="32"/>
        <v>12849924</v>
      </c>
      <c r="AN68" s="1579"/>
      <c r="AO68" s="1582"/>
      <c r="AP68" s="1586"/>
      <c r="AR68" s="1331"/>
      <c r="AS68" s="758"/>
      <c r="AT68" s="283"/>
    </row>
    <row r="69" spans="1:46">
      <c r="A69" s="99">
        <v>63</v>
      </c>
      <c r="B69" s="301" t="s">
        <v>156</v>
      </c>
      <c r="C69" s="310">
        <f>'Table 3 Levels 1&amp;2'!BW71</f>
        <v>10369479.171173632</v>
      </c>
      <c r="D69" s="361">
        <f>'[1]Adjusted Amounts'!C69</f>
        <v>0</v>
      </c>
      <c r="E69" s="361">
        <f>'[1]Adjusted Amounts'!H69</f>
        <v>0</v>
      </c>
      <c r="F69" s="361">
        <f t="shared" si="27"/>
        <v>0</v>
      </c>
      <c r="G69" s="310">
        <f t="shared" si="26"/>
        <v>0</v>
      </c>
      <c r="H69" s="361">
        <f t="shared" si="28"/>
        <v>0</v>
      </c>
      <c r="I69" s="361"/>
      <c r="J69" s="361">
        <f>-'Table 5C1A-Madison Prep'!H69</f>
        <v>0</v>
      </c>
      <c r="K69" s="361">
        <f>-'Table 5C1B-DArbonne'!H69</f>
        <v>0</v>
      </c>
      <c r="L69" s="361">
        <f>-'Table 5C1C-Intl_VIBE'!H69</f>
        <v>0</v>
      </c>
      <c r="M69" s="361">
        <f>-'Table 5C1D-NOMMA'!H69</f>
        <v>0</v>
      </c>
      <c r="N69" s="361">
        <f>-'Table 5C1E-LFNO'!H69</f>
        <v>0</v>
      </c>
      <c r="O69" s="361">
        <f>-'Table 5C1F-Lake Charles Charter'!H69</f>
        <v>0</v>
      </c>
      <c r="P69" s="361">
        <f>-'Table 5C1G-JS Clark Academy'!H69</f>
        <v>0</v>
      </c>
      <c r="Q69" s="361">
        <f>-'Table 5C1H-Southwest LA Charter'!H69</f>
        <v>0</v>
      </c>
      <c r="R69" s="315">
        <f>-('Table 5C2 - LA Virtual Admy'!H66+'Table 5C2 - LA Virtual Admy'!I66)</f>
        <v>0</v>
      </c>
      <c r="S69" s="315">
        <f>-'Table 5C3 - LA Connections EBR'!H66-'Table 5C3 - LA Connections EBR'!I66</f>
        <v>-5075.6509300898833</v>
      </c>
      <c r="T69" s="315">
        <f>-'Table 5D1 - New Vision'!G69</f>
        <v>0</v>
      </c>
      <c r="U69" s="315">
        <f>-'Table 5D2 - Glencoe'!G69</f>
        <v>0</v>
      </c>
      <c r="V69" s="315">
        <f>-'Table 5D3 - International'!G69</f>
        <v>0</v>
      </c>
      <c r="W69" s="315">
        <f>-'Table 5D4 - Avoyelles'!G69</f>
        <v>0</v>
      </c>
      <c r="X69" s="315">
        <f>-'Table 5D5 - Delhi'!G69</f>
        <v>0</v>
      </c>
      <c r="Y69" s="315">
        <f>-'Table 5D6 - Milestone'!G69</f>
        <v>0</v>
      </c>
      <c r="Z69" s="315">
        <f>-'Table 5D7 - Max'!G69</f>
        <v>0</v>
      </c>
      <c r="AA69" s="315">
        <f>-'Table 5D8 - Belle Chasse'!I69</f>
        <v>0</v>
      </c>
      <c r="AB69" s="315">
        <f>-'Table 5A4_LSDVI'!H69</f>
        <v>-5075.6509300898833</v>
      </c>
      <c r="AC69" s="315">
        <f>-'Table 5A5_SSD'!H69</f>
        <v>-5075.6509300898833</v>
      </c>
      <c r="AD69" s="1606">
        <f>-'Table 5A2 LSMSA'!H69</f>
        <v>-15226.95279026965</v>
      </c>
      <c r="AE69" s="1606">
        <f>-'Table 5A3 NOCCA'!H69</f>
        <v>0</v>
      </c>
      <c r="AF69" s="315">
        <v>0</v>
      </c>
      <c r="AG69" s="315">
        <f t="shared" si="29"/>
        <v>-30453.9055805393</v>
      </c>
      <c r="AH69" s="565">
        <f t="shared" si="30"/>
        <v>10339025</v>
      </c>
      <c r="AI69" s="310">
        <f t="shared" si="31"/>
        <v>861585</v>
      </c>
      <c r="AJ69" s="310">
        <f>'Table 4A Level 4'!G68</f>
        <v>0</v>
      </c>
      <c r="AK69" s="1576">
        <f>'Table 4A Level 4'!I68</f>
        <v>0</v>
      </c>
      <c r="AL69" s="1576">
        <f>'Table 4A Level 4'!J68</f>
        <v>0</v>
      </c>
      <c r="AM69" s="310">
        <f t="shared" si="32"/>
        <v>10339025</v>
      </c>
      <c r="AN69" s="1579"/>
      <c r="AO69" s="1582"/>
      <c r="AP69" s="1586"/>
      <c r="AR69" s="1331"/>
      <c r="AS69" s="758"/>
      <c r="AT69" s="283"/>
    </row>
    <row r="70" spans="1:46">
      <c r="A70" s="99">
        <v>64</v>
      </c>
      <c r="B70" s="301" t="s">
        <v>157</v>
      </c>
      <c r="C70" s="310">
        <f>'Table 3 Levels 1&amp;2'!BW72</f>
        <v>15621239.4102256</v>
      </c>
      <c r="D70" s="361">
        <f>'[1]Adjusted Amounts'!C70</f>
        <v>-3224.822370386988</v>
      </c>
      <c r="E70" s="361">
        <f>'[1]Adjusted Amounts'!H70</f>
        <v>-3570.7732490166673</v>
      </c>
      <c r="F70" s="361">
        <f t="shared" si="27"/>
        <v>-6795.5956194036553</v>
      </c>
      <c r="G70" s="310">
        <f t="shared" si="26"/>
        <v>0</v>
      </c>
      <c r="H70" s="361">
        <f t="shared" si="28"/>
        <v>-6795.5956194036553</v>
      </c>
      <c r="I70" s="361"/>
      <c r="J70" s="361">
        <f>-'Table 5C1A-Madison Prep'!H70</f>
        <v>0</v>
      </c>
      <c r="K70" s="361">
        <f>-'Table 5C1B-DArbonne'!H70</f>
        <v>0</v>
      </c>
      <c r="L70" s="361">
        <f>-'Table 5C1C-Intl_VIBE'!H70</f>
        <v>0</v>
      </c>
      <c r="M70" s="361">
        <f>-'Table 5C1D-NOMMA'!H70</f>
        <v>0</v>
      </c>
      <c r="N70" s="361">
        <f>-'Table 5C1E-LFNO'!H70</f>
        <v>0</v>
      </c>
      <c r="O70" s="361">
        <f>-'Table 5C1F-Lake Charles Charter'!H70</f>
        <v>0</v>
      </c>
      <c r="P70" s="361">
        <f>-'Table 5C1G-JS Clark Academy'!H70</f>
        <v>0</v>
      </c>
      <c r="Q70" s="361">
        <f>-'Table 5C1H-Southwest LA Charter'!H70</f>
        <v>0</v>
      </c>
      <c r="R70" s="315">
        <f>-('Table 5C2 - LA Virtual Admy'!H67+'Table 5C2 - LA Virtual Admy'!I67)</f>
        <v>-6514.4018933384486</v>
      </c>
      <c r="S70" s="315">
        <f>-'Table 5C3 - LA Connections EBR'!H67-'Table 5C3 - LA Connections EBR'!I67</f>
        <v>-26057.607573353795</v>
      </c>
      <c r="T70" s="315">
        <f>-'Table 5D1 - New Vision'!G70</f>
        <v>0</v>
      </c>
      <c r="U70" s="315">
        <f>-'Table 5D2 - Glencoe'!G70</f>
        <v>0</v>
      </c>
      <c r="V70" s="315">
        <f>-'Table 5D3 - International'!G70</f>
        <v>0</v>
      </c>
      <c r="W70" s="315">
        <f>-'Table 5D4 - Avoyelles'!G70</f>
        <v>0</v>
      </c>
      <c r="X70" s="315">
        <f>-'Table 5D5 - Delhi'!G70</f>
        <v>0</v>
      </c>
      <c r="Y70" s="315">
        <f>-'Table 5D6 - Milestone'!G70</f>
        <v>0</v>
      </c>
      <c r="Z70" s="315">
        <f>-'Table 5D7 - Max'!G70</f>
        <v>0</v>
      </c>
      <c r="AA70" s="315">
        <f>-'Table 5D8 - Belle Chasse'!I70</f>
        <v>0</v>
      </c>
      <c r="AB70" s="315">
        <f>-'Table 5A4_LSDVI'!H70</f>
        <v>-6514.4018933384486</v>
      </c>
      <c r="AC70" s="315">
        <f>-'Table 5A5_SSD'!H70</f>
        <v>0</v>
      </c>
      <c r="AD70" s="1606">
        <f>-'Table 5A2 LSMSA'!H70</f>
        <v>-6514.4018933384486</v>
      </c>
      <c r="AE70" s="1606">
        <f>-'Table 5A3 NOCCA'!H70</f>
        <v>0</v>
      </c>
      <c r="AF70" s="315">
        <v>0</v>
      </c>
      <c r="AG70" s="315">
        <f t="shared" si="29"/>
        <v>-45600.813253369146</v>
      </c>
      <c r="AH70" s="565">
        <f t="shared" si="30"/>
        <v>15568843</v>
      </c>
      <c r="AI70" s="310">
        <f t="shared" si="31"/>
        <v>1297404</v>
      </c>
      <c r="AJ70" s="310">
        <f>'Table 4A Level 4'!G69</f>
        <v>0</v>
      </c>
      <c r="AK70" s="1576">
        <f>'Table 4A Level 4'!I69</f>
        <v>0</v>
      </c>
      <c r="AL70" s="1576">
        <f>'Table 4A Level 4'!J69</f>
        <v>0</v>
      </c>
      <c r="AM70" s="310">
        <f t="shared" si="32"/>
        <v>15568843</v>
      </c>
      <c r="AN70" s="1579"/>
      <c r="AO70" s="1582"/>
      <c r="AP70" s="1582"/>
      <c r="AR70" s="1331"/>
      <c r="AS70" s="758"/>
      <c r="AT70" s="283"/>
    </row>
    <row r="71" spans="1:46">
      <c r="A71" s="100">
        <v>65</v>
      </c>
      <c r="B71" s="302" t="s">
        <v>158</v>
      </c>
      <c r="C71" s="319">
        <f>'Table 3 Levels 1&amp;2'!BW73</f>
        <v>45806640.683946371</v>
      </c>
      <c r="D71" s="362">
        <f>'[1]Adjusted Amounts'!C71</f>
        <v>10676.329014573741</v>
      </c>
      <c r="E71" s="362">
        <f>'[1]Adjusted Amounts'!H71</f>
        <v>0</v>
      </c>
      <c r="F71" s="362">
        <f t="shared" si="27"/>
        <v>10676.329014573741</v>
      </c>
      <c r="G71" s="319">
        <f>IF(F71&gt;0,F71,0)</f>
        <v>10676.329014573741</v>
      </c>
      <c r="H71" s="362">
        <f t="shared" si="28"/>
        <v>0</v>
      </c>
      <c r="I71" s="362"/>
      <c r="J71" s="362">
        <f>-'Table 5C1A-Madison Prep'!H71</f>
        <v>0</v>
      </c>
      <c r="K71" s="362">
        <f>-'Table 5C1B-DArbonne'!H71</f>
        <v>-16224.120380901382</v>
      </c>
      <c r="L71" s="362">
        <f>-'Table 5C1C-Intl_VIBE'!H71</f>
        <v>0</v>
      </c>
      <c r="M71" s="362">
        <f>-'Table 5C1D-NOMMA'!H71</f>
        <v>0</v>
      </c>
      <c r="N71" s="362">
        <f>-'Table 5C1E-LFNO'!H71</f>
        <v>0</v>
      </c>
      <c r="O71" s="362">
        <f>-'Table 5C1F-Lake Charles Charter'!H71</f>
        <v>0</v>
      </c>
      <c r="P71" s="362">
        <f>-'Table 5C1G-JS Clark Academy'!H71</f>
        <v>0</v>
      </c>
      <c r="Q71" s="362">
        <f>-'Table 5C1H-Southwest LA Charter'!H71</f>
        <v>0</v>
      </c>
      <c r="R71" s="322">
        <f>-('Table 5C2 - LA Virtual Admy'!H68+'Table 5C2 - LA Virtual Admy'!I68)</f>
        <v>0</v>
      </c>
      <c r="S71" s="322">
        <f>-'Table 5C3 - LA Connections EBR'!H68-'Table 5C3 - LA Connections EBR'!I68</f>
        <v>-21632.16050786851</v>
      </c>
      <c r="T71" s="322">
        <f>-'Table 5D1 - New Vision'!G71</f>
        <v>-974319.67938888748</v>
      </c>
      <c r="U71" s="322">
        <f>-'Table 5D2 - Glencoe'!G71</f>
        <v>0</v>
      </c>
      <c r="V71" s="322">
        <f>-'Table 5D3 - International'!G71</f>
        <v>0</v>
      </c>
      <c r="W71" s="322">
        <f>-'Table 5D4 - Avoyelles'!G71</f>
        <v>0</v>
      </c>
      <c r="X71" s="322">
        <f>-'Table 5D5 - Delhi'!G71</f>
        <v>0</v>
      </c>
      <c r="Y71" s="322">
        <f>-'Table 5D6 - Milestone'!G71</f>
        <v>0</v>
      </c>
      <c r="Z71" s="322">
        <f>-'Table 5D7 - Max'!G71</f>
        <v>0</v>
      </c>
      <c r="AA71" s="322">
        <f>-'Table 5D8 - Belle Chasse'!I71</f>
        <v>0</v>
      </c>
      <c r="AB71" s="322">
        <f>-'Table 5A4_LSDVI'!H71</f>
        <v>-10816.080253934255</v>
      </c>
      <c r="AC71" s="322">
        <f>-'Table 5A5_SSD'!H71</f>
        <v>-27040.200634835637</v>
      </c>
      <c r="AD71" s="322">
        <f>-'Table 5A2 LSMSA'!H71</f>
        <v>0</v>
      </c>
      <c r="AE71" s="322">
        <f>-'Table 5A3 NOCCA'!H71</f>
        <v>0</v>
      </c>
      <c r="AF71" s="322">
        <f>-('Table 5F Scholarships '!Q941+'Table 5F Scholarships '!S941)</f>
        <v>-222354.3439643587</v>
      </c>
      <c r="AG71" s="322">
        <f t="shared" si="29"/>
        <v>-1272386.5851307861</v>
      </c>
      <c r="AH71" s="566">
        <f t="shared" si="30"/>
        <v>44544930</v>
      </c>
      <c r="AI71" s="319">
        <f t="shared" si="31"/>
        <v>3712078</v>
      </c>
      <c r="AJ71" s="319">
        <f>'Table 4A Level 4'!G70</f>
        <v>0</v>
      </c>
      <c r="AK71" s="319">
        <f>'Table 4A Level 4'!I70</f>
        <v>0</v>
      </c>
      <c r="AL71" s="319">
        <f>'Table 4A Level 4'!J70</f>
        <v>0</v>
      </c>
      <c r="AM71" s="319">
        <f t="shared" si="32"/>
        <v>44544930</v>
      </c>
      <c r="AN71" s="1579"/>
      <c r="AO71" s="1582"/>
      <c r="AP71" s="1586"/>
      <c r="AR71" s="1331"/>
      <c r="AS71" s="758"/>
      <c r="AT71" s="283"/>
    </row>
    <row r="72" spans="1:46">
      <c r="A72" s="134">
        <v>66</v>
      </c>
      <c r="B72" s="303" t="s">
        <v>159</v>
      </c>
      <c r="C72" s="312">
        <f>'Table 3 Levels 1&amp;2'!BW74</f>
        <v>14396061.336510001</v>
      </c>
      <c r="D72" s="363">
        <f>'[1]Adjusted Amounts'!C72</f>
        <v>0</v>
      </c>
      <c r="E72" s="363">
        <f>'[1]Adjusted Amounts'!H72</f>
        <v>-5182.6916341071428</v>
      </c>
      <c r="F72" s="363">
        <f>SUM(D72:E72)</f>
        <v>-5182.6916341071428</v>
      </c>
      <c r="G72" s="312">
        <f>IF(F72&gt;0,F72,0)</f>
        <v>0</v>
      </c>
      <c r="H72" s="363">
        <f>IF(F72&lt;0,F72,0)</f>
        <v>-5182.6916341071428</v>
      </c>
      <c r="I72" s="363"/>
      <c r="J72" s="363">
        <f>-'Table 5C1A-Madison Prep'!H72</f>
        <v>0</v>
      </c>
      <c r="K72" s="363">
        <f>-'Table 5C1B-DArbonne'!H72</f>
        <v>0</v>
      </c>
      <c r="L72" s="363">
        <f>-'Table 5C1C-Intl_VIBE'!H72</f>
        <v>0</v>
      </c>
      <c r="M72" s="363">
        <f>-'Table 5C1D-NOMMA'!H72</f>
        <v>0</v>
      </c>
      <c r="N72" s="363">
        <f>-'Table 5C1E-LFNO'!H72</f>
        <v>0</v>
      </c>
      <c r="O72" s="363">
        <f>-'Table 5C1F-Lake Charles Charter'!H72</f>
        <v>0</v>
      </c>
      <c r="P72" s="363">
        <f>-'Table 5C1G-JS Clark Academy'!H72</f>
        <v>0</v>
      </c>
      <c r="Q72" s="363">
        <f>-'Table 5C1H-Southwest LA Charter'!H72</f>
        <v>0</v>
      </c>
      <c r="R72" s="611">
        <f>-('Table 5C2 - LA Virtual Admy'!H69+'Table 5C2 - LA Virtual Admy'!I69)</f>
        <v>-21212.808987981338</v>
      </c>
      <c r="S72" s="611">
        <f>-'Table 5C3 - LA Connections EBR'!H69-'Table 5C3 - LA Connections EBR'!I69</f>
        <v>-14141.872658654225</v>
      </c>
      <c r="T72" s="611">
        <f>-'Table 5D1 - New Vision'!G72</f>
        <v>0</v>
      </c>
      <c r="U72" s="611">
        <f>-'Table 5D2 - Glencoe'!G72</f>
        <v>0</v>
      </c>
      <c r="V72" s="611">
        <f>-'Table 5D3 - International'!G72</f>
        <v>0</v>
      </c>
      <c r="W72" s="611">
        <f>-'Table 5D4 - Avoyelles'!G72</f>
        <v>0</v>
      </c>
      <c r="X72" s="611">
        <f>-'Table 5D5 - Delhi'!G72</f>
        <v>0</v>
      </c>
      <c r="Y72" s="611">
        <f>-'Table 5D6 - Milestone'!G72</f>
        <v>0</v>
      </c>
      <c r="Z72" s="611">
        <f>-'Table 5D7 - Max'!G72</f>
        <v>0</v>
      </c>
      <c r="AA72" s="611">
        <f>-'Table 5D8 - Belle Chasse'!I72</f>
        <v>0</v>
      </c>
      <c r="AB72" s="611">
        <f>-'Table 5A4_LSDVI'!H72</f>
        <v>-7070.9363293271126</v>
      </c>
      <c r="AC72" s="611">
        <f>-'Table 5A5_SSD'!H72</f>
        <v>-7070.9363293271126</v>
      </c>
      <c r="AD72" s="1607">
        <f>-'Table 5A2 LSMSA'!H72</f>
        <v>0</v>
      </c>
      <c r="AE72" s="1607">
        <f>-'Table 5A3 NOCCA'!H72</f>
        <v>0</v>
      </c>
      <c r="AF72" s="611">
        <f>-('Table 5F Scholarships '!Q947+'Table 5F Scholarships '!S947)</f>
        <v>-63937.419743031875</v>
      </c>
      <c r="AG72" s="611">
        <f t="shared" ref="AG72:AG75" si="33">SUM(I72:AF72)</f>
        <v>-113433.97404832167</v>
      </c>
      <c r="AH72" s="567">
        <f t="shared" ref="AH72:AH75" si="34">ROUND(C72+F72+AG72,0)</f>
        <v>14277445</v>
      </c>
      <c r="AI72" s="312">
        <f>ROUND(AH72/12,0)</f>
        <v>1189787</v>
      </c>
      <c r="AJ72" s="312">
        <f>'Table 4A Level 4'!G71</f>
        <v>0</v>
      </c>
      <c r="AK72" s="1577">
        <f>'Table 4A Level 4'!I71</f>
        <v>0</v>
      </c>
      <c r="AL72" s="1577">
        <f>'Table 4A Level 4'!J71</f>
        <v>0</v>
      </c>
      <c r="AM72" s="312">
        <f t="shared" ref="AM72:AM75" si="35">AH72+AJ72+AK72+AL72</f>
        <v>14277445</v>
      </c>
      <c r="AN72" s="1579"/>
      <c r="AO72" s="1582"/>
      <c r="AP72" s="1586"/>
      <c r="AR72" s="1331"/>
      <c r="AS72" s="758"/>
      <c r="AT72" s="283"/>
    </row>
    <row r="73" spans="1:46">
      <c r="A73" s="353">
        <v>67</v>
      </c>
      <c r="B73" s="304" t="s">
        <v>32</v>
      </c>
      <c r="C73" s="310">
        <f>'Table 3 Levels 1&amp;2'!BW75</f>
        <v>29091084.787606243</v>
      </c>
      <c r="D73" s="361">
        <f>'[1]Adjusted Amounts'!C73</f>
        <v>0</v>
      </c>
      <c r="E73" s="361">
        <f>'[1]Adjusted Amounts'!H73</f>
        <v>0</v>
      </c>
      <c r="F73" s="361">
        <f>SUM(D73:E73)</f>
        <v>0</v>
      </c>
      <c r="G73" s="310">
        <f>IF(F73&gt;0,F73,0)</f>
        <v>0</v>
      </c>
      <c r="H73" s="361">
        <f>IF(F73&lt;0,F73,0)</f>
        <v>0</v>
      </c>
      <c r="I73" s="361"/>
      <c r="J73" s="361">
        <f>-'Table 5C1A-Madison Prep'!H73</f>
        <v>-11399.440059406834</v>
      </c>
      <c r="K73" s="361">
        <f>-'Table 5C1B-DArbonne'!H73</f>
        <v>0</v>
      </c>
      <c r="L73" s="361">
        <f>-'Table 5C1C-Intl_VIBE'!H73</f>
        <v>0</v>
      </c>
      <c r="M73" s="361">
        <f>-'Table 5C1D-NOMMA'!H73</f>
        <v>0</v>
      </c>
      <c r="N73" s="361">
        <f>-'Table 5C1E-LFNO'!H73</f>
        <v>0</v>
      </c>
      <c r="O73" s="361">
        <f>-'Table 5C1F-Lake Charles Charter'!H73</f>
        <v>0</v>
      </c>
      <c r="P73" s="361">
        <f>-'Table 5C1G-JS Clark Academy'!H73</f>
        <v>0</v>
      </c>
      <c r="Q73" s="361">
        <f>-'Table 5C1H-Southwest LA Charter'!H73</f>
        <v>0</v>
      </c>
      <c r="R73" s="315">
        <f>-('Table 5C2 - LA Virtual Admy'!H70+'Table 5C2 - LA Virtual Admy'!I70)</f>
        <v>-5699.7200297034169</v>
      </c>
      <c r="S73" s="315">
        <f>-'Table 5C3 - LA Connections EBR'!H70-'Table 5C3 - LA Connections EBR'!I70</f>
        <v>-17099.16008911025</v>
      </c>
      <c r="T73" s="315">
        <f>-'Table 5D1 - New Vision'!G73</f>
        <v>0</v>
      </c>
      <c r="U73" s="315">
        <f>-'Table 5D2 - Glencoe'!G73</f>
        <v>0</v>
      </c>
      <c r="V73" s="315">
        <f>-'Table 5D3 - International'!G73</f>
        <v>0</v>
      </c>
      <c r="W73" s="315">
        <f>-'Table 5D4 - Avoyelles'!G73</f>
        <v>0</v>
      </c>
      <c r="X73" s="315">
        <f>-'Table 5D5 - Delhi'!G73</f>
        <v>0</v>
      </c>
      <c r="Y73" s="315">
        <f>-'Table 5D6 - Milestone'!G73</f>
        <v>0</v>
      </c>
      <c r="Z73" s="315">
        <f>-'Table 5D7 - Max'!G73</f>
        <v>0</v>
      </c>
      <c r="AA73" s="315">
        <f>-'Table 5D8 - Belle Chasse'!I73</f>
        <v>0</v>
      </c>
      <c r="AB73" s="315">
        <f>-'Table 5A4_LSDVI'!H73</f>
        <v>-17099.16008911025</v>
      </c>
      <c r="AC73" s="315">
        <f>-'Table 5A5_SSD'!H73</f>
        <v>-17099.16008911025</v>
      </c>
      <c r="AD73" s="1606">
        <f>-'Table 5A2 LSMSA'!H73</f>
        <v>0</v>
      </c>
      <c r="AE73" s="1606">
        <f>-'Table 5A3 NOCCA'!H73</f>
        <v>0</v>
      </c>
      <c r="AF73" s="315">
        <v>0</v>
      </c>
      <c r="AG73" s="315">
        <f t="shared" si="33"/>
        <v>-68396.640356440999</v>
      </c>
      <c r="AH73" s="565">
        <f t="shared" si="34"/>
        <v>29022688</v>
      </c>
      <c r="AI73" s="310">
        <f>ROUND(AH73/12,0)</f>
        <v>2418557</v>
      </c>
      <c r="AJ73" s="310">
        <f>'Table 4A Level 4'!G72</f>
        <v>0</v>
      </c>
      <c r="AK73" s="1576">
        <f>'Table 4A Level 4'!I72</f>
        <v>0</v>
      </c>
      <c r="AL73" s="1576">
        <f>'Table 4A Level 4'!J72</f>
        <v>0</v>
      </c>
      <c r="AM73" s="310">
        <f t="shared" si="35"/>
        <v>29022688</v>
      </c>
      <c r="AN73" s="1579"/>
      <c r="AO73" s="1582"/>
      <c r="AP73" s="1582"/>
      <c r="AR73" s="1331"/>
      <c r="AS73" s="758"/>
      <c r="AT73" s="283"/>
    </row>
    <row r="74" spans="1:46">
      <c r="A74" s="99">
        <v>68</v>
      </c>
      <c r="B74" s="301" t="s">
        <v>30</v>
      </c>
      <c r="C74" s="310">
        <f>'Table 3 Levels 1&amp;2'!BW76</f>
        <v>11932604.294278001</v>
      </c>
      <c r="D74" s="361">
        <f>'[1]Adjusted Amounts'!C74</f>
        <v>-3327.7966920532344</v>
      </c>
      <c r="E74" s="361">
        <f>'[1]Adjusted Amounts'!H74</f>
        <v>45704.321909162391</v>
      </c>
      <c r="F74" s="361">
        <f>SUM(D74:E74)</f>
        <v>42376.525217109156</v>
      </c>
      <c r="G74" s="310">
        <f>IF(F74&gt;0,F74,0)</f>
        <v>42376.525217109156</v>
      </c>
      <c r="H74" s="361">
        <f>IF(F74&lt;0,F74,0)</f>
        <v>0</v>
      </c>
      <c r="I74" s="361"/>
      <c r="J74" s="361">
        <f>-'Table 5C1A-Madison Prep'!H74</f>
        <v>-27245.941722095889</v>
      </c>
      <c r="K74" s="361">
        <f>-'Table 5C1B-DArbonne'!H74</f>
        <v>0</v>
      </c>
      <c r="L74" s="361">
        <f>-'Table 5C1C-Intl_VIBE'!H74</f>
        <v>0</v>
      </c>
      <c r="M74" s="361">
        <f>-'Table 5C1D-NOMMA'!H74</f>
        <v>0</v>
      </c>
      <c r="N74" s="361">
        <f>-'Table 5C1E-LFNO'!H74</f>
        <v>0</v>
      </c>
      <c r="O74" s="361">
        <f>-'Table 5C1F-Lake Charles Charter'!H74</f>
        <v>0</v>
      </c>
      <c r="P74" s="361">
        <f>-'Table 5C1G-JS Clark Academy'!H74</f>
        <v>0</v>
      </c>
      <c r="Q74" s="361">
        <f>-'Table 5C1H-Southwest LA Charter'!H74</f>
        <v>0</v>
      </c>
      <c r="R74" s="315">
        <f>-('Table 5C2 - LA Virtual Admy'!H71+'Table 5C2 - LA Virtual Admy'!I71)</f>
        <v>-20434.456291571918</v>
      </c>
      <c r="S74" s="315">
        <f>-'Table 5C3 - LA Connections EBR'!H71-'Table 5C3 - LA Connections EBR'!I71</f>
        <v>-74926.3397357637</v>
      </c>
      <c r="T74" s="315">
        <f>-'Table 5D1 - New Vision'!G74</f>
        <v>0</v>
      </c>
      <c r="U74" s="315">
        <f>-'Table 5D2 - Glencoe'!G74</f>
        <v>0</v>
      </c>
      <c r="V74" s="315">
        <f>-'Table 5D3 - International'!G74</f>
        <v>0</v>
      </c>
      <c r="W74" s="315">
        <f>-'Table 5D4 - Avoyelles'!G74</f>
        <v>0</v>
      </c>
      <c r="X74" s="315">
        <f>-'Table 5D5 - Delhi'!G74</f>
        <v>0</v>
      </c>
      <c r="Y74" s="315">
        <f>-'Table 5D6 - Milestone'!G74</f>
        <v>0</v>
      </c>
      <c r="Z74" s="315">
        <f>-'Table 5D7 - Max'!G74</f>
        <v>0</v>
      </c>
      <c r="AA74" s="315">
        <f>-'Table 5D8 - Belle Chasse'!I74</f>
        <v>0</v>
      </c>
      <c r="AB74" s="315">
        <f>-'Table 5A4_LSDVI'!H74</f>
        <v>-20434.456291571914</v>
      </c>
      <c r="AC74" s="315">
        <f>-'Table 5A5_SSD'!H74</f>
        <v>0</v>
      </c>
      <c r="AD74" s="1606">
        <f>-'Table 5A2 LSMSA'!H74</f>
        <v>0</v>
      </c>
      <c r="AE74" s="1606">
        <f>-'Table 5A3 NOCCA'!H74</f>
        <v>0</v>
      </c>
      <c r="AF74" s="315">
        <f>-('Table 5F Scholarships '!Q974+'Table 5F Scholarships '!S974)</f>
        <v>-258375.66963337921</v>
      </c>
      <c r="AG74" s="315">
        <f t="shared" si="33"/>
        <v>-401416.86367438262</v>
      </c>
      <c r="AH74" s="565">
        <f t="shared" si="34"/>
        <v>11573564</v>
      </c>
      <c r="AI74" s="310">
        <f>ROUND(AH74/12,0)</f>
        <v>964464</v>
      </c>
      <c r="AJ74" s="310">
        <f>'Table 4A Level 4'!G73</f>
        <v>0</v>
      </c>
      <c r="AK74" s="1576">
        <f>'Table 4A Level 4'!I73</f>
        <v>0</v>
      </c>
      <c r="AL74" s="1576">
        <f>'Table 4A Level 4'!J73</f>
        <v>0</v>
      </c>
      <c r="AM74" s="310">
        <f t="shared" si="35"/>
        <v>11573564</v>
      </c>
      <c r="AN74" s="1579"/>
      <c r="AO74" s="1582"/>
      <c r="AP74" s="1582"/>
      <c r="AR74" s="1331"/>
      <c r="AS74" s="758"/>
      <c r="AT74" s="283"/>
    </row>
    <row r="75" spans="1:46">
      <c r="A75" s="100">
        <v>69</v>
      </c>
      <c r="B75" s="302" t="s">
        <v>213</v>
      </c>
      <c r="C75" s="319">
        <f>'Table 3 Levels 1&amp;2'!BW77</f>
        <v>26282650.361143902</v>
      </c>
      <c r="D75" s="362">
        <f>'[1]Adjusted Amounts'!C75</f>
        <v>0</v>
      </c>
      <c r="E75" s="362">
        <f>'[1]Adjusted Amounts'!H75</f>
        <v>353</v>
      </c>
      <c r="F75" s="362">
        <f>SUM(D75:E75)</f>
        <v>353</v>
      </c>
      <c r="G75" s="319">
        <f>IF(F75&gt;0,F75,0)</f>
        <v>353</v>
      </c>
      <c r="H75" s="362">
        <f>IF(F75&lt;0,F75,0)</f>
        <v>0</v>
      </c>
      <c r="I75" s="362"/>
      <c r="J75" s="362">
        <f>-'Table 5C1A-Madison Prep'!H75</f>
        <v>0</v>
      </c>
      <c r="K75" s="362">
        <f>-'Table 5C1B-DArbonne'!H75</f>
        <v>0</v>
      </c>
      <c r="L75" s="362">
        <f>-'Table 5C1C-Intl_VIBE'!H75</f>
        <v>0</v>
      </c>
      <c r="M75" s="362">
        <f>-'Table 5C1D-NOMMA'!H75</f>
        <v>0</v>
      </c>
      <c r="N75" s="362">
        <f>-'Table 5C1E-LFNO'!H75</f>
        <v>0</v>
      </c>
      <c r="O75" s="362">
        <f>-'Table 5C1F-Lake Charles Charter'!H75</f>
        <v>0</v>
      </c>
      <c r="P75" s="362">
        <f>-'Table 5C1G-JS Clark Academy'!H75</f>
        <v>0</v>
      </c>
      <c r="Q75" s="362">
        <f>-'Table 5C1H-Southwest LA Charter'!H75</f>
        <v>0</v>
      </c>
      <c r="R75" s="322">
        <f>-('Table 5C2 - LA Virtual Admy'!H72+'Table 5C2 - LA Virtual Admy'!I72)</f>
        <v>-43857.687306080406</v>
      </c>
      <c r="S75" s="322">
        <f>-'Table 5C3 - LA Connections EBR'!H72-'Table 5C3 - LA Connections EBR'!I72</f>
        <v>-12530.76780173726</v>
      </c>
      <c r="T75" s="322">
        <f>-'Table 5D1 - New Vision'!G75</f>
        <v>0</v>
      </c>
      <c r="U75" s="322">
        <f>-'Table 5D2 - Glencoe'!G75</f>
        <v>0</v>
      </c>
      <c r="V75" s="322">
        <f>-'Table 5D3 - International'!G75</f>
        <v>0</v>
      </c>
      <c r="W75" s="322">
        <f>-'Table 5D4 - Avoyelles'!G75</f>
        <v>0</v>
      </c>
      <c r="X75" s="322">
        <f>-'Table 5D5 - Delhi'!G75</f>
        <v>0</v>
      </c>
      <c r="Y75" s="322">
        <f>-'Table 5D6 - Milestone'!G75</f>
        <v>0</v>
      </c>
      <c r="Z75" s="322">
        <f>-'Table 5D7 - Max'!G75</f>
        <v>0</v>
      </c>
      <c r="AA75" s="322">
        <f>-'Table 5D8 - Belle Chasse'!I75</f>
        <v>0</v>
      </c>
      <c r="AB75" s="322">
        <f>-'Table 5A4_LSDVI'!H75</f>
        <v>-12530.76780173726</v>
      </c>
      <c r="AC75" s="322">
        <f>-'Table 5A5_SSD'!H75</f>
        <v>0</v>
      </c>
      <c r="AD75" s="322">
        <f>-'Table 5A2 LSMSA'!H75</f>
        <v>0</v>
      </c>
      <c r="AE75" s="322">
        <f>-'Table 5A3 NOCCA'!H75</f>
        <v>0</v>
      </c>
      <c r="AF75" s="322">
        <v>0</v>
      </c>
      <c r="AG75" s="322">
        <f t="shared" si="33"/>
        <v>-68919.222909554926</v>
      </c>
      <c r="AH75" s="566">
        <f t="shared" si="34"/>
        <v>26214084</v>
      </c>
      <c r="AI75" s="319">
        <f>ROUND(AH75/12,0)</f>
        <v>2184507</v>
      </c>
      <c r="AJ75" s="319">
        <f>'Table 4A Level 4'!G74</f>
        <v>0</v>
      </c>
      <c r="AK75" s="319">
        <f>'Table 4A Level 4'!I74</f>
        <v>0</v>
      </c>
      <c r="AL75" s="319">
        <f>'Table 4A Level 4'!J74</f>
        <v>0</v>
      </c>
      <c r="AM75" s="319">
        <f t="shared" si="35"/>
        <v>26214084</v>
      </c>
      <c r="AN75" s="1579"/>
      <c r="AO75" s="1582"/>
      <c r="AP75" s="1582"/>
      <c r="AR75" s="1331"/>
      <c r="AS75" s="758"/>
      <c r="AT75" s="283"/>
    </row>
    <row r="76" spans="1:46" ht="13.5" thickBot="1">
      <c r="A76" s="418"/>
      <c r="B76" s="419" t="s">
        <v>160</v>
      </c>
      <c r="C76" s="426">
        <f t="shared" ref="C76:AI76" si="36">SUM(C7:C75)</f>
        <v>3443411115.0918584</v>
      </c>
      <c r="D76" s="426">
        <f>SUM(D7:D75)</f>
        <v>-211447.2513803934</v>
      </c>
      <c r="E76" s="426">
        <f>SUM(E7:E75)</f>
        <v>-2185257.572189515</v>
      </c>
      <c r="F76" s="426">
        <f>SUM(F7:F75)</f>
        <v>-2396704.8235699073</v>
      </c>
      <c r="G76" s="426">
        <f t="shared" si="36"/>
        <v>199682.50826971972</v>
      </c>
      <c r="H76" s="426">
        <f t="shared" si="36"/>
        <v>-2596387.3318396276</v>
      </c>
      <c r="I76" s="426">
        <f t="shared" si="36"/>
        <v>-143215353.45973492</v>
      </c>
      <c r="J76" s="426">
        <f t="shared" si="36"/>
        <v>-889648.08854545455</v>
      </c>
      <c r="K76" s="426">
        <f t="shared" si="36"/>
        <v>-3033512.8936766949</v>
      </c>
      <c r="L76" s="426">
        <f t="shared" si="36"/>
        <v>-1948734.1601455023</v>
      </c>
      <c r="M76" s="426">
        <f t="shared" si="36"/>
        <v>-950125.59422038437</v>
      </c>
      <c r="N76" s="426">
        <f t="shared" si="36"/>
        <v>-875851.5788133326</v>
      </c>
      <c r="O76" s="426">
        <f t="shared" si="36"/>
        <v>-3614565.6447943095</v>
      </c>
      <c r="P76" s="426">
        <f t="shared" si="36"/>
        <v>-899671.26857347181</v>
      </c>
      <c r="Q76" s="426">
        <f t="shared" si="36"/>
        <v>-2554501.8940132968</v>
      </c>
      <c r="R76" s="426">
        <f>SUM(R7:R75)</f>
        <v>-5781852.3221713062</v>
      </c>
      <c r="S76" s="426">
        <f t="shared" si="36"/>
        <v>-6141997.2482682569</v>
      </c>
      <c r="T76" s="426">
        <f t="shared" si="36"/>
        <v>-1813331.8500580993</v>
      </c>
      <c r="U76" s="426">
        <f t="shared" si="36"/>
        <v>-1801686.3831498213</v>
      </c>
      <c r="V76" s="426">
        <f t="shared" si="36"/>
        <v>-3165708.4607066135</v>
      </c>
      <c r="W76" s="426">
        <f t="shared" si="36"/>
        <v>-3757614.6706855674</v>
      </c>
      <c r="X76" s="426">
        <f t="shared" si="36"/>
        <v>-3896522.4421808138</v>
      </c>
      <c r="Y76" s="426">
        <f t="shared" si="36"/>
        <v>-1963002.0204319439</v>
      </c>
      <c r="Z76" s="426">
        <f t="shared" si="36"/>
        <v>-524814.48983147996</v>
      </c>
      <c r="AA76" s="426">
        <f t="shared" si="36"/>
        <v>-3380934.4254135052</v>
      </c>
      <c r="AB76" s="426">
        <f t="shared" si="36"/>
        <v>-1114662.1752867466</v>
      </c>
      <c r="AC76" s="426">
        <f t="shared" si="36"/>
        <v>-1506143.985159491</v>
      </c>
      <c r="AD76" s="426">
        <f t="shared" si="36"/>
        <v>-1380310.2625173437</v>
      </c>
      <c r="AE76" s="426">
        <f>SUM(AE7:AE75)</f>
        <v>-511911.20639433758</v>
      </c>
      <c r="AF76" s="426">
        <f t="shared" si="36"/>
        <v>-21721939.127669476</v>
      </c>
      <c r="AG76" s="426">
        <f t="shared" si="36"/>
        <v>-216444395.65244231</v>
      </c>
      <c r="AH76" s="424">
        <f>SUM(AH7:AH75)</f>
        <v>3224570013</v>
      </c>
      <c r="AI76" s="426">
        <f t="shared" si="36"/>
        <v>268714172</v>
      </c>
      <c r="AJ76" s="426">
        <f>SUM(AJ7:AJ75)</f>
        <v>464000</v>
      </c>
      <c r="AK76" s="426">
        <f t="shared" ref="AK76:AL76" si="37">SUM(AK7:AK75)</f>
        <v>3920000</v>
      </c>
      <c r="AL76" s="426">
        <f t="shared" si="37"/>
        <v>0</v>
      </c>
      <c r="AM76" s="426">
        <f>SUM(AM7:AM75)</f>
        <v>3228954013</v>
      </c>
      <c r="AN76" s="800"/>
      <c r="AO76" s="1584"/>
      <c r="AP76" s="1585"/>
    </row>
    <row r="77" spans="1:46" ht="13.5" thickTop="1">
      <c r="F77" s="49">
        <f>SUM(D76:E76)</f>
        <v>-2396704.8235699083</v>
      </c>
      <c r="I77" t="s">
        <v>456</v>
      </c>
      <c r="AH77" s="97"/>
      <c r="AM77" s="97"/>
      <c r="AN77" s="97"/>
    </row>
    <row r="79" spans="1:46" s="35" customFormat="1" ht="17.25" customHeight="1">
      <c r="I79" s="1842"/>
      <c r="J79" s="1843"/>
      <c r="K79" s="1843"/>
      <c r="L79" s="1843"/>
      <c r="M79" s="1843"/>
      <c r="N79" s="1843"/>
      <c r="O79" s="1843"/>
      <c r="P79" s="1843"/>
      <c r="Q79" s="1843"/>
      <c r="R79" s="1843"/>
      <c r="S79" s="1843"/>
      <c r="T79" s="1843"/>
      <c r="U79" s="1843"/>
      <c r="V79" s="1843"/>
      <c r="W79" s="1843"/>
      <c r="X79" s="1843"/>
      <c r="Y79" s="1843"/>
      <c r="Z79" s="1843"/>
      <c r="AA79" s="1843"/>
      <c r="AB79" s="1843"/>
      <c r="AC79" s="1843"/>
      <c r="AD79" s="1843"/>
      <c r="AE79" s="1843"/>
      <c r="AF79" s="1843"/>
      <c r="AG79" s="1382"/>
      <c r="AH79" s="1776"/>
      <c r="AM79" s="1776"/>
      <c r="AN79" s="1776"/>
    </row>
    <row r="80" spans="1:46" s="35" customFormat="1" ht="32.25" customHeight="1">
      <c r="I80" s="1842"/>
      <c r="J80" s="1842"/>
      <c r="K80" s="1842"/>
      <c r="L80" s="1842"/>
      <c r="M80" s="1842"/>
      <c r="N80" s="1842"/>
      <c r="O80" s="1842"/>
      <c r="P80" s="1842"/>
      <c r="Q80" s="1842"/>
      <c r="R80" s="1842"/>
      <c r="S80" s="1842"/>
      <c r="T80" s="1842"/>
      <c r="U80" s="1842"/>
      <c r="V80" s="1842"/>
      <c r="W80" s="1842"/>
      <c r="X80" s="1842"/>
      <c r="Y80" s="1842"/>
      <c r="Z80" s="1842"/>
      <c r="AA80" s="1842"/>
      <c r="AB80" s="1842"/>
      <c r="AC80" s="1842"/>
      <c r="AD80" s="1842"/>
      <c r="AE80" s="1842"/>
      <c r="AF80" s="1842"/>
      <c r="AG80" s="1383"/>
    </row>
    <row r="81" spans="9:33" s="35" customFormat="1">
      <c r="I81" s="1778"/>
      <c r="J81" s="1778"/>
      <c r="K81" s="1778"/>
      <c r="L81" s="1778"/>
      <c r="M81" s="1778"/>
      <c r="N81" s="1778"/>
      <c r="O81" s="1779"/>
      <c r="P81" s="1779"/>
      <c r="Q81" s="1779"/>
      <c r="R81" s="1780"/>
      <c r="S81" s="1781"/>
      <c r="T81" s="1780"/>
      <c r="U81" s="1780"/>
      <c r="V81" s="1780"/>
      <c r="W81" s="1780"/>
      <c r="X81" s="1780"/>
      <c r="Y81" s="1780"/>
      <c r="Z81" s="1780"/>
      <c r="AA81" s="1781"/>
      <c r="AB81" s="1780"/>
      <c r="AC81" s="1780"/>
      <c r="AD81" s="1780"/>
      <c r="AE81" s="1780"/>
      <c r="AF81" s="1780"/>
      <c r="AG81" s="1780"/>
    </row>
    <row r="82" spans="9:33" s="35" customFormat="1" ht="52.5" customHeight="1">
      <c r="I82" s="1873"/>
      <c r="J82" s="1873"/>
      <c r="K82" s="1873"/>
      <c r="L82" s="1873"/>
      <c r="M82" s="1873"/>
      <c r="N82" s="1873"/>
      <c r="O82" s="1873"/>
      <c r="P82" s="1873"/>
      <c r="Q82" s="1873"/>
      <c r="R82" s="1873"/>
      <c r="S82" s="1873"/>
      <c r="T82" s="1780"/>
      <c r="U82" s="1780"/>
      <c r="V82" s="1780"/>
      <c r="W82" s="1780"/>
      <c r="X82" s="1780"/>
      <c r="Y82" s="1780"/>
      <c r="Z82" s="1780"/>
      <c r="AA82" s="1780"/>
      <c r="AB82" s="1780"/>
      <c r="AC82" s="1780"/>
      <c r="AD82" s="1780"/>
      <c r="AE82" s="1780"/>
      <c r="AF82" s="1780"/>
      <c r="AG82" s="1780"/>
    </row>
    <row r="83" spans="9:33">
      <c r="I83" s="1226"/>
      <c r="J83" s="1226"/>
      <c r="K83" s="1226"/>
      <c r="L83" s="1226"/>
      <c r="M83" s="1226"/>
      <c r="N83" s="1226"/>
      <c r="O83" s="1226"/>
      <c r="P83" s="1226"/>
      <c r="Q83" s="1226"/>
      <c r="R83" s="966"/>
      <c r="S83" s="1095"/>
      <c r="T83" s="1093"/>
      <c r="U83" s="1095"/>
      <c r="V83" s="1095"/>
      <c r="W83" s="1095"/>
      <c r="X83" s="1095"/>
      <c r="Y83" s="1095"/>
      <c r="Z83" s="1095"/>
      <c r="AA83" s="1095"/>
      <c r="AB83" s="1093"/>
      <c r="AC83" s="1093"/>
      <c r="AD83" s="1095"/>
      <c r="AE83" s="1095"/>
      <c r="AF83" s="1095"/>
      <c r="AG83" s="1095"/>
    </row>
    <row r="84" spans="9:33">
      <c r="I84" s="1226"/>
      <c r="J84" s="1226"/>
      <c r="K84" s="1226"/>
      <c r="L84" s="1226"/>
      <c r="M84" s="1226"/>
      <c r="N84" s="1226"/>
      <c r="O84" s="1226"/>
      <c r="P84" s="1226"/>
      <c r="Q84" s="1226"/>
      <c r="R84" s="966"/>
      <c r="S84" s="1095"/>
      <c r="T84" s="1093"/>
      <c r="U84" s="1095"/>
      <c r="V84" s="1095"/>
      <c r="W84" s="1095"/>
      <c r="X84" s="1095"/>
      <c r="Y84" s="1095"/>
      <c r="Z84" s="1095"/>
      <c r="AA84" s="1095"/>
      <c r="AB84" s="1093"/>
      <c r="AC84" s="1093"/>
      <c r="AD84" s="1095"/>
      <c r="AE84" s="1095"/>
      <c r="AF84" s="1095"/>
      <c r="AG84" s="1095"/>
    </row>
    <row r="85" spans="9:33">
      <c r="I85" s="1226"/>
      <c r="J85" s="1226"/>
      <c r="K85" s="1226"/>
      <c r="L85" s="1226"/>
      <c r="M85" s="1226"/>
      <c r="N85" s="1226"/>
      <c r="O85" s="1226"/>
      <c r="P85" s="1226"/>
      <c r="Q85" s="1226"/>
      <c r="R85" s="966"/>
      <c r="S85" s="1095"/>
      <c r="T85" s="1093"/>
      <c r="U85" s="1095"/>
      <c r="V85" s="1095"/>
      <c r="W85" s="1095"/>
      <c r="X85" s="1095"/>
      <c r="Y85" s="1095"/>
      <c r="Z85" s="1095"/>
      <c r="AA85" s="1095"/>
      <c r="AB85" s="1093"/>
      <c r="AC85" s="1093"/>
      <c r="AD85" s="1095"/>
      <c r="AE85" s="1095"/>
      <c r="AF85" s="1095"/>
      <c r="AG85" s="1095"/>
    </row>
  </sheetData>
  <mergeCells count="50">
    <mergeCell ref="P2:P5"/>
    <mergeCell ref="AI2:AI5"/>
    <mergeCell ref="J2:J5"/>
    <mergeCell ref="I82:S82"/>
    <mergeCell ref="L2:L5"/>
    <mergeCell ref="M2:M5"/>
    <mergeCell ref="N2:N5"/>
    <mergeCell ref="O2:O5"/>
    <mergeCell ref="W2:W5"/>
    <mergeCell ref="Q2:Q5"/>
    <mergeCell ref="AS4:AS6"/>
    <mergeCell ref="AP2:AP5"/>
    <mergeCell ref="X2:X5"/>
    <mergeCell ref="AD2:AD5"/>
    <mergeCell ref="AE2:AE5"/>
    <mergeCell ref="AF2:AF5"/>
    <mergeCell ref="Y2:Y5"/>
    <mergeCell ref="Z2:Z5"/>
    <mergeCell ref="AJ1:AL1"/>
    <mergeCell ref="AO2:AO5"/>
    <mergeCell ref="A2:A5"/>
    <mergeCell ref="G2:H3"/>
    <mergeCell ref="G4:G5"/>
    <mergeCell ref="H4:H5"/>
    <mergeCell ref="C2:C5"/>
    <mergeCell ref="D2:D5"/>
    <mergeCell ref="E2:E5"/>
    <mergeCell ref="F2:F5"/>
    <mergeCell ref="B2:B5"/>
    <mergeCell ref="D1:H1"/>
    <mergeCell ref="I2:I5"/>
    <mergeCell ref="AH2:AH5"/>
    <mergeCell ref="AG2:AG5"/>
    <mergeCell ref="S2:S5"/>
    <mergeCell ref="AU42:BO42"/>
    <mergeCell ref="I79:AF79"/>
    <mergeCell ref="I80:AF80"/>
    <mergeCell ref="AM2:AM5"/>
    <mergeCell ref="AK2:AK5"/>
    <mergeCell ref="AL2:AL5"/>
    <mergeCell ref="AJ2:AJ5"/>
    <mergeCell ref="R2:R5"/>
    <mergeCell ref="T2:T5"/>
    <mergeCell ref="AB2:AB5"/>
    <mergeCell ref="AC2:AC5"/>
    <mergeCell ref="K2:K5"/>
    <mergeCell ref="AA2:AA5"/>
    <mergeCell ref="U2:U5"/>
    <mergeCell ref="V2:V5"/>
    <mergeCell ref="AR3:AT3"/>
  </mergeCells>
  <phoneticPr fontId="47" type="noConversion"/>
  <printOptions horizontalCentered="1"/>
  <pageMargins left="0.25" right="0.2" top="1.1399999999999999" bottom="0.49" header="0.5" footer="0.25"/>
  <pageSetup paperSize="5" scale="75" firstPageNumber="3" fitToWidth="12" orientation="portrait" useFirstPageNumber="1" r:id="rId1"/>
  <headerFooter alignWithMargins="0">
    <oddHeader xml:space="preserve">&amp;L&amp;"Arial,Bold"&amp;18Table 2:  FY2013-14 Budget Letter (Projection)&amp;"Arial,Regular"&amp;10
&amp;"Arial,Bold"&amp;18Distribution and Adjustments </oddHeader>
    <oddFooter>&amp;R&amp;12&amp;P</oddFooter>
  </headerFooter>
  <colBreaks count="5" manualBreakCount="5">
    <brk id="8" max="76" man="1"/>
    <brk id="14" max="76" man="1"/>
    <brk id="19" max="76" man="1"/>
    <brk id="27" max="76" man="1"/>
    <brk id="33" max="76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7"/>
  <sheetViews>
    <sheetView view="pageBreakPreview" zoomScaleNormal="100" zoomScaleSheetLayoutView="100" workbookViewId="0">
      <pane xSplit="2" ySplit="6" topLeftCell="C7" activePane="bottomRight" state="frozen"/>
      <selection activeCell="B1" sqref="B1:B2"/>
      <selection pane="topRight" activeCell="B1" sqref="B1:B2"/>
      <selection pane="bottomLeft" activeCell="B1" sqref="B1:B2"/>
      <selection pane="bottomRight" activeCell="A2" sqref="A2:B4"/>
    </sheetView>
  </sheetViews>
  <sheetFormatPr defaultRowHeight="12.75"/>
  <cols>
    <col min="1" max="1" width="4.28515625" customWidth="1"/>
    <col min="2" max="2" width="17.85546875" bestFit="1" customWidth="1"/>
    <col min="3" max="3" width="12.5703125" customWidth="1"/>
    <col min="4" max="4" width="17" customWidth="1"/>
    <col min="5" max="5" width="11.140625" customWidth="1"/>
    <col min="6" max="6" width="12" customWidth="1"/>
    <col min="7" max="7" width="13.28515625" customWidth="1"/>
    <col min="8" max="8" width="14.5703125" customWidth="1"/>
    <col min="9" max="9" width="12.28515625" customWidth="1"/>
    <col min="10" max="10" width="12" bestFit="1" customWidth="1"/>
    <col min="11" max="11" width="13.42578125" bestFit="1" customWidth="1"/>
    <col min="12" max="12" width="14" customWidth="1"/>
    <col min="13" max="13" width="9.28515625" bestFit="1" customWidth="1"/>
    <col min="14" max="14" width="17.28515625" customWidth="1"/>
    <col min="15" max="15" width="16.7109375" customWidth="1"/>
    <col min="16" max="16" width="13.7109375" customWidth="1"/>
    <col min="17" max="17" width="17" customWidth="1"/>
    <col min="18" max="18" width="15.28515625" customWidth="1"/>
    <col min="19" max="19" width="13.140625" customWidth="1"/>
    <col min="20" max="20" width="12" customWidth="1"/>
    <col min="21" max="21" width="11" customWidth="1"/>
    <col min="22" max="22" width="12.140625" customWidth="1"/>
  </cols>
  <sheetData>
    <row r="1" spans="1:22"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</row>
    <row r="2" spans="1:22" ht="45" customHeight="1">
      <c r="A2" s="2059" t="s">
        <v>666</v>
      </c>
      <c r="B2" s="2060"/>
      <c r="C2" s="2065" t="s">
        <v>661</v>
      </c>
      <c r="D2" s="2017"/>
      <c r="E2" s="2017"/>
      <c r="F2" s="2017"/>
      <c r="G2" s="2017"/>
      <c r="H2" s="2017"/>
      <c r="I2" s="2017"/>
      <c r="J2" s="2017"/>
      <c r="K2" s="2017"/>
      <c r="L2" s="2017"/>
      <c r="M2" s="2018"/>
      <c r="N2" s="1992" t="s">
        <v>1357</v>
      </c>
      <c r="O2" s="1993"/>
      <c r="P2" s="1993"/>
      <c r="Q2" s="1993"/>
      <c r="R2" s="1993"/>
      <c r="S2" s="1993"/>
      <c r="T2" s="1994"/>
      <c r="U2" s="1995" t="s">
        <v>1387</v>
      </c>
      <c r="V2" s="1995" t="s">
        <v>1355</v>
      </c>
    </row>
    <row r="3" spans="1:22" ht="116.25" customHeight="1">
      <c r="A3" s="2061"/>
      <c r="B3" s="2062"/>
      <c r="C3" s="2006" t="s">
        <v>1175</v>
      </c>
      <c r="D3" s="2008" t="s">
        <v>1393</v>
      </c>
      <c r="E3" s="2008" t="s">
        <v>1377</v>
      </c>
      <c r="F3" s="2006" t="s">
        <v>662</v>
      </c>
      <c r="G3" s="2006" t="s">
        <v>492</v>
      </c>
      <c r="H3" s="2006" t="s">
        <v>1378</v>
      </c>
      <c r="I3" s="1227" t="s">
        <v>510</v>
      </c>
      <c r="J3" s="2006" t="s">
        <v>1379</v>
      </c>
      <c r="K3" s="2006" t="s">
        <v>1230</v>
      </c>
      <c r="L3" s="2006" t="s">
        <v>1380</v>
      </c>
      <c r="M3" s="2008" t="s">
        <v>1356</v>
      </c>
      <c r="N3" s="2019" t="s">
        <v>694</v>
      </c>
      <c r="O3" s="1743" t="s">
        <v>1382</v>
      </c>
      <c r="P3" s="1229" t="s">
        <v>512</v>
      </c>
      <c r="Q3" s="2019" t="s">
        <v>1383</v>
      </c>
      <c r="R3" s="2019" t="s">
        <v>1230</v>
      </c>
      <c r="S3" s="2019" t="s">
        <v>1384</v>
      </c>
      <c r="T3" s="1743" t="s">
        <v>1385</v>
      </c>
      <c r="U3" s="1996"/>
      <c r="V3" s="1996"/>
    </row>
    <row r="4" spans="1:22" ht="22.5" customHeight="1">
      <c r="A4" s="2063"/>
      <c r="B4" s="2064"/>
      <c r="C4" s="2007"/>
      <c r="D4" s="2008"/>
      <c r="E4" s="2008"/>
      <c r="F4" s="2007"/>
      <c r="G4" s="2007"/>
      <c r="H4" s="2007"/>
      <c r="I4" s="1107">
        <v>2.5000000000000001E-3</v>
      </c>
      <c r="J4" s="2007"/>
      <c r="K4" s="2007"/>
      <c r="L4" s="2007"/>
      <c r="M4" s="2008"/>
      <c r="N4" s="1999"/>
      <c r="O4" s="1228"/>
      <c r="P4" s="1108">
        <v>2.5000000000000001E-3</v>
      </c>
      <c r="Q4" s="1999"/>
      <c r="R4" s="1999"/>
      <c r="S4" s="1999"/>
      <c r="T4" s="1228"/>
      <c r="U4" s="1997"/>
      <c r="V4" s="1997"/>
    </row>
    <row r="5" spans="1:22" ht="14.25" customHeight="1">
      <c r="A5" s="978"/>
      <c r="B5" s="979"/>
      <c r="C5" s="980">
        <v>1</v>
      </c>
      <c r="D5" s="980">
        <f t="shared" ref="D5" si="0">C5+1</f>
        <v>2</v>
      </c>
      <c r="E5" s="980">
        <f>D5+1</f>
        <v>3</v>
      </c>
      <c r="F5" s="980">
        <f t="shared" ref="F5:V5" si="1">E5+1</f>
        <v>4</v>
      </c>
      <c r="G5" s="980">
        <f t="shared" si="1"/>
        <v>5</v>
      </c>
      <c r="H5" s="980">
        <f t="shared" si="1"/>
        <v>6</v>
      </c>
      <c r="I5" s="980">
        <f t="shared" si="1"/>
        <v>7</v>
      </c>
      <c r="J5" s="980">
        <f t="shared" si="1"/>
        <v>8</v>
      </c>
      <c r="K5" s="980">
        <f t="shared" si="1"/>
        <v>9</v>
      </c>
      <c r="L5" s="980">
        <f t="shared" si="1"/>
        <v>10</v>
      </c>
      <c r="M5" s="980">
        <f t="shared" si="1"/>
        <v>11</v>
      </c>
      <c r="N5" s="980">
        <f t="shared" si="1"/>
        <v>12</v>
      </c>
      <c r="O5" s="980">
        <f t="shared" si="1"/>
        <v>13</v>
      </c>
      <c r="P5" s="980">
        <f t="shared" si="1"/>
        <v>14</v>
      </c>
      <c r="Q5" s="980">
        <f t="shared" si="1"/>
        <v>15</v>
      </c>
      <c r="R5" s="980">
        <f t="shared" si="1"/>
        <v>16</v>
      </c>
      <c r="S5" s="980">
        <f t="shared" si="1"/>
        <v>17</v>
      </c>
      <c r="T5" s="980">
        <f t="shared" si="1"/>
        <v>18</v>
      </c>
      <c r="U5" s="980">
        <f t="shared" si="1"/>
        <v>19</v>
      </c>
      <c r="V5" s="980">
        <f t="shared" si="1"/>
        <v>20</v>
      </c>
    </row>
    <row r="6" spans="1:22" ht="27" customHeight="1">
      <c r="A6" s="1041"/>
      <c r="B6" s="1042"/>
      <c r="C6" s="1042"/>
      <c r="D6" s="1042"/>
      <c r="E6" s="1042"/>
      <c r="F6" s="1042"/>
      <c r="G6" s="1042"/>
      <c r="H6" s="1042"/>
      <c r="I6" s="1042"/>
      <c r="J6" s="1042"/>
      <c r="K6" s="1042"/>
      <c r="L6" s="1042"/>
      <c r="M6" s="1042"/>
      <c r="N6" s="1042"/>
      <c r="O6" s="1042"/>
      <c r="P6" s="1042"/>
      <c r="Q6" s="1042"/>
      <c r="R6" s="1042"/>
      <c r="S6" s="1042"/>
      <c r="T6" s="1042"/>
      <c r="U6" s="1042"/>
      <c r="V6" s="1042"/>
    </row>
    <row r="7" spans="1:22">
      <c r="A7" s="987">
        <v>1</v>
      </c>
      <c r="B7" s="988" t="s">
        <v>95</v>
      </c>
      <c r="C7" s="989">
        <f>'[2]ALL-Reformatted'!U6</f>
        <v>0</v>
      </c>
      <c r="D7" s="990">
        <f>'Table 3 Levels 1&amp;2'!BN9+'Table 3 Levels 1&amp;2'!BV9</f>
        <v>4565.2108060165392</v>
      </c>
      <c r="E7" s="1099">
        <f>C7*D7</f>
        <v>0</v>
      </c>
      <c r="F7" s="1099">
        <f>'Table 4 Level 3'!N6</f>
        <v>777.48</v>
      </c>
      <c r="G7" s="1099">
        <f>C7*F7</f>
        <v>0</v>
      </c>
      <c r="H7" s="991">
        <f>E7+G7</f>
        <v>0</v>
      </c>
      <c r="I7" s="1109">
        <f>-(0.25%*H7)</f>
        <v>0</v>
      </c>
      <c r="J7" s="991">
        <f>SUM(H7:I7)</f>
        <v>0</v>
      </c>
      <c r="K7" s="991">
        <v>0</v>
      </c>
      <c r="L7" s="991">
        <f>SUM(J7:K7)</f>
        <v>0</v>
      </c>
      <c r="M7" s="991">
        <f>L7/12</f>
        <v>0</v>
      </c>
      <c r="N7" s="1051">
        <f>'[18]FY2012-13 Final'!K8</f>
        <v>2112</v>
      </c>
      <c r="O7" s="992">
        <f>C7*N7</f>
        <v>0</v>
      </c>
      <c r="P7" s="1117">
        <f>-(0.25%*O7)</f>
        <v>0</v>
      </c>
      <c r="Q7" s="992">
        <f>SUM(O7:P7)</f>
        <v>0</v>
      </c>
      <c r="R7" s="992">
        <v>0</v>
      </c>
      <c r="S7" s="992">
        <f>SUM(Q7:R7)</f>
        <v>0</v>
      </c>
      <c r="T7" s="992">
        <f>S7/12</f>
        <v>0</v>
      </c>
      <c r="U7" s="993">
        <f>L7+S7</f>
        <v>0</v>
      </c>
      <c r="V7" s="993">
        <f>M7+T7</f>
        <v>0</v>
      </c>
    </row>
    <row r="8" spans="1:22">
      <c r="A8" s="994">
        <v>2</v>
      </c>
      <c r="B8" s="995" t="s">
        <v>96</v>
      </c>
      <c r="C8" s="1193">
        <f>'[2]ALL-Reformatted'!U7</f>
        <v>0</v>
      </c>
      <c r="D8" s="997">
        <f>'Table 3 Levels 1&amp;2'!BN10+'Table 3 Levels 1&amp;2'!BV10</f>
        <v>6132.0480322513831</v>
      </c>
      <c r="E8" s="1100">
        <f t="shared" ref="E8:E71" si="2">C8*D8</f>
        <v>0</v>
      </c>
      <c r="F8" s="1100">
        <f>'Table 4 Level 3'!N7</f>
        <v>842.32</v>
      </c>
      <c r="G8" s="1100">
        <f t="shared" ref="G8:G71" si="3">C8*F8</f>
        <v>0</v>
      </c>
      <c r="H8" s="1052">
        <f t="shared" ref="H8:H71" si="4">E8+G8</f>
        <v>0</v>
      </c>
      <c r="I8" s="1110">
        <f t="shared" ref="I8:I71" si="5">-(0.25%*H8)</f>
        <v>0</v>
      </c>
      <c r="J8" s="1052">
        <f t="shared" ref="J8:J71" si="6">SUM(H8:I8)</f>
        <v>0</v>
      </c>
      <c r="K8" s="1052">
        <v>0</v>
      </c>
      <c r="L8" s="1052">
        <f t="shared" ref="L8:L71" si="7">SUM(J8:K8)</f>
        <v>0</v>
      </c>
      <c r="M8" s="1052">
        <f t="shared" ref="M8:M71" si="8">L8/12</f>
        <v>0</v>
      </c>
      <c r="N8" s="1051">
        <f>'[18]FY2012-13 Final'!K9</f>
        <v>2584</v>
      </c>
      <c r="O8" s="1053">
        <f t="shared" ref="O8:O71" si="9">C8*N8</f>
        <v>0</v>
      </c>
      <c r="P8" s="1118">
        <f t="shared" ref="P8:P71" si="10">-(0.25%*O8)</f>
        <v>0</v>
      </c>
      <c r="Q8" s="1053">
        <f t="shared" ref="Q8:Q71" si="11">SUM(O8:P8)</f>
        <v>0</v>
      </c>
      <c r="R8" s="1053">
        <v>0</v>
      </c>
      <c r="S8" s="1053">
        <f t="shared" ref="S8:S71" si="12">SUM(Q8:R8)</f>
        <v>0</v>
      </c>
      <c r="T8" s="1053">
        <f t="shared" ref="T8:T71" si="13">S8/12</f>
        <v>0</v>
      </c>
      <c r="U8" s="1054">
        <f t="shared" ref="U8:V71" si="14">L8+S8</f>
        <v>0</v>
      </c>
      <c r="V8" s="1054">
        <f t="shared" si="14"/>
        <v>0</v>
      </c>
    </row>
    <row r="9" spans="1:22">
      <c r="A9" s="994">
        <v>3</v>
      </c>
      <c r="B9" s="995" t="s">
        <v>97</v>
      </c>
      <c r="C9" s="1193">
        <f>'[2]ALL-Reformatted'!U8</f>
        <v>0</v>
      </c>
      <c r="D9" s="997">
        <f>'Table 3 Levels 1&amp;2'!BN11+'Table 3 Levels 1&amp;2'!BV11</f>
        <v>4186.9626187036429</v>
      </c>
      <c r="E9" s="1100">
        <f t="shared" si="2"/>
        <v>0</v>
      </c>
      <c r="F9" s="1100">
        <f>'Table 4 Level 3'!N8</f>
        <v>596.84</v>
      </c>
      <c r="G9" s="1100">
        <f t="shared" si="3"/>
        <v>0</v>
      </c>
      <c r="H9" s="1052">
        <f t="shared" si="4"/>
        <v>0</v>
      </c>
      <c r="I9" s="1110">
        <f t="shared" si="5"/>
        <v>0</v>
      </c>
      <c r="J9" s="1052">
        <f t="shared" si="6"/>
        <v>0</v>
      </c>
      <c r="K9" s="1052">
        <v>0</v>
      </c>
      <c r="L9" s="1052">
        <f t="shared" si="7"/>
        <v>0</v>
      </c>
      <c r="M9" s="1052">
        <f t="shared" si="8"/>
        <v>0</v>
      </c>
      <c r="N9" s="1051">
        <f>'[18]FY2012-13 Final'!K10</f>
        <v>4966</v>
      </c>
      <c r="O9" s="1053">
        <f t="shared" si="9"/>
        <v>0</v>
      </c>
      <c r="P9" s="1118">
        <f t="shared" si="10"/>
        <v>0</v>
      </c>
      <c r="Q9" s="1053">
        <f t="shared" si="11"/>
        <v>0</v>
      </c>
      <c r="R9" s="1053">
        <v>0</v>
      </c>
      <c r="S9" s="1053">
        <f t="shared" si="12"/>
        <v>0</v>
      </c>
      <c r="T9" s="1053">
        <f t="shared" si="13"/>
        <v>0</v>
      </c>
      <c r="U9" s="1054">
        <f t="shared" si="14"/>
        <v>0</v>
      </c>
      <c r="V9" s="1054">
        <f t="shared" si="14"/>
        <v>0</v>
      </c>
    </row>
    <row r="10" spans="1:22">
      <c r="A10" s="994">
        <v>4</v>
      </c>
      <c r="B10" s="995" t="s">
        <v>98</v>
      </c>
      <c r="C10" s="1193">
        <f>'[2]ALL-Reformatted'!U9</f>
        <v>0</v>
      </c>
      <c r="D10" s="997">
        <f>'Table 3 Levels 1&amp;2'!BN12+'Table 3 Levels 1&amp;2'!BV12</f>
        <v>5918.8798759182582</v>
      </c>
      <c r="E10" s="1100">
        <f t="shared" si="2"/>
        <v>0</v>
      </c>
      <c r="F10" s="1100">
        <f>'Table 4 Level 3'!N9</f>
        <v>585.76</v>
      </c>
      <c r="G10" s="1100">
        <f t="shared" si="3"/>
        <v>0</v>
      </c>
      <c r="H10" s="1052">
        <f t="shared" si="4"/>
        <v>0</v>
      </c>
      <c r="I10" s="1110">
        <f t="shared" si="5"/>
        <v>0</v>
      </c>
      <c r="J10" s="1052">
        <f t="shared" si="6"/>
        <v>0</v>
      </c>
      <c r="K10" s="1052">
        <v>0</v>
      </c>
      <c r="L10" s="1052">
        <f t="shared" si="7"/>
        <v>0</v>
      </c>
      <c r="M10" s="1052">
        <f t="shared" si="8"/>
        <v>0</v>
      </c>
      <c r="N10" s="1051">
        <f>'[18]FY2012-13 Final'!K11</f>
        <v>3445</v>
      </c>
      <c r="O10" s="1053">
        <f t="shared" si="9"/>
        <v>0</v>
      </c>
      <c r="P10" s="1118">
        <f t="shared" si="10"/>
        <v>0</v>
      </c>
      <c r="Q10" s="1053">
        <f t="shared" si="11"/>
        <v>0</v>
      </c>
      <c r="R10" s="1053">
        <v>0</v>
      </c>
      <c r="S10" s="1053">
        <f t="shared" si="12"/>
        <v>0</v>
      </c>
      <c r="T10" s="1053">
        <f t="shared" si="13"/>
        <v>0</v>
      </c>
      <c r="U10" s="1054">
        <f t="shared" si="14"/>
        <v>0</v>
      </c>
      <c r="V10" s="1054">
        <f t="shared" si="14"/>
        <v>0</v>
      </c>
    </row>
    <row r="11" spans="1:22">
      <c r="A11" s="998">
        <v>5</v>
      </c>
      <c r="B11" s="999" t="s">
        <v>99</v>
      </c>
      <c r="C11" s="1194">
        <f>'[2]ALL-Reformatted'!U10</f>
        <v>0</v>
      </c>
      <c r="D11" s="1001">
        <f>'Table 3 Levels 1&amp;2'!BN13+'Table 3 Levels 1&amp;2'!BV13</f>
        <v>4880.3484353147733</v>
      </c>
      <c r="E11" s="1101">
        <f t="shared" si="2"/>
        <v>0</v>
      </c>
      <c r="F11" s="1101">
        <f>'Table 4 Level 3'!N10</f>
        <v>555.91</v>
      </c>
      <c r="G11" s="1101">
        <f t="shared" si="3"/>
        <v>0</v>
      </c>
      <c r="H11" s="1055">
        <f t="shared" si="4"/>
        <v>0</v>
      </c>
      <c r="I11" s="1111">
        <f t="shared" si="5"/>
        <v>0</v>
      </c>
      <c r="J11" s="1055">
        <f t="shared" si="6"/>
        <v>0</v>
      </c>
      <c r="K11" s="1055">
        <v>0</v>
      </c>
      <c r="L11" s="1055">
        <f t="shared" si="7"/>
        <v>0</v>
      </c>
      <c r="M11" s="1055">
        <f t="shared" si="8"/>
        <v>0</v>
      </c>
      <c r="N11" s="1056">
        <f>'[18]FY2012-13 Final'!K12</f>
        <v>1353</v>
      </c>
      <c r="O11" s="1057">
        <f t="shared" si="9"/>
        <v>0</v>
      </c>
      <c r="P11" s="1119">
        <f t="shared" si="10"/>
        <v>0</v>
      </c>
      <c r="Q11" s="1057">
        <f t="shared" si="11"/>
        <v>0</v>
      </c>
      <c r="R11" s="1057">
        <v>0</v>
      </c>
      <c r="S11" s="1057">
        <f t="shared" si="12"/>
        <v>0</v>
      </c>
      <c r="T11" s="1057">
        <f t="shared" si="13"/>
        <v>0</v>
      </c>
      <c r="U11" s="1058">
        <f t="shared" si="14"/>
        <v>0</v>
      </c>
      <c r="V11" s="1058">
        <f t="shared" si="14"/>
        <v>0</v>
      </c>
    </row>
    <row r="12" spans="1:22">
      <c r="A12" s="987">
        <v>6</v>
      </c>
      <c r="B12" s="988" t="s">
        <v>100</v>
      </c>
      <c r="C12" s="1195">
        <f>'[2]ALL-Reformatted'!U11</f>
        <v>0</v>
      </c>
      <c r="D12" s="990">
        <f>'Table 3 Levels 1&amp;2'!BN14+'Table 3 Levels 1&amp;2'!BV14</f>
        <v>5379.7759718479856</v>
      </c>
      <c r="E12" s="1099">
        <f t="shared" si="2"/>
        <v>0</v>
      </c>
      <c r="F12" s="1099">
        <f>'Table 4 Level 3'!N11</f>
        <v>545.4799999999999</v>
      </c>
      <c r="G12" s="1099">
        <f t="shared" si="3"/>
        <v>0</v>
      </c>
      <c r="H12" s="991">
        <f t="shared" si="4"/>
        <v>0</v>
      </c>
      <c r="I12" s="1109">
        <f t="shared" si="5"/>
        <v>0</v>
      </c>
      <c r="J12" s="991">
        <f t="shared" si="6"/>
        <v>0</v>
      </c>
      <c r="K12" s="991">
        <v>0</v>
      </c>
      <c r="L12" s="991">
        <f t="shared" si="7"/>
        <v>0</v>
      </c>
      <c r="M12" s="991">
        <f t="shared" si="8"/>
        <v>0</v>
      </c>
      <c r="N12" s="1051">
        <f>'[18]FY2012-13 Final'!K13</f>
        <v>3576</v>
      </c>
      <c r="O12" s="992">
        <f t="shared" si="9"/>
        <v>0</v>
      </c>
      <c r="P12" s="1117">
        <f t="shared" si="10"/>
        <v>0</v>
      </c>
      <c r="Q12" s="992">
        <f t="shared" si="11"/>
        <v>0</v>
      </c>
      <c r="R12" s="992">
        <v>0</v>
      </c>
      <c r="S12" s="992">
        <f t="shared" si="12"/>
        <v>0</v>
      </c>
      <c r="T12" s="992">
        <f t="shared" si="13"/>
        <v>0</v>
      </c>
      <c r="U12" s="993">
        <f t="shared" si="14"/>
        <v>0</v>
      </c>
      <c r="V12" s="993">
        <f t="shared" si="14"/>
        <v>0</v>
      </c>
    </row>
    <row r="13" spans="1:22">
      <c r="A13" s="994">
        <v>7</v>
      </c>
      <c r="B13" s="995" t="s">
        <v>101</v>
      </c>
      <c r="C13" s="1193">
        <f>'[2]ALL-Reformatted'!U12</f>
        <v>0</v>
      </c>
      <c r="D13" s="997">
        <f>'Table 3 Levels 1&amp;2'!BN15+'Table 3 Levels 1&amp;2'!BV15</f>
        <v>1698.1351763907733</v>
      </c>
      <c r="E13" s="1100">
        <f t="shared" si="2"/>
        <v>0</v>
      </c>
      <c r="F13" s="1100">
        <f>'Table 4 Level 3'!N12</f>
        <v>756.91999999999985</v>
      </c>
      <c r="G13" s="1100">
        <f t="shared" si="3"/>
        <v>0</v>
      </c>
      <c r="H13" s="1052">
        <f t="shared" si="4"/>
        <v>0</v>
      </c>
      <c r="I13" s="1110">
        <f t="shared" si="5"/>
        <v>0</v>
      </c>
      <c r="J13" s="1052">
        <f t="shared" si="6"/>
        <v>0</v>
      </c>
      <c r="K13" s="1052">
        <v>0</v>
      </c>
      <c r="L13" s="1052">
        <f t="shared" si="7"/>
        <v>0</v>
      </c>
      <c r="M13" s="1052">
        <f t="shared" si="8"/>
        <v>0</v>
      </c>
      <c r="N13" s="1051">
        <f>'[18]FY2012-13 Final'!K14</f>
        <v>12465</v>
      </c>
      <c r="O13" s="1053">
        <f t="shared" si="9"/>
        <v>0</v>
      </c>
      <c r="P13" s="1118">
        <f t="shared" si="10"/>
        <v>0</v>
      </c>
      <c r="Q13" s="1053">
        <f t="shared" si="11"/>
        <v>0</v>
      </c>
      <c r="R13" s="1053">
        <v>0</v>
      </c>
      <c r="S13" s="1053">
        <f t="shared" si="12"/>
        <v>0</v>
      </c>
      <c r="T13" s="1053">
        <f t="shared" si="13"/>
        <v>0</v>
      </c>
      <c r="U13" s="1054">
        <f t="shared" si="14"/>
        <v>0</v>
      </c>
      <c r="V13" s="1054">
        <f t="shared" si="14"/>
        <v>0</v>
      </c>
    </row>
    <row r="14" spans="1:22">
      <c r="A14" s="994">
        <v>8</v>
      </c>
      <c r="B14" s="995" t="s">
        <v>102</v>
      </c>
      <c r="C14" s="1193">
        <f>'[2]ALL-Reformatted'!U13</f>
        <v>0</v>
      </c>
      <c r="D14" s="997">
        <f>'Table 3 Levels 1&amp;2'!BN16+'Table 3 Levels 1&amp;2'!BV16</f>
        <v>4239.8578920718974</v>
      </c>
      <c r="E14" s="1100">
        <f t="shared" si="2"/>
        <v>0</v>
      </c>
      <c r="F14" s="1100">
        <f>'Table 4 Level 3'!N13</f>
        <v>725.76</v>
      </c>
      <c r="G14" s="1100">
        <f t="shared" si="3"/>
        <v>0</v>
      </c>
      <c r="H14" s="1052">
        <f t="shared" si="4"/>
        <v>0</v>
      </c>
      <c r="I14" s="1110">
        <f t="shared" si="5"/>
        <v>0</v>
      </c>
      <c r="J14" s="1052">
        <f t="shared" si="6"/>
        <v>0</v>
      </c>
      <c r="K14" s="1052">
        <v>0</v>
      </c>
      <c r="L14" s="1052">
        <f t="shared" si="7"/>
        <v>0</v>
      </c>
      <c r="M14" s="1052">
        <f t="shared" si="8"/>
        <v>0</v>
      </c>
      <c r="N14" s="1051">
        <f>'[18]FY2012-13 Final'!K15</f>
        <v>4184</v>
      </c>
      <c r="O14" s="1053">
        <f t="shared" si="9"/>
        <v>0</v>
      </c>
      <c r="P14" s="1118">
        <f t="shared" si="10"/>
        <v>0</v>
      </c>
      <c r="Q14" s="1053">
        <f t="shared" si="11"/>
        <v>0</v>
      </c>
      <c r="R14" s="1053">
        <v>0</v>
      </c>
      <c r="S14" s="1053">
        <f t="shared" si="12"/>
        <v>0</v>
      </c>
      <c r="T14" s="1053">
        <f t="shared" si="13"/>
        <v>0</v>
      </c>
      <c r="U14" s="1054">
        <f t="shared" si="14"/>
        <v>0</v>
      </c>
      <c r="V14" s="1054">
        <f t="shared" si="14"/>
        <v>0</v>
      </c>
    </row>
    <row r="15" spans="1:22">
      <c r="A15" s="994">
        <v>9</v>
      </c>
      <c r="B15" s="995" t="s">
        <v>103</v>
      </c>
      <c r="C15" s="1193">
        <f>'[2]ALL-Reformatted'!U14</f>
        <v>0</v>
      </c>
      <c r="D15" s="997">
        <f>'Table 3 Levels 1&amp;2'!BN17+'Table 3 Levels 1&amp;2'!BV17</f>
        <v>4361.2752875373017</v>
      </c>
      <c r="E15" s="1100">
        <f t="shared" si="2"/>
        <v>0</v>
      </c>
      <c r="F15" s="1100">
        <f>'Table 4 Level 3'!N14</f>
        <v>744.76</v>
      </c>
      <c r="G15" s="1100">
        <f t="shared" si="3"/>
        <v>0</v>
      </c>
      <c r="H15" s="1052">
        <f t="shared" si="4"/>
        <v>0</v>
      </c>
      <c r="I15" s="1110">
        <f t="shared" si="5"/>
        <v>0</v>
      </c>
      <c r="J15" s="1052">
        <f t="shared" si="6"/>
        <v>0</v>
      </c>
      <c r="K15" s="1052">
        <v>0</v>
      </c>
      <c r="L15" s="1052">
        <f t="shared" si="7"/>
        <v>0</v>
      </c>
      <c r="M15" s="1052">
        <f t="shared" si="8"/>
        <v>0</v>
      </c>
      <c r="N15" s="1051">
        <f>'[18]FY2012-13 Final'!K16</f>
        <v>4640</v>
      </c>
      <c r="O15" s="1053">
        <f t="shared" si="9"/>
        <v>0</v>
      </c>
      <c r="P15" s="1118">
        <f t="shared" si="10"/>
        <v>0</v>
      </c>
      <c r="Q15" s="1053">
        <f t="shared" si="11"/>
        <v>0</v>
      </c>
      <c r="R15" s="1053">
        <v>0</v>
      </c>
      <c r="S15" s="1053">
        <f t="shared" si="12"/>
        <v>0</v>
      </c>
      <c r="T15" s="1053">
        <f t="shared" si="13"/>
        <v>0</v>
      </c>
      <c r="U15" s="1054">
        <f t="shared" si="14"/>
        <v>0</v>
      </c>
      <c r="V15" s="1054">
        <f t="shared" si="14"/>
        <v>0</v>
      </c>
    </row>
    <row r="16" spans="1:22">
      <c r="A16" s="998">
        <v>10</v>
      </c>
      <c r="B16" s="999" t="s">
        <v>104</v>
      </c>
      <c r="C16" s="1194">
        <f>'[2]ALL-Reformatted'!U15</f>
        <v>755</v>
      </c>
      <c r="D16" s="1001">
        <f>'Table 3 Levels 1&amp;2'!BN18+'Table 3 Levels 1&amp;2'!BV18</f>
        <v>4179.4641652904756</v>
      </c>
      <c r="E16" s="1101">
        <f t="shared" si="2"/>
        <v>3155495.4447943093</v>
      </c>
      <c r="F16" s="1101">
        <f>'Table 4 Level 3'!N15</f>
        <v>608.04000000000008</v>
      </c>
      <c r="G16" s="1101">
        <f t="shared" si="3"/>
        <v>459070.20000000007</v>
      </c>
      <c r="H16" s="1055">
        <f t="shared" si="4"/>
        <v>3614565.6447943095</v>
      </c>
      <c r="I16" s="1111">
        <f t="shared" si="5"/>
        <v>-9036.4141119857741</v>
      </c>
      <c r="J16" s="1055">
        <f t="shared" si="6"/>
        <v>3605529.2306823237</v>
      </c>
      <c r="K16" s="1055">
        <v>0</v>
      </c>
      <c r="L16" s="1055">
        <f t="shared" si="7"/>
        <v>3605529.2306823237</v>
      </c>
      <c r="M16" s="1055">
        <f t="shared" si="8"/>
        <v>300460.76922352699</v>
      </c>
      <c r="N16" s="1056">
        <f>'[18]FY2012-13 Final'!K17</f>
        <v>4391</v>
      </c>
      <c r="O16" s="1057">
        <f t="shared" si="9"/>
        <v>3315205</v>
      </c>
      <c r="P16" s="1119">
        <f t="shared" si="10"/>
        <v>-8288.0125000000007</v>
      </c>
      <c r="Q16" s="1057">
        <f t="shared" si="11"/>
        <v>3306916.9874999998</v>
      </c>
      <c r="R16" s="1057">
        <v>0</v>
      </c>
      <c r="S16" s="1057">
        <f t="shared" si="12"/>
        <v>3306916.9874999998</v>
      </c>
      <c r="T16" s="1057">
        <f t="shared" si="13"/>
        <v>275576.41562499997</v>
      </c>
      <c r="U16" s="1058">
        <f t="shared" si="14"/>
        <v>6912446.2181823235</v>
      </c>
      <c r="V16" s="1058">
        <f t="shared" si="14"/>
        <v>576037.18484852696</v>
      </c>
    </row>
    <row r="17" spans="1:22">
      <c r="A17" s="987">
        <v>11</v>
      </c>
      <c r="B17" s="988" t="s">
        <v>105</v>
      </c>
      <c r="C17" s="1195">
        <f>'[2]ALL-Reformatted'!U16</f>
        <v>0</v>
      </c>
      <c r="D17" s="990">
        <f>'Table 3 Levels 1&amp;2'!BN19+'Table 3 Levels 1&amp;2'!BV19</f>
        <v>6825.0221851487568</v>
      </c>
      <c r="E17" s="1099">
        <f t="shared" si="2"/>
        <v>0</v>
      </c>
      <c r="F17" s="1099">
        <f>'Table 4 Level 3'!N16</f>
        <v>706.55</v>
      </c>
      <c r="G17" s="1099">
        <f t="shared" si="3"/>
        <v>0</v>
      </c>
      <c r="H17" s="991">
        <f t="shared" si="4"/>
        <v>0</v>
      </c>
      <c r="I17" s="1109">
        <f t="shared" si="5"/>
        <v>0</v>
      </c>
      <c r="J17" s="991">
        <f t="shared" si="6"/>
        <v>0</v>
      </c>
      <c r="K17" s="991">
        <v>0</v>
      </c>
      <c r="L17" s="991">
        <f t="shared" si="7"/>
        <v>0</v>
      </c>
      <c r="M17" s="991">
        <f t="shared" si="8"/>
        <v>0</v>
      </c>
      <c r="N17" s="1051">
        <f>'[18]FY2012-13 Final'!K18</f>
        <v>3430</v>
      </c>
      <c r="O17" s="992">
        <f t="shared" si="9"/>
        <v>0</v>
      </c>
      <c r="P17" s="1117">
        <f t="shared" si="10"/>
        <v>0</v>
      </c>
      <c r="Q17" s="992">
        <f t="shared" si="11"/>
        <v>0</v>
      </c>
      <c r="R17" s="992">
        <v>0</v>
      </c>
      <c r="S17" s="992">
        <f t="shared" si="12"/>
        <v>0</v>
      </c>
      <c r="T17" s="992">
        <f t="shared" si="13"/>
        <v>0</v>
      </c>
      <c r="U17" s="993">
        <f t="shared" si="14"/>
        <v>0</v>
      </c>
      <c r="V17" s="993">
        <f t="shared" si="14"/>
        <v>0</v>
      </c>
    </row>
    <row r="18" spans="1:22">
      <c r="A18" s="994">
        <v>12</v>
      </c>
      <c r="B18" s="995" t="s">
        <v>106</v>
      </c>
      <c r="C18" s="1193">
        <f>'[2]ALL-Reformatted'!U17</f>
        <v>0</v>
      </c>
      <c r="D18" s="997">
        <f>'Table 3 Levels 1&amp;2'!BN20+'Table 3 Levels 1&amp;2'!BV20</f>
        <v>1688.0492586490939</v>
      </c>
      <c r="E18" s="1100">
        <f t="shared" si="2"/>
        <v>0</v>
      </c>
      <c r="F18" s="1100">
        <f>'Table 4 Level 3'!N17</f>
        <v>1063.31</v>
      </c>
      <c r="G18" s="1100">
        <f t="shared" si="3"/>
        <v>0</v>
      </c>
      <c r="H18" s="1052">
        <f t="shared" si="4"/>
        <v>0</v>
      </c>
      <c r="I18" s="1110">
        <f t="shared" si="5"/>
        <v>0</v>
      </c>
      <c r="J18" s="1052">
        <f t="shared" si="6"/>
        <v>0</v>
      </c>
      <c r="K18" s="1052">
        <v>0</v>
      </c>
      <c r="L18" s="1052">
        <f t="shared" si="7"/>
        <v>0</v>
      </c>
      <c r="M18" s="1052">
        <f t="shared" si="8"/>
        <v>0</v>
      </c>
      <c r="N18" s="1051">
        <f>'[18]FY2012-13 Final'!K19</f>
        <v>12558</v>
      </c>
      <c r="O18" s="1053">
        <f t="shared" si="9"/>
        <v>0</v>
      </c>
      <c r="P18" s="1118">
        <f t="shared" si="10"/>
        <v>0</v>
      </c>
      <c r="Q18" s="1053">
        <f t="shared" si="11"/>
        <v>0</v>
      </c>
      <c r="R18" s="1053">
        <v>0</v>
      </c>
      <c r="S18" s="1053">
        <f t="shared" si="12"/>
        <v>0</v>
      </c>
      <c r="T18" s="1053">
        <f t="shared" si="13"/>
        <v>0</v>
      </c>
      <c r="U18" s="1054">
        <f t="shared" si="14"/>
        <v>0</v>
      </c>
      <c r="V18" s="1054">
        <f t="shared" si="14"/>
        <v>0</v>
      </c>
    </row>
    <row r="19" spans="1:22">
      <c r="A19" s="994">
        <v>13</v>
      </c>
      <c r="B19" s="995" t="s">
        <v>107</v>
      </c>
      <c r="C19" s="1193">
        <f>'[2]ALL-Reformatted'!U18</f>
        <v>0</v>
      </c>
      <c r="D19" s="997">
        <f>'Table 3 Levels 1&amp;2'!BN21+'Table 3 Levels 1&amp;2'!BV21</f>
        <v>6187.1651272387344</v>
      </c>
      <c r="E19" s="1100">
        <f t="shared" si="2"/>
        <v>0</v>
      </c>
      <c r="F19" s="1100">
        <f>'Table 4 Level 3'!N18</f>
        <v>749.43000000000006</v>
      </c>
      <c r="G19" s="1100">
        <f t="shared" si="3"/>
        <v>0</v>
      </c>
      <c r="H19" s="1052">
        <f t="shared" si="4"/>
        <v>0</v>
      </c>
      <c r="I19" s="1110">
        <f t="shared" si="5"/>
        <v>0</v>
      </c>
      <c r="J19" s="1052">
        <f t="shared" si="6"/>
        <v>0</v>
      </c>
      <c r="K19" s="1052">
        <v>0</v>
      </c>
      <c r="L19" s="1052">
        <f t="shared" si="7"/>
        <v>0</v>
      </c>
      <c r="M19" s="1052">
        <f t="shared" si="8"/>
        <v>0</v>
      </c>
      <c r="N19" s="1051">
        <f>'[18]FY2012-13 Final'!K20</f>
        <v>2536</v>
      </c>
      <c r="O19" s="1053">
        <f t="shared" si="9"/>
        <v>0</v>
      </c>
      <c r="P19" s="1118">
        <f t="shared" si="10"/>
        <v>0</v>
      </c>
      <c r="Q19" s="1053">
        <f t="shared" si="11"/>
        <v>0</v>
      </c>
      <c r="R19" s="1053">
        <v>0</v>
      </c>
      <c r="S19" s="1053">
        <f t="shared" si="12"/>
        <v>0</v>
      </c>
      <c r="T19" s="1053">
        <f t="shared" si="13"/>
        <v>0</v>
      </c>
      <c r="U19" s="1054">
        <f t="shared" si="14"/>
        <v>0</v>
      </c>
      <c r="V19" s="1054">
        <f t="shared" si="14"/>
        <v>0</v>
      </c>
    </row>
    <row r="20" spans="1:22">
      <c r="A20" s="994">
        <v>14</v>
      </c>
      <c r="B20" s="995" t="s">
        <v>108</v>
      </c>
      <c r="C20" s="1193">
        <f>'[2]ALL-Reformatted'!U19</f>
        <v>0</v>
      </c>
      <c r="D20" s="997">
        <f>'Table 3 Levels 1&amp;2'!BN22+'Table 3 Levels 1&amp;2'!BV22</f>
        <v>5339.1887414618923</v>
      </c>
      <c r="E20" s="1100">
        <f t="shared" si="2"/>
        <v>0</v>
      </c>
      <c r="F20" s="1100">
        <f>'Table 4 Level 3'!N19</f>
        <v>809.9799999999999</v>
      </c>
      <c r="G20" s="1100">
        <f t="shared" si="3"/>
        <v>0</v>
      </c>
      <c r="H20" s="1052">
        <f t="shared" si="4"/>
        <v>0</v>
      </c>
      <c r="I20" s="1110">
        <f t="shared" si="5"/>
        <v>0</v>
      </c>
      <c r="J20" s="1052">
        <f t="shared" si="6"/>
        <v>0</v>
      </c>
      <c r="K20" s="1052">
        <v>0</v>
      </c>
      <c r="L20" s="1052">
        <f t="shared" si="7"/>
        <v>0</v>
      </c>
      <c r="M20" s="1052">
        <f t="shared" si="8"/>
        <v>0</v>
      </c>
      <c r="N20" s="1051">
        <f>'[18]FY2012-13 Final'!K21</f>
        <v>3888</v>
      </c>
      <c r="O20" s="1053">
        <f t="shared" si="9"/>
        <v>0</v>
      </c>
      <c r="P20" s="1118">
        <f t="shared" si="10"/>
        <v>0</v>
      </c>
      <c r="Q20" s="1053">
        <f t="shared" si="11"/>
        <v>0</v>
      </c>
      <c r="R20" s="1053">
        <v>0</v>
      </c>
      <c r="S20" s="1053">
        <f t="shared" si="12"/>
        <v>0</v>
      </c>
      <c r="T20" s="1053">
        <f t="shared" si="13"/>
        <v>0</v>
      </c>
      <c r="U20" s="1054">
        <f t="shared" si="14"/>
        <v>0</v>
      </c>
      <c r="V20" s="1054">
        <f t="shared" si="14"/>
        <v>0</v>
      </c>
    </row>
    <row r="21" spans="1:22">
      <c r="A21" s="998">
        <v>15</v>
      </c>
      <c r="B21" s="999" t="s">
        <v>109</v>
      </c>
      <c r="C21" s="1194">
        <f>'[2]ALL-Reformatted'!U20</f>
        <v>0</v>
      </c>
      <c r="D21" s="1001">
        <f>'Table 3 Levels 1&amp;2'!BN23+'Table 3 Levels 1&amp;2'!BV23</f>
        <v>5492.5789412344011</v>
      </c>
      <c r="E21" s="1101">
        <f t="shared" si="2"/>
        <v>0</v>
      </c>
      <c r="F21" s="1101">
        <f>'Table 4 Level 3'!N20</f>
        <v>553.79999999999995</v>
      </c>
      <c r="G21" s="1101">
        <f t="shared" si="3"/>
        <v>0</v>
      </c>
      <c r="H21" s="1055">
        <f t="shared" si="4"/>
        <v>0</v>
      </c>
      <c r="I21" s="1111">
        <f t="shared" si="5"/>
        <v>0</v>
      </c>
      <c r="J21" s="1055">
        <f t="shared" si="6"/>
        <v>0</v>
      </c>
      <c r="K21" s="1055">
        <v>0</v>
      </c>
      <c r="L21" s="1055">
        <f t="shared" si="7"/>
        <v>0</v>
      </c>
      <c r="M21" s="1055">
        <f t="shared" si="8"/>
        <v>0</v>
      </c>
      <c r="N21" s="1056">
        <f>'[18]FY2012-13 Final'!K22</f>
        <v>2752</v>
      </c>
      <c r="O21" s="1057">
        <f t="shared" si="9"/>
        <v>0</v>
      </c>
      <c r="P21" s="1119">
        <f t="shared" si="10"/>
        <v>0</v>
      </c>
      <c r="Q21" s="1057">
        <f t="shared" si="11"/>
        <v>0</v>
      </c>
      <c r="R21" s="1057">
        <v>0</v>
      </c>
      <c r="S21" s="1057">
        <f t="shared" si="12"/>
        <v>0</v>
      </c>
      <c r="T21" s="1057">
        <f t="shared" si="13"/>
        <v>0</v>
      </c>
      <c r="U21" s="1058">
        <f t="shared" si="14"/>
        <v>0</v>
      </c>
      <c r="V21" s="1058">
        <f t="shared" si="14"/>
        <v>0</v>
      </c>
    </row>
    <row r="22" spans="1:22">
      <c r="A22" s="987">
        <v>16</v>
      </c>
      <c r="B22" s="988" t="s">
        <v>110</v>
      </c>
      <c r="C22" s="1195">
        <f>'[2]ALL-Reformatted'!U21</f>
        <v>0</v>
      </c>
      <c r="D22" s="990">
        <f>'Table 3 Levels 1&amp;2'!BN24+'Table 3 Levels 1&amp;2'!BV24</f>
        <v>1506.1153407945151</v>
      </c>
      <c r="E22" s="1099">
        <f t="shared" si="2"/>
        <v>0</v>
      </c>
      <c r="F22" s="1099">
        <f>'Table 4 Level 3'!N21</f>
        <v>686.73</v>
      </c>
      <c r="G22" s="1099">
        <f t="shared" si="3"/>
        <v>0</v>
      </c>
      <c r="H22" s="991">
        <f t="shared" si="4"/>
        <v>0</v>
      </c>
      <c r="I22" s="1109">
        <f t="shared" si="5"/>
        <v>0</v>
      </c>
      <c r="J22" s="991">
        <f t="shared" si="6"/>
        <v>0</v>
      </c>
      <c r="K22" s="991">
        <v>0</v>
      </c>
      <c r="L22" s="991">
        <f t="shared" si="7"/>
        <v>0</v>
      </c>
      <c r="M22" s="991">
        <f t="shared" si="8"/>
        <v>0</v>
      </c>
      <c r="N22" s="1051">
        <f>'[18]FY2012-13 Final'!K23</f>
        <v>15092</v>
      </c>
      <c r="O22" s="992">
        <f t="shared" si="9"/>
        <v>0</v>
      </c>
      <c r="P22" s="1117">
        <f t="shared" si="10"/>
        <v>0</v>
      </c>
      <c r="Q22" s="992">
        <f t="shared" si="11"/>
        <v>0</v>
      </c>
      <c r="R22" s="992">
        <v>0</v>
      </c>
      <c r="S22" s="992">
        <f t="shared" si="12"/>
        <v>0</v>
      </c>
      <c r="T22" s="992">
        <f t="shared" si="13"/>
        <v>0</v>
      </c>
      <c r="U22" s="993">
        <f t="shared" si="14"/>
        <v>0</v>
      </c>
      <c r="V22" s="993">
        <f t="shared" si="14"/>
        <v>0</v>
      </c>
    </row>
    <row r="23" spans="1:22">
      <c r="A23" s="994">
        <v>17</v>
      </c>
      <c r="B23" s="995" t="s">
        <v>111</v>
      </c>
      <c r="C23" s="1193">
        <f>'[2]ALL-Reformatted'!U22</f>
        <v>0</v>
      </c>
      <c r="D23" s="997">
        <f>'Table 3 Levels 1&amp;2'!BN25+'Table 3 Levels 1&amp;2'!BV25</f>
        <v>3311.610845996096</v>
      </c>
      <c r="E23" s="1100">
        <f t="shared" si="2"/>
        <v>0</v>
      </c>
      <c r="F23" s="1100">
        <f>'Table 5B2_RSD_LA'!F7</f>
        <v>801.47762416806802</v>
      </c>
      <c r="G23" s="1100">
        <f t="shared" si="3"/>
        <v>0</v>
      </c>
      <c r="H23" s="1052">
        <f t="shared" si="4"/>
        <v>0</v>
      </c>
      <c r="I23" s="1110">
        <f t="shared" si="5"/>
        <v>0</v>
      </c>
      <c r="J23" s="1052">
        <f t="shared" si="6"/>
        <v>0</v>
      </c>
      <c r="K23" s="1052">
        <v>0</v>
      </c>
      <c r="L23" s="1052">
        <f t="shared" si="7"/>
        <v>0</v>
      </c>
      <c r="M23" s="1052">
        <f t="shared" si="8"/>
        <v>0</v>
      </c>
      <c r="N23" s="1051">
        <f>'[18]FY2012-13 Final'!K24</f>
        <v>6551</v>
      </c>
      <c r="O23" s="1053">
        <f t="shared" si="9"/>
        <v>0</v>
      </c>
      <c r="P23" s="1118">
        <f t="shared" si="10"/>
        <v>0</v>
      </c>
      <c r="Q23" s="1053">
        <f t="shared" si="11"/>
        <v>0</v>
      </c>
      <c r="R23" s="1053">
        <v>0</v>
      </c>
      <c r="S23" s="1053">
        <f t="shared" si="12"/>
        <v>0</v>
      </c>
      <c r="T23" s="1053">
        <f t="shared" si="13"/>
        <v>0</v>
      </c>
      <c r="U23" s="1054">
        <f t="shared" si="14"/>
        <v>0</v>
      </c>
      <c r="V23" s="1054">
        <f t="shared" si="14"/>
        <v>0</v>
      </c>
    </row>
    <row r="24" spans="1:22">
      <c r="A24" s="994">
        <v>18</v>
      </c>
      <c r="B24" s="995" t="s">
        <v>112</v>
      </c>
      <c r="C24" s="1193">
        <f>'[2]ALL-Reformatted'!U23</f>
        <v>0</v>
      </c>
      <c r="D24" s="997">
        <f>'Table 3 Levels 1&amp;2'!BN26+'Table 3 Levels 1&amp;2'!BV26</f>
        <v>5964.3490202032081</v>
      </c>
      <c r="E24" s="1100">
        <f t="shared" si="2"/>
        <v>0</v>
      </c>
      <c r="F24" s="1100">
        <f>'Table 4 Level 3'!N23</f>
        <v>845.94999999999993</v>
      </c>
      <c r="G24" s="1100">
        <f t="shared" si="3"/>
        <v>0</v>
      </c>
      <c r="H24" s="1052">
        <f t="shared" si="4"/>
        <v>0</v>
      </c>
      <c r="I24" s="1110">
        <f t="shared" si="5"/>
        <v>0</v>
      </c>
      <c r="J24" s="1052">
        <f t="shared" si="6"/>
        <v>0</v>
      </c>
      <c r="K24" s="1052">
        <v>0</v>
      </c>
      <c r="L24" s="1052">
        <f t="shared" si="7"/>
        <v>0</v>
      </c>
      <c r="M24" s="1052">
        <f t="shared" si="8"/>
        <v>0</v>
      </c>
      <c r="N24" s="1051">
        <f>'[18]FY2012-13 Final'!K25</f>
        <v>2165</v>
      </c>
      <c r="O24" s="1053">
        <f t="shared" si="9"/>
        <v>0</v>
      </c>
      <c r="P24" s="1118">
        <f t="shared" si="10"/>
        <v>0</v>
      </c>
      <c r="Q24" s="1053">
        <f t="shared" si="11"/>
        <v>0</v>
      </c>
      <c r="R24" s="1053">
        <v>0</v>
      </c>
      <c r="S24" s="1053">
        <f t="shared" si="12"/>
        <v>0</v>
      </c>
      <c r="T24" s="1053">
        <f t="shared" si="13"/>
        <v>0</v>
      </c>
      <c r="U24" s="1054">
        <f t="shared" si="14"/>
        <v>0</v>
      </c>
      <c r="V24" s="1054">
        <f t="shared" si="14"/>
        <v>0</v>
      </c>
    </row>
    <row r="25" spans="1:22">
      <c r="A25" s="994">
        <v>19</v>
      </c>
      <c r="B25" s="995" t="s">
        <v>113</v>
      </c>
      <c r="C25" s="1193">
        <f>'[2]ALL-Reformatted'!U24</f>
        <v>0</v>
      </c>
      <c r="D25" s="997">
        <f>'Table 3 Levels 1&amp;2'!BN27+'Table 3 Levels 1&amp;2'!BV27</f>
        <v>5283.1088158476596</v>
      </c>
      <c r="E25" s="1100">
        <f t="shared" si="2"/>
        <v>0</v>
      </c>
      <c r="F25" s="1100">
        <f>'Table 4 Level 3'!N24</f>
        <v>905.43</v>
      </c>
      <c r="G25" s="1100">
        <f t="shared" si="3"/>
        <v>0</v>
      </c>
      <c r="H25" s="1052">
        <f t="shared" si="4"/>
        <v>0</v>
      </c>
      <c r="I25" s="1110">
        <f t="shared" si="5"/>
        <v>0</v>
      </c>
      <c r="J25" s="1052">
        <f t="shared" si="6"/>
        <v>0</v>
      </c>
      <c r="K25" s="1052">
        <v>0</v>
      </c>
      <c r="L25" s="1052">
        <f t="shared" si="7"/>
        <v>0</v>
      </c>
      <c r="M25" s="1052">
        <f t="shared" si="8"/>
        <v>0</v>
      </c>
      <c r="N25" s="1051">
        <f>'[18]FY2012-13 Final'!K26</f>
        <v>2729</v>
      </c>
      <c r="O25" s="1053">
        <f t="shared" si="9"/>
        <v>0</v>
      </c>
      <c r="P25" s="1118">
        <f t="shared" si="10"/>
        <v>0</v>
      </c>
      <c r="Q25" s="1053">
        <f t="shared" si="11"/>
        <v>0</v>
      </c>
      <c r="R25" s="1053">
        <v>0</v>
      </c>
      <c r="S25" s="1053">
        <f t="shared" si="12"/>
        <v>0</v>
      </c>
      <c r="T25" s="1053">
        <f t="shared" si="13"/>
        <v>0</v>
      </c>
      <c r="U25" s="1054">
        <f t="shared" si="14"/>
        <v>0</v>
      </c>
      <c r="V25" s="1054">
        <f t="shared" si="14"/>
        <v>0</v>
      </c>
    </row>
    <row r="26" spans="1:22">
      <c r="A26" s="998">
        <v>20</v>
      </c>
      <c r="B26" s="999" t="s">
        <v>114</v>
      </c>
      <c r="C26" s="1194">
        <f>'[2]ALL-Reformatted'!U25</f>
        <v>0</v>
      </c>
      <c r="D26" s="1001">
        <f>'Table 3 Levels 1&amp;2'!BN28+'Table 3 Levels 1&amp;2'!BV28</f>
        <v>5389.6047094824808</v>
      </c>
      <c r="E26" s="1101">
        <f t="shared" si="2"/>
        <v>0</v>
      </c>
      <c r="F26" s="1101">
        <f>'Table 4 Level 3'!N25</f>
        <v>586.16999999999996</v>
      </c>
      <c r="G26" s="1101">
        <f t="shared" si="3"/>
        <v>0</v>
      </c>
      <c r="H26" s="1055">
        <f t="shared" si="4"/>
        <v>0</v>
      </c>
      <c r="I26" s="1111">
        <f t="shared" si="5"/>
        <v>0</v>
      </c>
      <c r="J26" s="1055">
        <f t="shared" si="6"/>
        <v>0</v>
      </c>
      <c r="K26" s="1055">
        <v>0</v>
      </c>
      <c r="L26" s="1055">
        <f t="shared" si="7"/>
        <v>0</v>
      </c>
      <c r="M26" s="1055">
        <f t="shared" si="8"/>
        <v>0</v>
      </c>
      <c r="N26" s="1056">
        <f>'[18]FY2012-13 Final'!K27</f>
        <v>2334</v>
      </c>
      <c r="O26" s="1057">
        <f t="shared" si="9"/>
        <v>0</v>
      </c>
      <c r="P26" s="1119">
        <f t="shared" si="10"/>
        <v>0</v>
      </c>
      <c r="Q26" s="1057">
        <f t="shared" si="11"/>
        <v>0</v>
      </c>
      <c r="R26" s="1057">
        <v>0</v>
      </c>
      <c r="S26" s="1057">
        <f t="shared" si="12"/>
        <v>0</v>
      </c>
      <c r="T26" s="1057">
        <f t="shared" si="13"/>
        <v>0</v>
      </c>
      <c r="U26" s="1058">
        <f t="shared" si="14"/>
        <v>0</v>
      </c>
      <c r="V26" s="1058">
        <f t="shared" si="14"/>
        <v>0</v>
      </c>
    </row>
    <row r="27" spans="1:22">
      <c r="A27" s="987">
        <v>21</v>
      </c>
      <c r="B27" s="988" t="s">
        <v>115</v>
      </c>
      <c r="C27" s="1195">
        <f>'[2]ALL-Reformatted'!U26</f>
        <v>0</v>
      </c>
      <c r="D27" s="990">
        <f>'Table 3 Levels 1&amp;2'!BN29+'Table 3 Levels 1&amp;2'!BV29</f>
        <v>5659.8229810652783</v>
      </c>
      <c r="E27" s="1099">
        <f t="shared" si="2"/>
        <v>0</v>
      </c>
      <c r="F27" s="1099">
        <f>'Table 4 Level 3'!N26</f>
        <v>610.35</v>
      </c>
      <c r="G27" s="1099">
        <f t="shared" si="3"/>
        <v>0</v>
      </c>
      <c r="H27" s="991">
        <f t="shared" si="4"/>
        <v>0</v>
      </c>
      <c r="I27" s="1109">
        <f t="shared" si="5"/>
        <v>0</v>
      </c>
      <c r="J27" s="991">
        <f t="shared" si="6"/>
        <v>0</v>
      </c>
      <c r="K27" s="991">
        <v>0</v>
      </c>
      <c r="L27" s="991">
        <f t="shared" si="7"/>
        <v>0</v>
      </c>
      <c r="M27" s="991">
        <f t="shared" si="8"/>
        <v>0</v>
      </c>
      <c r="N27" s="1051">
        <f>'[18]FY2012-13 Final'!K28</f>
        <v>2233</v>
      </c>
      <c r="O27" s="992">
        <f t="shared" si="9"/>
        <v>0</v>
      </c>
      <c r="P27" s="1117">
        <f t="shared" si="10"/>
        <v>0</v>
      </c>
      <c r="Q27" s="992">
        <f t="shared" si="11"/>
        <v>0</v>
      </c>
      <c r="R27" s="992">
        <v>0</v>
      </c>
      <c r="S27" s="992">
        <f t="shared" si="12"/>
        <v>0</v>
      </c>
      <c r="T27" s="992">
        <f t="shared" si="13"/>
        <v>0</v>
      </c>
      <c r="U27" s="993">
        <f t="shared" si="14"/>
        <v>0</v>
      </c>
      <c r="V27" s="993">
        <f t="shared" si="14"/>
        <v>0</v>
      </c>
    </row>
    <row r="28" spans="1:22">
      <c r="A28" s="994">
        <v>22</v>
      </c>
      <c r="B28" s="995" t="s">
        <v>116</v>
      </c>
      <c r="C28" s="1193">
        <f>'[2]ALL-Reformatted'!U27</f>
        <v>0</v>
      </c>
      <c r="D28" s="997">
        <f>'Table 3 Levels 1&amp;2'!BN30+'Table 3 Levels 1&amp;2'!BV30</f>
        <v>6191.1997628958306</v>
      </c>
      <c r="E28" s="1100">
        <f t="shared" si="2"/>
        <v>0</v>
      </c>
      <c r="F28" s="1100">
        <f>'Table 4 Level 3'!N27</f>
        <v>496.36</v>
      </c>
      <c r="G28" s="1100">
        <f t="shared" si="3"/>
        <v>0</v>
      </c>
      <c r="H28" s="1052">
        <f t="shared" si="4"/>
        <v>0</v>
      </c>
      <c r="I28" s="1110">
        <f t="shared" si="5"/>
        <v>0</v>
      </c>
      <c r="J28" s="1052">
        <f t="shared" si="6"/>
        <v>0</v>
      </c>
      <c r="K28" s="1052">
        <v>0</v>
      </c>
      <c r="L28" s="1052">
        <f t="shared" si="7"/>
        <v>0</v>
      </c>
      <c r="M28" s="1052">
        <f t="shared" si="8"/>
        <v>0</v>
      </c>
      <c r="N28" s="1051">
        <f>'[18]FY2012-13 Final'!K29</f>
        <v>1410</v>
      </c>
      <c r="O28" s="1053">
        <f t="shared" si="9"/>
        <v>0</v>
      </c>
      <c r="P28" s="1118">
        <f t="shared" si="10"/>
        <v>0</v>
      </c>
      <c r="Q28" s="1053">
        <f t="shared" si="11"/>
        <v>0</v>
      </c>
      <c r="R28" s="1053">
        <v>0</v>
      </c>
      <c r="S28" s="1053">
        <f t="shared" si="12"/>
        <v>0</v>
      </c>
      <c r="T28" s="1053">
        <f t="shared" si="13"/>
        <v>0</v>
      </c>
      <c r="U28" s="1054">
        <f t="shared" si="14"/>
        <v>0</v>
      </c>
      <c r="V28" s="1054">
        <f t="shared" si="14"/>
        <v>0</v>
      </c>
    </row>
    <row r="29" spans="1:22">
      <c r="A29" s="994">
        <v>23</v>
      </c>
      <c r="B29" s="995" t="s">
        <v>117</v>
      </c>
      <c r="C29" s="1193">
        <f>'[2]ALL-Reformatted'!U28</f>
        <v>0</v>
      </c>
      <c r="D29" s="997">
        <f>'Table 3 Levels 1&amp;2'!BN31+'Table 3 Levels 1&amp;2'!BV31</f>
        <v>4788.2881021645453</v>
      </c>
      <c r="E29" s="1100">
        <f t="shared" si="2"/>
        <v>0</v>
      </c>
      <c r="F29" s="1100">
        <f>'Table 4 Level 3'!N28</f>
        <v>688.58</v>
      </c>
      <c r="G29" s="1100">
        <f t="shared" si="3"/>
        <v>0</v>
      </c>
      <c r="H29" s="1052">
        <f t="shared" si="4"/>
        <v>0</v>
      </c>
      <c r="I29" s="1110">
        <f t="shared" si="5"/>
        <v>0</v>
      </c>
      <c r="J29" s="1052">
        <f t="shared" si="6"/>
        <v>0</v>
      </c>
      <c r="K29" s="1052">
        <v>0</v>
      </c>
      <c r="L29" s="1052">
        <f t="shared" si="7"/>
        <v>0</v>
      </c>
      <c r="M29" s="1052">
        <f t="shared" si="8"/>
        <v>0</v>
      </c>
      <c r="N29" s="1051">
        <f>'[18]FY2012-13 Final'!K30</f>
        <v>3258</v>
      </c>
      <c r="O29" s="1053">
        <f t="shared" si="9"/>
        <v>0</v>
      </c>
      <c r="P29" s="1118">
        <f t="shared" si="10"/>
        <v>0</v>
      </c>
      <c r="Q29" s="1053">
        <f t="shared" si="11"/>
        <v>0</v>
      </c>
      <c r="R29" s="1053">
        <v>0</v>
      </c>
      <c r="S29" s="1053">
        <f t="shared" si="12"/>
        <v>0</v>
      </c>
      <c r="T29" s="1053">
        <f t="shared" si="13"/>
        <v>0</v>
      </c>
      <c r="U29" s="1054">
        <f t="shared" si="14"/>
        <v>0</v>
      </c>
      <c r="V29" s="1054">
        <f t="shared" si="14"/>
        <v>0</v>
      </c>
    </row>
    <row r="30" spans="1:22">
      <c r="A30" s="994">
        <v>24</v>
      </c>
      <c r="B30" s="995" t="s">
        <v>118</v>
      </c>
      <c r="C30" s="1193">
        <f>'[2]ALL-Reformatted'!U29</f>
        <v>0</v>
      </c>
      <c r="D30" s="997">
        <f>'Table 3 Levels 1&amp;2'!BN32+'Table 3 Levels 1&amp;2'!BV32</f>
        <v>2743.328175824176</v>
      </c>
      <c r="E30" s="1100">
        <f t="shared" si="2"/>
        <v>0</v>
      </c>
      <c r="F30" s="1100">
        <f>'Table 4 Level 3'!N29</f>
        <v>854.24999999999989</v>
      </c>
      <c r="G30" s="1100">
        <f t="shared" si="3"/>
        <v>0</v>
      </c>
      <c r="H30" s="1052">
        <f t="shared" si="4"/>
        <v>0</v>
      </c>
      <c r="I30" s="1110">
        <f t="shared" si="5"/>
        <v>0</v>
      </c>
      <c r="J30" s="1052">
        <f t="shared" si="6"/>
        <v>0</v>
      </c>
      <c r="K30" s="1052">
        <v>0</v>
      </c>
      <c r="L30" s="1052">
        <f t="shared" si="7"/>
        <v>0</v>
      </c>
      <c r="M30" s="1052">
        <f t="shared" si="8"/>
        <v>0</v>
      </c>
      <c r="N30" s="1051">
        <f>'[18]FY2012-13 Final'!K31</f>
        <v>9280</v>
      </c>
      <c r="O30" s="1053">
        <f t="shared" si="9"/>
        <v>0</v>
      </c>
      <c r="P30" s="1118">
        <f t="shared" si="10"/>
        <v>0</v>
      </c>
      <c r="Q30" s="1053">
        <f t="shared" si="11"/>
        <v>0</v>
      </c>
      <c r="R30" s="1053">
        <v>0</v>
      </c>
      <c r="S30" s="1053">
        <f t="shared" si="12"/>
        <v>0</v>
      </c>
      <c r="T30" s="1053">
        <f t="shared" si="13"/>
        <v>0</v>
      </c>
      <c r="U30" s="1054">
        <f t="shared" si="14"/>
        <v>0</v>
      </c>
      <c r="V30" s="1054">
        <f t="shared" si="14"/>
        <v>0</v>
      </c>
    </row>
    <row r="31" spans="1:22">
      <c r="A31" s="998">
        <v>25</v>
      </c>
      <c r="B31" s="999" t="s">
        <v>119</v>
      </c>
      <c r="C31" s="1194">
        <f>'[2]ALL-Reformatted'!U30</f>
        <v>0</v>
      </c>
      <c r="D31" s="1001">
        <f>'Table 3 Levels 1&amp;2'!BN33+'Table 3 Levels 1&amp;2'!BV33</f>
        <v>3799.3890273447178</v>
      </c>
      <c r="E31" s="1101">
        <f t="shared" si="2"/>
        <v>0</v>
      </c>
      <c r="F31" s="1101">
        <f>'Table 4 Level 3'!N30</f>
        <v>653.73</v>
      </c>
      <c r="G31" s="1101">
        <f t="shared" si="3"/>
        <v>0</v>
      </c>
      <c r="H31" s="1055">
        <f t="shared" si="4"/>
        <v>0</v>
      </c>
      <c r="I31" s="1111">
        <f t="shared" si="5"/>
        <v>0</v>
      </c>
      <c r="J31" s="1055">
        <f t="shared" si="6"/>
        <v>0</v>
      </c>
      <c r="K31" s="1055">
        <v>0</v>
      </c>
      <c r="L31" s="1055">
        <f t="shared" si="7"/>
        <v>0</v>
      </c>
      <c r="M31" s="1055">
        <f t="shared" si="8"/>
        <v>0</v>
      </c>
      <c r="N31" s="1056">
        <f>'[18]FY2012-13 Final'!K32</f>
        <v>5351</v>
      </c>
      <c r="O31" s="1057">
        <f t="shared" si="9"/>
        <v>0</v>
      </c>
      <c r="P31" s="1119">
        <f t="shared" si="10"/>
        <v>0</v>
      </c>
      <c r="Q31" s="1057">
        <f t="shared" si="11"/>
        <v>0</v>
      </c>
      <c r="R31" s="1057">
        <v>0</v>
      </c>
      <c r="S31" s="1057">
        <f t="shared" si="12"/>
        <v>0</v>
      </c>
      <c r="T31" s="1057">
        <f t="shared" si="13"/>
        <v>0</v>
      </c>
      <c r="U31" s="1058">
        <f t="shared" si="14"/>
        <v>0</v>
      </c>
      <c r="V31" s="1058">
        <f t="shared" si="14"/>
        <v>0</v>
      </c>
    </row>
    <row r="32" spans="1:22">
      <c r="A32" s="987">
        <v>26</v>
      </c>
      <c r="B32" s="988" t="s">
        <v>120</v>
      </c>
      <c r="C32" s="1195">
        <f>'[2]ALL-Reformatted'!U31</f>
        <v>0</v>
      </c>
      <c r="D32" s="990">
        <f>'Table 3 Levels 1&amp;2'!BN34+'Table 3 Levels 1&amp;2'!BV34</f>
        <v>3320.7842100822745</v>
      </c>
      <c r="E32" s="1099">
        <f t="shared" si="2"/>
        <v>0</v>
      </c>
      <c r="F32" s="1099">
        <f>'Table 4 Level 3'!N31</f>
        <v>836.83</v>
      </c>
      <c r="G32" s="1099">
        <f t="shared" si="3"/>
        <v>0</v>
      </c>
      <c r="H32" s="991">
        <f t="shared" si="4"/>
        <v>0</v>
      </c>
      <c r="I32" s="1109">
        <f t="shared" si="5"/>
        <v>0</v>
      </c>
      <c r="J32" s="991">
        <f t="shared" si="6"/>
        <v>0</v>
      </c>
      <c r="K32" s="991">
        <v>0</v>
      </c>
      <c r="L32" s="991">
        <f t="shared" si="7"/>
        <v>0</v>
      </c>
      <c r="M32" s="991">
        <f t="shared" si="8"/>
        <v>0</v>
      </c>
      <c r="N32" s="1051">
        <f>'[18]FY2012-13 Final'!K33</f>
        <v>5100</v>
      </c>
      <c r="O32" s="992">
        <f t="shared" si="9"/>
        <v>0</v>
      </c>
      <c r="P32" s="1117">
        <f t="shared" si="10"/>
        <v>0</v>
      </c>
      <c r="Q32" s="992">
        <f t="shared" si="11"/>
        <v>0</v>
      </c>
      <c r="R32" s="992">
        <v>0</v>
      </c>
      <c r="S32" s="992">
        <f t="shared" si="12"/>
        <v>0</v>
      </c>
      <c r="T32" s="992">
        <f t="shared" si="13"/>
        <v>0</v>
      </c>
      <c r="U32" s="993">
        <f t="shared" si="14"/>
        <v>0</v>
      </c>
      <c r="V32" s="993">
        <f t="shared" si="14"/>
        <v>0</v>
      </c>
    </row>
    <row r="33" spans="1:22">
      <c r="A33" s="994">
        <v>27</v>
      </c>
      <c r="B33" s="995" t="s">
        <v>121</v>
      </c>
      <c r="C33" s="1196">
        <f>'[2]ALL-Reformatted'!U32</f>
        <v>0</v>
      </c>
      <c r="D33" s="1003">
        <f>'Table 3 Levels 1&amp;2'!BN35+'Table 3 Levels 1&amp;2'!BV35</f>
        <v>5636.5919457972805</v>
      </c>
      <c r="E33" s="1102">
        <f t="shared" si="2"/>
        <v>0</v>
      </c>
      <c r="F33" s="1102">
        <f>'Table 4 Level 3'!N32</f>
        <v>693.06</v>
      </c>
      <c r="G33" s="1102">
        <f t="shared" si="3"/>
        <v>0</v>
      </c>
      <c r="H33" s="1059">
        <f t="shared" si="4"/>
        <v>0</v>
      </c>
      <c r="I33" s="1112">
        <f t="shared" si="5"/>
        <v>0</v>
      </c>
      <c r="J33" s="1059">
        <f t="shared" si="6"/>
        <v>0</v>
      </c>
      <c r="K33" s="1059">
        <v>0</v>
      </c>
      <c r="L33" s="1059">
        <f t="shared" si="7"/>
        <v>0</v>
      </c>
      <c r="M33" s="1059">
        <f t="shared" si="8"/>
        <v>0</v>
      </c>
      <c r="N33" s="1051">
        <f>'[18]FY2012-13 Final'!K34</f>
        <v>3091</v>
      </c>
      <c r="O33" s="1053">
        <f t="shared" si="9"/>
        <v>0</v>
      </c>
      <c r="P33" s="1118">
        <f t="shared" si="10"/>
        <v>0</v>
      </c>
      <c r="Q33" s="1053">
        <f t="shared" si="11"/>
        <v>0</v>
      </c>
      <c r="R33" s="1053">
        <v>0</v>
      </c>
      <c r="S33" s="1053">
        <f t="shared" si="12"/>
        <v>0</v>
      </c>
      <c r="T33" s="1053">
        <f t="shared" si="13"/>
        <v>0</v>
      </c>
      <c r="U33" s="1054">
        <f t="shared" si="14"/>
        <v>0</v>
      </c>
      <c r="V33" s="1054">
        <f t="shared" si="14"/>
        <v>0</v>
      </c>
    </row>
    <row r="34" spans="1:22">
      <c r="A34" s="994">
        <v>28</v>
      </c>
      <c r="B34" s="995" t="s">
        <v>122</v>
      </c>
      <c r="C34" s="1196">
        <f>'[2]ALL-Reformatted'!U33</f>
        <v>0</v>
      </c>
      <c r="D34" s="1003">
        <f>'Table 3 Levels 1&amp;2'!BN36+'Table 3 Levels 1&amp;2'!BV36</f>
        <v>3106.8056522508969</v>
      </c>
      <c r="E34" s="1102">
        <f t="shared" si="2"/>
        <v>0</v>
      </c>
      <c r="F34" s="1102">
        <f>'Table 4 Level 3'!N33</f>
        <v>694.4</v>
      </c>
      <c r="G34" s="1102">
        <f t="shared" si="3"/>
        <v>0</v>
      </c>
      <c r="H34" s="1059">
        <f t="shared" si="4"/>
        <v>0</v>
      </c>
      <c r="I34" s="1112">
        <f t="shared" si="5"/>
        <v>0</v>
      </c>
      <c r="J34" s="1059">
        <f t="shared" si="6"/>
        <v>0</v>
      </c>
      <c r="K34" s="1059">
        <v>0</v>
      </c>
      <c r="L34" s="1059">
        <f t="shared" si="7"/>
        <v>0</v>
      </c>
      <c r="M34" s="1059">
        <f t="shared" si="8"/>
        <v>0</v>
      </c>
      <c r="N34" s="1051">
        <f>'[18]FY2012-13 Final'!K35</f>
        <v>5323</v>
      </c>
      <c r="O34" s="1053">
        <f t="shared" si="9"/>
        <v>0</v>
      </c>
      <c r="P34" s="1118">
        <f t="shared" si="10"/>
        <v>0</v>
      </c>
      <c r="Q34" s="1053">
        <f t="shared" si="11"/>
        <v>0</v>
      </c>
      <c r="R34" s="1053">
        <v>0</v>
      </c>
      <c r="S34" s="1053">
        <f t="shared" si="12"/>
        <v>0</v>
      </c>
      <c r="T34" s="1053">
        <f t="shared" si="13"/>
        <v>0</v>
      </c>
      <c r="U34" s="1054">
        <f t="shared" si="14"/>
        <v>0</v>
      </c>
      <c r="V34" s="1054">
        <f t="shared" si="14"/>
        <v>0</v>
      </c>
    </row>
    <row r="35" spans="1:22">
      <c r="A35" s="994">
        <v>29</v>
      </c>
      <c r="B35" s="995" t="s">
        <v>123</v>
      </c>
      <c r="C35" s="1196">
        <f>'[2]ALL-Reformatted'!U34</f>
        <v>0</v>
      </c>
      <c r="D35" s="1003">
        <f>'Table 3 Levels 1&amp;2'!BN37+'Table 3 Levels 1&amp;2'!BV37</f>
        <v>3912.1846976122315</v>
      </c>
      <c r="E35" s="1102">
        <f t="shared" si="2"/>
        <v>0</v>
      </c>
      <c r="F35" s="1102">
        <f>'Table 4 Level 3'!N34</f>
        <v>754.94999999999993</v>
      </c>
      <c r="G35" s="1102">
        <f t="shared" si="3"/>
        <v>0</v>
      </c>
      <c r="H35" s="1059">
        <f t="shared" si="4"/>
        <v>0</v>
      </c>
      <c r="I35" s="1112">
        <f t="shared" si="5"/>
        <v>0</v>
      </c>
      <c r="J35" s="1059">
        <f t="shared" si="6"/>
        <v>0</v>
      </c>
      <c r="K35" s="1059">
        <v>0</v>
      </c>
      <c r="L35" s="1059">
        <f t="shared" si="7"/>
        <v>0</v>
      </c>
      <c r="M35" s="1059">
        <f t="shared" si="8"/>
        <v>0</v>
      </c>
      <c r="N35" s="1051">
        <f>'[18]FY2012-13 Final'!K36</f>
        <v>4388</v>
      </c>
      <c r="O35" s="1053">
        <f t="shared" si="9"/>
        <v>0</v>
      </c>
      <c r="P35" s="1118">
        <f t="shared" si="10"/>
        <v>0</v>
      </c>
      <c r="Q35" s="1053">
        <f t="shared" si="11"/>
        <v>0</v>
      </c>
      <c r="R35" s="1053">
        <v>0</v>
      </c>
      <c r="S35" s="1053">
        <f t="shared" si="12"/>
        <v>0</v>
      </c>
      <c r="T35" s="1053">
        <f t="shared" si="13"/>
        <v>0</v>
      </c>
      <c r="U35" s="1054">
        <f t="shared" si="14"/>
        <v>0</v>
      </c>
      <c r="V35" s="1054">
        <f t="shared" si="14"/>
        <v>0</v>
      </c>
    </row>
    <row r="36" spans="1:22">
      <c r="A36" s="998">
        <v>30</v>
      </c>
      <c r="B36" s="999" t="s">
        <v>124</v>
      </c>
      <c r="C36" s="1197">
        <f>'[2]ALL-Reformatted'!U35</f>
        <v>0</v>
      </c>
      <c r="D36" s="1005">
        <f>'Table 3 Levels 1&amp;2'!BN38+'Table 3 Levels 1&amp;2'!BV38</f>
        <v>5594.0091640611508</v>
      </c>
      <c r="E36" s="1103">
        <f t="shared" si="2"/>
        <v>0</v>
      </c>
      <c r="F36" s="1103">
        <f>'Table 4 Level 3'!N35</f>
        <v>727.17</v>
      </c>
      <c r="G36" s="1103">
        <f t="shared" si="3"/>
        <v>0</v>
      </c>
      <c r="H36" s="1060">
        <f t="shared" si="4"/>
        <v>0</v>
      </c>
      <c r="I36" s="1113">
        <f t="shared" si="5"/>
        <v>0</v>
      </c>
      <c r="J36" s="1060">
        <f t="shared" si="6"/>
        <v>0</v>
      </c>
      <c r="K36" s="1060">
        <v>0</v>
      </c>
      <c r="L36" s="1060">
        <f t="shared" si="7"/>
        <v>0</v>
      </c>
      <c r="M36" s="1060">
        <f t="shared" si="8"/>
        <v>0</v>
      </c>
      <c r="N36" s="1056">
        <f>'[18]FY2012-13 Final'!K37</f>
        <v>3702</v>
      </c>
      <c r="O36" s="1057">
        <f t="shared" si="9"/>
        <v>0</v>
      </c>
      <c r="P36" s="1119">
        <f t="shared" si="10"/>
        <v>0</v>
      </c>
      <c r="Q36" s="1057">
        <f t="shared" si="11"/>
        <v>0</v>
      </c>
      <c r="R36" s="1057">
        <v>0</v>
      </c>
      <c r="S36" s="1057">
        <f t="shared" si="12"/>
        <v>0</v>
      </c>
      <c r="T36" s="1057">
        <f t="shared" si="13"/>
        <v>0</v>
      </c>
      <c r="U36" s="1058">
        <f t="shared" si="14"/>
        <v>0</v>
      </c>
      <c r="V36" s="1058">
        <f t="shared" si="14"/>
        <v>0</v>
      </c>
    </row>
    <row r="37" spans="1:22">
      <c r="A37" s="987">
        <v>31</v>
      </c>
      <c r="B37" s="988" t="s">
        <v>125</v>
      </c>
      <c r="C37" s="1198">
        <f>'[2]ALL-Reformatted'!U36</f>
        <v>0</v>
      </c>
      <c r="D37" s="1007">
        <f>'Table 3 Levels 1&amp;2'!BN39+'Table 3 Levels 1&amp;2'!BV39</f>
        <v>4320.114188911979</v>
      </c>
      <c r="E37" s="1104">
        <f t="shared" si="2"/>
        <v>0</v>
      </c>
      <c r="F37" s="1104">
        <f>'Table 4 Level 3'!N36</f>
        <v>620.83000000000004</v>
      </c>
      <c r="G37" s="1104">
        <f t="shared" si="3"/>
        <v>0</v>
      </c>
      <c r="H37" s="1061">
        <f t="shared" si="4"/>
        <v>0</v>
      </c>
      <c r="I37" s="1114">
        <f t="shared" si="5"/>
        <v>0</v>
      </c>
      <c r="J37" s="1061">
        <f t="shared" si="6"/>
        <v>0</v>
      </c>
      <c r="K37" s="1061">
        <v>0</v>
      </c>
      <c r="L37" s="1061">
        <f t="shared" si="7"/>
        <v>0</v>
      </c>
      <c r="M37" s="1061">
        <f t="shared" si="8"/>
        <v>0</v>
      </c>
      <c r="N37" s="1051">
        <f>'[18]FY2012-13 Final'!K38</f>
        <v>4669</v>
      </c>
      <c r="O37" s="992">
        <f t="shared" si="9"/>
        <v>0</v>
      </c>
      <c r="P37" s="1117">
        <f t="shared" si="10"/>
        <v>0</v>
      </c>
      <c r="Q37" s="992">
        <f t="shared" si="11"/>
        <v>0</v>
      </c>
      <c r="R37" s="992">
        <v>0</v>
      </c>
      <c r="S37" s="992">
        <f t="shared" si="12"/>
        <v>0</v>
      </c>
      <c r="T37" s="992">
        <f t="shared" si="13"/>
        <v>0</v>
      </c>
      <c r="U37" s="993">
        <f t="shared" si="14"/>
        <v>0</v>
      </c>
      <c r="V37" s="993">
        <f t="shared" si="14"/>
        <v>0</v>
      </c>
    </row>
    <row r="38" spans="1:22">
      <c r="A38" s="994">
        <v>32</v>
      </c>
      <c r="B38" s="995" t="s">
        <v>126</v>
      </c>
      <c r="C38" s="1196">
        <f>'[2]ALL-Reformatted'!U37</f>
        <v>0</v>
      </c>
      <c r="D38" s="1003">
        <f>'Table 3 Levels 1&amp;2'!BN40+'Table 3 Levels 1&amp;2'!BV40</f>
        <v>5504.4479209353676</v>
      </c>
      <c r="E38" s="1102">
        <f t="shared" si="2"/>
        <v>0</v>
      </c>
      <c r="F38" s="1102">
        <f>'Table 4 Level 3'!N37</f>
        <v>559.77</v>
      </c>
      <c r="G38" s="1102">
        <f t="shared" si="3"/>
        <v>0</v>
      </c>
      <c r="H38" s="1059">
        <f t="shared" si="4"/>
        <v>0</v>
      </c>
      <c r="I38" s="1112">
        <f t="shared" si="5"/>
        <v>0</v>
      </c>
      <c r="J38" s="1059">
        <f t="shared" si="6"/>
        <v>0</v>
      </c>
      <c r="K38" s="1059">
        <v>0</v>
      </c>
      <c r="L38" s="1059">
        <f t="shared" si="7"/>
        <v>0</v>
      </c>
      <c r="M38" s="1059">
        <f t="shared" si="8"/>
        <v>0</v>
      </c>
      <c r="N38" s="1051">
        <f>'[18]FY2012-13 Final'!K39</f>
        <v>1965</v>
      </c>
      <c r="O38" s="1053">
        <f t="shared" si="9"/>
        <v>0</v>
      </c>
      <c r="P38" s="1118">
        <f t="shared" si="10"/>
        <v>0</v>
      </c>
      <c r="Q38" s="1053">
        <f t="shared" si="11"/>
        <v>0</v>
      </c>
      <c r="R38" s="1053">
        <v>0</v>
      </c>
      <c r="S38" s="1053">
        <f t="shared" si="12"/>
        <v>0</v>
      </c>
      <c r="T38" s="1053">
        <f t="shared" si="13"/>
        <v>0</v>
      </c>
      <c r="U38" s="1054">
        <f t="shared" si="14"/>
        <v>0</v>
      </c>
      <c r="V38" s="1054">
        <f t="shared" si="14"/>
        <v>0</v>
      </c>
    </row>
    <row r="39" spans="1:22">
      <c r="A39" s="994">
        <v>33</v>
      </c>
      <c r="B39" s="995" t="s">
        <v>127</v>
      </c>
      <c r="C39" s="1196">
        <f>'[2]ALL-Reformatted'!U38</f>
        <v>0</v>
      </c>
      <c r="D39" s="1003">
        <f>'Table 3 Levels 1&amp;2'!BN41+'Table 3 Levels 1&amp;2'!BV41</f>
        <v>5322.07272511876</v>
      </c>
      <c r="E39" s="1102">
        <f t="shared" si="2"/>
        <v>0</v>
      </c>
      <c r="F39" s="1102">
        <f>'Table 4 Level 3'!N38</f>
        <v>655.31000000000006</v>
      </c>
      <c r="G39" s="1102">
        <f t="shared" si="3"/>
        <v>0</v>
      </c>
      <c r="H39" s="1059">
        <f t="shared" si="4"/>
        <v>0</v>
      </c>
      <c r="I39" s="1112">
        <f t="shared" si="5"/>
        <v>0</v>
      </c>
      <c r="J39" s="1059">
        <f t="shared" si="6"/>
        <v>0</v>
      </c>
      <c r="K39" s="1059">
        <v>0</v>
      </c>
      <c r="L39" s="1059">
        <f t="shared" si="7"/>
        <v>0</v>
      </c>
      <c r="M39" s="1059">
        <f t="shared" si="8"/>
        <v>0</v>
      </c>
      <c r="N39" s="1051">
        <f>'[18]FY2012-13 Final'!K40</f>
        <v>2771</v>
      </c>
      <c r="O39" s="1053">
        <f t="shared" si="9"/>
        <v>0</v>
      </c>
      <c r="P39" s="1118">
        <f t="shared" si="10"/>
        <v>0</v>
      </c>
      <c r="Q39" s="1053">
        <f t="shared" si="11"/>
        <v>0</v>
      </c>
      <c r="R39" s="1053">
        <v>0</v>
      </c>
      <c r="S39" s="1053">
        <f t="shared" si="12"/>
        <v>0</v>
      </c>
      <c r="T39" s="1053">
        <f t="shared" si="13"/>
        <v>0</v>
      </c>
      <c r="U39" s="1054">
        <f t="shared" si="14"/>
        <v>0</v>
      </c>
      <c r="V39" s="1054">
        <f t="shared" si="14"/>
        <v>0</v>
      </c>
    </row>
    <row r="40" spans="1:22">
      <c r="A40" s="994">
        <v>34</v>
      </c>
      <c r="B40" s="995" t="s">
        <v>128</v>
      </c>
      <c r="C40" s="1196">
        <f>'[2]ALL-Reformatted'!U39</f>
        <v>0</v>
      </c>
      <c r="D40" s="1003">
        <f>'Table 3 Levels 1&amp;2'!BN42+'Table 3 Levels 1&amp;2'!BV42</f>
        <v>5959.062840731639</v>
      </c>
      <c r="E40" s="1102">
        <f t="shared" si="2"/>
        <v>0</v>
      </c>
      <c r="F40" s="1102">
        <f>'Table 4 Level 3'!N39</f>
        <v>644.11000000000013</v>
      </c>
      <c r="G40" s="1102">
        <f t="shared" si="3"/>
        <v>0</v>
      </c>
      <c r="H40" s="1059">
        <f t="shared" si="4"/>
        <v>0</v>
      </c>
      <c r="I40" s="1112">
        <f t="shared" si="5"/>
        <v>0</v>
      </c>
      <c r="J40" s="1059">
        <f t="shared" si="6"/>
        <v>0</v>
      </c>
      <c r="K40" s="1059">
        <v>0</v>
      </c>
      <c r="L40" s="1059">
        <f t="shared" si="7"/>
        <v>0</v>
      </c>
      <c r="M40" s="1059">
        <f t="shared" si="8"/>
        <v>0</v>
      </c>
      <c r="N40" s="1051">
        <f>'[18]FY2012-13 Final'!K41</f>
        <v>2758</v>
      </c>
      <c r="O40" s="1053">
        <f t="shared" si="9"/>
        <v>0</v>
      </c>
      <c r="P40" s="1118">
        <f t="shared" si="10"/>
        <v>0</v>
      </c>
      <c r="Q40" s="1053">
        <f t="shared" si="11"/>
        <v>0</v>
      </c>
      <c r="R40" s="1053">
        <v>0</v>
      </c>
      <c r="S40" s="1053">
        <f t="shared" si="12"/>
        <v>0</v>
      </c>
      <c r="T40" s="1053">
        <f t="shared" si="13"/>
        <v>0</v>
      </c>
      <c r="U40" s="1054">
        <f t="shared" si="14"/>
        <v>0</v>
      </c>
      <c r="V40" s="1054">
        <f t="shared" si="14"/>
        <v>0</v>
      </c>
    </row>
    <row r="41" spans="1:22">
      <c r="A41" s="998">
        <v>35</v>
      </c>
      <c r="B41" s="999" t="s">
        <v>129</v>
      </c>
      <c r="C41" s="1197">
        <f>'[2]ALL-Reformatted'!U40</f>
        <v>0</v>
      </c>
      <c r="D41" s="1005">
        <f>'Table 3 Levels 1&amp;2'!BN43+'Table 3 Levels 1&amp;2'!BV43</f>
        <v>4571.947611490059</v>
      </c>
      <c r="E41" s="1103">
        <f t="shared" si="2"/>
        <v>0</v>
      </c>
      <c r="F41" s="1103">
        <f>'Table 4 Level 3'!N40</f>
        <v>537.96</v>
      </c>
      <c r="G41" s="1103">
        <f t="shared" si="3"/>
        <v>0</v>
      </c>
      <c r="H41" s="1060">
        <f t="shared" si="4"/>
        <v>0</v>
      </c>
      <c r="I41" s="1113">
        <f t="shared" si="5"/>
        <v>0</v>
      </c>
      <c r="J41" s="1060">
        <f t="shared" si="6"/>
        <v>0</v>
      </c>
      <c r="K41" s="1060">
        <v>0</v>
      </c>
      <c r="L41" s="1060">
        <f t="shared" si="7"/>
        <v>0</v>
      </c>
      <c r="M41" s="1060">
        <f t="shared" si="8"/>
        <v>0</v>
      </c>
      <c r="N41" s="1056">
        <f>'[18]FY2012-13 Final'!K42</f>
        <v>3603</v>
      </c>
      <c r="O41" s="1057">
        <f t="shared" si="9"/>
        <v>0</v>
      </c>
      <c r="P41" s="1119">
        <f t="shared" si="10"/>
        <v>0</v>
      </c>
      <c r="Q41" s="1057">
        <f t="shared" si="11"/>
        <v>0</v>
      </c>
      <c r="R41" s="1057">
        <v>0</v>
      </c>
      <c r="S41" s="1057">
        <f t="shared" si="12"/>
        <v>0</v>
      </c>
      <c r="T41" s="1057">
        <f t="shared" si="13"/>
        <v>0</v>
      </c>
      <c r="U41" s="1058">
        <f t="shared" si="14"/>
        <v>0</v>
      </c>
      <c r="V41" s="1058">
        <f t="shared" si="14"/>
        <v>0</v>
      </c>
    </row>
    <row r="42" spans="1:22">
      <c r="A42" s="987">
        <v>36</v>
      </c>
      <c r="B42" s="988" t="s">
        <v>130</v>
      </c>
      <c r="C42" s="1198">
        <f>'[2]ALL-Reformatted'!U41</f>
        <v>0</v>
      </c>
      <c r="D42" s="1007">
        <f>'Table 3 Levels 1&amp;2'!BN44+'Table 3 Levels 1&amp;2'!BV44</f>
        <v>3666.4136012725312</v>
      </c>
      <c r="E42" s="1104">
        <f t="shared" si="2"/>
        <v>0</v>
      </c>
      <c r="F42" s="1104">
        <f>'Table 5B1_RSD_Orleans'!F78</f>
        <v>746.0335616438357</v>
      </c>
      <c r="G42" s="1104">
        <f t="shared" si="3"/>
        <v>0</v>
      </c>
      <c r="H42" s="1061">
        <f t="shared" si="4"/>
        <v>0</v>
      </c>
      <c r="I42" s="1114">
        <f t="shared" si="5"/>
        <v>0</v>
      </c>
      <c r="J42" s="1061">
        <f t="shared" si="6"/>
        <v>0</v>
      </c>
      <c r="K42" s="1061">
        <v>0</v>
      </c>
      <c r="L42" s="1061">
        <f t="shared" si="7"/>
        <v>0</v>
      </c>
      <c r="M42" s="1061">
        <f t="shared" si="8"/>
        <v>0</v>
      </c>
      <c r="N42" s="1051">
        <f>'[18]FY2012-13 Final'!K43</f>
        <v>4601</v>
      </c>
      <c r="O42" s="992">
        <f t="shared" si="9"/>
        <v>0</v>
      </c>
      <c r="P42" s="1117">
        <f t="shared" si="10"/>
        <v>0</v>
      </c>
      <c r="Q42" s="992">
        <f t="shared" si="11"/>
        <v>0</v>
      </c>
      <c r="R42" s="992">
        <v>0</v>
      </c>
      <c r="S42" s="992">
        <f t="shared" si="12"/>
        <v>0</v>
      </c>
      <c r="T42" s="992">
        <f t="shared" si="13"/>
        <v>0</v>
      </c>
      <c r="U42" s="993">
        <f t="shared" si="14"/>
        <v>0</v>
      </c>
      <c r="V42" s="993">
        <f t="shared" si="14"/>
        <v>0</v>
      </c>
    </row>
    <row r="43" spans="1:22">
      <c r="A43" s="994">
        <v>37</v>
      </c>
      <c r="B43" s="995" t="s">
        <v>131</v>
      </c>
      <c r="C43" s="1196">
        <f>'[2]ALL-Reformatted'!U42</f>
        <v>0</v>
      </c>
      <c r="D43" s="1003">
        <f>'Table 3 Levels 1&amp;2'!BN45+'Table 3 Levels 1&amp;2'!BV45</f>
        <v>5484.8089042263191</v>
      </c>
      <c r="E43" s="1102">
        <f t="shared" si="2"/>
        <v>0</v>
      </c>
      <c r="F43" s="1102">
        <f>'Table 4 Level 3'!N42</f>
        <v>653.61</v>
      </c>
      <c r="G43" s="1102">
        <f t="shared" si="3"/>
        <v>0</v>
      </c>
      <c r="H43" s="1059">
        <f t="shared" si="4"/>
        <v>0</v>
      </c>
      <c r="I43" s="1112">
        <f t="shared" si="5"/>
        <v>0</v>
      </c>
      <c r="J43" s="1059">
        <f t="shared" si="6"/>
        <v>0</v>
      </c>
      <c r="K43" s="1059">
        <v>0</v>
      </c>
      <c r="L43" s="1059">
        <f t="shared" si="7"/>
        <v>0</v>
      </c>
      <c r="M43" s="1059">
        <f t="shared" si="8"/>
        <v>0</v>
      </c>
      <c r="N43" s="1051">
        <f>'[18]FY2012-13 Final'!K44</f>
        <v>3099</v>
      </c>
      <c r="O43" s="1053">
        <f t="shared" si="9"/>
        <v>0</v>
      </c>
      <c r="P43" s="1118">
        <f t="shared" si="10"/>
        <v>0</v>
      </c>
      <c r="Q43" s="1053">
        <f t="shared" si="11"/>
        <v>0</v>
      </c>
      <c r="R43" s="1053">
        <v>0</v>
      </c>
      <c r="S43" s="1053">
        <f t="shared" si="12"/>
        <v>0</v>
      </c>
      <c r="T43" s="1053">
        <f t="shared" si="13"/>
        <v>0</v>
      </c>
      <c r="U43" s="1054">
        <f t="shared" si="14"/>
        <v>0</v>
      </c>
      <c r="V43" s="1054">
        <f t="shared" si="14"/>
        <v>0</v>
      </c>
    </row>
    <row r="44" spans="1:22">
      <c r="A44" s="994">
        <v>38</v>
      </c>
      <c r="B44" s="995" t="s">
        <v>132</v>
      </c>
      <c r="C44" s="1196">
        <f>'[2]ALL-Reformatted'!U43</f>
        <v>0</v>
      </c>
      <c r="D44" s="1003">
        <f>'Table 3 Levels 1&amp;2'!BN46+'Table 3 Levels 1&amp;2'!BV46</f>
        <v>2078.5917829727841</v>
      </c>
      <c r="E44" s="1102">
        <f t="shared" si="2"/>
        <v>0</v>
      </c>
      <c r="F44" s="1102">
        <f>'Table 4 Level 3'!N43</f>
        <v>829.92000000000007</v>
      </c>
      <c r="G44" s="1102">
        <f t="shared" si="3"/>
        <v>0</v>
      </c>
      <c r="H44" s="1059">
        <f t="shared" si="4"/>
        <v>0</v>
      </c>
      <c r="I44" s="1112">
        <f t="shared" si="5"/>
        <v>0</v>
      </c>
      <c r="J44" s="1059">
        <f t="shared" si="6"/>
        <v>0</v>
      </c>
      <c r="K44" s="1059">
        <v>0</v>
      </c>
      <c r="L44" s="1059">
        <f t="shared" si="7"/>
        <v>0</v>
      </c>
      <c r="M44" s="1059">
        <f t="shared" si="8"/>
        <v>0</v>
      </c>
      <c r="N44" s="1051">
        <f>'[18]FY2012-13 Final'!K45</f>
        <v>9674</v>
      </c>
      <c r="O44" s="1053">
        <f t="shared" si="9"/>
        <v>0</v>
      </c>
      <c r="P44" s="1118">
        <f t="shared" si="10"/>
        <v>0</v>
      </c>
      <c r="Q44" s="1053">
        <f t="shared" si="11"/>
        <v>0</v>
      </c>
      <c r="R44" s="1053">
        <v>0</v>
      </c>
      <c r="S44" s="1053">
        <f t="shared" si="12"/>
        <v>0</v>
      </c>
      <c r="T44" s="1053">
        <f t="shared" si="13"/>
        <v>0</v>
      </c>
      <c r="U44" s="1054">
        <f t="shared" si="14"/>
        <v>0</v>
      </c>
      <c r="V44" s="1054">
        <f t="shared" si="14"/>
        <v>0</v>
      </c>
    </row>
    <row r="45" spans="1:22">
      <c r="A45" s="994">
        <v>39</v>
      </c>
      <c r="B45" s="995" t="s">
        <v>133</v>
      </c>
      <c r="C45" s="1196">
        <f>'[2]ALL-Reformatted'!U44</f>
        <v>0</v>
      </c>
      <c r="D45" s="1003">
        <f>'Table 3 Levels 1&amp;2'!BN47+'Table 3 Levels 1&amp;2'!BV47</f>
        <v>3622.4878999042335</v>
      </c>
      <c r="E45" s="1102">
        <f t="shared" si="2"/>
        <v>0</v>
      </c>
      <c r="F45" s="1102">
        <f>'Table 5B2_RSD_LA'!F21</f>
        <v>779.65573042776441</v>
      </c>
      <c r="G45" s="1102">
        <f t="shared" si="3"/>
        <v>0</v>
      </c>
      <c r="H45" s="1059">
        <f t="shared" si="4"/>
        <v>0</v>
      </c>
      <c r="I45" s="1112">
        <f t="shared" si="5"/>
        <v>0</v>
      </c>
      <c r="J45" s="1059">
        <f t="shared" si="6"/>
        <v>0</v>
      </c>
      <c r="K45" s="1059">
        <v>0</v>
      </c>
      <c r="L45" s="1059">
        <f t="shared" si="7"/>
        <v>0</v>
      </c>
      <c r="M45" s="1059">
        <f t="shared" si="8"/>
        <v>0</v>
      </c>
      <c r="N45" s="1051">
        <f>'[18]FY2012-13 Final'!K46</f>
        <v>4277</v>
      </c>
      <c r="O45" s="1053">
        <f t="shared" si="9"/>
        <v>0</v>
      </c>
      <c r="P45" s="1118">
        <f t="shared" si="10"/>
        <v>0</v>
      </c>
      <c r="Q45" s="1053">
        <f t="shared" si="11"/>
        <v>0</v>
      </c>
      <c r="R45" s="1053">
        <v>0</v>
      </c>
      <c r="S45" s="1053">
        <f t="shared" si="12"/>
        <v>0</v>
      </c>
      <c r="T45" s="1053">
        <f t="shared" si="13"/>
        <v>0</v>
      </c>
      <c r="U45" s="1054">
        <f t="shared" si="14"/>
        <v>0</v>
      </c>
      <c r="V45" s="1054">
        <f t="shared" si="14"/>
        <v>0</v>
      </c>
    </row>
    <row r="46" spans="1:22">
      <c r="A46" s="998">
        <v>40</v>
      </c>
      <c r="B46" s="999" t="s">
        <v>134</v>
      </c>
      <c r="C46" s="1197">
        <f>'[2]ALL-Reformatted'!U45</f>
        <v>0</v>
      </c>
      <c r="D46" s="1005">
        <f>'Table 3 Levels 1&amp;2'!BN48+'Table 3 Levels 1&amp;2'!BV48</f>
        <v>4885.6387343180086</v>
      </c>
      <c r="E46" s="1103">
        <f t="shared" si="2"/>
        <v>0</v>
      </c>
      <c r="F46" s="1103">
        <f>'Table 4 Level 3'!N45</f>
        <v>700.2700000000001</v>
      </c>
      <c r="G46" s="1103">
        <f t="shared" si="3"/>
        <v>0</v>
      </c>
      <c r="H46" s="1060">
        <f t="shared" si="4"/>
        <v>0</v>
      </c>
      <c r="I46" s="1113">
        <f t="shared" si="5"/>
        <v>0</v>
      </c>
      <c r="J46" s="1060">
        <f t="shared" si="6"/>
        <v>0</v>
      </c>
      <c r="K46" s="1060">
        <v>0</v>
      </c>
      <c r="L46" s="1060">
        <f t="shared" si="7"/>
        <v>0</v>
      </c>
      <c r="M46" s="1060">
        <f t="shared" si="8"/>
        <v>0</v>
      </c>
      <c r="N46" s="1056">
        <f>'[18]FY2012-13 Final'!K47</f>
        <v>2921</v>
      </c>
      <c r="O46" s="1057">
        <f t="shared" si="9"/>
        <v>0</v>
      </c>
      <c r="P46" s="1119">
        <f t="shared" si="10"/>
        <v>0</v>
      </c>
      <c r="Q46" s="1057">
        <f t="shared" si="11"/>
        <v>0</v>
      </c>
      <c r="R46" s="1057">
        <v>0</v>
      </c>
      <c r="S46" s="1057">
        <f t="shared" si="12"/>
        <v>0</v>
      </c>
      <c r="T46" s="1057">
        <f t="shared" si="13"/>
        <v>0</v>
      </c>
      <c r="U46" s="1058">
        <f t="shared" si="14"/>
        <v>0</v>
      </c>
      <c r="V46" s="1058">
        <f t="shared" si="14"/>
        <v>0</v>
      </c>
    </row>
    <row r="47" spans="1:22">
      <c r="A47" s="987">
        <v>41</v>
      </c>
      <c r="B47" s="988" t="s">
        <v>135</v>
      </c>
      <c r="C47" s="1198">
        <f>'[2]ALL-Reformatted'!U46</f>
        <v>0</v>
      </c>
      <c r="D47" s="1007">
        <f>'Table 3 Levels 1&amp;2'!BN49+'Table 3 Levels 1&amp;2'!BV49</f>
        <v>1602.0398121899364</v>
      </c>
      <c r="E47" s="1104">
        <f t="shared" si="2"/>
        <v>0</v>
      </c>
      <c r="F47" s="1104">
        <f>'Table 4 Level 3'!N46</f>
        <v>886.22</v>
      </c>
      <c r="G47" s="1104">
        <f t="shared" si="3"/>
        <v>0</v>
      </c>
      <c r="H47" s="1061">
        <f t="shared" si="4"/>
        <v>0</v>
      </c>
      <c r="I47" s="1114">
        <f t="shared" si="5"/>
        <v>0</v>
      </c>
      <c r="J47" s="1061">
        <f t="shared" si="6"/>
        <v>0</v>
      </c>
      <c r="K47" s="1061">
        <v>0</v>
      </c>
      <c r="L47" s="1061">
        <f t="shared" si="7"/>
        <v>0</v>
      </c>
      <c r="M47" s="1061">
        <f t="shared" si="8"/>
        <v>0</v>
      </c>
      <c r="N47" s="1051">
        <f>'[18]FY2012-13 Final'!K48</f>
        <v>12026</v>
      </c>
      <c r="O47" s="992">
        <f t="shared" si="9"/>
        <v>0</v>
      </c>
      <c r="P47" s="1117">
        <f t="shared" si="10"/>
        <v>0</v>
      </c>
      <c r="Q47" s="992">
        <f t="shared" si="11"/>
        <v>0</v>
      </c>
      <c r="R47" s="992">
        <v>0</v>
      </c>
      <c r="S47" s="992">
        <f t="shared" si="12"/>
        <v>0</v>
      </c>
      <c r="T47" s="992">
        <f t="shared" si="13"/>
        <v>0</v>
      </c>
      <c r="U47" s="993">
        <f t="shared" si="14"/>
        <v>0</v>
      </c>
      <c r="V47" s="993">
        <f t="shared" si="14"/>
        <v>0</v>
      </c>
    </row>
    <row r="48" spans="1:22">
      <c r="A48" s="994">
        <v>42</v>
      </c>
      <c r="B48" s="995" t="s">
        <v>136</v>
      </c>
      <c r="C48" s="1196">
        <f>'[2]ALL-Reformatted'!U47</f>
        <v>0</v>
      </c>
      <c r="D48" s="1003">
        <f>'Table 3 Levels 1&amp;2'!BN50+'Table 3 Levels 1&amp;2'!BV50</f>
        <v>5098.6172346404755</v>
      </c>
      <c r="E48" s="1102">
        <f t="shared" si="2"/>
        <v>0</v>
      </c>
      <c r="F48" s="1102">
        <f>'Table 4 Level 3'!N47</f>
        <v>534.28</v>
      </c>
      <c r="G48" s="1102">
        <f t="shared" si="3"/>
        <v>0</v>
      </c>
      <c r="H48" s="1059">
        <f t="shared" si="4"/>
        <v>0</v>
      </c>
      <c r="I48" s="1112">
        <f t="shared" si="5"/>
        <v>0</v>
      </c>
      <c r="J48" s="1059">
        <f t="shared" si="6"/>
        <v>0</v>
      </c>
      <c r="K48" s="1059">
        <v>0</v>
      </c>
      <c r="L48" s="1059">
        <f t="shared" si="7"/>
        <v>0</v>
      </c>
      <c r="M48" s="1059">
        <f t="shared" si="8"/>
        <v>0</v>
      </c>
      <c r="N48" s="1051">
        <f>'[18]FY2012-13 Final'!K49</f>
        <v>2554</v>
      </c>
      <c r="O48" s="1053">
        <f t="shared" si="9"/>
        <v>0</v>
      </c>
      <c r="P48" s="1118">
        <f t="shared" si="10"/>
        <v>0</v>
      </c>
      <c r="Q48" s="1053">
        <f t="shared" si="11"/>
        <v>0</v>
      </c>
      <c r="R48" s="1053">
        <v>0</v>
      </c>
      <c r="S48" s="1053">
        <f t="shared" si="12"/>
        <v>0</v>
      </c>
      <c r="T48" s="1053">
        <f t="shared" si="13"/>
        <v>0</v>
      </c>
      <c r="U48" s="1054">
        <f t="shared" si="14"/>
        <v>0</v>
      </c>
      <c r="V48" s="1054">
        <f t="shared" si="14"/>
        <v>0</v>
      </c>
    </row>
    <row r="49" spans="1:22">
      <c r="A49" s="994">
        <v>43</v>
      </c>
      <c r="B49" s="995" t="s">
        <v>137</v>
      </c>
      <c r="C49" s="1196">
        <f>'[2]ALL-Reformatted'!U48</f>
        <v>0</v>
      </c>
      <c r="D49" s="1003">
        <f>'Table 3 Levels 1&amp;2'!BN51+'Table 3 Levels 1&amp;2'!BV51</f>
        <v>4701.3362575004667</v>
      </c>
      <c r="E49" s="1102">
        <f t="shared" si="2"/>
        <v>0</v>
      </c>
      <c r="F49" s="1102">
        <f>'Table 4 Level 3'!N48</f>
        <v>574.6099999999999</v>
      </c>
      <c r="G49" s="1102">
        <f t="shared" si="3"/>
        <v>0</v>
      </c>
      <c r="H49" s="1059">
        <f t="shared" si="4"/>
        <v>0</v>
      </c>
      <c r="I49" s="1112">
        <f t="shared" si="5"/>
        <v>0</v>
      </c>
      <c r="J49" s="1059">
        <f t="shared" si="6"/>
        <v>0</v>
      </c>
      <c r="K49" s="1059">
        <v>0</v>
      </c>
      <c r="L49" s="1059">
        <f t="shared" si="7"/>
        <v>0</v>
      </c>
      <c r="M49" s="1059">
        <f t="shared" si="8"/>
        <v>0</v>
      </c>
      <c r="N49" s="1051">
        <f>'[18]FY2012-13 Final'!K50</f>
        <v>5265</v>
      </c>
      <c r="O49" s="1053">
        <f t="shared" si="9"/>
        <v>0</v>
      </c>
      <c r="P49" s="1118">
        <f t="shared" si="10"/>
        <v>0</v>
      </c>
      <c r="Q49" s="1053">
        <f t="shared" si="11"/>
        <v>0</v>
      </c>
      <c r="R49" s="1053">
        <v>0</v>
      </c>
      <c r="S49" s="1053">
        <f t="shared" si="12"/>
        <v>0</v>
      </c>
      <c r="T49" s="1053">
        <f t="shared" si="13"/>
        <v>0</v>
      </c>
      <c r="U49" s="1054">
        <f t="shared" si="14"/>
        <v>0</v>
      </c>
      <c r="V49" s="1054">
        <f t="shared" si="14"/>
        <v>0</v>
      </c>
    </row>
    <row r="50" spans="1:22">
      <c r="A50" s="994">
        <v>44</v>
      </c>
      <c r="B50" s="995" t="s">
        <v>138</v>
      </c>
      <c r="C50" s="1196">
        <f>'[2]ALL-Reformatted'!U49</f>
        <v>0</v>
      </c>
      <c r="D50" s="1003">
        <f>'Table 3 Levels 1&amp;2'!BN52+'Table 3 Levels 1&amp;2'!BV52</f>
        <v>4649.5559521248724</v>
      </c>
      <c r="E50" s="1102">
        <f t="shared" si="2"/>
        <v>0</v>
      </c>
      <c r="F50" s="1102">
        <f>'Table 4 Level 3'!N49</f>
        <v>663.16000000000008</v>
      </c>
      <c r="G50" s="1102">
        <f t="shared" si="3"/>
        <v>0</v>
      </c>
      <c r="H50" s="1059">
        <f t="shared" si="4"/>
        <v>0</v>
      </c>
      <c r="I50" s="1112">
        <f t="shared" si="5"/>
        <v>0</v>
      </c>
      <c r="J50" s="1059">
        <f t="shared" si="6"/>
        <v>0</v>
      </c>
      <c r="K50" s="1059">
        <v>0</v>
      </c>
      <c r="L50" s="1059">
        <f t="shared" si="7"/>
        <v>0</v>
      </c>
      <c r="M50" s="1059">
        <f t="shared" si="8"/>
        <v>0</v>
      </c>
      <c r="N50" s="1051">
        <f>'[18]FY2012-13 Final'!K51</f>
        <v>4109</v>
      </c>
      <c r="O50" s="1053">
        <f t="shared" si="9"/>
        <v>0</v>
      </c>
      <c r="P50" s="1118">
        <f t="shared" si="10"/>
        <v>0</v>
      </c>
      <c r="Q50" s="1053">
        <f t="shared" si="11"/>
        <v>0</v>
      </c>
      <c r="R50" s="1053">
        <v>0</v>
      </c>
      <c r="S50" s="1053">
        <f t="shared" si="12"/>
        <v>0</v>
      </c>
      <c r="T50" s="1053">
        <f t="shared" si="13"/>
        <v>0</v>
      </c>
      <c r="U50" s="1054">
        <f t="shared" si="14"/>
        <v>0</v>
      </c>
      <c r="V50" s="1054">
        <f t="shared" si="14"/>
        <v>0</v>
      </c>
    </row>
    <row r="51" spans="1:22">
      <c r="A51" s="998">
        <v>45</v>
      </c>
      <c r="B51" s="999" t="s">
        <v>139</v>
      </c>
      <c r="C51" s="1197">
        <f>'[2]ALL-Reformatted'!U50</f>
        <v>0</v>
      </c>
      <c r="D51" s="1005">
        <f>'Table 3 Levels 1&amp;2'!BN53+'Table 3 Levels 1&amp;2'!BV53</f>
        <v>2159.257884231537</v>
      </c>
      <c r="E51" s="1103">
        <f t="shared" si="2"/>
        <v>0</v>
      </c>
      <c r="F51" s="1103">
        <f>'Table 4 Level 3'!N50</f>
        <v>753.96000000000015</v>
      </c>
      <c r="G51" s="1103">
        <f t="shared" si="3"/>
        <v>0</v>
      </c>
      <c r="H51" s="1060">
        <f t="shared" si="4"/>
        <v>0</v>
      </c>
      <c r="I51" s="1113">
        <f t="shared" si="5"/>
        <v>0</v>
      </c>
      <c r="J51" s="1060">
        <f t="shared" si="6"/>
        <v>0</v>
      </c>
      <c r="K51" s="1060">
        <v>0</v>
      </c>
      <c r="L51" s="1060">
        <f t="shared" si="7"/>
        <v>0</v>
      </c>
      <c r="M51" s="1060">
        <f t="shared" si="8"/>
        <v>0</v>
      </c>
      <c r="N51" s="1056">
        <f>'[18]FY2012-13 Final'!K52</f>
        <v>12427</v>
      </c>
      <c r="O51" s="1057">
        <f t="shared" si="9"/>
        <v>0</v>
      </c>
      <c r="P51" s="1119">
        <f t="shared" si="10"/>
        <v>0</v>
      </c>
      <c r="Q51" s="1057">
        <f t="shared" si="11"/>
        <v>0</v>
      </c>
      <c r="R51" s="1057">
        <v>0</v>
      </c>
      <c r="S51" s="1057">
        <f t="shared" si="12"/>
        <v>0</v>
      </c>
      <c r="T51" s="1057">
        <f t="shared" si="13"/>
        <v>0</v>
      </c>
      <c r="U51" s="1058">
        <f t="shared" si="14"/>
        <v>0</v>
      </c>
      <c r="V51" s="1058">
        <f t="shared" si="14"/>
        <v>0</v>
      </c>
    </row>
    <row r="52" spans="1:22">
      <c r="A52" s="987">
        <v>46</v>
      </c>
      <c r="B52" s="988" t="s">
        <v>140</v>
      </c>
      <c r="C52" s="1198">
        <f>'[2]ALL-Reformatted'!U51</f>
        <v>0</v>
      </c>
      <c r="D52" s="1007">
        <f>'Table 3 Levels 1&amp;2'!BN54+'Table 3 Levels 1&amp;2'!BV54</f>
        <v>5578.7258135108641</v>
      </c>
      <c r="E52" s="1104">
        <f t="shared" si="2"/>
        <v>0</v>
      </c>
      <c r="F52" s="1104">
        <f>'Table 4 Level 3'!N51</f>
        <v>728.06</v>
      </c>
      <c r="G52" s="1104">
        <f t="shared" si="3"/>
        <v>0</v>
      </c>
      <c r="H52" s="1061">
        <f t="shared" si="4"/>
        <v>0</v>
      </c>
      <c r="I52" s="1114">
        <f t="shared" si="5"/>
        <v>0</v>
      </c>
      <c r="J52" s="1061">
        <f t="shared" si="6"/>
        <v>0</v>
      </c>
      <c r="K52" s="1061">
        <v>0</v>
      </c>
      <c r="L52" s="1061">
        <f t="shared" si="7"/>
        <v>0</v>
      </c>
      <c r="M52" s="1061">
        <f t="shared" si="8"/>
        <v>0</v>
      </c>
      <c r="N52" s="1051">
        <f>'[18]FY2012-13 Final'!K53</f>
        <v>1968</v>
      </c>
      <c r="O52" s="992">
        <f t="shared" si="9"/>
        <v>0</v>
      </c>
      <c r="P52" s="1117">
        <f t="shared" si="10"/>
        <v>0</v>
      </c>
      <c r="Q52" s="992">
        <f t="shared" si="11"/>
        <v>0</v>
      </c>
      <c r="R52" s="992">
        <v>0</v>
      </c>
      <c r="S52" s="992">
        <f t="shared" si="12"/>
        <v>0</v>
      </c>
      <c r="T52" s="992">
        <f t="shared" si="13"/>
        <v>0</v>
      </c>
      <c r="U52" s="993">
        <f t="shared" si="14"/>
        <v>0</v>
      </c>
      <c r="V52" s="993">
        <f t="shared" si="14"/>
        <v>0</v>
      </c>
    </row>
    <row r="53" spans="1:22">
      <c r="A53" s="994">
        <v>47</v>
      </c>
      <c r="B53" s="995" t="s">
        <v>141</v>
      </c>
      <c r="C53" s="1196">
        <f>'[2]ALL-Reformatted'!U52</f>
        <v>0</v>
      </c>
      <c r="D53" s="1003">
        <f>'Table 3 Levels 1&amp;2'!BN55+'Table 3 Levels 1&amp;2'!BV55</f>
        <v>2709.058014721415</v>
      </c>
      <c r="E53" s="1102">
        <f t="shared" si="2"/>
        <v>0</v>
      </c>
      <c r="F53" s="1102">
        <f>'Table 4 Level 3'!N52</f>
        <v>910.76</v>
      </c>
      <c r="G53" s="1102">
        <f t="shared" si="3"/>
        <v>0</v>
      </c>
      <c r="H53" s="1059">
        <f t="shared" si="4"/>
        <v>0</v>
      </c>
      <c r="I53" s="1112">
        <f t="shared" si="5"/>
        <v>0</v>
      </c>
      <c r="J53" s="1059">
        <f t="shared" si="6"/>
        <v>0</v>
      </c>
      <c r="K53" s="1059">
        <v>0</v>
      </c>
      <c r="L53" s="1059">
        <f t="shared" si="7"/>
        <v>0</v>
      </c>
      <c r="M53" s="1059">
        <f t="shared" si="8"/>
        <v>0</v>
      </c>
      <c r="N53" s="1051">
        <f>'[18]FY2012-13 Final'!K54</f>
        <v>10049</v>
      </c>
      <c r="O53" s="1053">
        <f t="shared" si="9"/>
        <v>0</v>
      </c>
      <c r="P53" s="1118">
        <f t="shared" si="10"/>
        <v>0</v>
      </c>
      <c r="Q53" s="1053">
        <f t="shared" si="11"/>
        <v>0</v>
      </c>
      <c r="R53" s="1053">
        <v>0</v>
      </c>
      <c r="S53" s="1053">
        <f t="shared" si="12"/>
        <v>0</v>
      </c>
      <c r="T53" s="1053">
        <f t="shared" si="13"/>
        <v>0</v>
      </c>
      <c r="U53" s="1054">
        <f t="shared" si="14"/>
        <v>0</v>
      </c>
      <c r="V53" s="1054">
        <f t="shared" si="14"/>
        <v>0</v>
      </c>
    </row>
    <row r="54" spans="1:22">
      <c r="A54" s="994">
        <v>48</v>
      </c>
      <c r="B54" s="995" t="s">
        <v>202</v>
      </c>
      <c r="C54" s="1196">
        <f>'[2]ALL-Reformatted'!U53</f>
        <v>0</v>
      </c>
      <c r="D54" s="1003">
        <f>'Table 3 Levels 1&amp;2'!BN56+'Table 3 Levels 1&amp;2'!BV56</f>
        <v>4259.4136153508553</v>
      </c>
      <c r="E54" s="1102">
        <f t="shared" si="2"/>
        <v>0</v>
      </c>
      <c r="F54" s="1102">
        <f>'Table 4 Level 3'!N53</f>
        <v>871.07</v>
      </c>
      <c r="G54" s="1102">
        <f t="shared" si="3"/>
        <v>0</v>
      </c>
      <c r="H54" s="1059">
        <f t="shared" si="4"/>
        <v>0</v>
      </c>
      <c r="I54" s="1112">
        <f t="shared" si="5"/>
        <v>0</v>
      </c>
      <c r="J54" s="1059">
        <f t="shared" si="6"/>
        <v>0</v>
      </c>
      <c r="K54" s="1059">
        <v>0</v>
      </c>
      <c r="L54" s="1059">
        <f t="shared" si="7"/>
        <v>0</v>
      </c>
      <c r="M54" s="1059">
        <f t="shared" si="8"/>
        <v>0</v>
      </c>
      <c r="N54" s="1051">
        <f>'[18]FY2012-13 Final'!K55</f>
        <v>5755</v>
      </c>
      <c r="O54" s="1053">
        <f t="shared" si="9"/>
        <v>0</v>
      </c>
      <c r="P54" s="1118">
        <f t="shared" si="10"/>
        <v>0</v>
      </c>
      <c r="Q54" s="1053">
        <f t="shared" si="11"/>
        <v>0</v>
      </c>
      <c r="R54" s="1053">
        <v>0</v>
      </c>
      <c r="S54" s="1053">
        <f t="shared" si="12"/>
        <v>0</v>
      </c>
      <c r="T54" s="1053">
        <f t="shared" si="13"/>
        <v>0</v>
      </c>
      <c r="U54" s="1054">
        <f t="shared" si="14"/>
        <v>0</v>
      </c>
      <c r="V54" s="1054">
        <f t="shared" si="14"/>
        <v>0</v>
      </c>
    </row>
    <row r="55" spans="1:22">
      <c r="A55" s="994">
        <v>49</v>
      </c>
      <c r="B55" s="995" t="s">
        <v>142</v>
      </c>
      <c r="C55" s="1196">
        <f>'[2]ALL-Reformatted'!U54</f>
        <v>0</v>
      </c>
      <c r="D55" s="1003">
        <f>'Table 3 Levels 1&amp;2'!BN57+'Table 3 Levels 1&amp;2'!BV57</f>
        <v>4790.0513947378495</v>
      </c>
      <c r="E55" s="1102">
        <f t="shared" si="2"/>
        <v>0</v>
      </c>
      <c r="F55" s="1102">
        <f>'Table 4 Level 3'!N54</f>
        <v>574.43999999999994</v>
      </c>
      <c r="G55" s="1102">
        <f t="shared" si="3"/>
        <v>0</v>
      </c>
      <c r="H55" s="1059">
        <f t="shared" si="4"/>
        <v>0</v>
      </c>
      <c r="I55" s="1112">
        <f t="shared" si="5"/>
        <v>0</v>
      </c>
      <c r="J55" s="1059">
        <f t="shared" si="6"/>
        <v>0</v>
      </c>
      <c r="K55" s="1059">
        <v>0</v>
      </c>
      <c r="L55" s="1059">
        <f t="shared" si="7"/>
        <v>0</v>
      </c>
      <c r="M55" s="1059">
        <f t="shared" si="8"/>
        <v>0</v>
      </c>
      <c r="N55" s="1051">
        <f>'[18]FY2012-13 Final'!K56</f>
        <v>2335</v>
      </c>
      <c r="O55" s="1053">
        <f t="shared" si="9"/>
        <v>0</v>
      </c>
      <c r="P55" s="1118">
        <f t="shared" si="10"/>
        <v>0</v>
      </c>
      <c r="Q55" s="1053">
        <f t="shared" si="11"/>
        <v>0</v>
      </c>
      <c r="R55" s="1053">
        <v>0</v>
      </c>
      <c r="S55" s="1053">
        <f t="shared" si="12"/>
        <v>0</v>
      </c>
      <c r="T55" s="1053">
        <f t="shared" si="13"/>
        <v>0</v>
      </c>
      <c r="U55" s="1054">
        <f t="shared" si="14"/>
        <v>0</v>
      </c>
      <c r="V55" s="1054">
        <f t="shared" si="14"/>
        <v>0</v>
      </c>
    </row>
    <row r="56" spans="1:22">
      <c r="A56" s="998">
        <v>50</v>
      </c>
      <c r="B56" s="999" t="s">
        <v>143</v>
      </c>
      <c r="C56" s="1197">
        <f>'[2]ALL-Reformatted'!U55</f>
        <v>0</v>
      </c>
      <c r="D56" s="1005">
        <f>'Table 3 Levels 1&amp;2'!BN58+'Table 3 Levels 1&amp;2'!BV58</f>
        <v>4954.3375045905796</v>
      </c>
      <c r="E56" s="1103">
        <f t="shared" si="2"/>
        <v>0</v>
      </c>
      <c r="F56" s="1103">
        <f>'Table 4 Level 3'!N55</f>
        <v>634.46</v>
      </c>
      <c r="G56" s="1103">
        <f t="shared" si="3"/>
        <v>0</v>
      </c>
      <c r="H56" s="1060">
        <f t="shared" si="4"/>
        <v>0</v>
      </c>
      <c r="I56" s="1113">
        <f t="shared" si="5"/>
        <v>0</v>
      </c>
      <c r="J56" s="1060">
        <f t="shared" si="6"/>
        <v>0</v>
      </c>
      <c r="K56" s="1060">
        <v>0</v>
      </c>
      <c r="L56" s="1060">
        <f t="shared" si="7"/>
        <v>0</v>
      </c>
      <c r="M56" s="1060">
        <f t="shared" si="8"/>
        <v>0</v>
      </c>
      <c r="N56" s="1056">
        <f>'[18]FY2012-13 Final'!K57</f>
        <v>2801</v>
      </c>
      <c r="O56" s="1057">
        <f t="shared" si="9"/>
        <v>0</v>
      </c>
      <c r="P56" s="1119">
        <f t="shared" si="10"/>
        <v>0</v>
      </c>
      <c r="Q56" s="1057">
        <f t="shared" si="11"/>
        <v>0</v>
      </c>
      <c r="R56" s="1057">
        <v>0</v>
      </c>
      <c r="S56" s="1057">
        <f t="shared" si="12"/>
        <v>0</v>
      </c>
      <c r="T56" s="1057">
        <f t="shared" si="13"/>
        <v>0</v>
      </c>
      <c r="U56" s="1058">
        <f t="shared" si="14"/>
        <v>0</v>
      </c>
      <c r="V56" s="1058">
        <f t="shared" si="14"/>
        <v>0</v>
      </c>
    </row>
    <row r="57" spans="1:22">
      <c r="A57" s="987">
        <v>51</v>
      </c>
      <c r="B57" s="988" t="s">
        <v>144</v>
      </c>
      <c r="C57" s="1198">
        <f>'[2]ALL-Reformatted'!U56</f>
        <v>0</v>
      </c>
      <c r="D57" s="1007">
        <f>'Table 3 Levels 1&amp;2'!BN59+'Table 3 Levels 1&amp;2'!BV59</f>
        <v>4290.3461727150461</v>
      </c>
      <c r="E57" s="1104">
        <f t="shared" si="2"/>
        <v>0</v>
      </c>
      <c r="F57" s="1104">
        <f>'Table 4 Level 3'!N56</f>
        <v>706.66</v>
      </c>
      <c r="G57" s="1104">
        <f t="shared" si="3"/>
        <v>0</v>
      </c>
      <c r="H57" s="1061">
        <f t="shared" si="4"/>
        <v>0</v>
      </c>
      <c r="I57" s="1114">
        <f t="shared" si="5"/>
        <v>0</v>
      </c>
      <c r="J57" s="1061">
        <f t="shared" si="6"/>
        <v>0</v>
      </c>
      <c r="K57" s="1061">
        <v>0</v>
      </c>
      <c r="L57" s="1061">
        <f t="shared" si="7"/>
        <v>0</v>
      </c>
      <c r="M57" s="1061">
        <f t="shared" si="8"/>
        <v>0</v>
      </c>
      <c r="N57" s="1051">
        <f>'[18]FY2012-13 Final'!K58</f>
        <v>4053</v>
      </c>
      <c r="O57" s="992">
        <f t="shared" si="9"/>
        <v>0</v>
      </c>
      <c r="P57" s="1117">
        <f t="shared" si="10"/>
        <v>0</v>
      </c>
      <c r="Q57" s="992">
        <f t="shared" si="11"/>
        <v>0</v>
      </c>
      <c r="R57" s="992">
        <v>0</v>
      </c>
      <c r="S57" s="992">
        <f t="shared" si="12"/>
        <v>0</v>
      </c>
      <c r="T57" s="992">
        <f t="shared" si="13"/>
        <v>0</v>
      </c>
      <c r="U57" s="993">
        <f t="shared" si="14"/>
        <v>0</v>
      </c>
      <c r="V57" s="993">
        <f t="shared" si="14"/>
        <v>0</v>
      </c>
    </row>
    <row r="58" spans="1:22">
      <c r="A58" s="994">
        <v>52</v>
      </c>
      <c r="B58" s="995" t="s">
        <v>145</v>
      </c>
      <c r="C58" s="1196">
        <f>'[2]ALL-Reformatted'!U57</f>
        <v>0</v>
      </c>
      <c r="D58" s="1003">
        <f>'Table 3 Levels 1&amp;2'!BN60+'Table 3 Levels 1&amp;2'!BV60</f>
        <v>4988.6415961118701</v>
      </c>
      <c r="E58" s="1102">
        <f t="shared" si="2"/>
        <v>0</v>
      </c>
      <c r="F58" s="1102">
        <f>'Table 4 Level 3'!N57</f>
        <v>658.37</v>
      </c>
      <c r="G58" s="1102">
        <f t="shared" si="3"/>
        <v>0</v>
      </c>
      <c r="H58" s="1059">
        <f t="shared" si="4"/>
        <v>0</v>
      </c>
      <c r="I58" s="1112">
        <f t="shared" si="5"/>
        <v>0</v>
      </c>
      <c r="J58" s="1059">
        <f t="shared" si="6"/>
        <v>0</v>
      </c>
      <c r="K58" s="1059">
        <v>0</v>
      </c>
      <c r="L58" s="1059">
        <f t="shared" si="7"/>
        <v>0</v>
      </c>
      <c r="M58" s="1059">
        <f t="shared" si="8"/>
        <v>0</v>
      </c>
      <c r="N58" s="1051">
        <f>'[18]FY2012-13 Final'!K59</f>
        <v>4886</v>
      </c>
      <c r="O58" s="1053">
        <f t="shared" si="9"/>
        <v>0</v>
      </c>
      <c r="P58" s="1118">
        <f t="shared" si="10"/>
        <v>0</v>
      </c>
      <c r="Q58" s="1053">
        <f t="shared" si="11"/>
        <v>0</v>
      </c>
      <c r="R58" s="1053">
        <v>0</v>
      </c>
      <c r="S58" s="1053">
        <f t="shared" si="12"/>
        <v>0</v>
      </c>
      <c r="T58" s="1053">
        <f t="shared" si="13"/>
        <v>0</v>
      </c>
      <c r="U58" s="1054">
        <f t="shared" si="14"/>
        <v>0</v>
      </c>
      <c r="V58" s="1054">
        <f t="shared" si="14"/>
        <v>0</v>
      </c>
    </row>
    <row r="59" spans="1:22">
      <c r="A59" s="994">
        <v>53</v>
      </c>
      <c r="B59" s="995" t="s">
        <v>146</v>
      </c>
      <c r="C59" s="1196">
        <f>'[2]ALL-Reformatted'!U58</f>
        <v>0</v>
      </c>
      <c r="D59" s="1003">
        <f>'Table 3 Levels 1&amp;2'!BN61+'Table 3 Levels 1&amp;2'!BV61</f>
        <v>4739.7077057162423</v>
      </c>
      <c r="E59" s="1102">
        <f t="shared" si="2"/>
        <v>0</v>
      </c>
      <c r="F59" s="1102">
        <f>'Table 4 Level 3'!N58</f>
        <v>689.74</v>
      </c>
      <c r="G59" s="1102">
        <f t="shared" si="3"/>
        <v>0</v>
      </c>
      <c r="H59" s="1059">
        <f t="shared" si="4"/>
        <v>0</v>
      </c>
      <c r="I59" s="1112">
        <f t="shared" si="5"/>
        <v>0</v>
      </c>
      <c r="J59" s="1059">
        <f t="shared" si="6"/>
        <v>0</v>
      </c>
      <c r="K59" s="1059">
        <v>0</v>
      </c>
      <c r="L59" s="1059">
        <f t="shared" si="7"/>
        <v>0</v>
      </c>
      <c r="M59" s="1059">
        <f t="shared" si="8"/>
        <v>0</v>
      </c>
      <c r="N59" s="1051">
        <f>'[18]FY2012-13 Final'!K60</f>
        <v>1929</v>
      </c>
      <c r="O59" s="1053">
        <f t="shared" si="9"/>
        <v>0</v>
      </c>
      <c r="P59" s="1118">
        <f t="shared" si="10"/>
        <v>0</v>
      </c>
      <c r="Q59" s="1053">
        <f t="shared" si="11"/>
        <v>0</v>
      </c>
      <c r="R59" s="1053">
        <v>0</v>
      </c>
      <c r="S59" s="1053">
        <f t="shared" si="12"/>
        <v>0</v>
      </c>
      <c r="T59" s="1053">
        <f t="shared" si="13"/>
        <v>0</v>
      </c>
      <c r="U59" s="1054">
        <f t="shared" si="14"/>
        <v>0</v>
      </c>
      <c r="V59" s="1054">
        <f t="shared" si="14"/>
        <v>0</v>
      </c>
    </row>
    <row r="60" spans="1:22">
      <c r="A60" s="994">
        <v>54</v>
      </c>
      <c r="B60" s="995" t="s">
        <v>147</v>
      </c>
      <c r="C60" s="1196">
        <f>'[2]ALL-Reformatted'!U59</f>
        <v>0</v>
      </c>
      <c r="D60" s="1003">
        <f>'Table 3 Levels 1&amp;2'!BN62+'Table 3 Levels 1&amp;2'!BV62</f>
        <v>5907.1276437932838</v>
      </c>
      <c r="E60" s="1102">
        <f t="shared" si="2"/>
        <v>0</v>
      </c>
      <c r="F60" s="1102">
        <f>'Table 4 Level 3'!N59</f>
        <v>951.45</v>
      </c>
      <c r="G60" s="1102">
        <f t="shared" si="3"/>
        <v>0</v>
      </c>
      <c r="H60" s="1059">
        <f t="shared" si="4"/>
        <v>0</v>
      </c>
      <c r="I60" s="1112">
        <f t="shared" si="5"/>
        <v>0</v>
      </c>
      <c r="J60" s="1059">
        <f t="shared" si="6"/>
        <v>0</v>
      </c>
      <c r="K60" s="1059">
        <v>0</v>
      </c>
      <c r="L60" s="1059">
        <f t="shared" si="7"/>
        <v>0</v>
      </c>
      <c r="M60" s="1059">
        <f t="shared" si="8"/>
        <v>0</v>
      </c>
      <c r="N60" s="1051">
        <f>'[18]FY2012-13 Final'!K61</f>
        <v>3382</v>
      </c>
      <c r="O60" s="1053">
        <f t="shared" si="9"/>
        <v>0</v>
      </c>
      <c r="P60" s="1118">
        <f t="shared" si="10"/>
        <v>0</v>
      </c>
      <c r="Q60" s="1053">
        <f t="shared" si="11"/>
        <v>0</v>
      </c>
      <c r="R60" s="1053">
        <v>0</v>
      </c>
      <c r="S60" s="1053">
        <f t="shared" si="12"/>
        <v>0</v>
      </c>
      <c r="T60" s="1053">
        <f t="shared" si="13"/>
        <v>0</v>
      </c>
      <c r="U60" s="1054">
        <f t="shared" si="14"/>
        <v>0</v>
      </c>
      <c r="V60" s="1054">
        <f t="shared" si="14"/>
        <v>0</v>
      </c>
    </row>
    <row r="61" spans="1:22">
      <c r="A61" s="998">
        <v>55</v>
      </c>
      <c r="B61" s="999" t="s">
        <v>148</v>
      </c>
      <c r="C61" s="1197">
        <f>'[2]ALL-Reformatted'!U60</f>
        <v>0</v>
      </c>
      <c r="D61" s="1005">
        <f>'Table 3 Levels 1&amp;2'!BN63+'Table 3 Levels 1&amp;2'!BV63</f>
        <v>4115.0954812679902</v>
      </c>
      <c r="E61" s="1103">
        <f t="shared" si="2"/>
        <v>0</v>
      </c>
      <c r="F61" s="1103">
        <f>'Table 4 Level 3'!N60</f>
        <v>795.14</v>
      </c>
      <c r="G61" s="1103">
        <f t="shared" si="3"/>
        <v>0</v>
      </c>
      <c r="H61" s="1060">
        <f t="shared" si="4"/>
        <v>0</v>
      </c>
      <c r="I61" s="1113">
        <f t="shared" si="5"/>
        <v>0</v>
      </c>
      <c r="J61" s="1060">
        <f t="shared" si="6"/>
        <v>0</v>
      </c>
      <c r="K61" s="1060">
        <v>0</v>
      </c>
      <c r="L61" s="1060">
        <f t="shared" si="7"/>
        <v>0</v>
      </c>
      <c r="M61" s="1060">
        <f t="shared" si="8"/>
        <v>0</v>
      </c>
      <c r="N61" s="1056">
        <f>'[18]FY2012-13 Final'!K62</f>
        <v>3127</v>
      </c>
      <c r="O61" s="1057">
        <f t="shared" si="9"/>
        <v>0</v>
      </c>
      <c r="P61" s="1119">
        <f t="shared" si="10"/>
        <v>0</v>
      </c>
      <c r="Q61" s="1057">
        <f t="shared" si="11"/>
        <v>0</v>
      </c>
      <c r="R61" s="1057">
        <v>0</v>
      </c>
      <c r="S61" s="1057">
        <f t="shared" si="12"/>
        <v>0</v>
      </c>
      <c r="T61" s="1057">
        <f t="shared" si="13"/>
        <v>0</v>
      </c>
      <c r="U61" s="1058">
        <f t="shared" si="14"/>
        <v>0</v>
      </c>
      <c r="V61" s="1058">
        <f t="shared" si="14"/>
        <v>0</v>
      </c>
    </row>
    <row r="62" spans="1:22">
      <c r="A62" s="987">
        <v>56</v>
      </c>
      <c r="B62" s="988" t="s">
        <v>149</v>
      </c>
      <c r="C62" s="1198">
        <f>'[2]ALL-Reformatted'!U61</f>
        <v>0</v>
      </c>
      <c r="D62" s="1007">
        <f>'Table 3 Levels 1&amp;2'!BN64+'Table 3 Levels 1&amp;2'!BV64</f>
        <v>4924.9032059941637</v>
      </c>
      <c r="E62" s="1104">
        <f t="shared" si="2"/>
        <v>0</v>
      </c>
      <c r="F62" s="1104">
        <f>'Table 4 Level 3'!N61</f>
        <v>614.66000000000008</v>
      </c>
      <c r="G62" s="1104">
        <f t="shared" si="3"/>
        <v>0</v>
      </c>
      <c r="H62" s="1061">
        <f t="shared" si="4"/>
        <v>0</v>
      </c>
      <c r="I62" s="1114">
        <f t="shared" si="5"/>
        <v>0</v>
      </c>
      <c r="J62" s="1061">
        <f t="shared" si="6"/>
        <v>0</v>
      </c>
      <c r="K62" s="1061">
        <v>0</v>
      </c>
      <c r="L62" s="1061">
        <f t="shared" si="7"/>
        <v>0</v>
      </c>
      <c r="M62" s="1061">
        <f t="shared" si="8"/>
        <v>0</v>
      </c>
      <c r="N62" s="1051">
        <f>'[18]FY2012-13 Final'!K63</f>
        <v>2768</v>
      </c>
      <c r="O62" s="992">
        <f t="shared" si="9"/>
        <v>0</v>
      </c>
      <c r="P62" s="1117">
        <f t="shared" si="10"/>
        <v>0</v>
      </c>
      <c r="Q62" s="992">
        <f t="shared" si="11"/>
        <v>0</v>
      </c>
      <c r="R62" s="992">
        <v>0</v>
      </c>
      <c r="S62" s="992">
        <f t="shared" si="12"/>
        <v>0</v>
      </c>
      <c r="T62" s="992">
        <f t="shared" si="13"/>
        <v>0</v>
      </c>
      <c r="U62" s="993">
        <f t="shared" si="14"/>
        <v>0</v>
      </c>
      <c r="V62" s="993">
        <f t="shared" si="14"/>
        <v>0</v>
      </c>
    </row>
    <row r="63" spans="1:22">
      <c r="A63" s="994">
        <v>57</v>
      </c>
      <c r="B63" s="995" t="s">
        <v>150</v>
      </c>
      <c r="C63" s="1196">
        <f>'[2]ALL-Reformatted'!U62</f>
        <v>0</v>
      </c>
      <c r="D63" s="1003">
        <f>'Table 3 Levels 1&amp;2'!BN65+'Table 3 Levels 1&amp;2'!BV65</f>
        <v>4434.5516744018987</v>
      </c>
      <c r="E63" s="1102">
        <f t="shared" si="2"/>
        <v>0</v>
      </c>
      <c r="F63" s="1102">
        <f>'Table 4 Level 3'!N62</f>
        <v>764.51</v>
      </c>
      <c r="G63" s="1102">
        <f t="shared" si="3"/>
        <v>0</v>
      </c>
      <c r="H63" s="1059">
        <f t="shared" si="4"/>
        <v>0</v>
      </c>
      <c r="I63" s="1112">
        <f t="shared" si="5"/>
        <v>0</v>
      </c>
      <c r="J63" s="1059">
        <f t="shared" si="6"/>
        <v>0</v>
      </c>
      <c r="K63" s="1059">
        <v>0</v>
      </c>
      <c r="L63" s="1059">
        <f t="shared" si="7"/>
        <v>0</v>
      </c>
      <c r="M63" s="1059">
        <f t="shared" si="8"/>
        <v>0</v>
      </c>
      <c r="N63" s="1051">
        <f>'[18]FY2012-13 Final'!K64</f>
        <v>2987</v>
      </c>
      <c r="O63" s="1053">
        <f t="shared" si="9"/>
        <v>0</v>
      </c>
      <c r="P63" s="1118">
        <f t="shared" si="10"/>
        <v>0</v>
      </c>
      <c r="Q63" s="1053">
        <f t="shared" si="11"/>
        <v>0</v>
      </c>
      <c r="R63" s="1053">
        <v>0</v>
      </c>
      <c r="S63" s="1053">
        <f t="shared" si="12"/>
        <v>0</v>
      </c>
      <c r="T63" s="1053">
        <f t="shared" si="13"/>
        <v>0</v>
      </c>
      <c r="U63" s="1054">
        <f t="shared" si="14"/>
        <v>0</v>
      </c>
      <c r="V63" s="1054">
        <f t="shared" si="14"/>
        <v>0</v>
      </c>
    </row>
    <row r="64" spans="1:22">
      <c r="A64" s="994">
        <v>58</v>
      </c>
      <c r="B64" s="995" t="s">
        <v>151</v>
      </c>
      <c r="C64" s="1196">
        <f>'[2]ALL-Reformatted'!U63</f>
        <v>0</v>
      </c>
      <c r="D64" s="1003">
        <f>'Table 3 Levels 1&amp;2'!BN66+'Table 3 Levels 1&amp;2'!BV66</f>
        <v>5434.7170435013286</v>
      </c>
      <c r="E64" s="1102">
        <f t="shared" si="2"/>
        <v>0</v>
      </c>
      <c r="F64" s="1102">
        <f>'Table 4 Level 3'!N63</f>
        <v>697.04</v>
      </c>
      <c r="G64" s="1102">
        <f t="shared" si="3"/>
        <v>0</v>
      </c>
      <c r="H64" s="1059">
        <f t="shared" si="4"/>
        <v>0</v>
      </c>
      <c r="I64" s="1112">
        <f t="shared" si="5"/>
        <v>0</v>
      </c>
      <c r="J64" s="1059">
        <f t="shared" si="6"/>
        <v>0</v>
      </c>
      <c r="K64" s="1059">
        <v>0</v>
      </c>
      <c r="L64" s="1059">
        <f t="shared" si="7"/>
        <v>0</v>
      </c>
      <c r="M64" s="1059">
        <f t="shared" si="8"/>
        <v>0</v>
      </c>
      <c r="N64" s="1051">
        <f>'[18]FY2012-13 Final'!K65</f>
        <v>2055</v>
      </c>
      <c r="O64" s="1053">
        <f t="shared" si="9"/>
        <v>0</v>
      </c>
      <c r="P64" s="1118">
        <f t="shared" si="10"/>
        <v>0</v>
      </c>
      <c r="Q64" s="1053">
        <f t="shared" si="11"/>
        <v>0</v>
      </c>
      <c r="R64" s="1053">
        <v>0</v>
      </c>
      <c r="S64" s="1053">
        <f t="shared" si="12"/>
        <v>0</v>
      </c>
      <c r="T64" s="1053">
        <f t="shared" si="13"/>
        <v>0</v>
      </c>
      <c r="U64" s="1054">
        <f t="shared" si="14"/>
        <v>0</v>
      </c>
      <c r="V64" s="1054">
        <f t="shared" si="14"/>
        <v>0</v>
      </c>
    </row>
    <row r="65" spans="1:22">
      <c r="A65" s="994">
        <v>59</v>
      </c>
      <c r="B65" s="995" t="s">
        <v>152</v>
      </c>
      <c r="C65" s="1196">
        <f>'[2]ALL-Reformatted'!U64</f>
        <v>0</v>
      </c>
      <c r="D65" s="1003">
        <f>'Table 3 Levels 1&amp;2'!BN67+'Table 3 Levels 1&amp;2'!BV67</f>
        <v>6252.2385330184643</v>
      </c>
      <c r="E65" s="1102">
        <f t="shared" si="2"/>
        <v>0</v>
      </c>
      <c r="F65" s="1102">
        <f>'Table 4 Level 3'!N64</f>
        <v>689.52</v>
      </c>
      <c r="G65" s="1102">
        <f t="shared" si="3"/>
        <v>0</v>
      </c>
      <c r="H65" s="1059">
        <f t="shared" si="4"/>
        <v>0</v>
      </c>
      <c r="I65" s="1112">
        <f t="shared" si="5"/>
        <v>0</v>
      </c>
      <c r="J65" s="1059">
        <f t="shared" si="6"/>
        <v>0</v>
      </c>
      <c r="K65" s="1059">
        <v>0</v>
      </c>
      <c r="L65" s="1059">
        <f t="shared" si="7"/>
        <v>0</v>
      </c>
      <c r="M65" s="1059">
        <f t="shared" si="8"/>
        <v>0</v>
      </c>
      <c r="N65" s="1051">
        <f>'[18]FY2012-13 Final'!K66</f>
        <v>1528</v>
      </c>
      <c r="O65" s="1053">
        <f t="shared" si="9"/>
        <v>0</v>
      </c>
      <c r="P65" s="1118">
        <f t="shared" si="10"/>
        <v>0</v>
      </c>
      <c r="Q65" s="1053">
        <f t="shared" si="11"/>
        <v>0</v>
      </c>
      <c r="R65" s="1053">
        <v>0</v>
      </c>
      <c r="S65" s="1053">
        <f t="shared" si="12"/>
        <v>0</v>
      </c>
      <c r="T65" s="1053">
        <f t="shared" si="13"/>
        <v>0</v>
      </c>
      <c r="U65" s="1054">
        <f t="shared" si="14"/>
        <v>0</v>
      </c>
      <c r="V65" s="1054">
        <f t="shared" si="14"/>
        <v>0</v>
      </c>
    </row>
    <row r="66" spans="1:22">
      <c r="A66" s="998">
        <v>60</v>
      </c>
      <c r="B66" s="999" t="s">
        <v>153</v>
      </c>
      <c r="C66" s="1197">
        <f>'[2]ALL-Reformatted'!U65</f>
        <v>0</v>
      </c>
      <c r="D66" s="1005">
        <f>'Table 3 Levels 1&amp;2'!BN68+'Table 3 Levels 1&amp;2'!BV68</f>
        <v>4902.6575100268701</v>
      </c>
      <c r="E66" s="1103">
        <f t="shared" si="2"/>
        <v>0</v>
      </c>
      <c r="F66" s="1103">
        <f>'Table 4 Level 3'!N65</f>
        <v>594.04</v>
      </c>
      <c r="G66" s="1103">
        <f t="shared" si="3"/>
        <v>0</v>
      </c>
      <c r="H66" s="1060">
        <f t="shared" si="4"/>
        <v>0</v>
      </c>
      <c r="I66" s="1113">
        <f t="shared" si="5"/>
        <v>0</v>
      </c>
      <c r="J66" s="1060">
        <f t="shared" si="6"/>
        <v>0</v>
      </c>
      <c r="K66" s="1060">
        <v>0</v>
      </c>
      <c r="L66" s="1060">
        <f t="shared" si="7"/>
        <v>0</v>
      </c>
      <c r="M66" s="1060">
        <f t="shared" si="8"/>
        <v>0</v>
      </c>
      <c r="N66" s="1056">
        <f>'[18]FY2012-13 Final'!K67</f>
        <v>3918</v>
      </c>
      <c r="O66" s="1057">
        <f t="shared" si="9"/>
        <v>0</v>
      </c>
      <c r="P66" s="1119">
        <f t="shared" si="10"/>
        <v>0</v>
      </c>
      <c r="Q66" s="1057">
        <f t="shared" si="11"/>
        <v>0</v>
      </c>
      <c r="R66" s="1057">
        <v>0</v>
      </c>
      <c r="S66" s="1057">
        <f t="shared" si="12"/>
        <v>0</v>
      </c>
      <c r="T66" s="1057">
        <f t="shared" si="13"/>
        <v>0</v>
      </c>
      <c r="U66" s="1058">
        <f t="shared" si="14"/>
        <v>0</v>
      </c>
      <c r="V66" s="1058">
        <f t="shared" si="14"/>
        <v>0</v>
      </c>
    </row>
    <row r="67" spans="1:22">
      <c r="A67" s="987">
        <v>61</v>
      </c>
      <c r="B67" s="988" t="s">
        <v>154</v>
      </c>
      <c r="C67" s="1198">
        <f>'[2]ALL-Reformatted'!U66</f>
        <v>0</v>
      </c>
      <c r="D67" s="1007">
        <f>'Table 3 Levels 1&amp;2'!BN69+'Table 3 Levels 1&amp;2'!BV69</f>
        <v>2872.7719101339244</v>
      </c>
      <c r="E67" s="1104">
        <f t="shared" si="2"/>
        <v>0</v>
      </c>
      <c r="F67" s="1104">
        <f>'Table 4 Level 3'!N66</f>
        <v>833.70999999999992</v>
      </c>
      <c r="G67" s="1104">
        <f t="shared" si="3"/>
        <v>0</v>
      </c>
      <c r="H67" s="1061">
        <f t="shared" si="4"/>
        <v>0</v>
      </c>
      <c r="I67" s="1114">
        <f t="shared" si="5"/>
        <v>0</v>
      </c>
      <c r="J67" s="1061">
        <f t="shared" si="6"/>
        <v>0</v>
      </c>
      <c r="K67" s="1061">
        <v>0</v>
      </c>
      <c r="L67" s="1061">
        <f t="shared" si="7"/>
        <v>0</v>
      </c>
      <c r="M67" s="1061">
        <f t="shared" si="8"/>
        <v>0</v>
      </c>
      <c r="N67" s="1051">
        <f>'[18]FY2012-13 Final'!K68</f>
        <v>6680</v>
      </c>
      <c r="O67" s="992">
        <f t="shared" si="9"/>
        <v>0</v>
      </c>
      <c r="P67" s="1117">
        <f t="shared" si="10"/>
        <v>0</v>
      </c>
      <c r="Q67" s="992">
        <f t="shared" si="11"/>
        <v>0</v>
      </c>
      <c r="R67" s="992">
        <v>0</v>
      </c>
      <c r="S67" s="992">
        <f t="shared" si="12"/>
        <v>0</v>
      </c>
      <c r="T67" s="992">
        <f t="shared" si="13"/>
        <v>0</v>
      </c>
      <c r="U67" s="993">
        <f t="shared" si="14"/>
        <v>0</v>
      </c>
      <c r="V67" s="993">
        <f t="shared" si="14"/>
        <v>0</v>
      </c>
    </row>
    <row r="68" spans="1:22">
      <c r="A68" s="994">
        <v>62</v>
      </c>
      <c r="B68" s="995" t="s">
        <v>155</v>
      </c>
      <c r="C68" s="1196">
        <f>'[2]ALL-Reformatted'!U67</f>
        <v>0</v>
      </c>
      <c r="D68" s="1003">
        <f>'Table 3 Levels 1&amp;2'!BN70+'Table 3 Levels 1&amp;2'!BV70</f>
        <v>5594.25143978908</v>
      </c>
      <c r="E68" s="1102">
        <f t="shared" si="2"/>
        <v>0</v>
      </c>
      <c r="F68" s="1102">
        <f>'Table 4 Level 3'!N67</f>
        <v>516.08000000000004</v>
      </c>
      <c r="G68" s="1102">
        <f t="shared" si="3"/>
        <v>0</v>
      </c>
      <c r="H68" s="1059">
        <f t="shared" si="4"/>
        <v>0</v>
      </c>
      <c r="I68" s="1112">
        <f t="shared" si="5"/>
        <v>0</v>
      </c>
      <c r="J68" s="1059">
        <f t="shared" si="6"/>
        <v>0</v>
      </c>
      <c r="K68" s="1059">
        <v>0</v>
      </c>
      <c r="L68" s="1059">
        <f t="shared" si="7"/>
        <v>0</v>
      </c>
      <c r="M68" s="1059">
        <f t="shared" si="8"/>
        <v>0</v>
      </c>
      <c r="N68" s="1051">
        <f>'[18]FY2012-13 Final'!K69</f>
        <v>1754</v>
      </c>
      <c r="O68" s="1053">
        <f t="shared" si="9"/>
        <v>0</v>
      </c>
      <c r="P68" s="1118">
        <f t="shared" si="10"/>
        <v>0</v>
      </c>
      <c r="Q68" s="1053">
        <f t="shared" si="11"/>
        <v>0</v>
      </c>
      <c r="R68" s="1053">
        <v>0</v>
      </c>
      <c r="S68" s="1053">
        <f t="shared" si="12"/>
        <v>0</v>
      </c>
      <c r="T68" s="1053">
        <f t="shared" si="13"/>
        <v>0</v>
      </c>
      <c r="U68" s="1054">
        <f t="shared" si="14"/>
        <v>0</v>
      </c>
      <c r="V68" s="1054">
        <f t="shared" si="14"/>
        <v>0</v>
      </c>
    </row>
    <row r="69" spans="1:22">
      <c r="A69" s="994">
        <v>63</v>
      </c>
      <c r="B69" s="995" t="s">
        <v>156</v>
      </c>
      <c r="C69" s="1196">
        <f>'[2]ALL-Reformatted'!U68</f>
        <v>0</v>
      </c>
      <c r="D69" s="1003">
        <f>'Table 3 Levels 1&amp;2'!BN71+'Table 3 Levels 1&amp;2'!BV71</f>
        <v>4318.8609300898834</v>
      </c>
      <c r="E69" s="1102">
        <f t="shared" si="2"/>
        <v>0</v>
      </c>
      <c r="F69" s="1102">
        <f>'Table 4 Level 3'!N68</f>
        <v>756.79</v>
      </c>
      <c r="G69" s="1102">
        <f t="shared" si="3"/>
        <v>0</v>
      </c>
      <c r="H69" s="1059">
        <f t="shared" si="4"/>
        <v>0</v>
      </c>
      <c r="I69" s="1112">
        <f t="shared" si="5"/>
        <v>0</v>
      </c>
      <c r="J69" s="1059">
        <f t="shared" si="6"/>
        <v>0</v>
      </c>
      <c r="K69" s="1059">
        <v>0</v>
      </c>
      <c r="L69" s="1059">
        <f t="shared" si="7"/>
        <v>0</v>
      </c>
      <c r="M69" s="1059">
        <f t="shared" si="8"/>
        <v>0</v>
      </c>
      <c r="N69" s="1051">
        <f>'[18]FY2012-13 Final'!K70</f>
        <v>7182</v>
      </c>
      <c r="O69" s="1053">
        <f t="shared" si="9"/>
        <v>0</v>
      </c>
      <c r="P69" s="1118">
        <f t="shared" si="10"/>
        <v>0</v>
      </c>
      <c r="Q69" s="1053">
        <f t="shared" si="11"/>
        <v>0</v>
      </c>
      <c r="R69" s="1053">
        <v>0</v>
      </c>
      <c r="S69" s="1053">
        <f t="shared" si="12"/>
        <v>0</v>
      </c>
      <c r="T69" s="1053">
        <f t="shared" si="13"/>
        <v>0</v>
      </c>
      <c r="U69" s="1054">
        <f t="shared" si="14"/>
        <v>0</v>
      </c>
      <c r="V69" s="1054">
        <f t="shared" si="14"/>
        <v>0</v>
      </c>
    </row>
    <row r="70" spans="1:22">
      <c r="A70" s="994">
        <v>64</v>
      </c>
      <c r="B70" s="995" t="s">
        <v>157</v>
      </c>
      <c r="C70" s="1196">
        <f>'[2]ALL-Reformatted'!U69</f>
        <v>0</v>
      </c>
      <c r="D70" s="1003">
        <f>'Table 3 Levels 1&amp;2'!BN72+'Table 3 Levels 1&amp;2'!BV72</f>
        <v>5921.7418933384488</v>
      </c>
      <c r="E70" s="1102">
        <f t="shared" si="2"/>
        <v>0</v>
      </c>
      <c r="F70" s="1102">
        <f>'Table 4 Level 3'!N69</f>
        <v>592.66</v>
      </c>
      <c r="G70" s="1102">
        <f t="shared" si="3"/>
        <v>0</v>
      </c>
      <c r="H70" s="1059">
        <f t="shared" si="4"/>
        <v>0</v>
      </c>
      <c r="I70" s="1112">
        <f t="shared" si="5"/>
        <v>0</v>
      </c>
      <c r="J70" s="1059">
        <f t="shared" si="6"/>
        <v>0</v>
      </c>
      <c r="K70" s="1059">
        <v>0</v>
      </c>
      <c r="L70" s="1059">
        <f t="shared" si="7"/>
        <v>0</v>
      </c>
      <c r="M70" s="1059">
        <f t="shared" si="8"/>
        <v>0</v>
      </c>
      <c r="N70" s="1051">
        <f>'[18]FY2012-13 Final'!K71</f>
        <v>2701</v>
      </c>
      <c r="O70" s="1053">
        <f t="shared" si="9"/>
        <v>0</v>
      </c>
      <c r="P70" s="1118">
        <f t="shared" si="10"/>
        <v>0</v>
      </c>
      <c r="Q70" s="1053">
        <f t="shared" si="11"/>
        <v>0</v>
      </c>
      <c r="R70" s="1053">
        <v>0</v>
      </c>
      <c r="S70" s="1053">
        <f t="shared" si="12"/>
        <v>0</v>
      </c>
      <c r="T70" s="1053">
        <f t="shared" si="13"/>
        <v>0</v>
      </c>
      <c r="U70" s="1054">
        <f t="shared" si="14"/>
        <v>0</v>
      </c>
      <c r="V70" s="1054">
        <f t="shared" si="14"/>
        <v>0</v>
      </c>
    </row>
    <row r="71" spans="1:22">
      <c r="A71" s="998">
        <v>65</v>
      </c>
      <c r="B71" s="999" t="s">
        <v>158</v>
      </c>
      <c r="C71" s="1197">
        <f>'[2]ALL-Reformatted'!U70</f>
        <v>0</v>
      </c>
      <c r="D71" s="1005">
        <f>'Table 3 Levels 1&amp;2'!BN73+'Table 3 Levels 1&amp;2'!BV73</f>
        <v>4578.9201269671275</v>
      </c>
      <c r="E71" s="1103">
        <f t="shared" si="2"/>
        <v>0</v>
      </c>
      <c r="F71" s="1103">
        <f>'Table 4 Level 3'!N70</f>
        <v>829.12</v>
      </c>
      <c r="G71" s="1103">
        <f t="shared" si="3"/>
        <v>0</v>
      </c>
      <c r="H71" s="1060">
        <f t="shared" si="4"/>
        <v>0</v>
      </c>
      <c r="I71" s="1113">
        <f t="shared" si="5"/>
        <v>0</v>
      </c>
      <c r="J71" s="1060">
        <f t="shared" si="6"/>
        <v>0</v>
      </c>
      <c r="K71" s="1060">
        <v>0</v>
      </c>
      <c r="L71" s="1060">
        <f t="shared" si="7"/>
        <v>0</v>
      </c>
      <c r="M71" s="1060">
        <f t="shared" si="8"/>
        <v>0</v>
      </c>
      <c r="N71" s="1056">
        <f>'[18]FY2012-13 Final'!K72</f>
        <v>4813</v>
      </c>
      <c r="O71" s="1057">
        <f t="shared" si="9"/>
        <v>0</v>
      </c>
      <c r="P71" s="1119">
        <f t="shared" si="10"/>
        <v>0</v>
      </c>
      <c r="Q71" s="1057">
        <f t="shared" si="11"/>
        <v>0</v>
      </c>
      <c r="R71" s="1057">
        <v>0</v>
      </c>
      <c r="S71" s="1057">
        <f t="shared" si="12"/>
        <v>0</v>
      </c>
      <c r="T71" s="1057">
        <f t="shared" si="13"/>
        <v>0</v>
      </c>
      <c r="U71" s="1058">
        <f t="shared" si="14"/>
        <v>0</v>
      </c>
      <c r="V71" s="1058">
        <f t="shared" si="14"/>
        <v>0</v>
      </c>
    </row>
    <row r="72" spans="1:22">
      <c r="A72" s="987">
        <v>66</v>
      </c>
      <c r="B72" s="988" t="s">
        <v>159</v>
      </c>
      <c r="C72" s="1198">
        <f>'[2]ALL-Reformatted'!U71</f>
        <v>0</v>
      </c>
      <c r="D72" s="1007">
        <f>'Table 3 Levels 1&amp;2'!BN74+'Table 3 Levels 1&amp;2'!BV74</f>
        <v>6340.8763293271122</v>
      </c>
      <c r="E72" s="1104">
        <f t="shared" ref="E72:E75" si="15">C72*D72</f>
        <v>0</v>
      </c>
      <c r="F72" s="1104">
        <f>'Table 4 Level 3'!N71</f>
        <v>730.06</v>
      </c>
      <c r="G72" s="1104">
        <f t="shared" ref="G72:G75" si="16">C72*F72</f>
        <v>0</v>
      </c>
      <c r="H72" s="1061">
        <f t="shared" ref="H72:H75" si="17">E72+G72</f>
        <v>0</v>
      </c>
      <c r="I72" s="1114">
        <f t="shared" ref="I72:I75" si="18">-(0.25%*H72)</f>
        <v>0</v>
      </c>
      <c r="J72" s="1061">
        <f t="shared" ref="J72:J75" si="19">SUM(H72:I72)</f>
        <v>0</v>
      </c>
      <c r="K72" s="1061">
        <v>0</v>
      </c>
      <c r="L72" s="1061">
        <f t="shared" ref="L72:L75" si="20">SUM(J72:K72)</f>
        <v>0</v>
      </c>
      <c r="M72" s="1061">
        <f t="shared" ref="M72:M75" si="21">L72/12</f>
        <v>0</v>
      </c>
      <c r="N72" s="1051">
        <f>'[18]FY2012-13 Final'!K73</f>
        <v>3516</v>
      </c>
      <c r="O72" s="992">
        <f t="shared" ref="O72:O75" si="22">C72*N72</f>
        <v>0</v>
      </c>
      <c r="P72" s="1117">
        <f t="shared" ref="P72:P75" si="23">-(0.25%*O72)</f>
        <v>0</v>
      </c>
      <c r="Q72" s="992">
        <f t="shared" ref="Q72:Q75" si="24">SUM(O72:P72)</f>
        <v>0</v>
      </c>
      <c r="R72" s="992">
        <v>0</v>
      </c>
      <c r="S72" s="992">
        <f t="shared" ref="S72:S75" si="25">SUM(Q72:R72)</f>
        <v>0</v>
      </c>
      <c r="T72" s="992">
        <f t="shared" ref="T72:T75" si="26">S72/12</f>
        <v>0</v>
      </c>
      <c r="U72" s="993">
        <f t="shared" ref="U72:V75" si="27">L72+S72</f>
        <v>0</v>
      </c>
      <c r="V72" s="993">
        <f t="shared" si="27"/>
        <v>0</v>
      </c>
    </row>
    <row r="73" spans="1:22">
      <c r="A73" s="994">
        <v>67</v>
      </c>
      <c r="B73" s="995" t="s">
        <v>32</v>
      </c>
      <c r="C73" s="1196">
        <f>'[2]ALL-Reformatted'!U72</f>
        <v>0</v>
      </c>
      <c r="D73" s="1003">
        <f>'Table 3 Levels 1&amp;2'!BN75+'Table 3 Levels 1&amp;2'!BV75</f>
        <v>4984.1100297034172</v>
      </c>
      <c r="E73" s="1102">
        <f t="shared" si="15"/>
        <v>0</v>
      </c>
      <c r="F73" s="1102">
        <f>'Table 4 Level 3'!N72</f>
        <v>715.61</v>
      </c>
      <c r="G73" s="1102">
        <f t="shared" si="16"/>
        <v>0</v>
      </c>
      <c r="H73" s="1059">
        <f t="shared" si="17"/>
        <v>0</v>
      </c>
      <c r="I73" s="1112">
        <f t="shared" si="18"/>
        <v>0</v>
      </c>
      <c r="J73" s="1059">
        <f t="shared" si="19"/>
        <v>0</v>
      </c>
      <c r="K73" s="1059">
        <v>0</v>
      </c>
      <c r="L73" s="1059">
        <f t="shared" si="20"/>
        <v>0</v>
      </c>
      <c r="M73" s="1059">
        <f t="shared" si="21"/>
        <v>0</v>
      </c>
      <c r="N73" s="1051">
        <f>'[18]FY2012-13 Final'!K74</f>
        <v>5052</v>
      </c>
      <c r="O73" s="1053">
        <f t="shared" si="22"/>
        <v>0</v>
      </c>
      <c r="P73" s="1118">
        <f t="shared" si="23"/>
        <v>0</v>
      </c>
      <c r="Q73" s="1053">
        <f t="shared" si="24"/>
        <v>0</v>
      </c>
      <c r="R73" s="1053">
        <v>0</v>
      </c>
      <c r="S73" s="1053">
        <f t="shared" si="25"/>
        <v>0</v>
      </c>
      <c r="T73" s="1053">
        <f t="shared" si="26"/>
        <v>0</v>
      </c>
      <c r="U73" s="1054">
        <f t="shared" si="27"/>
        <v>0</v>
      </c>
      <c r="V73" s="1054">
        <f t="shared" si="27"/>
        <v>0</v>
      </c>
    </row>
    <row r="74" spans="1:22">
      <c r="A74" s="994">
        <v>68</v>
      </c>
      <c r="B74" s="995" t="s">
        <v>30</v>
      </c>
      <c r="C74" s="1196">
        <f>'[2]ALL-Reformatted'!U73</f>
        <v>0</v>
      </c>
      <c r="D74" s="1003">
        <f>'Table 3 Levels 1&amp;2'!BN76+'Table 3 Levels 1&amp;2'!BV76</f>
        <v>6012.7854305239725</v>
      </c>
      <c r="E74" s="1102">
        <f t="shared" si="15"/>
        <v>0</v>
      </c>
      <c r="F74" s="1102">
        <f>'Table 4 Level 3'!N73</f>
        <v>798.7</v>
      </c>
      <c r="G74" s="1102">
        <f t="shared" si="16"/>
        <v>0</v>
      </c>
      <c r="H74" s="1059">
        <f t="shared" si="17"/>
        <v>0</v>
      </c>
      <c r="I74" s="1112">
        <f t="shared" si="18"/>
        <v>0</v>
      </c>
      <c r="J74" s="1059">
        <f t="shared" si="19"/>
        <v>0</v>
      </c>
      <c r="K74" s="1059">
        <v>0</v>
      </c>
      <c r="L74" s="1059">
        <f t="shared" si="20"/>
        <v>0</v>
      </c>
      <c r="M74" s="1059">
        <f t="shared" si="21"/>
        <v>0</v>
      </c>
      <c r="N74" s="1051">
        <f>'[18]FY2012-13 Final'!K75</f>
        <v>2763</v>
      </c>
      <c r="O74" s="1053">
        <f t="shared" si="22"/>
        <v>0</v>
      </c>
      <c r="P74" s="1118">
        <f t="shared" si="23"/>
        <v>0</v>
      </c>
      <c r="Q74" s="1053">
        <f t="shared" si="24"/>
        <v>0</v>
      </c>
      <c r="R74" s="1053">
        <v>0</v>
      </c>
      <c r="S74" s="1053">
        <f t="shared" si="25"/>
        <v>0</v>
      </c>
      <c r="T74" s="1053">
        <f t="shared" si="26"/>
        <v>0</v>
      </c>
      <c r="U74" s="1054">
        <f t="shared" si="27"/>
        <v>0</v>
      </c>
      <c r="V74" s="1054">
        <f t="shared" si="27"/>
        <v>0</v>
      </c>
    </row>
    <row r="75" spans="1:22">
      <c r="A75" s="1008">
        <v>69</v>
      </c>
      <c r="B75" s="1009" t="s">
        <v>213</v>
      </c>
      <c r="C75" s="1199">
        <f>'[2]ALL-Reformatted'!U74</f>
        <v>0</v>
      </c>
      <c r="D75" s="1011">
        <f>'Table 3 Levels 1&amp;2'!BN77+'Table 3 Levels 1&amp;2'!BV77</f>
        <v>5559.7139008686299</v>
      </c>
      <c r="E75" s="1105">
        <f t="shared" si="15"/>
        <v>0</v>
      </c>
      <c r="F75" s="1105">
        <f>'Table 4 Level 3'!N74</f>
        <v>705.67</v>
      </c>
      <c r="G75" s="1105">
        <f t="shared" si="16"/>
        <v>0</v>
      </c>
      <c r="H75" s="1062">
        <f t="shared" si="17"/>
        <v>0</v>
      </c>
      <c r="I75" s="1115">
        <f t="shared" si="18"/>
        <v>0</v>
      </c>
      <c r="J75" s="1062">
        <f t="shared" si="19"/>
        <v>0</v>
      </c>
      <c r="K75" s="1062">
        <v>0</v>
      </c>
      <c r="L75" s="1062">
        <f t="shared" si="20"/>
        <v>0</v>
      </c>
      <c r="M75" s="1062">
        <f t="shared" si="21"/>
        <v>0</v>
      </c>
      <c r="N75" s="1051">
        <f>'[18]FY2012-13 Final'!K76</f>
        <v>3327</v>
      </c>
      <c r="O75" s="1063">
        <f t="shared" si="22"/>
        <v>0</v>
      </c>
      <c r="P75" s="1120">
        <f t="shared" si="23"/>
        <v>0</v>
      </c>
      <c r="Q75" s="1063">
        <f t="shared" si="24"/>
        <v>0</v>
      </c>
      <c r="R75" s="1063">
        <v>0</v>
      </c>
      <c r="S75" s="1063">
        <f t="shared" si="25"/>
        <v>0</v>
      </c>
      <c r="T75" s="1063">
        <f t="shared" si="26"/>
        <v>0</v>
      </c>
      <c r="U75" s="1064">
        <f t="shared" si="27"/>
        <v>0</v>
      </c>
      <c r="V75" s="1064">
        <f t="shared" si="27"/>
        <v>0</v>
      </c>
    </row>
    <row r="76" spans="1:22" ht="13.5" thickBot="1">
      <c r="A76" s="1012"/>
      <c r="B76" s="1013" t="s">
        <v>160</v>
      </c>
      <c r="C76" s="1014">
        <f>SUM(C7:C75)</f>
        <v>755</v>
      </c>
      <c r="D76" s="1015"/>
      <c r="E76" s="1106">
        <f>SUM(E7:E75)</f>
        <v>3155495.4447943093</v>
      </c>
      <c r="F76" s="1106">
        <f>'Table 4 Level 3'!N75</f>
        <v>703.90028204588873</v>
      </c>
      <c r="G76" s="1106">
        <f t="shared" ref="G76:L76" si="28">SUM(G7:G75)</f>
        <v>459070.20000000007</v>
      </c>
      <c r="H76" s="1016">
        <f t="shared" si="28"/>
        <v>3614565.6447943095</v>
      </c>
      <c r="I76" s="1116">
        <f t="shared" si="28"/>
        <v>-9036.4141119857741</v>
      </c>
      <c r="J76" s="1016">
        <f t="shared" si="28"/>
        <v>3605529.2306823237</v>
      </c>
      <c r="K76" s="1016">
        <f t="shared" si="28"/>
        <v>0</v>
      </c>
      <c r="L76" s="1016">
        <f t="shared" si="28"/>
        <v>3605529.2306823237</v>
      </c>
      <c r="M76" s="1016">
        <f>SUM(M7:M75)</f>
        <v>300460.76922352699</v>
      </c>
      <c r="N76" s="1065"/>
      <c r="O76" s="1017">
        <f t="shared" ref="O76:V76" si="29">SUM(O7:O75)</f>
        <v>3315205</v>
      </c>
      <c r="P76" s="1121">
        <f t="shared" si="29"/>
        <v>-8288.0125000000007</v>
      </c>
      <c r="Q76" s="1017">
        <f t="shared" si="29"/>
        <v>3306916.9874999998</v>
      </c>
      <c r="R76" s="1017">
        <f t="shared" si="29"/>
        <v>0</v>
      </c>
      <c r="S76" s="1017">
        <f t="shared" si="29"/>
        <v>3306916.9874999998</v>
      </c>
      <c r="T76" s="1017">
        <f t="shared" si="29"/>
        <v>275576.41562499997</v>
      </c>
      <c r="U76" s="1018">
        <f t="shared" si="29"/>
        <v>6912446.2181823235</v>
      </c>
      <c r="V76" s="1018">
        <f t="shared" si="29"/>
        <v>576037.18484852696</v>
      </c>
    </row>
    <row r="77" spans="1:22" ht="13.5" thickTop="1"/>
  </sheetData>
  <mergeCells count="19">
    <mergeCell ref="U2:U4"/>
    <mergeCell ref="V2:V4"/>
    <mergeCell ref="C3:C4"/>
    <mergeCell ref="D3:D4"/>
    <mergeCell ref="E3:E4"/>
    <mergeCell ref="F3:F4"/>
    <mergeCell ref="G3:G4"/>
    <mergeCell ref="Q3:Q4"/>
    <mergeCell ref="R3:R4"/>
    <mergeCell ref="S3:S4"/>
    <mergeCell ref="H3:H4"/>
    <mergeCell ref="J3:J4"/>
    <mergeCell ref="K3:K4"/>
    <mergeCell ref="L3:L4"/>
    <mergeCell ref="M3:M4"/>
    <mergeCell ref="N3:N4"/>
    <mergeCell ref="A2:B4"/>
    <mergeCell ref="C2:M2"/>
    <mergeCell ref="N2:T2"/>
  </mergeCells>
  <pageMargins left="0.38" right="0.42" top="0.75" bottom="0.75" header="0.3" footer="0.3"/>
  <pageSetup paperSize="5" scale="60" firstPageNumber="70" orientation="portrait" useFirstPageNumber="1" r:id="rId1"/>
  <headerFooter>
    <oddHeader>&amp;L&amp;"Arial,Bold"&amp;20Table 5C1-F: FY2013-14 MFP Budget Letter (Projection)
Lake Charles Charter Academy</oddHeader>
    <oddFooter>&amp;R&amp;P</oddFooter>
  </headerFooter>
  <colBreaks count="1" manualBreakCount="1">
    <brk id="13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7"/>
  <sheetViews>
    <sheetView view="pageBreakPreview" zoomScaleNormal="100" zoomScaleSheetLayoutView="100" workbookViewId="0">
      <pane xSplit="2" ySplit="6" topLeftCell="C7" activePane="bottomRight" state="frozen"/>
      <selection activeCell="B1" sqref="B1:B2"/>
      <selection pane="topRight" activeCell="B1" sqref="B1:B2"/>
      <selection pane="bottomLeft" activeCell="B1" sqref="B1:B2"/>
      <selection pane="bottomRight" activeCell="A2" sqref="A2:B4"/>
    </sheetView>
  </sheetViews>
  <sheetFormatPr defaultRowHeight="12.75"/>
  <cols>
    <col min="1" max="1" width="4.28515625" customWidth="1"/>
    <col min="2" max="2" width="17.85546875" bestFit="1" customWidth="1"/>
    <col min="3" max="3" width="12.5703125" customWidth="1"/>
    <col min="4" max="4" width="17" customWidth="1"/>
    <col min="5" max="5" width="11.140625" customWidth="1"/>
    <col min="6" max="6" width="12" customWidth="1"/>
    <col min="7" max="7" width="13.28515625" customWidth="1"/>
    <col min="8" max="8" width="14.5703125" customWidth="1"/>
    <col min="9" max="9" width="12.28515625" customWidth="1"/>
    <col min="10" max="10" width="12" bestFit="1" customWidth="1"/>
    <col min="11" max="11" width="13.42578125" bestFit="1" customWidth="1"/>
    <col min="12" max="12" width="14" customWidth="1"/>
    <col min="13" max="13" width="10.7109375" customWidth="1"/>
    <col min="14" max="14" width="17.28515625" customWidth="1"/>
    <col min="15" max="15" width="16.7109375" customWidth="1"/>
    <col min="16" max="16" width="13.7109375" customWidth="1"/>
    <col min="17" max="17" width="17" customWidth="1"/>
    <col min="18" max="18" width="15.28515625" customWidth="1"/>
    <col min="19" max="19" width="13.140625" customWidth="1"/>
    <col min="20" max="20" width="12" customWidth="1"/>
    <col min="21" max="21" width="11" customWidth="1"/>
    <col min="22" max="22" width="12.140625" customWidth="1"/>
  </cols>
  <sheetData>
    <row r="1" spans="1:22"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</row>
    <row r="2" spans="1:22" ht="45" customHeight="1">
      <c r="A2" s="2059" t="s">
        <v>669</v>
      </c>
      <c r="B2" s="2060"/>
      <c r="C2" s="2065" t="s">
        <v>661</v>
      </c>
      <c r="D2" s="2017"/>
      <c r="E2" s="2017"/>
      <c r="F2" s="2017"/>
      <c r="G2" s="2017"/>
      <c r="H2" s="2017"/>
      <c r="I2" s="2017"/>
      <c r="J2" s="2017"/>
      <c r="K2" s="2017"/>
      <c r="L2" s="2017"/>
      <c r="M2" s="2018"/>
      <c r="N2" s="1992" t="s">
        <v>1357</v>
      </c>
      <c r="O2" s="1993"/>
      <c r="P2" s="1993"/>
      <c r="Q2" s="1993"/>
      <c r="R2" s="1993"/>
      <c r="S2" s="1993"/>
      <c r="T2" s="1994"/>
      <c r="U2" s="1995" t="s">
        <v>1387</v>
      </c>
      <c r="V2" s="1995" t="s">
        <v>1355</v>
      </c>
    </row>
    <row r="3" spans="1:22" ht="120.75" customHeight="1">
      <c r="A3" s="2061"/>
      <c r="B3" s="2062"/>
      <c r="C3" s="2006" t="s">
        <v>1175</v>
      </c>
      <c r="D3" s="2008" t="s">
        <v>1393</v>
      </c>
      <c r="E3" s="2008" t="s">
        <v>1377</v>
      </c>
      <c r="F3" s="2006" t="s">
        <v>662</v>
      </c>
      <c r="G3" s="2006" t="s">
        <v>492</v>
      </c>
      <c r="H3" s="2006" t="s">
        <v>1378</v>
      </c>
      <c r="I3" s="1227" t="s">
        <v>510</v>
      </c>
      <c r="J3" s="2006" t="s">
        <v>1379</v>
      </c>
      <c r="K3" s="2006" t="s">
        <v>1230</v>
      </c>
      <c r="L3" s="2006" t="s">
        <v>1380</v>
      </c>
      <c r="M3" s="2008" t="s">
        <v>1356</v>
      </c>
      <c r="N3" s="2019" t="s">
        <v>694</v>
      </c>
      <c r="O3" s="1743" t="s">
        <v>1382</v>
      </c>
      <c r="P3" s="1229" t="s">
        <v>512</v>
      </c>
      <c r="Q3" s="2019" t="s">
        <v>1383</v>
      </c>
      <c r="R3" s="2019" t="s">
        <v>1230</v>
      </c>
      <c r="S3" s="2019" t="s">
        <v>1384</v>
      </c>
      <c r="T3" s="1743" t="s">
        <v>1385</v>
      </c>
      <c r="U3" s="1996"/>
      <c r="V3" s="1996"/>
    </row>
    <row r="4" spans="1:22" ht="22.5" customHeight="1">
      <c r="A4" s="2063"/>
      <c r="B4" s="2064"/>
      <c r="C4" s="2007"/>
      <c r="D4" s="2008"/>
      <c r="E4" s="2008"/>
      <c r="F4" s="2007"/>
      <c r="G4" s="2007"/>
      <c r="H4" s="2007"/>
      <c r="I4" s="1107">
        <v>2.5000000000000001E-3</v>
      </c>
      <c r="J4" s="2007"/>
      <c r="K4" s="2007"/>
      <c r="L4" s="2007"/>
      <c r="M4" s="2008"/>
      <c r="N4" s="1999"/>
      <c r="O4" s="1228"/>
      <c r="P4" s="1108">
        <v>2.5000000000000001E-3</v>
      </c>
      <c r="Q4" s="1999"/>
      <c r="R4" s="1999"/>
      <c r="S4" s="1999"/>
      <c r="T4" s="1228"/>
      <c r="U4" s="1997"/>
      <c r="V4" s="1997"/>
    </row>
    <row r="5" spans="1:22" ht="14.25" customHeight="1">
      <c r="A5" s="978"/>
      <c r="B5" s="979"/>
      <c r="C5" s="980">
        <v>1</v>
      </c>
      <c r="D5" s="980">
        <f t="shared" ref="D5" si="0">C5+1</f>
        <v>2</v>
      </c>
      <c r="E5" s="980">
        <f>D5+1</f>
        <v>3</v>
      </c>
      <c r="F5" s="980">
        <f t="shared" ref="F5:V5" si="1">E5+1</f>
        <v>4</v>
      </c>
      <c r="G5" s="980">
        <f t="shared" si="1"/>
        <v>5</v>
      </c>
      <c r="H5" s="980">
        <f t="shared" si="1"/>
        <v>6</v>
      </c>
      <c r="I5" s="980">
        <f t="shared" si="1"/>
        <v>7</v>
      </c>
      <c r="J5" s="980">
        <f t="shared" si="1"/>
        <v>8</v>
      </c>
      <c r="K5" s="980">
        <f t="shared" si="1"/>
        <v>9</v>
      </c>
      <c r="L5" s="980">
        <f t="shared" si="1"/>
        <v>10</v>
      </c>
      <c r="M5" s="980">
        <f t="shared" si="1"/>
        <v>11</v>
      </c>
      <c r="N5" s="980">
        <f t="shared" si="1"/>
        <v>12</v>
      </c>
      <c r="O5" s="980">
        <f t="shared" si="1"/>
        <v>13</v>
      </c>
      <c r="P5" s="980">
        <f t="shared" si="1"/>
        <v>14</v>
      </c>
      <c r="Q5" s="980">
        <f t="shared" si="1"/>
        <v>15</v>
      </c>
      <c r="R5" s="980">
        <f t="shared" si="1"/>
        <v>16</v>
      </c>
      <c r="S5" s="980">
        <f t="shared" si="1"/>
        <v>17</v>
      </c>
      <c r="T5" s="980">
        <f t="shared" si="1"/>
        <v>18</v>
      </c>
      <c r="U5" s="980">
        <f t="shared" si="1"/>
        <v>19</v>
      </c>
      <c r="V5" s="980">
        <f t="shared" si="1"/>
        <v>20</v>
      </c>
    </row>
    <row r="6" spans="1:22" ht="27" customHeight="1">
      <c r="A6" s="1041"/>
      <c r="B6" s="1042"/>
      <c r="C6" s="1042"/>
      <c r="D6" s="1042"/>
      <c r="E6" s="1042"/>
      <c r="F6" s="1042"/>
      <c r="G6" s="1042"/>
      <c r="H6" s="1042"/>
      <c r="I6" s="1042"/>
      <c r="J6" s="1042"/>
      <c r="K6" s="1042"/>
      <c r="L6" s="1042"/>
      <c r="M6" s="1042"/>
      <c r="N6" s="1042"/>
      <c r="O6" s="1042"/>
      <c r="P6" s="1042"/>
      <c r="Q6" s="1042"/>
      <c r="R6" s="1042"/>
      <c r="S6" s="1042"/>
      <c r="T6" s="1042"/>
      <c r="U6" s="1042"/>
      <c r="V6" s="1042"/>
    </row>
    <row r="7" spans="1:22">
      <c r="A7" s="987">
        <v>1</v>
      </c>
      <c r="B7" s="988" t="s">
        <v>95</v>
      </c>
      <c r="C7" s="989">
        <f>'[2]ALL-Reformatted'!X6</f>
        <v>0</v>
      </c>
      <c r="D7" s="990">
        <f>'Table 3 Levels 1&amp;2'!BN9+'Table 3 Levels 1&amp;2'!BV9</f>
        <v>4565.2108060165392</v>
      </c>
      <c r="E7" s="1099">
        <f>C7*D7</f>
        <v>0</v>
      </c>
      <c r="F7" s="1099">
        <f>'Table 4 Level 3'!N6</f>
        <v>777.48</v>
      </c>
      <c r="G7" s="1099">
        <f>C7*F7</f>
        <v>0</v>
      </c>
      <c r="H7" s="991">
        <f>E7+G7</f>
        <v>0</v>
      </c>
      <c r="I7" s="1109">
        <f>-(0.25%*H7)</f>
        <v>0</v>
      </c>
      <c r="J7" s="991">
        <f>SUM(H7:I7)</f>
        <v>0</v>
      </c>
      <c r="K7" s="991">
        <v>0</v>
      </c>
      <c r="L7" s="991">
        <f>SUM(J7:K7)</f>
        <v>0</v>
      </c>
      <c r="M7" s="991">
        <f>L7/12</f>
        <v>0</v>
      </c>
      <c r="N7" s="1051">
        <f>'[18]FY2012-13 Final'!K8</f>
        <v>2112</v>
      </c>
      <c r="O7" s="992">
        <f>C7*N7</f>
        <v>0</v>
      </c>
      <c r="P7" s="1117">
        <f>-(0.25%*O7)</f>
        <v>0</v>
      </c>
      <c r="Q7" s="992">
        <f>SUM(O7:P7)</f>
        <v>0</v>
      </c>
      <c r="R7" s="992">
        <v>0</v>
      </c>
      <c r="S7" s="992">
        <f>SUM(Q7:R7)</f>
        <v>0</v>
      </c>
      <c r="T7" s="992">
        <f>S7/12</f>
        <v>0</v>
      </c>
      <c r="U7" s="993">
        <f>L7+S7</f>
        <v>0</v>
      </c>
      <c r="V7" s="993">
        <f>M7+T7</f>
        <v>0</v>
      </c>
    </row>
    <row r="8" spans="1:22">
      <c r="A8" s="994">
        <v>2</v>
      </c>
      <c r="B8" s="995" t="s">
        <v>96</v>
      </c>
      <c r="C8" s="1193">
        <f>'[2]ALL-Reformatted'!X7</f>
        <v>0</v>
      </c>
      <c r="D8" s="997">
        <f>'Table 3 Levels 1&amp;2'!BN10+'Table 3 Levels 1&amp;2'!BV10</f>
        <v>6132.0480322513831</v>
      </c>
      <c r="E8" s="1100">
        <f t="shared" ref="E8:E71" si="2">C8*D8</f>
        <v>0</v>
      </c>
      <c r="F8" s="1100">
        <f>'Table 4 Level 3'!N7</f>
        <v>842.32</v>
      </c>
      <c r="G8" s="1100">
        <f t="shared" ref="G8:G71" si="3">C8*F8</f>
        <v>0</v>
      </c>
      <c r="H8" s="1052">
        <f t="shared" ref="H8:H71" si="4">E8+G8</f>
        <v>0</v>
      </c>
      <c r="I8" s="1110">
        <f t="shared" ref="I8:I71" si="5">-(0.25%*H8)</f>
        <v>0</v>
      </c>
      <c r="J8" s="1052">
        <f t="shared" ref="J8:J71" si="6">SUM(H8:I8)</f>
        <v>0</v>
      </c>
      <c r="K8" s="1052">
        <v>0</v>
      </c>
      <c r="L8" s="1052">
        <f t="shared" ref="L8:L71" si="7">SUM(J8:K8)</f>
        <v>0</v>
      </c>
      <c r="M8" s="1052">
        <f t="shared" ref="M8:M71" si="8">L8/12</f>
        <v>0</v>
      </c>
      <c r="N8" s="1051">
        <f>'[18]FY2012-13 Final'!K9</f>
        <v>2584</v>
      </c>
      <c r="O8" s="1053">
        <f t="shared" ref="O8:O71" si="9">C8*N8</f>
        <v>0</v>
      </c>
      <c r="P8" s="1118">
        <f t="shared" ref="P8:P71" si="10">-(0.25%*O8)</f>
        <v>0</v>
      </c>
      <c r="Q8" s="1053">
        <f t="shared" ref="Q8:Q71" si="11">SUM(O8:P8)</f>
        <v>0</v>
      </c>
      <c r="R8" s="1053">
        <v>0</v>
      </c>
      <c r="S8" s="1053">
        <f t="shared" ref="S8:S71" si="12">SUM(Q8:R8)</f>
        <v>0</v>
      </c>
      <c r="T8" s="1053">
        <f t="shared" ref="T8:T71" si="13">S8/12</f>
        <v>0</v>
      </c>
      <c r="U8" s="1054">
        <f t="shared" ref="U8:V71" si="14">L8+S8</f>
        <v>0</v>
      </c>
      <c r="V8" s="1054">
        <f t="shared" si="14"/>
        <v>0</v>
      </c>
    </row>
    <row r="9" spans="1:22">
      <c r="A9" s="994">
        <v>3</v>
      </c>
      <c r="B9" s="995" t="s">
        <v>97</v>
      </c>
      <c r="C9" s="1193">
        <f>'[2]ALL-Reformatted'!X8</f>
        <v>0</v>
      </c>
      <c r="D9" s="997">
        <f>'Table 3 Levels 1&amp;2'!BN11+'Table 3 Levels 1&amp;2'!BV11</f>
        <v>4186.9626187036429</v>
      </c>
      <c r="E9" s="1100">
        <f t="shared" si="2"/>
        <v>0</v>
      </c>
      <c r="F9" s="1100">
        <f>'Table 4 Level 3'!N8</f>
        <v>596.84</v>
      </c>
      <c r="G9" s="1100">
        <f t="shared" si="3"/>
        <v>0</v>
      </c>
      <c r="H9" s="1052">
        <f t="shared" si="4"/>
        <v>0</v>
      </c>
      <c r="I9" s="1110">
        <f t="shared" si="5"/>
        <v>0</v>
      </c>
      <c r="J9" s="1052">
        <f t="shared" si="6"/>
        <v>0</v>
      </c>
      <c r="K9" s="1052">
        <v>0</v>
      </c>
      <c r="L9" s="1052">
        <f t="shared" si="7"/>
        <v>0</v>
      </c>
      <c r="M9" s="1052">
        <f t="shared" si="8"/>
        <v>0</v>
      </c>
      <c r="N9" s="1051">
        <f>'[18]FY2012-13 Final'!K10</f>
        <v>4966</v>
      </c>
      <c r="O9" s="1053">
        <f t="shared" si="9"/>
        <v>0</v>
      </c>
      <c r="P9" s="1118">
        <f t="shared" si="10"/>
        <v>0</v>
      </c>
      <c r="Q9" s="1053">
        <f t="shared" si="11"/>
        <v>0</v>
      </c>
      <c r="R9" s="1053">
        <v>0</v>
      </c>
      <c r="S9" s="1053">
        <f t="shared" si="12"/>
        <v>0</v>
      </c>
      <c r="T9" s="1053">
        <f t="shared" si="13"/>
        <v>0</v>
      </c>
      <c r="U9" s="1054">
        <f t="shared" si="14"/>
        <v>0</v>
      </c>
      <c r="V9" s="1054">
        <f t="shared" si="14"/>
        <v>0</v>
      </c>
    </row>
    <row r="10" spans="1:22">
      <c r="A10" s="994">
        <v>4</v>
      </c>
      <c r="B10" s="995" t="s">
        <v>98</v>
      </c>
      <c r="C10" s="1193">
        <f>'[2]ALL-Reformatted'!X9</f>
        <v>0</v>
      </c>
      <c r="D10" s="997">
        <f>'Table 3 Levels 1&amp;2'!BN12+'Table 3 Levels 1&amp;2'!BV12</f>
        <v>5918.8798759182582</v>
      </c>
      <c r="E10" s="1100">
        <f t="shared" si="2"/>
        <v>0</v>
      </c>
      <c r="F10" s="1100">
        <f>'Table 4 Level 3'!N9</f>
        <v>585.76</v>
      </c>
      <c r="G10" s="1100">
        <f t="shared" si="3"/>
        <v>0</v>
      </c>
      <c r="H10" s="1052">
        <f t="shared" si="4"/>
        <v>0</v>
      </c>
      <c r="I10" s="1110">
        <f t="shared" si="5"/>
        <v>0</v>
      </c>
      <c r="J10" s="1052">
        <f t="shared" si="6"/>
        <v>0</v>
      </c>
      <c r="K10" s="1052">
        <v>0</v>
      </c>
      <c r="L10" s="1052">
        <f t="shared" si="7"/>
        <v>0</v>
      </c>
      <c r="M10" s="1052">
        <f t="shared" si="8"/>
        <v>0</v>
      </c>
      <c r="N10" s="1051">
        <f>'[18]FY2012-13 Final'!K11</f>
        <v>3445</v>
      </c>
      <c r="O10" s="1053">
        <f t="shared" si="9"/>
        <v>0</v>
      </c>
      <c r="P10" s="1118">
        <f t="shared" si="10"/>
        <v>0</v>
      </c>
      <c r="Q10" s="1053">
        <f t="shared" si="11"/>
        <v>0</v>
      </c>
      <c r="R10" s="1053">
        <v>0</v>
      </c>
      <c r="S10" s="1053">
        <f t="shared" si="12"/>
        <v>0</v>
      </c>
      <c r="T10" s="1053">
        <f t="shared" si="13"/>
        <v>0</v>
      </c>
      <c r="U10" s="1054">
        <f t="shared" si="14"/>
        <v>0</v>
      </c>
      <c r="V10" s="1054">
        <f t="shared" si="14"/>
        <v>0</v>
      </c>
    </row>
    <row r="11" spans="1:22">
      <c r="A11" s="998">
        <v>5</v>
      </c>
      <c r="B11" s="999" t="s">
        <v>99</v>
      </c>
      <c r="C11" s="1194">
        <f>'[2]ALL-Reformatted'!X10</f>
        <v>0</v>
      </c>
      <c r="D11" s="1001">
        <f>'Table 3 Levels 1&amp;2'!BN13+'Table 3 Levels 1&amp;2'!BV13</f>
        <v>4880.3484353147733</v>
      </c>
      <c r="E11" s="1101">
        <f t="shared" si="2"/>
        <v>0</v>
      </c>
      <c r="F11" s="1101">
        <f>'Table 4 Level 3'!N10</f>
        <v>555.91</v>
      </c>
      <c r="G11" s="1101">
        <f t="shared" si="3"/>
        <v>0</v>
      </c>
      <c r="H11" s="1055">
        <f t="shared" si="4"/>
        <v>0</v>
      </c>
      <c r="I11" s="1111">
        <f t="shared" si="5"/>
        <v>0</v>
      </c>
      <c r="J11" s="1055">
        <f t="shared" si="6"/>
        <v>0</v>
      </c>
      <c r="K11" s="1055">
        <v>0</v>
      </c>
      <c r="L11" s="1055">
        <f t="shared" si="7"/>
        <v>0</v>
      </c>
      <c r="M11" s="1055">
        <f t="shared" si="8"/>
        <v>0</v>
      </c>
      <c r="N11" s="1056">
        <f>'[18]FY2012-13 Final'!K12</f>
        <v>1353</v>
      </c>
      <c r="O11" s="1057">
        <f t="shared" si="9"/>
        <v>0</v>
      </c>
      <c r="P11" s="1119">
        <f t="shared" si="10"/>
        <v>0</v>
      </c>
      <c r="Q11" s="1057">
        <f t="shared" si="11"/>
        <v>0</v>
      </c>
      <c r="R11" s="1057">
        <v>0</v>
      </c>
      <c r="S11" s="1057">
        <f t="shared" si="12"/>
        <v>0</v>
      </c>
      <c r="T11" s="1057">
        <f t="shared" si="13"/>
        <v>0</v>
      </c>
      <c r="U11" s="1058">
        <f t="shared" si="14"/>
        <v>0</v>
      </c>
      <c r="V11" s="1058">
        <f t="shared" si="14"/>
        <v>0</v>
      </c>
    </row>
    <row r="12" spans="1:22">
      <c r="A12" s="987">
        <v>6</v>
      </c>
      <c r="B12" s="988" t="s">
        <v>100</v>
      </c>
      <c r="C12" s="1195">
        <f>'[2]ALL-Reformatted'!X11</f>
        <v>0</v>
      </c>
      <c r="D12" s="990">
        <f>'Table 3 Levels 1&amp;2'!BN14+'Table 3 Levels 1&amp;2'!BV14</f>
        <v>5379.7759718479856</v>
      </c>
      <c r="E12" s="1099">
        <f t="shared" si="2"/>
        <v>0</v>
      </c>
      <c r="F12" s="1099">
        <f>'Table 4 Level 3'!N11</f>
        <v>545.4799999999999</v>
      </c>
      <c r="G12" s="1099">
        <f t="shared" si="3"/>
        <v>0</v>
      </c>
      <c r="H12" s="991">
        <f t="shared" si="4"/>
        <v>0</v>
      </c>
      <c r="I12" s="1109">
        <f t="shared" si="5"/>
        <v>0</v>
      </c>
      <c r="J12" s="991">
        <f t="shared" si="6"/>
        <v>0</v>
      </c>
      <c r="K12" s="991">
        <v>0</v>
      </c>
      <c r="L12" s="991">
        <f t="shared" si="7"/>
        <v>0</v>
      </c>
      <c r="M12" s="991">
        <f t="shared" si="8"/>
        <v>0</v>
      </c>
      <c r="N12" s="1051">
        <f>'[18]FY2012-13 Final'!K13</f>
        <v>3576</v>
      </c>
      <c r="O12" s="992">
        <f t="shared" si="9"/>
        <v>0</v>
      </c>
      <c r="P12" s="1117">
        <f t="shared" si="10"/>
        <v>0</v>
      </c>
      <c r="Q12" s="992">
        <f t="shared" si="11"/>
        <v>0</v>
      </c>
      <c r="R12" s="992">
        <v>0</v>
      </c>
      <c r="S12" s="992">
        <f t="shared" si="12"/>
        <v>0</v>
      </c>
      <c r="T12" s="992">
        <f t="shared" si="13"/>
        <v>0</v>
      </c>
      <c r="U12" s="993">
        <f t="shared" si="14"/>
        <v>0</v>
      </c>
      <c r="V12" s="993">
        <f t="shared" si="14"/>
        <v>0</v>
      </c>
    </row>
    <row r="13" spans="1:22">
      <c r="A13" s="994">
        <v>7</v>
      </c>
      <c r="B13" s="995" t="s">
        <v>101</v>
      </c>
      <c r="C13" s="1193">
        <f>'[2]ALL-Reformatted'!X12</f>
        <v>0</v>
      </c>
      <c r="D13" s="997">
        <f>'Table 3 Levels 1&amp;2'!BN15+'Table 3 Levels 1&amp;2'!BV15</f>
        <v>1698.1351763907733</v>
      </c>
      <c r="E13" s="1100">
        <f t="shared" si="2"/>
        <v>0</v>
      </c>
      <c r="F13" s="1100">
        <f>'Table 4 Level 3'!N12</f>
        <v>756.91999999999985</v>
      </c>
      <c r="G13" s="1100">
        <f t="shared" si="3"/>
        <v>0</v>
      </c>
      <c r="H13" s="1052">
        <f t="shared" si="4"/>
        <v>0</v>
      </c>
      <c r="I13" s="1110">
        <f t="shared" si="5"/>
        <v>0</v>
      </c>
      <c r="J13" s="1052">
        <f t="shared" si="6"/>
        <v>0</v>
      </c>
      <c r="K13" s="1052">
        <v>0</v>
      </c>
      <c r="L13" s="1052">
        <f t="shared" si="7"/>
        <v>0</v>
      </c>
      <c r="M13" s="1052">
        <f t="shared" si="8"/>
        <v>0</v>
      </c>
      <c r="N13" s="1051">
        <f>'[18]FY2012-13 Final'!K14</f>
        <v>12465</v>
      </c>
      <c r="O13" s="1053">
        <f t="shared" si="9"/>
        <v>0</v>
      </c>
      <c r="P13" s="1118">
        <f t="shared" si="10"/>
        <v>0</v>
      </c>
      <c r="Q13" s="1053">
        <f t="shared" si="11"/>
        <v>0</v>
      </c>
      <c r="R13" s="1053">
        <v>0</v>
      </c>
      <c r="S13" s="1053">
        <f t="shared" si="12"/>
        <v>0</v>
      </c>
      <c r="T13" s="1053">
        <f t="shared" si="13"/>
        <v>0</v>
      </c>
      <c r="U13" s="1054">
        <f t="shared" si="14"/>
        <v>0</v>
      </c>
      <c r="V13" s="1054">
        <f t="shared" si="14"/>
        <v>0</v>
      </c>
    </row>
    <row r="14" spans="1:22">
      <c r="A14" s="994">
        <v>8</v>
      </c>
      <c r="B14" s="995" t="s">
        <v>102</v>
      </c>
      <c r="C14" s="1193">
        <f>'[2]ALL-Reformatted'!X13</f>
        <v>0</v>
      </c>
      <c r="D14" s="997">
        <f>'Table 3 Levels 1&amp;2'!BN16+'Table 3 Levels 1&amp;2'!BV16</f>
        <v>4239.8578920718974</v>
      </c>
      <c r="E14" s="1100">
        <f t="shared" si="2"/>
        <v>0</v>
      </c>
      <c r="F14" s="1100">
        <f>'Table 4 Level 3'!N13</f>
        <v>725.76</v>
      </c>
      <c r="G14" s="1100">
        <f t="shared" si="3"/>
        <v>0</v>
      </c>
      <c r="H14" s="1052">
        <f t="shared" si="4"/>
        <v>0</v>
      </c>
      <c r="I14" s="1110">
        <f t="shared" si="5"/>
        <v>0</v>
      </c>
      <c r="J14" s="1052">
        <f t="shared" si="6"/>
        <v>0</v>
      </c>
      <c r="K14" s="1052">
        <v>0</v>
      </c>
      <c r="L14" s="1052">
        <f t="shared" si="7"/>
        <v>0</v>
      </c>
      <c r="M14" s="1052">
        <f t="shared" si="8"/>
        <v>0</v>
      </c>
      <c r="N14" s="1051">
        <f>'[18]FY2012-13 Final'!K15</f>
        <v>4184</v>
      </c>
      <c r="O14" s="1053">
        <f t="shared" si="9"/>
        <v>0</v>
      </c>
      <c r="P14" s="1118">
        <f t="shared" si="10"/>
        <v>0</v>
      </c>
      <c r="Q14" s="1053">
        <f t="shared" si="11"/>
        <v>0</v>
      </c>
      <c r="R14" s="1053">
        <v>0</v>
      </c>
      <c r="S14" s="1053">
        <f t="shared" si="12"/>
        <v>0</v>
      </c>
      <c r="T14" s="1053">
        <f t="shared" si="13"/>
        <v>0</v>
      </c>
      <c r="U14" s="1054">
        <f t="shared" si="14"/>
        <v>0</v>
      </c>
      <c r="V14" s="1054">
        <f t="shared" si="14"/>
        <v>0</v>
      </c>
    </row>
    <row r="15" spans="1:22">
      <c r="A15" s="994">
        <v>9</v>
      </c>
      <c r="B15" s="995" t="s">
        <v>103</v>
      </c>
      <c r="C15" s="1193">
        <f>'[2]ALL-Reformatted'!X14</f>
        <v>0</v>
      </c>
      <c r="D15" s="997">
        <f>'Table 3 Levels 1&amp;2'!BN17+'Table 3 Levels 1&amp;2'!BV17</f>
        <v>4361.2752875373017</v>
      </c>
      <c r="E15" s="1100">
        <f t="shared" si="2"/>
        <v>0</v>
      </c>
      <c r="F15" s="1100">
        <f>'Table 4 Level 3'!N14</f>
        <v>744.76</v>
      </c>
      <c r="G15" s="1100">
        <f t="shared" si="3"/>
        <v>0</v>
      </c>
      <c r="H15" s="1052">
        <f t="shared" si="4"/>
        <v>0</v>
      </c>
      <c r="I15" s="1110">
        <f t="shared" si="5"/>
        <v>0</v>
      </c>
      <c r="J15" s="1052">
        <f t="shared" si="6"/>
        <v>0</v>
      </c>
      <c r="K15" s="1052">
        <v>0</v>
      </c>
      <c r="L15" s="1052">
        <f t="shared" si="7"/>
        <v>0</v>
      </c>
      <c r="M15" s="1052">
        <f t="shared" si="8"/>
        <v>0</v>
      </c>
      <c r="N15" s="1051">
        <f>'[18]FY2012-13 Final'!K16</f>
        <v>4640</v>
      </c>
      <c r="O15" s="1053">
        <f t="shared" si="9"/>
        <v>0</v>
      </c>
      <c r="P15" s="1118">
        <f t="shared" si="10"/>
        <v>0</v>
      </c>
      <c r="Q15" s="1053">
        <f t="shared" si="11"/>
        <v>0</v>
      </c>
      <c r="R15" s="1053">
        <v>0</v>
      </c>
      <c r="S15" s="1053">
        <f t="shared" si="12"/>
        <v>0</v>
      </c>
      <c r="T15" s="1053">
        <f t="shared" si="13"/>
        <v>0</v>
      </c>
      <c r="U15" s="1054">
        <f t="shared" si="14"/>
        <v>0</v>
      </c>
      <c r="V15" s="1054">
        <f t="shared" si="14"/>
        <v>0</v>
      </c>
    </row>
    <row r="16" spans="1:22">
      <c r="A16" s="998">
        <v>10</v>
      </c>
      <c r="B16" s="999" t="s">
        <v>104</v>
      </c>
      <c r="C16" s="1194">
        <f>'[2]ALL-Reformatted'!X15</f>
        <v>0</v>
      </c>
      <c r="D16" s="1001">
        <f>'Table 3 Levels 1&amp;2'!BN18+'Table 3 Levels 1&amp;2'!BV18</f>
        <v>4179.4641652904756</v>
      </c>
      <c r="E16" s="1101">
        <f t="shared" si="2"/>
        <v>0</v>
      </c>
      <c r="F16" s="1101">
        <f>'Table 4 Level 3'!N15</f>
        <v>608.04000000000008</v>
      </c>
      <c r="G16" s="1101">
        <f t="shared" si="3"/>
        <v>0</v>
      </c>
      <c r="H16" s="1055">
        <f t="shared" si="4"/>
        <v>0</v>
      </c>
      <c r="I16" s="1111">
        <f t="shared" si="5"/>
        <v>0</v>
      </c>
      <c r="J16" s="1055">
        <f t="shared" si="6"/>
        <v>0</v>
      </c>
      <c r="K16" s="1055">
        <v>0</v>
      </c>
      <c r="L16" s="1055">
        <f t="shared" si="7"/>
        <v>0</v>
      </c>
      <c r="M16" s="1055">
        <f t="shared" si="8"/>
        <v>0</v>
      </c>
      <c r="N16" s="1056">
        <f>'[18]FY2012-13 Final'!K17</f>
        <v>4391</v>
      </c>
      <c r="O16" s="1057">
        <f t="shared" si="9"/>
        <v>0</v>
      </c>
      <c r="P16" s="1119">
        <f t="shared" si="10"/>
        <v>0</v>
      </c>
      <c r="Q16" s="1057">
        <f t="shared" si="11"/>
        <v>0</v>
      </c>
      <c r="R16" s="1057">
        <v>0</v>
      </c>
      <c r="S16" s="1057">
        <f t="shared" si="12"/>
        <v>0</v>
      </c>
      <c r="T16" s="1057">
        <f t="shared" si="13"/>
        <v>0</v>
      </c>
      <c r="U16" s="1058">
        <f t="shared" si="14"/>
        <v>0</v>
      </c>
      <c r="V16" s="1058">
        <f t="shared" si="14"/>
        <v>0</v>
      </c>
    </row>
    <row r="17" spans="1:22">
      <c r="A17" s="987">
        <v>11</v>
      </c>
      <c r="B17" s="988" t="s">
        <v>105</v>
      </c>
      <c r="C17" s="1195">
        <f>'[2]ALL-Reformatted'!X16</f>
        <v>0</v>
      </c>
      <c r="D17" s="990">
        <f>'Table 3 Levels 1&amp;2'!BN19+'Table 3 Levels 1&amp;2'!BV19</f>
        <v>6825.0221851487568</v>
      </c>
      <c r="E17" s="1099">
        <f t="shared" si="2"/>
        <v>0</v>
      </c>
      <c r="F17" s="1099">
        <f>'Table 4 Level 3'!N16</f>
        <v>706.55</v>
      </c>
      <c r="G17" s="1099">
        <f t="shared" si="3"/>
        <v>0</v>
      </c>
      <c r="H17" s="991">
        <f t="shared" si="4"/>
        <v>0</v>
      </c>
      <c r="I17" s="1109">
        <f t="shared" si="5"/>
        <v>0</v>
      </c>
      <c r="J17" s="991">
        <f t="shared" si="6"/>
        <v>0</v>
      </c>
      <c r="K17" s="991">
        <v>0</v>
      </c>
      <c r="L17" s="991">
        <f t="shared" si="7"/>
        <v>0</v>
      </c>
      <c r="M17" s="991">
        <f t="shared" si="8"/>
        <v>0</v>
      </c>
      <c r="N17" s="1051">
        <f>'[18]FY2012-13 Final'!K18</f>
        <v>3430</v>
      </c>
      <c r="O17" s="992">
        <f t="shared" si="9"/>
        <v>0</v>
      </c>
      <c r="P17" s="1117">
        <f t="shared" si="10"/>
        <v>0</v>
      </c>
      <c r="Q17" s="992">
        <f t="shared" si="11"/>
        <v>0</v>
      </c>
      <c r="R17" s="992">
        <v>0</v>
      </c>
      <c r="S17" s="992">
        <f t="shared" si="12"/>
        <v>0</v>
      </c>
      <c r="T17" s="992">
        <f t="shared" si="13"/>
        <v>0</v>
      </c>
      <c r="U17" s="993">
        <f t="shared" si="14"/>
        <v>0</v>
      </c>
      <c r="V17" s="993">
        <f t="shared" si="14"/>
        <v>0</v>
      </c>
    </row>
    <row r="18" spans="1:22">
      <c r="A18" s="994">
        <v>12</v>
      </c>
      <c r="B18" s="995" t="s">
        <v>106</v>
      </c>
      <c r="C18" s="1193">
        <f>'[2]ALL-Reformatted'!X17</f>
        <v>0</v>
      </c>
      <c r="D18" s="997">
        <f>'Table 3 Levels 1&amp;2'!BN20+'Table 3 Levels 1&amp;2'!BV20</f>
        <v>1688.0492586490939</v>
      </c>
      <c r="E18" s="1100">
        <f t="shared" si="2"/>
        <v>0</v>
      </c>
      <c r="F18" s="1100">
        <f>'Table 4 Level 3'!N17</f>
        <v>1063.31</v>
      </c>
      <c r="G18" s="1100">
        <f t="shared" si="3"/>
        <v>0</v>
      </c>
      <c r="H18" s="1052">
        <f t="shared" si="4"/>
        <v>0</v>
      </c>
      <c r="I18" s="1110">
        <f t="shared" si="5"/>
        <v>0</v>
      </c>
      <c r="J18" s="1052">
        <f t="shared" si="6"/>
        <v>0</v>
      </c>
      <c r="K18" s="1052">
        <v>0</v>
      </c>
      <c r="L18" s="1052">
        <f t="shared" si="7"/>
        <v>0</v>
      </c>
      <c r="M18" s="1052">
        <f t="shared" si="8"/>
        <v>0</v>
      </c>
      <c r="N18" s="1051">
        <f>'[18]FY2012-13 Final'!K19</f>
        <v>12558</v>
      </c>
      <c r="O18" s="1053">
        <f t="shared" si="9"/>
        <v>0</v>
      </c>
      <c r="P18" s="1118">
        <f t="shared" si="10"/>
        <v>0</v>
      </c>
      <c r="Q18" s="1053">
        <f t="shared" si="11"/>
        <v>0</v>
      </c>
      <c r="R18" s="1053">
        <v>0</v>
      </c>
      <c r="S18" s="1053">
        <f t="shared" si="12"/>
        <v>0</v>
      </c>
      <c r="T18" s="1053">
        <f t="shared" si="13"/>
        <v>0</v>
      </c>
      <c r="U18" s="1054">
        <f t="shared" si="14"/>
        <v>0</v>
      </c>
      <c r="V18" s="1054">
        <f t="shared" si="14"/>
        <v>0</v>
      </c>
    </row>
    <row r="19" spans="1:22">
      <c r="A19" s="994">
        <v>13</v>
      </c>
      <c r="B19" s="995" t="s">
        <v>107</v>
      </c>
      <c r="C19" s="1193">
        <f>'[2]ALL-Reformatted'!X18</f>
        <v>0</v>
      </c>
      <c r="D19" s="997">
        <f>'Table 3 Levels 1&amp;2'!BN21+'Table 3 Levels 1&amp;2'!BV21</f>
        <v>6187.1651272387344</v>
      </c>
      <c r="E19" s="1100">
        <f t="shared" si="2"/>
        <v>0</v>
      </c>
      <c r="F19" s="1100">
        <f>'Table 4 Level 3'!N18</f>
        <v>749.43000000000006</v>
      </c>
      <c r="G19" s="1100">
        <f t="shared" si="3"/>
        <v>0</v>
      </c>
      <c r="H19" s="1052">
        <f t="shared" si="4"/>
        <v>0</v>
      </c>
      <c r="I19" s="1110">
        <f t="shared" si="5"/>
        <v>0</v>
      </c>
      <c r="J19" s="1052">
        <f t="shared" si="6"/>
        <v>0</v>
      </c>
      <c r="K19" s="1052">
        <v>0</v>
      </c>
      <c r="L19" s="1052">
        <f t="shared" si="7"/>
        <v>0</v>
      </c>
      <c r="M19" s="1052">
        <f t="shared" si="8"/>
        <v>0</v>
      </c>
      <c r="N19" s="1051">
        <f>'[18]FY2012-13 Final'!K20</f>
        <v>2536</v>
      </c>
      <c r="O19" s="1053">
        <f t="shared" si="9"/>
        <v>0</v>
      </c>
      <c r="P19" s="1118">
        <f t="shared" si="10"/>
        <v>0</v>
      </c>
      <c r="Q19" s="1053">
        <f t="shared" si="11"/>
        <v>0</v>
      </c>
      <c r="R19" s="1053">
        <v>0</v>
      </c>
      <c r="S19" s="1053">
        <f t="shared" si="12"/>
        <v>0</v>
      </c>
      <c r="T19" s="1053">
        <f t="shared" si="13"/>
        <v>0</v>
      </c>
      <c r="U19" s="1054">
        <f t="shared" si="14"/>
        <v>0</v>
      </c>
      <c r="V19" s="1054">
        <f t="shared" si="14"/>
        <v>0</v>
      </c>
    </row>
    <row r="20" spans="1:22">
      <c r="A20" s="994">
        <v>14</v>
      </c>
      <c r="B20" s="995" t="s">
        <v>108</v>
      </c>
      <c r="C20" s="1193">
        <f>'[2]ALL-Reformatted'!X19</f>
        <v>0</v>
      </c>
      <c r="D20" s="997">
        <f>'Table 3 Levels 1&amp;2'!BN22+'Table 3 Levels 1&amp;2'!BV22</f>
        <v>5339.1887414618923</v>
      </c>
      <c r="E20" s="1100">
        <f t="shared" si="2"/>
        <v>0</v>
      </c>
      <c r="F20" s="1100">
        <f>'Table 4 Level 3'!N19</f>
        <v>809.9799999999999</v>
      </c>
      <c r="G20" s="1100">
        <f t="shared" si="3"/>
        <v>0</v>
      </c>
      <c r="H20" s="1052">
        <f t="shared" si="4"/>
        <v>0</v>
      </c>
      <c r="I20" s="1110">
        <f t="shared" si="5"/>
        <v>0</v>
      </c>
      <c r="J20" s="1052">
        <f t="shared" si="6"/>
        <v>0</v>
      </c>
      <c r="K20" s="1052">
        <v>0</v>
      </c>
      <c r="L20" s="1052">
        <f t="shared" si="7"/>
        <v>0</v>
      </c>
      <c r="M20" s="1052">
        <f t="shared" si="8"/>
        <v>0</v>
      </c>
      <c r="N20" s="1051">
        <f>'[18]FY2012-13 Final'!K21</f>
        <v>3888</v>
      </c>
      <c r="O20" s="1053">
        <f t="shared" si="9"/>
        <v>0</v>
      </c>
      <c r="P20" s="1118">
        <f t="shared" si="10"/>
        <v>0</v>
      </c>
      <c r="Q20" s="1053">
        <f t="shared" si="11"/>
        <v>0</v>
      </c>
      <c r="R20" s="1053">
        <v>0</v>
      </c>
      <c r="S20" s="1053">
        <f t="shared" si="12"/>
        <v>0</v>
      </c>
      <c r="T20" s="1053">
        <f t="shared" si="13"/>
        <v>0</v>
      </c>
      <c r="U20" s="1054">
        <f t="shared" si="14"/>
        <v>0</v>
      </c>
      <c r="V20" s="1054">
        <f t="shared" si="14"/>
        <v>0</v>
      </c>
    </row>
    <row r="21" spans="1:22">
      <c r="A21" s="998">
        <v>15</v>
      </c>
      <c r="B21" s="999" t="s">
        <v>109</v>
      </c>
      <c r="C21" s="1194">
        <f>'[2]ALL-Reformatted'!X20</f>
        <v>0</v>
      </c>
      <c r="D21" s="1001">
        <f>'Table 3 Levels 1&amp;2'!BN23+'Table 3 Levels 1&amp;2'!BV23</f>
        <v>5492.5789412344011</v>
      </c>
      <c r="E21" s="1101">
        <f t="shared" si="2"/>
        <v>0</v>
      </c>
      <c r="F21" s="1101">
        <f>'Table 4 Level 3'!N20</f>
        <v>553.79999999999995</v>
      </c>
      <c r="G21" s="1101">
        <f t="shared" si="3"/>
        <v>0</v>
      </c>
      <c r="H21" s="1055">
        <f t="shared" si="4"/>
        <v>0</v>
      </c>
      <c r="I21" s="1111">
        <f t="shared" si="5"/>
        <v>0</v>
      </c>
      <c r="J21" s="1055">
        <f t="shared" si="6"/>
        <v>0</v>
      </c>
      <c r="K21" s="1055">
        <v>0</v>
      </c>
      <c r="L21" s="1055">
        <f t="shared" si="7"/>
        <v>0</v>
      </c>
      <c r="M21" s="1055">
        <f t="shared" si="8"/>
        <v>0</v>
      </c>
      <c r="N21" s="1056">
        <f>'[18]FY2012-13 Final'!K22</f>
        <v>2752</v>
      </c>
      <c r="O21" s="1057">
        <f t="shared" si="9"/>
        <v>0</v>
      </c>
      <c r="P21" s="1119">
        <f t="shared" si="10"/>
        <v>0</v>
      </c>
      <c r="Q21" s="1057">
        <f t="shared" si="11"/>
        <v>0</v>
      </c>
      <c r="R21" s="1057">
        <v>0</v>
      </c>
      <c r="S21" s="1057">
        <f t="shared" si="12"/>
        <v>0</v>
      </c>
      <c r="T21" s="1057">
        <f t="shared" si="13"/>
        <v>0</v>
      </c>
      <c r="U21" s="1058">
        <f t="shared" si="14"/>
        <v>0</v>
      </c>
      <c r="V21" s="1058">
        <f t="shared" si="14"/>
        <v>0</v>
      </c>
    </row>
    <row r="22" spans="1:22">
      <c r="A22" s="987">
        <v>16</v>
      </c>
      <c r="B22" s="988" t="s">
        <v>110</v>
      </c>
      <c r="C22" s="1195">
        <f>'[2]ALL-Reformatted'!X21</f>
        <v>0</v>
      </c>
      <c r="D22" s="990">
        <f>'Table 3 Levels 1&amp;2'!BN24+'Table 3 Levels 1&amp;2'!BV24</f>
        <v>1506.1153407945151</v>
      </c>
      <c r="E22" s="1099">
        <f t="shared" si="2"/>
        <v>0</v>
      </c>
      <c r="F22" s="1099">
        <f>'Table 4 Level 3'!N21</f>
        <v>686.73</v>
      </c>
      <c r="G22" s="1099">
        <f t="shared" si="3"/>
        <v>0</v>
      </c>
      <c r="H22" s="991">
        <f t="shared" si="4"/>
        <v>0</v>
      </c>
      <c r="I22" s="1109">
        <f t="shared" si="5"/>
        <v>0</v>
      </c>
      <c r="J22" s="991">
        <f t="shared" si="6"/>
        <v>0</v>
      </c>
      <c r="K22" s="991">
        <v>0</v>
      </c>
      <c r="L22" s="991">
        <f t="shared" si="7"/>
        <v>0</v>
      </c>
      <c r="M22" s="991">
        <f t="shared" si="8"/>
        <v>0</v>
      </c>
      <c r="N22" s="1051">
        <f>'[18]FY2012-13 Final'!K23</f>
        <v>15092</v>
      </c>
      <c r="O22" s="992">
        <f t="shared" si="9"/>
        <v>0</v>
      </c>
      <c r="P22" s="1117">
        <f t="shared" si="10"/>
        <v>0</v>
      </c>
      <c r="Q22" s="992">
        <f t="shared" si="11"/>
        <v>0</v>
      </c>
      <c r="R22" s="992">
        <v>0</v>
      </c>
      <c r="S22" s="992">
        <f t="shared" si="12"/>
        <v>0</v>
      </c>
      <c r="T22" s="992">
        <f t="shared" si="13"/>
        <v>0</v>
      </c>
      <c r="U22" s="993">
        <f t="shared" si="14"/>
        <v>0</v>
      </c>
      <c r="V22" s="993">
        <f t="shared" si="14"/>
        <v>0</v>
      </c>
    </row>
    <row r="23" spans="1:22">
      <c r="A23" s="994">
        <v>17</v>
      </c>
      <c r="B23" s="995" t="s">
        <v>111</v>
      </c>
      <c r="C23" s="1193">
        <f>'[2]ALL-Reformatted'!X22</f>
        <v>0</v>
      </c>
      <c r="D23" s="997">
        <f>'Table 3 Levels 1&amp;2'!BN25+'Table 3 Levels 1&amp;2'!BV25</f>
        <v>3311.610845996096</v>
      </c>
      <c r="E23" s="1100">
        <f t="shared" si="2"/>
        <v>0</v>
      </c>
      <c r="F23" s="1100">
        <f>'Table 5B2_RSD_LA'!F7</f>
        <v>801.47762416806802</v>
      </c>
      <c r="G23" s="1100">
        <f t="shared" si="3"/>
        <v>0</v>
      </c>
      <c r="H23" s="1052">
        <f t="shared" si="4"/>
        <v>0</v>
      </c>
      <c r="I23" s="1110">
        <f t="shared" si="5"/>
        <v>0</v>
      </c>
      <c r="J23" s="1052">
        <f t="shared" si="6"/>
        <v>0</v>
      </c>
      <c r="K23" s="1052">
        <v>0</v>
      </c>
      <c r="L23" s="1052">
        <f t="shared" si="7"/>
        <v>0</v>
      </c>
      <c r="M23" s="1052">
        <f t="shared" si="8"/>
        <v>0</v>
      </c>
      <c r="N23" s="1051">
        <f>'[18]FY2012-13 Final'!K24</f>
        <v>6551</v>
      </c>
      <c r="O23" s="1053">
        <f t="shared" si="9"/>
        <v>0</v>
      </c>
      <c r="P23" s="1118">
        <f t="shared" si="10"/>
        <v>0</v>
      </c>
      <c r="Q23" s="1053">
        <f t="shared" si="11"/>
        <v>0</v>
      </c>
      <c r="R23" s="1053">
        <v>0</v>
      </c>
      <c r="S23" s="1053">
        <f t="shared" si="12"/>
        <v>0</v>
      </c>
      <c r="T23" s="1053">
        <f t="shared" si="13"/>
        <v>0</v>
      </c>
      <c r="U23" s="1054">
        <f t="shared" si="14"/>
        <v>0</v>
      </c>
      <c r="V23" s="1054">
        <f t="shared" si="14"/>
        <v>0</v>
      </c>
    </row>
    <row r="24" spans="1:22">
      <c r="A24" s="994">
        <v>18</v>
      </c>
      <c r="B24" s="995" t="s">
        <v>112</v>
      </c>
      <c r="C24" s="1193">
        <f>'[2]ALL-Reformatted'!X23</f>
        <v>0</v>
      </c>
      <c r="D24" s="997">
        <f>'Table 3 Levels 1&amp;2'!BN26+'Table 3 Levels 1&amp;2'!BV26</f>
        <v>5964.3490202032081</v>
      </c>
      <c r="E24" s="1100">
        <f t="shared" si="2"/>
        <v>0</v>
      </c>
      <c r="F24" s="1100">
        <f>'Table 4 Level 3'!N23</f>
        <v>845.94999999999993</v>
      </c>
      <c r="G24" s="1100">
        <f t="shared" si="3"/>
        <v>0</v>
      </c>
      <c r="H24" s="1052">
        <f t="shared" si="4"/>
        <v>0</v>
      </c>
      <c r="I24" s="1110">
        <f t="shared" si="5"/>
        <v>0</v>
      </c>
      <c r="J24" s="1052">
        <f t="shared" si="6"/>
        <v>0</v>
      </c>
      <c r="K24" s="1052">
        <v>0</v>
      </c>
      <c r="L24" s="1052">
        <f t="shared" si="7"/>
        <v>0</v>
      </c>
      <c r="M24" s="1052">
        <f t="shared" si="8"/>
        <v>0</v>
      </c>
      <c r="N24" s="1051">
        <f>'[18]FY2012-13 Final'!K25</f>
        <v>2165</v>
      </c>
      <c r="O24" s="1053">
        <f t="shared" si="9"/>
        <v>0</v>
      </c>
      <c r="P24" s="1118">
        <f t="shared" si="10"/>
        <v>0</v>
      </c>
      <c r="Q24" s="1053">
        <f t="shared" si="11"/>
        <v>0</v>
      </c>
      <c r="R24" s="1053">
        <v>0</v>
      </c>
      <c r="S24" s="1053">
        <f t="shared" si="12"/>
        <v>0</v>
      </c>
      <c r="T24" s="1053">
        <f t="shared" si="13"/>
        <v>0</v>
      </c>
      <c r="U24" s="1054">
        <f t="shared" si="14"/>
        <v>0</v>
      </c>
      <c r="V24" s="1054">
        <f t="shared" si="14"/>
        <v>0</v>
      </c>
    </row>
    <row r="25" spans="1:22">
      <c r="A25" s="994">
        <v>19</v>
      </c>
      <c r="B25" s="995" t="s">
        <v>113</v>
      </c>
      <c r="C25" s="1193">
        <f>'[2]ALL-Reformatted'!X24</f>
        <v>0</v>
      </c>
      <c r="D25" s="997">
        <f>'Table 3 Levels 1&amp;2'!BN27+'Table 3 Levels 1&amp;2'!BV27</f>
        <v>5283.1088158476596</v>
      </c>
      <c r="E25" s="1100">
        <f t="shared" si="2"/>
        <v>0</v>
      </c>
      <c r="F25" s="1100">
        <f>'Table 4 Level 3'!N24</f>
        <v>905.43</v>
      </c>
      <c r="G25" s="1100">
        <f t="shared" si="3"/>
        <v>0</v>
      </c>
      <c r="H25" s="1052">
        <f t="shared" si="4"/>
        <v>0</v>
      </c>
      <c r="I25" s="1110">
        <f t="shared" si="5"/>
        <v>0</v>
      </c>
      <c r="J25" s="1052">
        <f t="shared" si="6"/>
        <v>0</v>
      </c>
      <c r="K25" s="1052">
        <v>0</v>
      </c>
      <c r="L25" s="1052">
        <f t="shared" si="7"/>
        <v>0</v>
      </c>
      <c r="M25" s="1052">
        <f t="shared" si="8"/>
        <v>0</v>
      </c>
      <c r="N25" s="1051">
        <f>'[18]FY2012-13 Final'!K26</f>
        <v>2729</v>
      </c>
      <c r="O25" s="1053">
        <f t="shared" si="9"/>
        <v>0</v>
      </c>
      <c r="P25" s="1118">
        <f t="shared" si="10"/>
        <v>0</v>
      </c>
      <c r="Q25" s="1053">
        <f t="shared" si="11"/>
        <v>0</v>
      </c>
      <c r="R25" s="1053">
        <v>0</v>
      </c>
      <c r="S25" s="1053">
        <f t="shared" si="12"/>
        <v>0</v>
      </c>
      <c r="T25" s="1053">
        <f t="shared" si="13"/>
        <v>0</v>
      </c>
      <c r="U25" s="1054">
        <f t="shared" si="14"/>
        <v>0</v>
      </c>
      <c r="V25" s="1054">
        <f t="shared" si="14"/>
        <v>0</v>
      </c>
    </row>
    <row r="26" spans="1:22">
      <c r="A26" s="998">
        <v>20</v>
      </c>
      <c r="B26" s="999" t="s">
        <v>114</v>
      </c>
      <c r="C26" s="1194">
        <f>'[2]ALL-Reformatted'!X25</f>
        <v>0</v>
      </c>
      <c r="D26" s="1001">
        <f>'Table 3 Levels 1&amp;2'!BN28+'Table 3 Levels 1&amp;2'!BV28</f>
        <v>5389.6047094824808</v>
      </c>
      <c r="E26" s="1101">
        <f t="shared" si="2"/>
        <v>0</v>
      </c>
      <c r="F26" s="1101">
        <f>'Table 4 Level 3'!N25</f>
        <v>586.16999999999996</v>
      </c>
      <c r="G26" s="1101">
        <f t="shared" si="3"/>
        <v>0</v>
      </c>
      <c r="H26" s="1055">
        <f t="shared" si="4"/>
        <v>0</v>
      </c>
      <c r="I26" s="1111">
        <f t="shared" si="5"/>
        <v>0</v>
      </c>
      <c r="J26" s="1055">
        <f t="shared" si="6"/>
        <v>0</v>
      </c>
      <c r="K26" s="1055">
        <v>0</v>
      </c>
      <c r="L26" s="1055">
        <f t="shared" si="7"/>
        <v>0</v>
      </c>
      <c r="M26" s="1055">
        <f t="shared" si="8"/>
        <v>0</v>
      </c>
      <c r="N26" s="1056">
        <f>'[18]FY2012-13 Final'!K27</f>
        <v>2334</v>
      </c>
      <c r="O26" s="1057">
        <f t="shared" si="9"/>
        <v>0</v>
      </c>
      <c r="P26" s="1119">
        <f t="shared" si="10"/>
        <v>0</v>
      </c>
      <c r="Q26" s="1057">
        <f t="shared" si="11"/>
        <v>0</v>
      </c>
      <c r="R26" s="1057">
        <v>0</v>
      </c>
      <c r="S26" s="1057">
        <f t="shared" si="12"/>
        <v>0</v>
      </c>
      <c r="T26" s="1057">
        <f t="shared" si="13"/>
        <v>0</v>
      </c>
      <c r="U26" s="1058">
        <f t="shared" si="14"/>
        <v>0</v>
      </c>
      <c r="V26" s="1058">
        <f t="shared" si="14"/>
        <v>0</v>
      </c>
    </row>
    <row r="27" spans="1:22">
      <c r="A27" s="987">
        <v>21</v>
      </c>
      <c r="B27" s="988" t="s">
        <v>115</v>
      </c>
      <c r="C27" s="1195">
        <f>'[2]ALL-Reformatted'!X26</f>
        <v>0</v>
      </c>
      <c r="D27" s="990">
        <f>'Table 3 Levels 1&amp;2'!BN29+'Table 3 Levels 1&amp;2'!BV29</f>
        <v>5659.8229810652783</v>
      </c>
      <c r="E27" s="1099">
        <f t="shared" si="2"/>
        <v>0</v>
      </c>
      <c r="F27" s="1099">
        <f>'Table 4 Level 3'!N26</f>
        <v>610.35</v>
      </c>
      <c r="G27" s="1099">
        <f t="shared" si="3"/>
        <v>0</v>
      </c>
      <c r="H27" s="991">
        <f t="shared" si="4"/>
        <v>0</v>
      </c>
      <c r="I27" s="1109">
        <f t="shared" si="5"/>
        <v>0</v>
      </c>
      <c r="J27" s="991">
        <f t="shared" si="6"/>
        <v>0</v>
      </c>
      <c r="K27" s="991">
        <v>0</v>
      </c>
      <c r="L27" s="991">
        <f t="shared" si="7"/>
        <v>0</v>
      </c>
      <c r="M27" s="991">
        <f t="shared" si="8"/>
        <v>0</v>
      </c>
      <c r="N27" s="1051">
        <f>'[18]FY2012-13 Final'!K28</f>
        <v>2233</v>
      </c>
      <c r="O27" s="992">
        <f t="shared" si="9"/>
        <v>0</v>
      </c>
      <c r="P27" s="1117">
        <f t="shared" si="10"/>
        <v>0</v>
      </c>
      <c r="Q27" s="992">
        <f t="shared" si="11"/>
        <v>0</v>
      </c>
      <c r="R27" s="992">
        <v>0</v>
      </c>
      <c r="S27" s="992">
        <f t="shared" si="12"/>
        <v>0</v>
      </c>
      <c r="T27" s="992">
        <f t="shared" si="13"/>
        <v>0</v>
      </c>
      <c r="U27" s="993">
        <f t="shared" si="14"/>
        <v>0</v>
      </c>
      <c r="V27" s="993">
        <f t="shared" si="14"/>
        <v>0</v>
      </c>
    </row>
    <row r="28" spans="1:22">
      <c r="A28" s="994">
        <v>22</v>
      </c>
      <c r="B28" s="995" t="s">
        <v>116</v>
      </c>
      <c r="C28" s="1193">
        <f>'[2]ALL-Reformatted'!X27</f>
        <v>0</v>
      </c>
      <c r="D28" s="997">
        <f>'Table 3 Levels 1&amp;2'!BN30+'Table 3 Levels 1&amp;2'!BV30</f>
        <v>6191.1997628958306</v>
      </c>
      <c r="E28" s="1100">
        <f t="shared" si="2"/>
        <v>0</v>
      </c>
      <c r="F28" s="1100">
        <f>'Table 4 Level 3'!N27</f>
        <v>496.36</v>
      </c>
      <c r="G28" s="1100">
        <f t="shared" si="3"/>
        <v>0</v>
      </c>
      <c r="H28" s="1052">
        <f t="shared" si="4"/>
        <v>0</v>
      </c>
      <c r="I28" s="1110">
        <f t="shared" si="5"/>
        <v>0</v>
      </c>
      <c r="J28" s="1052">
        <f t="shared" si="6"/>
        <v>0</v>
      </c>
      <c r="K28" s="1052">
        <v>0</v>
      </c>
      <c r="L28" s="1052">
        <f t="shared" si="7"/>
        <v>0</v>
      </c>
      <c r="M28" s="1052">
        <f t="shared" si="8"/>
        <v>0</v>
      </c>
      <c r="N28" s="1051">
        <f>'[18]FY2012-13 Final'!K29</f>
        <v>1410</v>
      </c>
      <c r="O28" s="1053">
        <f t="shared" si="9"/>
        <v>0</v>
      </c>
      <c r="P28" s="1118">
        <f t="shared" si="10"/>
        <v>0</v>
      </c>
      <c r="Q28" s="1053">
        <f t="shared" si="11"/>
        <v>0</v>
      </c>
      <c r="R28" s="1053">
        <v>0</v>
      </c>
      <c r="S28" s="1053">
        <f t="shared" si="12"/>
        <v>0</v>
      </c>
      <c r="T28" s="1053">
        <f t="shared" si="13"/>
        <v>0</v>
      </c>
      <c r="U28" s="1054">
        <f t="shared" si="14"/>
        <v>0</v>
      </c>
      <c r="V28" s="1054">
        <f t="shared" si="14"/>
        <v>0</v>
      </c>
    </row>
    <row r="29" spans="1:22">
      <c r="A29" s="994">
        <v>23</v>
      </c>
      <c r="B29" s="995" t="s">
        <v>117</v>
      </c>
      <c r="C29" s="1193">
        <f>'[2]ALL-Reformatted'!X28</f>
        <v>0</v>
      </c>
      <c r="D29" s="997">
        <f>'Table 3 Levels 1&amp;2'!BN31+'Table 3 Levels 1&amp;2'!BV31</f>
        <v>4788.2881021645453</v>
      </c>
      <c r="E29" s="1100">
        <f t="shared" si="2"/>
        <v>0</v>
      </c>
      <c r="F29" s="1100">
        <f>'Table 4 Level 3'!N28</f>
        <v>688.58</v>
      </c>
      <c r="G29" s="1100">
        <f t="shared" si="3"/>
        <v>0</v>
      </c>
      <c r="H29" s="1052">
        <f t="shared" si="4"/>
        <v>0</v>
      </c>
      <c r="I29" s="1110">
        <f t="shared" si="5"/>
        <v>0</v>
      </c>
      <c r="J29" s="1052">
        <f t="shared" si="6"/>
        <v>0</v>
      </c>
      <c r="K29" s="1052">
        <v>0</v>
      </c>
      <c r="L29" s="1052">
        <f t="shared" si="7"/>
        <v>0</v>
      </c>
      <c r="M29" s="1052">
        <f t="shared" si="8"/>
        <v>0</v>
      </c>
      <c r="N29" s="1051">
        <f>'[18]FY2012-13 Final'!K30</f>
        <v>3258</v>
      </c>
      <c r="O29" s="1053">
        <f t="shared" si="9"/>
        <v>0</v>
      </c>
      <c r="P29" s="1118">
        <f t="shared" si="10"/>
        <v>0</v>
      </c>
      <c r="Q29" s="1053">
        <f t="shared" si="11"/>
        <v>0</v>
      </c>
      <c r="R29" s="1053">
        <v>0</v>
      </c>
      <c r="S29" s="1053">
        <f t="shared" si="12"/>
        <v>0</v>
      </c>
      <c r="T29" s="1053">
        <f t="shared" si="13"/>
        <v>0</v>
      </c>
      <c r="U29" s="1054">
        <f t="shared" si="14"/>
        <v>0</v>
      </c>
      <c r="V29" s="1054">
        <f t="shared" si="14"/>
        <v>0</v>
      </c>
    </row>
    <row r="30" spans="1:22">
      <c r="A30" s="994">
        <v>24</v>
      </c>
      <c r="B30" s="995" t="s">
        <v>118</v>
      </c>
      <c r="C30" s="1193">
        <f>'[2]ALL-Reformatted'!X29</f>
        <v>0</v>
      </c>
      <c r="D30" s="997">
        <f>'Table 3 Levels 1&amp;2'!BN32+'Table 3 Levels 1&amp;2'!BV32</f>
        <v>2743.328175824176</v>
      </c>
      <c r="E30" s="1100">
        <f t="shared" si="2"/>
        <v>0</v>
      </c>
      <c r="F30" s="1100">
        <f>'Table 4 Level 3'!N29</f>
        <v>854.24999999999989</v>
      </c>
      <c r="G30" s="1100">
        <f t="shared" si="3"/>
        <v>0</v>
      </c>
      <c r="H30" s="1052">
        <f t="shared" si="4"/>
        <v>0</v>
      </c>
      <c r="I30" s="1110">
        <f t="shared" si="5"/>
        <v>0</v>
      </c>
      <c r="J30" s="1052">
        <f t="shared" si="6"/>
        <v>0</v>
      </c>
      <c r="K30" s="1052">
        <v>0</v>
      </c>
      <c r="L30" s="1052">
        <f t="shared" si="7"/>
        <v>0</v>
      </c>
      <c r="M30" s="1052">
        <f t="shared" si="8"/>
        <v>0</v>
      </c>
      <c r="N30" s="1051">
        <f>'[18]FY2012-13 Final'!K31</f>
        <v>9280</v>
      </c>
      <c r="O30" s="1053">
        <f t="shared" si="9"/>
        <v>0</v>
      </c>
      <c r="P30" s="1118">
        <f t="shared" si="10"/>
        <v>0</v>
      </c>
      <c r="Q30" s="1053">
        <f t="shared" si="11"/>
        <v>0</v>
      </c>
      <c r="R30" s="1053">
        <v>0</v>
      </c>
      <c r="S30" s="1053">
        <f t="shared" si="12"/>
        <v>0</v>
      </c>
      <c r="T30" s="1053">
        <f t="shared" si="13"/>
        <v>0</v>
      </c>
      <c r="U30" s="1054">
        <f t="shared" si="14"/>
        <v>0</v>
      </c>
      <c r="V30" s="1054">
        <f t="shared" si="14"/>
        <v>0</v>
      </c>
    </row>
    <row r="31" spans="1:22">
      <c r="A31" s="998">
        <v>25</v>
      </c>
      <c r="B31" s="999" t="s">
        <v>119</v>
      </c>
      <c r="C31" s="1194">
        <f>'[2]ALL-Reformatted'!X30</f>
        <v>0</v>
      </c>
      <c r="D31" s="1001">
        <f>'Table 3 Levels 1&amp;2'!BN33+'Table 3 Levels 1&amp;2'!BV33</f>
        <v>3799.3890273447178</v>
      </c>
      <c r="E31" s="1101">
        <f t="shared" si="2"/>
        <v>0</v>
      </c>
      <c r="F31" s="1101">
        <f>'Table 4 Level 3'!N30</f>
        <v>653.73</v>
      </c>
      <c r="G31" s="1101">
        <f t="shared" si="3"/>
        <v>0</v>
      </c>
      <c r="H31" s="1055">
        <f t="shared" si="4"/>
        <v>0</v>
      </c>
      <c r="I31" s="1111">
        <f t="shared" si="5"/>
        <v>0</v>
      </c>
      <c r="J31" s="1055">
        <f t="shared" si="6"/>
        <v>0</v>
      </c>
      <c r="K31" s="1055">
        <v>0</v>
      </c>
      <c r="L31" s="1055">
        <f t="shared" si="7"/>
        <v>0</v>
      </c>
      <c r="M31" s="1055">
        <f t="shared" si="8"/>
        <v>0</v>
      </c>
      <c r="N31" s="1056">
        <f>'[18]FY2012-13 Final'!K32</f>
        <v>5351</v>
      </c>
      <c r="O31" s="1057">
        <f t="shared" si="9"/>
        <v>0</v>
      </c>
      <c r="P31" s="1119">
        <f t="shared" si="10"/>
        <v>0</v>
      </c>
      <c r="Q31" s="1057">
        <f t="shared" si="11"/>
        <v>0</v>
      </c>
      <c r="R31" s="1057">
        <v>0</v>
      </c>
      <c r="S31" s="1057">
        <f t="shared" si="12"/>
        <v>0</v>
      </c>
      <c r="T31" s="1057">
        <f t="shared" si="13"/>
        <v>0</v>
      </c>
      <c r="U31" s="1058">
        <f t="shared" si="14"/>
        <v>0</v>
      </c>
      <c r="V31" s="1058">
        <f t="shared" si="14"/>
        <v>0</v>
      </c>
    </row>
    <row r="32" spans="1:22">
      <c r="A32" s="987">
        <v>26</v>
      </c>
      <c r="B32" s="988" t="s">
        <v>120</v>
      </c>
      <c r="C32" s="1195">
        <f>'[2]ALL-Reformatted'!X31</f>
        <v>0</v>
      </c>
      <c r="D32" s="990">
        <f>'Table 3 Levels 1&amp;2'!BN34+'Table 3 Levels 1&amp;2'!BV34</f>
        <v>3320.7842100822745</v>
      </c>
      <c r="E32" s="1099">
        <f t="shared" si="2"/>
        <v>0</v>
      </c>
      <c r="F32" s="1099">
        <f>'Table 4 Level 3'!N31</f>
        <v>836.83</v>
      </c>
      <c r="G32" s="1099">
        <f t="shared" si="3"/>
        <v>0</v>
      </c>
      <c r="H32" s="991">
        <f t="shared" si="4"/>
        <v>0</v>
      </c>
      <c r="I32" s="1109">
        <f t="shared" si="5"/>
        <v>0</v>
      </c>
      <c r="J32" s="991">
        <f t="shared" si="6"/>
        <v>0</v>
      </c>
      <c r="K32" s="991">
        <v>0</v>
      </c>
      <c r="L32" s="991">
        <f t="shared" si="7"/>
        <v>0</v>
      </c>
      <c r="M32" s="991">
        <f t="shared" si="8"/>
        <v>0</v>
      </c>
      <c r="N32" s="1051">
        <f>'[18]FY2012-13 Final'!K33</f>
        <v>5100</v>
      </c>
      <c r="O32" s="992">
        <f t="shared" si="9"/>
        <v>0</v>
      </c>
      <c r="P32" s="1117">
        <f t="shared" si="10"/>
        <v>0</v>
      </c>
      <c r="Q32" s="992">
        <f t="shared" si="11"/>
        <v>0</v>
      </c>
      <c r="R32" s="992">
        <v>0</v>
      </c>
      <c r="S32" s="992">
        <f t="shared" si="12"/>
        <v>0</v>
      </c>
      <c r="T32" s="992">
        <f t="shared" si="13"/>
        <v>0</v>
      </c>
      <c r="U32" s="993">
        <f t="shared" si="14"/>
        <v>0</v>
      </c>
      <c r="V32" s="993">
        <f t="shared" si="14"/>
        <v>0</v>
      </c>
    </row>
    <row r="33" spans="1:22">
      <c r="A33" s="994">
        <v>27</v>
      </c>
      <c r="B33" s="995" t="s">
        <v>121</v>
      </c>
      <c r="C33" s="1196">
        <f>'[2]ALL-Reformatted'!X32</f>
        <v>0</v>
      </c>
      <c r="D33" s="1003">
        <f>'Table 3 Levels 1&amp;2'!BN35+'Table 3 Levels 1&amp;2'!BV35</f>
        <v>5636.5919457972805</v>
      </c>
      <c r="E33" s="1102">
        <f t="shared" si="2"/>
        <v>0</v>
      </c>
      <c r="F33" s="1102">
        <f>'Table 4 Level 3'!N32</f>
        <v>693.06</v>
      </c>
      <c r="G33" s="1102">
        <f t="shared" si="3"/>
        <v>0</v>
      </c>
      <c r="H33" s="1059">
        <f t="shared" si="4"/>
        <v>0</v>
      </c>
      <c r="I33" s="1112">
        <f t="shared" si="5"/>
        <v>0</v>
      </c>
      <c r="J33" s="1059">
        <f t="shared" si="6"/>
        <v>0</v>
      </c>
      <c r="K33" s="1059">
        <v>0</v>
      </c>
      <c r="L33" s="1059">
        <f t="shared" si="7"/>
        <v>0</v>
      </c>
      <c r="M33" s="1059">
        <f t="shared" si="8"/>
        <v>0</v>
      </c>
      <c r="N33" s="1051">
        <f>'[18]FY2012-13 Final'!K34</f>
        <v>3091</v>
      </c>
      <c r="O33" s="1053">
        <f t="shared" si="9"/>
        <v>0</v>
      </c>
      <c r="P33" s="1118">
        <f t="shared" si="10"/>
        <v>0</v>
      </c>
      <c r="Q33" s="1053">
        <f t="shared" si="11"/>
        <v>0</v>
      </c>
      <c r="R33" s="1053">
        <v>0</v>
      </c>
      <c r="S33" s="1053">
        <f t="shared" si="12"/>
        <v>0</v>
      </c>
      <c r="T33" s="1053">
        <f t="shared" si="13"/>
        <v>0</v>
      </c>
      <c r="U33" s="1054">
        <f t="shared" si="14"/>
        <v>0</v>
      </c>
      <c r="V33" s="1054">
        <f t="shared" si="14"/>
        <v>0</v>
      </c>
    </row>
    <row r="34" spans="1:22">
      <c r="A34" s="994">
        <v>28</v>
      </c>
      <c r="B34" s="995" t="s">
        <v>122</v>
      </c>
      <c r="C34" s="1196">
        <f>'[2]ALL-Reformatted'!X33</f>
        <v>1</v>
      </c>
      <c r="D34" s="1003">
        <f>'Table 3 Levels 1&amp;2'!BN36+'Table 3 Levels 1&amp;2'!BV36</f>
        <v>3106.8056522508969</v>
      </c>
      <c r="E34" s="1102">
        <f t="shared" si="2"/>
        <v>3106.8056522508969</v>
      </c>
      <c r="F34" s="1102">
        <f>'Table 4 Level 3'!N33</f>
        <v>694.4</v>
      </c>
      <c r="G34" s="1102">
        <f t="shared" si="3"/>
        <v>694.4</v>
      </c>
      <c r="H34" s="1059">
        <f t="shared" si="4"/>
        <v>3801.2056522508969</v>
      </c>
      <c r="I34" s="1112">
        <f t="shared" si="5"/>
        <v>-9.5030141306272427</v>
      </c>
      <c r="J34" s="1059">
        <f t="shared" si="6"/>
        <v>3791.7026381202695</v>
      </c>
      <c r="K34" s="1059">
        <v>0</v>
      </c>
      <c r="L34" s="1059">
        <f t="shared" si="7"/>
        <v>3791.7026381202695</v>
      </c>
      <c r="M34" s="1059">
        <f t="shared" si="8"/>
        <v>315.97521984335577</v>
      </c>
      <c r="N34" s="1051">
        <f>'[18]FY2012-13 Final'!K35</f>
        <v>5323</v>
      </c>
      <c r="O34" s="1053">
        <f t="shared" si="9"/>
        <v>5323</v>
      </c>
      <c r="P34" s="1118">
        <f t="shared" si="10"/>
        <v>-13.307500000000001</v>
      </c>
      <c r="Q34" s="1053">
        <f t="shared" si="11"/>
        <v>5309.6925000000001</v>
      </c>
      <c r="R34" s="1053">
        <v>0</v>
      </c>
      <c r="S34" s="1053">
        <f t="shared" si="12"/>
        <v>5309.6925000000001</v>
      </c>
      <c r="T34" s="1053">
        <f t="shared" si="13"/>
        <v>442.47437500000001</v>
      </c>
      <c r="U34" s="1054">
        <f t="shared" si="14"/>
        <v>9101.3951381202696</v>
      </c>
      <c r="V34" s="1054">
        <f t="shared" si="14"/>
        <v>758.44959484335573</v>
      </c>
    </row>
    <row r="35" spans="1:22">
      <c r="A35" s="994">
        <v>29</v>
      </c>
      <c r="B35" s="995" t="s">
        <v>123</v>
      </c>
      <c r="C35" s="1196">
        <f>'[2]ALL-Reformatted'!X34</f>
        <v>0</v>
      </c>
      <c r="D35" s="1003">
        <f>'Table 3 Levels 1&amp;2'!BN37+'Table 3 Levels 1&amp;2'!BV37</f>
        <v>3912.1846976122315</v>
      </c>
      <c r="E35" s="1102">
        <f t="shared" si="2"/>
        <v>0</v>
      </c>
      <c r="F35" s="1102">
        <f>'Table 4 Level 3'!N34</f>
        <v>754.94999999999993</v>
      </c>
      <c r="G35" s="1102">
        <f t="shared" si="3"/>
        <v>0</v>
      </c>
      <c r="H35" s="1059">
        <f t="shared" si="4"/>
        <v>0</v>
      </c>
      <c r="I35" s="1112">
        <f t="shared" si="5"/>
        <v>0</v>
      </c>
      <c r="J35" s="1059">
        <f t="shared" si="6"/>
        <v>0</v>
      </c>
      <c r="K35" s="1059">
        <v>0</v>
      </c>
      <c r="L35" s="1059">
        <f t="shared" si="7"/>
        <v>0</v>
      </c>
      <c r="M35" s="1059">
        <f t="shared" si="8"/>
        <v>0</v>
      </c>
      <c r="N35" s="1051">
        <f>'[18]FY2012-13 Final'!K36</f>
        <v>4388</v>
      </c>
      <c r="O35" s="1053">
        <f t="shared" si="9"/>
        <v>0</v>
      </c>
      <c r="P35" s="1118">
        <f t="shared" si="10"/>
        <v>0</v>
      </c>
      <c r="Q35" s="1053">
        <f t="shared" si="11"/>
        <v>0</v>
      </c>
      <c r="R35" s="1053">
        <v>0</v>
      </c>
      <c r="S35" s="1053">
        <f t="shared" si="12"/>
        <v>0</v>
      </c>
      <c r="T35" s="1053">
        <f t="shared" si="13"/>
        <v>0</v>
      </c>
      <c r="U35" s="1054">
        <f t="shared" si="14"/>
        <v>0</v>
      </c>
      <c r="V35" s="1054">
        <f t="shared" si="14"/>
        <v>0</v>
      </c>
    </row>
    <row r="36" spans="1:22">
      <c r="A36" s="998">
        <v>30</v>
      </c>
      <c r="B36" s="999" t="s">
        <v>124</v>
      </c>
      <c r="C36" s="1197">
        <f>'[2]ALL-Reformatted'!X35</f>
        <v>0</v>
      </c>
      <c r="D36" s="1005">
        <f>'Table 3 Levels 1&amp;2'!BN38+'Table 3 Levels 1&amp;2'!BV38</f>
        <v>5594.0091640611508</v>
      </c>
      <c r="E36" s="1103">
        <f t="shared" si="2"/>
        <v>0</v>
      </c>
      <c r="F36" s="1103">
        <f>'Table 4 Level 3'!N35</f>
        <v>727.17</v>
      </c>
      <c r="G36" s="1103">
        <f t="shared" si="3"/>
        <v>0</v>
      </c>
      <c r="H36" s="1060">
        <f t="shared" si="4"/>
        <v>0</v>
      </c>
      <c r="I36" s="1113">
        <f t="shared" si="5"/>
        <v>0</v>
      </c>
      <c r="J36" s="1060">
        <f t="shared" si="6"/>
        <v>0</v>
      </c>
      <c r="K36" s="1060">
        <v>0</v>
      </c>
      <c r="L36" s="1060">
        <f t="shared" si="7"/>
        <v>0</v>
      </c>
      <c r="M36" s="1060">
        <f t="shared" si="8"/>
        <v>0</v>
      </c>
      <c r="N36" s="1056">
        <f>'[18]FY2012-13 Final'!K37</f>
        <v>3702</v>
      </c>
      <c r="O36" s="1057">
        <f t="shared" si="9"/>
        <v>0</v>
      </c>
      <c r="P36" s="1119">
        <f t="shared" si="10"/>
        <v>0</v>
      </c>
      <c r="Q36" s="1057">
        <f t="shared" si="11"/>
        <v>0</v>
      </c>
      <c r="R36" s="1057">
        <v>0</v>
      </c>
      <c r="S36" s="1057">
        <f t="shared" si="12"/>
        <v>0</v>
      </c>
      <c r="T36" s="1057">
        <f t="shared" si="13"/>
        <v>0</v>
      </c>
      <c r="U36" s="1058">
        <f t="shared" si="14"/>
        <v>0</v>
      </c>
      <c r="V36" s="1058">
        <f t="shared" si="14"/>
        <v>0</v>
      </c>
    </row>
    <row r="37" spans="1:22">
      <c r="A37" s="987">
        <v>31</v>
      </c>
      <c r="B37" s="988" t="s">
        <v>125</v>
      </c>
      <c r="C37" s="1198">
        <f>'[2]ALL-Reformatted'!X36</f>
        <v>0</v>
      </c>
      <c r="D37" s="1007">
        <f>'Table 3 Levels 1&amp;2'!BN39+'Table 3 Levels 1&amp;2'!BV39</f>
        <v>4320.114188911979</v>
      </c>
      <c r="E37" s="1104">
        <f t="shared" si="2"/>
        <v>0</v>
      </c>
      <c r="F37" s="1104">
        <f>'Table 4 Level 3'!N36</f>
        <v>620.83000000000004</v>
      </c>
      <c r="G37" s="1104">
        <f t="shared" si="3"/>
        <v>0</v>
      </c>
      <c r="H37" s="1061">
        <f t="shared" si="4"/>
        <v>0</v>
      </c>
      <c r="I37" s="1114">
        <f t="shared" si="5"/>
        <v>0</v>
      </c>
      <c r="J37" s="1061">
        <f t="shared" si="6"/>
        <v>0</v>
      </c>
      <c r="K37" s="1061">
        <v>0</v>
      </c>
      <c r="L37" s="1061">
        <f t="shared" si="7"/>
        <v>0</v>
      </c>
      <c r="M37" s="1061">
        <f t="shared" si="8"/>
        <v>0</v>
      </c>
      <c r="N37" s="1051">
        <f>'[18]FY2012-13 Final'!K38</f>
        <v>4669</v>
      </c>
      <c r="O37" s="992">
        <f t="shared" si="9"/>
        <v>0</v>
      </c>
      <c r="P37" s="1117">
        <f t="shared" si="10"/>
        <v>0</v>
      </c>
      <c r="Q37" s="992">
        <f t="shared" si="11"/>
        <v>0</v>
      </c>
      <c r="R37" s="992">
        <v>0</v>
      </c>
      <c r="S37" s="992">
        <f t="shared" si="12"/>
        <v>0</v>
      </c>
      <c r="T37" s="992">
        <f t="shared" si="13"/>
        <v>0</v>
      </c>
      <c r="U37" s="993">
        <f t="shared" si="14"/>
        <v>0</v>
      </c>
      <c r="V37" s="993">
        <f t="shared" si="14"/>
        <v>0</v>
      </c>
    </row>
    <row r="38" spans="1:22">
      <c r="A38" s="994">
        <v>32</v>
      </c>
      <c r="B38" s="995" t="s">
        <v>126</v>
      </c>
      <c r="C38" s="1196">
        <f>'[2]ALL-Reformatted'!X37</f>
        <v>0</v>
      </c>
      <c r="D38" s="1003">
        <f>'Table 3 Levels 1&amp;2'!BN40+'Table 3 Levels 1&amp;2'!BV40</f>
        <v>5504.4479209353676</v>
      </c>
      <c r="E38" s="1102">
        <f t="shared" si="2"/>
        <v>0</v>
      </c>
      <c r="F38" s="1102">
        <f>'Table 4 Level 3'!N37</f>
        <v>559.77</v>
      </c>
      <c r="G38" s="1102">
        <f t="shared" si="3"/>
        <v>0</v>
      </c>
      <c r="H38" s="1059">
        <f t="shared" si="4"/>
        <v>0</v>
      </c>
      <c r="I38" s="1112">
        <f t="shared" si="5"/>
        <v>0</v>
      </c>
      <c r="J38" s="1059">
        <f t="shared" si="6"/>
        <v>0</v>
      </c>
      <c r="K38" s="1059">
        <v>0</v>
      </c>
      <c r="L38" s="1059">
        <f t="shared" si="7"/>
        <v>0</v>
      </c>
      <c r="M38" s="1059">
        <f t="shared" si="8"/>
        <v>0</v>
      </c>
      <c r="N38" s="1051">
        <f>'[18]FY2012-13 Final'!K39</f>
        <v>1965</v>
      </c>
      <c r="O38" s="1053">
        <f t="shared" si="9"/>
        <v>0</v>
      </c>
      <c r="P38" s="1118">
        <f t="shared" si="10"/>
        <v>0</v>
      </c>
      <c r="Q38" s="1053">
        <f t="shared" si="11"/>
        <v>0</v>
      </c>
      <c r="R38" s="1053">
        <v>0</v>
      </c>
      <c r="S38" s="1053">
        <f t="shared" si="12"/>
        <v>0</v>
      </c>
      <c r="T38" s="1053">
        <f t="shared" si="13"/>
        <v>0</v>
      </c>
      <c r="U38" s="1054">
        <f t="shared" si="14"/>
        <v>0</v>
      </c>
      <c r="V38" s="1054">
        <f t="shared" si="14"/>
        <v>0</v>
      </c>
    </row>
    <row r="39" spans="1:22">
      <c r="A39" s="994">
        <v>33</v>
      </c>
      <c r="B39" s="995" t="s">
        <v>127</v>
      </c>
      <c r="C39" s="1196">
        <f>'[2]ALL-Reformatted'!X38</f>
        <v>0</v>
      </c>
      <c r="D39" s="1003">
        <f>'Table 3 Levels 1&amp;2'!BN41+'Table 3 Levels 1&amp;2'!BV41</f>
        <v>5322.07272511876</v>
      </c>
      <c r="E39" s="1102">
        <f t="shared" si="2"/>
        <v>0</v>
      </c>
      <c r="F39" s="1102">
        <f>'Table 4 Level 3'!N38</f>
        <v>655.31000000000006</v>
      </c>
      <c r="G39" s="1102">
        <f t="shared" si="3"/>
        <v>0</v>
      </c>
      <c r="H39" s="1059">
        <f t="shared" si="4"/>
        <v>0</v>
      </c>
      <c r="I39" s="1112">
        <f t="shared" si="5"/>
        <v>0</v>
      </c>
      <c r="J39" s="1059">
        <f t="shared" si="6"/>
        <v>0</v>
      </c>
      <c r="K39" s="1059">
        <v>0</v>
      </c>
      <c r="L39" s="1059">
        <f t="shared" si="7"/>
        <v>0</v>
      </c>
      <c r="M39" s="1059">
        <f t="shared" si="8"/>
        <v>0</v>
      </c>
      <c r="N39" s="1051">
        <f>'[18]FY2012-13 Final'!K40</f>
        <v>2771</v>
      </c>
      <c r="O39" s="1053">
        <f t="shared" si="9"/>
        <v>0</v>
      </c>
      <c r="P39" s="1118">
        <f t="shared" si="10"/>
        <v>0</v>
      </c>
      <c r="Q39" s="1053">
        <f t="shared" si="11"/>
        <v>0</v>
      </c>
      <c r="R39" s="1053">
        <v>0</v>
      </c>
      <c r="S39" s="1053">
        <f t="shared" si="12"/>
        <v>0</v>
      </c>
      <c r="T39" s="1053">
        <f t="shared" si="13"/>
        <v>0</v>
      </c>
      <c r="U39" s="1054">
        <f t="shared" si="14"/>
        <v>0</v>
      </c>
      <c r="V39" s="1054">
        <f t="shared" si="14"/>
        <v>0</v>
      </c>
    </row>
    <row r="40" spans="1:22">
      <c r="A40" s="994">
        <v>34</v>
      </c>
      <c r="B40" s="995" t="s">
        <v>128</v>
      </c>
      <c r="C40" s="1196">
        <f>'[2]ALL-Reformatted'!X39</f>
        <v>0</v>
      </c>
      <c r="D40" s="1003">
        <f>'Table 3 Levels 1&amp;2'!BN42+'Table 3 Levels 1&amp;2'!BV42</f>
        <v>5959.062840731639</v>
      </c>
      <c r="E40" s="1102">
        <f t="shared" si="2"/>
        <v>0</v>
      </c>
      <c r="F40" s="1102">
        <f>'Table 4 Level 3'!N39</f>
        <v>644.11000000000013</v>
      </c>
      <c r="G40" s="1102">
        <f t="shared" si="3"/>
        <v>0</v>
      </c>
      <c r="H40" s="1059">
        <f t="shared" si="4"/>
        <v>0</v>
      </c>
      <c r="I40" s="1112">
        <f t="shared" si="5"/>
        <v>0</v>
      </c>
      <c r="J40" s="1059">
        <f t="shared" si="6"/>
        <v>0</v>
      </c>
      <c r="K40" s="1059">
        <v>0</v>
      </c>
      <c r="L40" s="1059">
        <f t="shared" si="7"/>
        <v>0</v>
      </c>
      <c r="M40" s="1059">
        <f t="shared" si="8"/>
        <v>0</v>
      </c>
      <c r="N40" s="1051">
        <f>'[18]FY2012-13 Final'!K41</f>
        <v>2758</v>
      </c>
      <c r="O40" s="1053">
        <f t="shared" si="9"/>
        <v>0</v>
      </c>
      <c r="P40" s="1118">
        <f t="shared" si="10"/>
        <v>0</v>
      </c>
      <c r="Q40" s="1053">
        <f t="shared" si="11"/>
        <v>0</v>
      </c>
      <c r="R40" s="1053">
        <v>0</v>
      </c>
      <c r="S40" s="1053">
        <f t="shared" si="12"/>
        <v>0</v>
      </c>
      <c r="T40" s="1053">
        <f t="shared" si="13"/>
        <v>0</v>
      </c>
      <c r="U40" s="1054">
        <f t="shared" si="14"/>
        <v>0</v>
      </c>
      <c r="V40" s="1054">
        <f t="shared" si="14"/>
        <v>0</v>
      </c>
    </row>
    <row r="41" spans="1:22">
      <c r="A41" s="998">
        <v>35</v>
      </c>
      <c r="B41" s="999" t="s">
        <v>129</v>
      </c>
      <c r="C41" s="1197">
        <f>'[2]ALL-Reformatted'!X40</f>
        <v>0</v>
      </c>
      <c r="D41" s="1005">
        <f>'Table 3 Levels 1&amp;2'!BN43+'Table 3 Levels 1&amp;2'!BV43</f>
        <v>4571.947611490059</v>
      </c>
      <c r="E41" s="1103">
        <f t="shared" si="2"/>
        <v>0</v>
      </c>
      <c r="F41" s="1103">
        <f>'Table 4 Level 3'!N40</f>
        <v>537.96</v>
      </c>
      <c r="G41" s="1103">
        <f t="shared" si="3"/>
        <v>0</v>
      </c>
      <c r="H41" s="1060">
        <f t="shared" si="4"/>
        <v>0</v>
      </c>
      <c r="I41" s="1113">
        <f t="shared" si="5"/>
        <v>0</v>
      </c>
      <c r="J41" s="1060">
        <f t="shared" si="6"/>
        <v>0</v>
      </c>
      <c r="K41" s="1060">
        <v>0</v>
      </c>
      <c r="L41" s="1060">
        <f t="shared" si="7"/>
        <v>0</v>
      </c>
      <c r="M41" s="1060">
        <f t="shared" si="8"/>
        <v>0</v>
      </c>
      <c r="N41" s="1056">
        <f>'[18]FY2012-13 Final'!K42</f>
        <v>3603</v>
      </c>
      <c r="O41" s="1057">
        <f t="shared" si="9"/>
        <v>0</v>
      </c>
      <c r="P41" s="1119">
        <f t="shared" si="10"/>
        <v>0</v>
      </c>
      <c r="Q41" s="1057">
        <f t="shared" si="11"/>
        <v>0</v>
      </c>
      <c r="R41" s="1057">
        <v>0</v>
      </c>
      <c r="S41" s="1057">
        <f t="shared" si="12"/>
        <v>0</v>
      </c>
      <c r="T41" s="1057">
        <f t="shared" si="13"/>
        <v>0</v>
      </c>
      <c r="U41" s="1058">
        <f t="shared" si="14"/>
        <v>0</v>
      </c>
      <c r="V41" s="1058">
        <f t="shared" si="14"/>
        <v>0</v>
      </c>
    </row>
    <row r="42" spans="1:22">
      <c r="A42" s="987">
        <v>36</v>
      </c>
      <c r="B42" s="988" t="s">
        <v>130</v>
      </c>
      <c r="C42" s="1198">
        <f>'[2]ALL-Reformatted'!X41</f>
        <v>0</v>
      </c>
      <c r="D42" s="1007">
        <f>'Table 3 Levels 1&amp;2'!BN44+'Table 3 Levels 1&amp;2'!BV44</f>
        <v>3666.4136012725312</v>
      </c>
      <c r="E42" s="1104">
        <f t="shared" si="2"/>
        <v>0</v>
      </c>
      <c r="F42" s="1104">
        <f>'Table 5B1_RSD_Orleans'!F78</f>
        <v>746.0335616438357</v>
      </c>
      <c r="G42" s="1104">
        <f t="shared" si="3"/>
        <v>0</v>
      </c>
      <c r="H42" s="1061">
        <f t="shared" si="4"/>
        <v>0</v>
      </c>
      <c r="I42" s="1114">
        <f t="shared" si="5"/>
        <v>0</v>
      </c>
      <c r="J42" s="1061">
        <f t="shared" si="6"/>
        <v>0</v>
      </c>
      <c r="K42" s="1061">
        <v>0</v>
      </c>
      <c r="L42" s="1061">
        <f t="shared" si="7"/>
        <v>0</v>
      </c>
      <c r="M42" s="1061">
        <f t="shared" si="8"/>
        <v>0</v>
      </c>
      <c r="N42" s="1051">
        <f>'[18]FY2012-13 Final'!K43</f>
        <v>4601</v>
      </c>
      <c r="O42" s="992">
        <f t="shared" si="9"/>
        <v>0</v>
      </c>
      <c r="P42" s="1117">
        <f t="shared" si="10"/>
        <v>0</v>
      </c>
      <c r="Q42" s="992">
        <f t="shared" si="11"/>
        <v>0</v>
      </c>
      <c r="R42" s="992">
        <v>0</v>
      </c>
      <c r="S42" s="992">
        <f t="shared" si="12"/>
        <v>0</v>
      </c>
      <c r="T42" s="992">
        <f t="shared" si="13"/>
        <v>0</v>
      </c>
      <c r="U42" s="993">
        <f t="shared" si="14"/>
        <v>0</v>
      </c>
      <c r="V42" s="993">
        <f t="shared" si="14"/>
        <v>0</v>
      </c>
    </row>
    <row r="43" spans="1:22">
      <c r="A43" s="994">
        <v>37</v>
      </c>
      <c r="B43" s="995" t="s">
        <v>131</v>
      </c>
      <c r="C43" s="1196">
        <f>'[2]ALL-Reformatted'!X42</f>
        <v>0</v>
      </c>
      <c r="D43" s="1003">
        <f>'Table 3 Levels 1&amp;2'!BN45+'Table 3 Levels 1&amp;2'!BV45</f>
        <v>5484.8089042263191</v>
      </c>
      <c r="E43" s="1102">
        <f t="shared" si="2"/>
        <v>0</v>
      </c>
      <c r="F43" s="1102">
        <f>'Table 4 Level 3'!N42</f>
        <v>653.61</v>
      </c>
      <c r="G43" s="1102">
        <f t="shared" si="3"/>
        <v>0</v>
      </c>
      <c r="H43" s="1059">
        <f t="shared" si="4"/>
        <v>0</v>
      </c>
      <c r="I43" s="1112">
        <f t="shared" si="5"/>
        <v>0</v>
      </c>
      <c r="J43" s="1059">
        <f t="shared" si="6"/>
        <v>0</v>
      </c>
      <c r="K43" s="1059">
        <v>0</v>
      </c>
      <c r="L43" s="1059">
        <f t="shared" si="7"/>
        <v>0</v>
      </c>
      <c r="M43" s="1059">
        <f t="shared" si="8"/>
        <v>0</v>
      </c>
      <c r="N43" s="1051">
        <f>'[18]FY2012-13 Final'!K44</f>
        <v>3099</v>
      </c>
      <c r="O43" s="1053">
        <f t="shared" si="9"/>
        <v>0</v>
      </c>
      <c r="P43" s="1118">
        <f t="shared" si="10"/>
        <v>0</v>
      </c>
      <c r="Q43" s="1053">
        <f t="shared" si="11"/>
        <v>0</v>
      </c>
      <c r="R43" s="1053">
        <v>0</v>
      </c>
      <c r="S43" s="1053">
        <f t="shared" si="12"/>
        <v>0</v>
      </c>
      <c r="T43" s="1053">
        <f t="shared" si="13"/>
        <v>0</v>
      </c>
      <c r="U43" s="1054">
        <f t="shared" si="14"/>
        <v>0</v>
      </c>
      <c r="V43" s="1054">
        <f t="shared" si="14"/>
        <v>0</v>
      </c>
    </row>
    <row r="44" spans="1:22">
      <c r="A44" s="994">
        <v>38</v>
      </c>
      <c r="B44" s="995" t="s">
        <v>132</v>
      </c>
      <c r="C44" s="1196">
        <f>'[2]ALL-Reformatted'!X43</f>
        <v>0</v>
      </c>
      <c r="D44" s="1003">
        <f>'Table 3 Levels 1&amp;2'!BN46+'Table 3 Levels 1&amp;2'!BV46</f>
        <v>2078.5917829727841</v>
      </c>
      <c r="E44" s="1102">
        <f t="shared" si="2"/>
        <v>0</v>
      </c>
      <c r="F44" s="1102">
        <f>'Table 4 Level 3'!N43</f>
        <v>829.92000000000007</v>
      </c>
      <c r="G44" s="1102">
        <f t="shared" si="3"/>
        <v>0</v>
      </c>
      <c r="H44" s="1059">
        <f t="shared" si="4"/>
        <v>0</v>
      </c>
      <c r="I44" s="1112">
        <f t="shared" si="5"/>
        <v>0</v>
      </c>
      <c r="J44" s="1059">
        <f t="shared" si="6"/>
        <v>0</v>
      </c>
      <c r="K44" s="1059">
        <v>0</v>
      </c>
      <c r="L44" s="1059">
        <f t="shared" si="7"/>
        <v>0</v>
      </c>
      <c r="M44" s="1059">
        <f t="shared" si="8"/>
        <v>0</v>
      </c>
      <c r="N44" s="1051">
        <f>'[18]FY2012-13 Final'!K45</f>
        <v>9674</v>
      </c>
      <c r="O44" s="1053">
        <f t="shared" si="9"/>
        <v>0</v>
      </c>
      <c r="P44" s="1118">
        <f t="shared" si="10"/>
        <v>0</v>
      </c>
      <c r="Q44" s="1053">
        <f t="shared" si="11"/>
        <v>0</v>
      </c>
      <c r="R44" s="1053">
        <v>0</v>
      </c>
      <c r="S44" s="1053">
        <f t="shared" si="12"/>
        <v>0</v>
      </c>
      <c r="T44" s="1053">
        <f t="shared" si="13"/>
        <v>0</v>
      </c>
      <c r="U44" s="1054">
        <f t="shared" si="14"/>
        <v>0</v>
      </c>
      <c r="V44" s="1054">
        <f t="shared" si="14"/>
        <v>0</v>
      </c>
    </row>
    <row r="45" spans="1:22">
      <c r="A45" s="994">
        <v>39</v>
      </c>
      <c r="B45" s="995" t="s">
        <v>133</v>
      </c>
      <c r="C45" s="1196">
        <f>'[2]ALL-Reformatted'!X44</f>
        <v>0</v>
      </c>
      <c r="D45" s="1003">
        <f>'Table 3 Levels 1&amp;2'!BN47+'Table 3 Levels 1&amp;2'!BV47</f>
        <v>3622.4878999042335</v>
      </c>
      <c r="E45" s="1102">
        <f t="shared" si="2"/>
        <v>0</v>
      </c>
      <c r="F45" s="1102">
        <f>'Table 5B2_RSD_LA'!F21</f>
        <v>779.65573042776441</v>
      </c>
      <c r="G45" s="1102">
        <f t="shared" si="3"/>
        <v>0</v>
      </c>
      <c r="H45" s="1059">
        <f t="shared" si="4"/>
        <v>0</v>
      </c>
      <c r="I45" s="1112">
        <f t="shared" si="5"/>
        <v>0</v>
      </c>
      <c r="J45" s="1059">
        <f t="shared" si="6"/>
        <v>0</v>
      </c>
      <c r="K45" s="1059">
        <v>0</v>
      </c>
      <c r="L45" s="1059">
        <f t="shared" si="7"/>
        <v>0</v>
      </c>
      <c r="M45" s="1059">
        <f t="shared" si="8"/>
        <v>0</v>
      </c>
      <c r="N45" s="1051">
        <f>'[18]FY2012-13 Final'!K46</f>
        <v>4277</v>
      </c>
      <c r="O45" s="1053">
        <f t="shared" si="9"/>
        <v>0</v>
      </c>
      <c r="P45" s="1118">
        <f t="shared" si="10"/>
        <v>0</v>
      </c>
      <c r="Q45" s="1053">
        <f t="shared" si="11"/>
        <v>0</v>
      </c>
      <c r="R45" s="1053">
        <v>0</v>
      </c>
      <c r="S45" s="1053">
        <f t="shared" si="12"/>
        <v>0</v>
      </c>
      <c r="T45" s="1053">
        <f t="shared" si="13"/>
        <v>0</v>
      </c>
      <c r="U45" s="1054">
        <f t="shared" si="14"/>
        <v>0</v>
      </c>
      <c r="V45" s="1054">
        <f t="shared" si="14"/>
        <v>0</v>
      </c>
    </row>
    <row r="46" spans="1:22">
      <c r="A46" s="998">
        <v>40</v>
      </c>
      <c r="B46" s="999" t="s">
        <v>134</v>
      </c>
      <c r="C46" s="1197">
        <f>'[2]ALL-Reformatted'!X45</f>
        <v>0</v>
      </c>
      <c r="D46" s="1005">
        <f>'Table 3 Levels 1&amp;2'!BN48+'Table 3 Levels 1&amp;2'!BV48</f>
        <v>4885.6387343180086</v>
      </c>
      <c r="E46" s="1103">
        <f t="shared" si="2"/>
        <v>0</v>
      </c>
      <c r="F46" s="1103">
        <f>'Table 4 Level 3'!N45</f>
        <v>700.2700000000001</v>
      </c>
      <c r="G46" s="1103">
        <f t="shared" si="3"/>
        <v>0</v>
      </c>
      <c r="H46" s="1060">
        <f t="shared" si="4"/>
        <v>0</v>
      </c>
      <c r="I46" s="1113">
        <f t="shared" si="5"/>
        <v>0</v>
      </c>
      <c r="J46" s="1060">
        <f t="shared" si="6"/>
        <v>0</v>
      </c>
      <c r="K46" s="1060">
        <v>0</v>
      </c>
      <c r="L46" s="1060">
        <f t="shared" si="7"/>
        <v>0</v>
      </c>
      <c r="M46" s="1060">
        <f t="shared" si="8"/>
        <v>0</v>
      </c>
      <c r="N46" s="1056">
        <f>'[18]FY2012-13 Final'!K47</f>
        <v>2921</v>
      </c>
      <c r="O46" s="1057">
        <f t="shared" si="9"/>
        <v>0</v>
      </c>
      <c r="P46" s="1119">
        <f t="shared" si="10"/>
        <v>0</v>
      </c>
      <c r="Q46" s="1057">
        <f t="shared" si="11"/>
        <v>0</v>
      </c>
      <c r="R46" s="1057">
        <v>0</v>
      </c>
      <c r="S46" s="1057">
        <f t="shared" si="12"/>
        <v>0</v>
      </c>
      <c r="T46" s="1057">
        <f t="shared" si="13"/>
        <v>0</v>
      </c>
      <c r="U46" s="1058">
        <f t="shared" si="14"/>
        <v>0</v>
      </c>
      <c r="V46" s="1058">
        <f t="shared" si="14"/>
        <v>0</v>
      </c>
    </row>
    <row r="47" spans="1:22">
      <c r="A47" s="987">
        <v>41</v>
      </c>
      <c r="B47" s="988" t="s">
        <v>135</v>
      </c>
      <c r="C47" s="1198">
        <f>'[2]ALL-Reformatted'!X46</f>
        <v>0</v>
      </c>
      <c r="D47" s="1007">
        <f>'Table 3 Levels 1&amp;2'!BN49+'Table 3 Levels 1&amp;2'!BV49</f>
        <v>1602.0398121899364</v>
      </c>
      <c r="E47" s="1104">
        <f t="shared" si="2"/>
        <v>0</v>
      </c>
      <c r="F47" s="1104">
        <f>'Table 4 Level 3'!N46</f>
        <v>886.22</v>
      </c>
      <c r="G47" s="1104">
        <f t="shared" si="3"/>
        <v>0</v>
      </c>
      <c r="H47" s="1061">
        <f t="shared" si="4"/>
        <v>0</v>
      </c>
      <c r="I47" s="1114">
        <f t="shared" si="5"/>
        <v>0</v>
      </c>
      <c r="J47" s="1061">
        <f t="shared" si="6"/>
        <v>0</v>
      </c>
      <c r="K47" s="1061">
        <v>0</v>
      </c>
      <c r="L47" s="1061">
        <f t="shared" si="7"/>
        <v>0</v>
      </c>
      <c r="M47" s="1061">
        <f t="shared" si="8"/>
        <v>0</v>
      </c>
      <c r="N47" s="1051">
        <f>'[18]FY2012-13 Final'!K48</f>
        <v>12026</v>
      </c>
      <c r="O47" s="992">
        <f t="shared" si="9"/>
        <v>0</v>
      </c>
      <c r="P47" s="1117">
        <f t="shared" si="10"/>
        <v>0</v>
      </c>
      <c r="Q47" s="992">
        <f t="shared" si="11"/>
        <v>0</v>
      </c>
      <c r="R47" s="992">
        <v>0</v>
      </c>
      <c r="S47" s="992">
        <f t="shared" si="12"/>
        <v>0</v>
      </c>
      <c r="T47" s="992">
        <f t="shared" si="13"/>
        <v>0</v>
      </c>
      <c r="U47" s="993">
        <f t="shared" si="14"/>
        <v>0</v>
      </c>
      <c r="V47" s="993">
        <f t="shared" si="14"/>
        <v>0</v>
      </c>
    </row>
    <row r="48" spans="1:22">
      <c r="A48" s="994">
        <v>42</v>
      </c>
      <c r="B48" s="995" t="s">
        <v>136</v>
      </c>
      <c r="C48" s="1196">
        <f>'[2]ALL-Reformatted'!X47</f>
        <v>0</v>
      </c>
      <c r="D48" s="1003">
        <f>'Table 3 Levels 1&amp;2'!BN50+'Table 3 Levels 1&amp;2'!BV50</f>
        <v>5098.6172346404755</v>
      </c>
      <c r="E48" s="1102">
        <f t="shared" si="2"/>
        <v>0</v>
      </c>
      <c r="F48" s="1102">
        <f>'Table 4 Level 3'!N47</f>
        <v>534.28</v>
      </c>
      <c r="G48" s="1102">
        <f t="shared" si="3"/>
        <v>0</v>
      </c>
      <c r="H48" s="1059">
        <f t="shared" si="4"/>
        <v>0</v>
      </c>
      <c r="I48" s="1112">
        <f t="shared" si="5"/>
        <v>0</v>
      </c>
      <c r="J48" s="1059">
        <f t="shared" si="6"/>
        <v>0</v>
      </c>
      <c r="K48" s="1059">
        <v>0</v>
      </c>
      <c r="L48" s="1059">
        <f t="shared" si="7"/>
        <v>0</v>
      </c>
      <c r="M48" s="1059">
        <f t="shared" si="8"/>
        <v>0</v>
      </c>
      <c r="N48" s="1051">
        <f>'[18]FY2012-13 Final'!K49</f>
        <v>2554</v>
      </c>
      <c r="O48" s="1053">
        <f t="shared" si="9"/>
        <v>0</v>
      </c>
      <c r="P48" s="1118">
        <f t="shared" si="10"/>
        <v>0</v>
      </c>
      <c r="Q48" s="1053">
        <f t="shared" si="11"/>
        <v>0</v>
      </c>
      <c r="R48" s="1053">
        <v>0</v>
      </c>
      <c r="S48" s="1053">
        <f t="shared" si="12"/>
        <v>0</v>
      </c>
      <c r="T48" s="1053">
        <f t="shared" si="13"/>
        <v>0</v>
      </c>
      <c r="U48" s="1054">
        <f t="shared" si="14"/>
        <v>0</v>
      </c>
      <c r="V48" s="1054">
        <f t="shared" si="14"/>
        <v>0</v>
      </c>
    </row>
    <row r="49" spans="1:22">
      <c r="A49" s="994">
        <v>43</v>
      </c>
      <c r="B49" s="995" t="s">
        <v>137</v>
      </c>
      <c r="C49" s="1196">
        <f>'[2]ALL-Reformatted'!X48</f>
        <v>0</v>
      </c>
      <c r="D49" s="1003">
        <f>'Table 3 Levels 1&amp;2'!BN51+'Table 3 Levels 1&amp;2'!BV51</f>
        <v>4701.3362575004667</v>
      </c>
      <c r="E49" s="1102">
        <f t="shared" si="2"/>
        <v>0</v>
      </c>
      <c r="F49" s="1102">
        <f>'Table 4 Level 3'!N48</f>
        <v>574.6099999999999</v>
      </c>
      <c r="G49" s="1102">
        <f t="shared" si="3"/>
        <v>0</v>
      </c>
      <c r="H49" s="1059">
        <f t="shared" si="4"/>
        <v>0</v>
      </c>
      <c r="I49" s="1112">
        <f t="shared" si="5"/>
        <v>0</v>
      </c>
      <c r="J49" s="1059">
        <f t="shared" si="6"/>
        <v>0</v>
      </c>
      <c r="K49" s="1059">
        <v>0</v>
      </c>
      <c r="L49" s="1059">
        <f t="shared" si="7"/>
        <v>0</v>
      </c>
      <c r="M49" s="1059">
        <f t="shared" si="8"/>
        <v>0</v>
      </c>
      <c r="N49" s="1051">
        <f>'[18]FY2012-13 Final'!K50</f>
        <v>5265</v>
      </c>
      <c r="O49" s="1053">
        <f t="shared" si="9"/>
        <v>0</v>
      </c>
      <c r="P49" s="1118">
        <f t="shared" si="10"/>
        <v>0</v>
      </c>
      <c r="Q49" s="1053">
        <f t="shared" si="11"/>
        <v>0</v>
      </c>
      <c r="R49" s="1053">
        <v>0</v>
      </c>
      <c r="S49" s="1053">
        <f t="shared" si="12"/>
        <v>0</v>
      </c>
      <c r="T49" s="1053">
        <f t="shared" si="13"/>
        <v>0</v>
      </c>
      <c r="U49" s="1054">
        <f t="shared" si="14"/>
        <v>0</v>
      </c>
      <c r="V49" s="1054">
        <f t="shared" si="14"/>
        <v>0</v>
      </c>
    </row>
    <row r="50" spans="1:22">
      <c r="A50" s="994">
        <v>44</v>
      </c>
      <c r="B50" s="995" t="s">
        <v>138</v>
      </c>
      <c r="C50" s="1196">
        <f>'[2]ALL-Reformatted'!X49</f>
        <v>0</v>
      </c>
      <c r="D50" s="1003">
        <f>'Table 3 Levels 1&amp;2'!BN52+'Table 3 Levels 1&amp;2'!BV52</f>
        <v>4649.5559521248724</v>
      </c>
      <c r="E50" s="1102">
        <f t="shared" si="2"/>
        <v>0</v>
      </c>
      <c r="F50" s="1102">
        <f>'Table 4 Level 3'!N49</f>
        <v>663.16000000000008</v>
      </c>
      <c r="G50" s="1102">
        <f t="shared" si="3"/>
        <v>0</v>
      </c>
      <c r="H50" s="1059">
        <f t="shared" si="4"/>
        <v>0</v>
      </c>
      <c r="I50" s="1112">
        <f t="shared" si="5"/>
        <v>0</v>
      </c>
      <c r="J50" s="1059">
        <f t="shared" si="6"/>
        <v>0</v>
      </c>
      <c r="K50" s="1059">
        <v>0</v>
      </c>
      <c r="L50" s="1059">
        <f t="shared" si="7"/>
        <v>0</v>
      </c>
      <c r="M50" s="1059">
        <f t="shared" si="8"/>
        <v>0</v>
      </c>
      <c r="N50" s="1051">
        <f>'[18]FY2012-13 Final'!K51</f>
        <v>4109</v>
      </c>
      <c r="O50" s="1053">
        <f t="shared" si="9"/>
        <v>0</v>
      </c>
      <c r="P50" s="1118">
        <f t="shared" si="10"/>
        <v>0</v>
      </c>
      <c r="Q50" s="1053">
        <f t="shared" si="11"/>
        <v>0</v>
      </c>
      <c r="R50" s="1053">
        <v>0</v>
      </c>
      <c r="S50" s="1053">
        <f t="shared" si="12"/>
        <v>0</v>
      </c>
      <c r="T50" s="1053">
        <f t="shared" si="13"/>
        <v>0</v>
      </c>
      <c r="U50" s="1054">
        <f t="shared" si="14"/>
        <v>0</v>
      </c>
      <c r="V50" s="1054">
        <f t="shared" si="14"/>
        <v>0</v>
      </c>
    </row>
    <row r="51" spans="1:22">
      <c r="A51" s="998">
        <v>45</v>
      </c>
      <c r="B51" s="999" t="s">
        <v>139</v>
      </c>
      <c r="C51" s="1197">
        <f>'[2]ALL-Reformatted'!X50</f>
        <v>0</v>
      </c>
      <c r="D51" s="1005">
        <f>'Table 3 Levels 1&amp;2'!BN53+'Table 3 Levels 1&amp;2'!BV53</f>
        <v>2159.257884231537</v>
      </c>
      <c r="E51" s="1103">
        <f t="shared" si="2"/>
        <v>0</v>
      </c>
      <c r="F51" s="1103">
        <f>'Table 4 Level 3'!N50</f>
        <v>753.96000000000015</v>
      </c>
      <c r="G51" s="1103">
        <f t="shared" si="3"/>
        <v>0</v>
      </c>
      <c r="H51" s="1060">
        <f t="shared" si="4"/>
        <v>0</v>
      </c>
      <c r="I51" s="1113">
        <f t="shared" si="5"/>
        <v>0</v>
      </c>
      <c r="J51" s="1060">
        <f t="shared" si="6"/>
        <v>0</v>
      </c>
      <c r="K51" s="1060">
        <v>0</v>
      </c>
      <c r="L51" s="1060">
        <f t="shared" si="7"/>
        <v>0</v>
      </c>
      <c r="M51" s="1060">
        <f t="shared" si="8"/>
        <v>0</v>
      </c>
      <c r="N51" s="1056">
        <f>'[18]FY2012-13 Final'!K52</f>
        <v>12427</v>
      </c>
      <c r="O51" s="1057">
        <f t="shared" si="9"/>
        <v>0</v>
      </c>
      <c r="P51" s="1119">
        <f t="shared" si="10"/>
        <v>0</v>
      </c>
      <c r="Q51" s="1057">
        <f t="shared" si="11"/>
        <v>0</v>
      </c>
      <c r="R51" s="1057">
        <v>0</v>
      </c>
      <c r="S51" s="1057">
        <f t="shared" si="12"/>
        <v>0</v>
      </c>
      <c r="T51" s="1057">
        <f t="shared" si="13"/>
        <v>0</v>
      </c>
      <c r="U51" s="1058">
        <f t="shared" si="14"/>
        <v>0</v>
      </c>
      <c r="V51" s="1058">
        <f t="shared" si="14"/>
        <v>0</v>
      </c>
    </row>
    <row r="52" spans="1:22">
      <c r="A52" s="987">
        <v>46</v>
      </c>
      <c r="B52" s="988" t="s">
        <v>140</v>
      </c>
      <c r="C52" s="1198">
        <f>'[2]ALL-Reformatted'!X51</f>
        <v>0</v>
      </c>
      <c r="D52" s="1007">
        <f>'Table 3 Levels 1&amp;2'!BN54+'Table 3 Levels 1&amp;2'!BV54</f>
        <v>5578.7258135108641</v>
      </c>
      <c r="E52" s="1104">
        <f t="shared" si="2"/>
        <v>0</v>
      </c>
      <c r="F52" s="1104">
        <f>'Table 4 Level 3'!N51</f>
        <v>728.06</v>
      </c>
      <c r="G52" s="1104">
        <f t="shared" si="3"/>
        <v>0</v>
      </c>
      <c r="H52" s="1061">
        <f t="shared" si="4"/>
        <v>0</v>
      </c>
      <c r="I52" s="1114">
        <f t="shared" si="5"/>
        <v>0</v>
      </c>
      <c r="J52" s="1061">
        <f t="shared" si="6"/>
        <v>0</v>
      </c>
      <c r="K52" s="1061">
        <v>0</v>
      </c>
      <c r="L52" s="1061">
        <f t="shared" si="7"/>
        <v>0</v>
      </c>
      <c r="M52" s="1061">
        <f t="shared" si="8"/>
        <v>0</v>
      </c>
      <c r="N52" s="1051">
        <f>'[18]FY2012-13 Final'!K53</f>
        <v>1968</v>
      </c>
      <c r="O52" s="992">
        <f t="shared" si="9"/>
        <v>0</v>
      </c>
      <c r="P52" s="1117">
        <f t="shared" si="10"/>
        <v>0</v>
      </c>
      <c r="Q52" s="992">
        <f t="shared" si="11"/>
        <v>0</v>
      </c>
      <c r="R52" s="992">
        <v>0</v>
      </c>
      <c r="S52" s="992">
        <f t="shared" si="12"/>
        <v>0</v>
      </c>
      <c r="T52" s="992">
        <f t="shared" si="13"/>
        <v>0</v>
      </c>
      <c r="U52" s="993">
        <f t="shared" si="14"/>
        <v>0</v>
      </c>
      <c r="V52" s="993">
        <f t="shared" si="14"/>
        <v>0</v>
      </c>
    </row>
    <row r="53" spans="1:22">
      <c r="A53" s="994">
        <v>47</v>
      </c>
      <c r="B53" s="995" t="s">
        <v>141</v>
      </c>
      <c r="C53" s="1196">
        <f>'[2]ALL-Reformatted'!X52</f>
        <v>0</v>
      </c>
      <c r="D53" s="1003">
        <f>'Table 3 Levels 1&amp;2'!BN55+'Table 3 Levels 1&amp;2'!BV55</f>
        <v>2709.058014721415</v>
      </c>
      <c r="E53" s="1102">
        <f t="shared" si="2"/>
        <v>0</v>
      </c>
      <c r="F53" s="1102">
        <f>'Table 4 Level 3'!N52</f>
        <v>910.76</v>
      </c>
      <c r="G53" s="1102">
        <f t="shared" si="3"/>
        <v>0</v>
      </c>
      <c r="H53" s="1059">
        <f t="shared" si="4"/>
        <v>0</v>
      </c>
      <c r="I53" s="1112">
        <f t="shared" si="5"/>
        <v>0</v>
      </c>
      <c r="J53" s="1059">
        <f t="shared" si="6"/>
        <v>0</v>
      </c>
      <c r="K53" s="1059">
        <v>0</v>
      </c>
      <c r="L53" s="1059">
        <f t="shared" si="7"/>
        <v>0</v>
      </c>
      <c r="M53" s="1059">
        <f t="shared" si="8"/>
        <v>0</v>
      </c>
      <c r="N53" s="1051">
        <f>'[18]FY2012-13 Final'!K54</f>
        <v>10049</v>
      </c>
      <c r="O53" s="1053">
        <f t="shared" si="9"/>
        <v>0</v>
      </c>
      <c r="P53" s="1118">
        <f t="shared" si="10"/>
        <v>0</v>
      </c>
      <c r="Q53" s="1053">
        <f t="shared" si="11"/>
        <v>0</v>
      </c>
      <c r="R53" s="1053">
        <v>0</v>
      </c>
      <c r="S53" s="1053">
        <f t="shared" si="12"/>
        <v>0</v>
      </c>
      <c r="T53" s="1053">
        <f t="shared" si="13"/>
        <v>0</v>
      </c>
      <c r="U53" s="1054">
        <f t="shared" si="14"/>
        <v>0</v>
      </c>
      <c r="V53" s="1054">
        <f t="shared" si="14"/>
        <v>0</v>
      </c>
    </row>
    <row r="54" spans="1:22">
      <c r="A54" s="994">
        <v>48</v>
      </c>
      <c r="B54" s="995" t="s">
        <v>202</v>
      </c>
      <c r="C54" s="1196">
        <f>'[2]ALL-Reformatted'!X53</f>
        <v>0</v>
      </c>
      <c r="D54" s="1003">
        <f>'Table 3 Levels 1&amp;2'!BN56+'Table 3 Levels 1&amp;2'!BV56</f>
        <v>4259.4136153508553</v>
      </c>
      <c r="E54" s="1102">
        <f t="shared" si="2"/>
        <v>0</v>
      </c>
      <c r="F54" s="1102">
        <f>'Table 4 Level 3'!N53</f>
        <v>871.07</v>
      </c>
      <c r="G54" s="1102">
        <f t="shared" si="3"/>
        <v>0</v>
      </c>
      <c r="H54" s="1059">
        <f t="shared" si="4"/>
        <v>0</v>
      </c>
      <c r="I54" s="1112">
        <f t="shared" si="5"/>
        <v>0</v>
      </c>
      <c r="J54" s="1059">
        <f t="shared" si="6"/>
        <v>0</v>
      </c>
      <c r="K54" s="1059">
        <v>0</v>
      </c>
      <c r="L54" s="1059">
        <f t="shared" si="7"/>
        <v>0</v>
      </c>
      <c r="M54" s="1059">
        <f t="shared" si="8"/>
        <v>0</v>
      </c>
      <c r="N54" s="1051">
        <f>'[18]FY2012-13 Final'!K55</f>
        <v>5755</v>
      </c>
      <c r="O54" s="1053">
        <f t="shared" si="9"/>
        <v>0</v>
      </c>
      <c r="P54" s="1118">
        <f t="shared" si="10"/>
        <v>0</v>
      </c>
      <c r="Q54" s="1053">
        <f t="shared" si="11"/>
        <v>0</v>
      </c>
      <c r="R54" s="1053">
        <v>0</v>
      </c>
      <c r="S54" s="1053">
        <f t="shared" si="12"/>
        <v>0</v>
      </c>
      <c r="T54" s="1053">
        <f t="shared" si="13"/>
        <v>0</v>
      </c>
      <c r="U54" s="1054">
        <f t="shared" si="14"/>
        <v>0</v>
      </c>
      <c r="V54" s="1054">
        <f t="shared" si="14"/>
        <v>0</v>
      </c>
    </row>
    <row r="55" spans="1:22">
      <c r="A55" s="994">
        <v>49</v>
      </c>
      <c r="B55" s="995" t="s">
        <v>142</v>
      </c>
      <c r="C55" s="1196">
        <f>'[2]ALL-Reformatted'!X54</f>
        <v>167</v>
      </c>
      <c r="D55" s="1003">
        <f>'Table 3 Levels 1&amp;2'!BN57+'Table 3 Levels 1&amp;2'!BV57</f>
        <v>4790.0513947378495</v>
      </c>
      <c r="E55" s="1102">
        <f t="shared" si="2"/>
        <v>799938.58292122092</v>
      </c>
      <c r="F55" s="1102">
        <f>'Table 4 Level 3'!N54</f>
        <v>574.43999999999994</v>
      </c>
      <c r="G55" s="1102">
        <f t="shared" si="3"/>
        <v>95931.48</v>
      </c>
      <c r="H55" s="1059">
        <f t="shared" si="4"/>
        <v>895870.0629212209</v>
      </c>
      <c r="I55" s="1112">
        <f t="shared" si="5"/>
        <v>-2239.6751573030524</v>
      </c>
      <c r="J55" s="1059">
        <f t="shared" si="6"/>
        <v>893630.3877639178</v>
      </c>
      <c r="K55" s="1059">
        <v>0</v>
      </c>
      <c r="L55" s="1059">
        <f t="shared" si="7"/>
        <v>893630.3877639178</v>
      </c>
      <c r="M55" s="1059">
        <f t="shared" si="8"/>
        <v>74469.198980326488</v>
      </c>
      <c r="N55" s="1051">
        <f>'[18]FY2012-13 Final'!K56</f>
        <v>2335</v>
      </c>
      <c r="O55" s="1053">
        <f t="shared" si="9"/>
        <v>389945</v>
      </c>
      <c r="P55" s="1118">
        <f t="shared" si="10"/>
        <v>-974.86250000000007</v>
      </c>
      <c r="Q55" s="1053">
        <f t="shared" si="11"/>
        <v>388970.13750000001</v>
      </c>
      <c r="R55" s="1053">
        <v>0</v>
      </c>
      <c r="S55" s="1053">
        <f t="shared" si="12"/>
        <v>388970.13750000001</v>
      </c>
      <c r="T55" s="1053">
        <f t="shared" si="13"/>
        <v>32414.178125000002</v>
      </c>
      <c r="U55" s="1054">
        <f t="shared" si="14"/>
        <v>1282600.5252639179</v>
      </c>
      <c r="V55" s="1054">
        <f t="shared" si="14"/>
        <v>106883.37710532649</v>
      </c>
    </row>
    <row r="56" spans="1:22">
      <c r="A56" s="998">
        <v>50</v>
      </c>
      <c r="B56" s="999" t="s">
        <v>143</v>
      </c>
      <c r="C56" s="1197">
        <f>'[2]ALL-Reformatted'!X55</f>
        <v>0</v>
      </c>
      <c r="D56" s="1005">
        <f>'Table 3 Levels 1&amp;2'!BN58+'Table 3 Levels 1&amp;2'!BV58</f>
        <v>4954.3375045905796</v>
      </c>
      <c r="E56" s="1103">
        <f t="shared" si="2"/>
        <v>0</v>
      </c>
      <c r="F56" s="1103">
        <f>'Table 4 Level 3'!N55</f>
        <v>634.46</v>
      </c>
      <c r="G56" s="1103">
        <f t="shared" si="3"/>
        <v>0</v>
      </c>
      <c r="H56" s="1060">
        <f t="shared" si="4"/>
        <v>0</v>
      </c>
      <c r="I56" s="1113">
        <f t="shared" si="5"/>
        <v>0</v>
      </c>
      <c r="J56" s="1060">
        <f t="shared" si="6"/>
        <v>0</v>
      </c>
      <c r="K56" s="1060">
        <v>0</v>
      </c>
      <c r="L56" s="1060">
        <f t="shared" si="7"/>
        <v>0</v>
      </c>
      <c r="M56" s="1060">
        <f t="shared" si="8"/>
        <v>0</v>
      </c>
      <c r="N56" s="1056">
        <f>'[18]FY2012-13 Final'!K57</f>
        <v>2801</v>
      </c>
      <c r="O56" s="1057">
        <f t="shared" si="9"/>
        <v>0</v>
      </c>
      <c r="P56" s="1119">
        <f t="shared" si="10"/>
        <v>0</v>
      </c>
      <c r="Q56" s="1057">
        <f t="shared" si="11"/>
        <v>0</v>
      </c>
      <c r="R56" s="1057">
        <v>0</v>
      </c>
      <c r="S56" s="1057">
        <f t="shared" si="12"/>
        <v>0</v>
      </c>
      <c r="T56" s="1057">
        <f t="shared" si="13"/>
        <v>0</v>
      </c>
      <c r="U56" s="1058">
        <f t="shared" si="14"/>
        <v>0</v>
      </c>
      <c r="V56" s="1058">
        <f t="shared" si="14"/>
        <v>0</v>
      </c>
    </row>
    <row r="57" spans="1:22">
      <c r="A57" s="987">
        <v>51</v>
      </c>
      <c r="B57" s="988" t="s">
        <v>144</v>
      </c>
      <c r="C57" s="1198">
        <f>'[2]ALL-Reformatted'!X56</f>
        <v>0</v>
      </c>
      <c r="D57" s="1007">
        <f>'Table 3 Levels 1&amp;2'!BN59+'Table 3 Levels 1&amp;2'!BV59</f>
        <v>4290.3461727150461</v>
      </c>
      <c r="E57" s="1104">
        <f t="shared" si="2"/>
        <v>0</v>
      </c>
      <c r="F57" s="1104">
        <f>'Table 4 Level 3'!N56</f>
        <v>706.66</v>
      </c>
      <c r="G57" s="1104">
        <f t="shared" si="3"/>
        <v>0</v>
      </c>
      <c r="H57" s="1061">
        <f t="shared" si="4"/>
        <v>0</v>
      </c>
      <c r="I57" s="1114">
        <f t="shared" si="5"/>
        <v>0</v>
      </c>
      <c r="J57" s="1061">
        <f t="shared" si="6"/>
        <v>0</v>
      </c>
      <c r="K57" s="1061">
        <v>0</v>
      </c>
      <c r="L57" s="1061">
        <f t="shared" si="7"/>
        <v>0</v>
      </c>
      <c r="M57" s="1061">
        <f t="shared" si="8"/>
        <v>0</v>
      </c>
      <c r="N57" s="1051">
        <f>'[18]FY2012-13 Final'!K58</f>
        <v>4053</v>
      </c>
      <c r="O57" s="992">
        <f t="shared" si="9"/>
        <v>0</v>
      </c>
      <c r="P57" s="1117">
        <f t="shared" si="10"/>
        <v>0</v>
      </c>
      <c r="Q57" s="992">
        <f t="shared" si="11"/>
        <v>0</v>
      </c>
      <c r="R57" s="992">
        <v>0</v>
      </c>
      <c r="S57" s="992">
        <f t="shared" si="12"/>
        <v>0</v>
      </c>
      <c r="T57" s="992">
        <f t="shared" si="13"/>
        <v>0</v>
      </c>
      <c r="U57" s="993">
        <f t="shared" si="14"/>
        <v>0</v>
      </c>
      <c r="V57" s="993">
        <f t="shared" si="14"/>
        <v>0</v>
      </c>
    </row>
    <row r="58" spans="1:22">
      <c r="A58" s="994">
        <v>52</v>
      </c>
      <c r="B58" s="995" t="s">
        <v>145</v>
      </c>
      <c r="C58" s="1196">
        <f>'[2]ALL-Reformatted'!X57</f>
        <v>0</v>
      </c>
      <c r="D58" s="1003">
        <f>'Table 3 Levels 1&amp;2'!BN60+'Table 3 Levels 1&amp;2'!BV60</f>
        <v>4988.6415961118701</v>
      </c>
      <c r="E58" s="1102">
        <f t="shared" si="2"/>
        <v>0</v>
      </c>
      <c r="F58" s="1102">
        <f>'Table 4 Level 3'!N57</f>
        <v>658.37</v>
      </c>
      <c r="G58" s="1102">
        <f t="shared" si="3"/>
        <v>0</v>
      </c>
      <c r="H58" s="1059">
        <f t="shared" si="4"/>
        <v>0</v>
      </c>
      <c r="I58" s="1112">
        <f t="shared" si="5"/>
        <v>0</v>
      </c>
      <c r="J58" s="1059">
        <f t="shared" si="6"/>
        <v>0</v>
      </c>
      <c r="K58" s="1059">
        <v>0</v>
      </c>
      <c r="L58" s="1059">
        <f t="shared" si="7"/>
        <v>0</v>
      </c>
      <c r="M58" s="1059">
        <f t="shared" si="8"/>
        <v>0</v>
      </c>
      <c r="N58" s="1051">
        <f>'[18]FY2012-13 Final'!K59</f>
        <v>4886</v>
      </c>
      <c r="O58" s="1053">
        <f t="shared" si="9"/>
        <v>0</v>
      </c>
      <c r="P58" s="1118">
        <f t="shared" si="10"/>
        <v>0</v>
      </c>
      <c r="Q58" s="1053">
        <f t="shared" si="11"/>
        <v>0</v>
      </c>
      <c r="R58" s="1053">
        <v>0</v>
      </c>
      <c r="S58" s="1053">
        <f t="shared" si="12"/>
        <v>0</v>
      </c>
      <c r="T58" s="1053">
        <f t="shared" si="13"/>
        <v>0</v>
      </c>
      <c r="U58" s="1054">
        <f t="shared" si="14"/>
        <v>0</v>
      </c>
      <c r="V58" s="1054">
        <f t="shared" si="14"/>
        <v>0</v>
      </c>
    </row>
    <row r="59" spans="1:22">
      <c r="A59" s="994">
        <v>53</v>
      </c>
      <c r="B59" s="995" t="s">
        <v>146</v>
      </c>
      <c r="C59" s="1196">
        <f>'[2]ALL-Reformatted'!X58</f>
        <v>0</v>
      </c>
      <c r="D59" s="1003">
        <f>'Table 3 Levels 1&amp;2'!BN61+'Table 3 Levels 1&amp;2'!BV61</f>
        <v>4739.7077057162423</v>
      </c>
      <c r="E59" s="1102">
        <f t="shared" si="2"/>
        <v>0</v>
      </c>
      <c r="F59" s="1102">
        <f>'Table 4 Level 3'!N58</f>
        <v>689.74</v>
      </c>
      <c r="G59" s="1102">
        <f t="shared" si="3"/>
        <v>0</v>
      </c>
      <c r="H59" s="1059">
        <f t="shared" si="4"/>
        <v>0</v>
      </c>
      <c r="I59" s="1112">
        <f t="shared" si="5"/>
        <v>0</v>
      </c>
      <c r="J59" s="1059">
        <f t="shared" si="6"/>
        <v>0</v>
      </c>
      <c r="K59" s="1059">
        <v>0</v>
      </c>
      <c r="L59" s="1059">
        <f t="shared" si="7"/>
        <v>0</v>
      </c>
      <c r="M59" s="1059">
        <f t="shared" si="8"/>
        <v>0</v>
      </c>
      <c r="N59" s="1051">
        <f>'[18]FY2012-13 Final'!K60</f>
        <v>1929</v>
      </c>
      <c r="O59" s="1053">
        <f t="shared" si="9"/>
        <v>0</v>
      </c>
      <c r="P59" s="1118">
        <f t="shared" si="10"/>
        <v>0</v>
      </c>
      <c r="Q59" s="1053">
        <f t="shared" si="11"/>
        <v>0</v>
      </c>
      <c r="R59" s="1053">
        <v>0</v>
      </c>
      <c r="S59" s="1053">
        <f t="shared" si="12"/>
        <v>0</v>
      </c>
      <c r="T59" s="1053">
        <f t="shared" si="13"/>
        <v>0</v>
      </c>
      <c r="U59" s="1054">
        <f t="shared" si="14"/>
        <v>0</v>
      </c>
      <c r="V59" s="1054">
        <f t="shared" si="14"/>
        <v>0</v>
      </c>
    </row>
    <row r="60" spans="1:22">
      <c r="A60" s="994">
        <v>54</v>
      </c>
      <c r="B60" s="995" t="s">
        <v>147</v>
      </c>
      <c r="C60" s="1196">
        <f>'[2]ALL-Reformatted'!X59</f>
        <v>0</v>
      </c>
      <c r="D60" s="1003">
        <f>'Table 3 Levels 1&amp;2'!BN62+'Table 3 Levels 1&amp;2'!BV62</f>
        <v>5907.1276437932838</v>
      </c>
      <c r="E60" s="1102">
        <f t="shared" si="2"/>
        <v>0</v>
      </c>
      <c r="F60" s="1102">
        <f>'Table 4 Level 3'!N59</f>
        <v>951.45</v>
      </c>
      <c r="G60" s="1102">
        <f t="shared" si="3"/>
        <v>0</v>
      </c>
      <c r="H60" s="1059">
        <f t="shared" si="4"/>
        <v>0</v>
      </c>
      <c r="I60" s="1112">
        <f t="shared" si="5"/>
        <v>0</v>
      </c>
      <c r="J60" s="1059">
        <f t="shared" si="6"/>
        <v>0</v>
      </c>
      <c r="K60" s="1059">
        <v>0</v>
      </c>
      <c r="L60" s="1059">
        <f t="shared" si="7"/>
        <v>0</v>
      </c>
      <c r="M60" s="1059">
        <f t="shared" si="8"/>
        <v>0</v>
      </c>
      <c r="N60" s="1051">
        <f>'[18]FY2012-13 Final'!K61</f>
        <v>3382</v>
      </c>
      <c r="O60" s="1053">
        <f t="shared" si="9"/>
        <v>0</v>
      </c>
      <c r="P60" s="1118">
        <f t="shared" si="10"/>
        <v>0</v>
      </c>
      <c r="Q60" s="1053">
        <f t="shared" si="11"/>
        <v>0</v>
      </c>
      <c r="R60" s="1053">
        <v>0</v>
      </c>
      <c r="S60" s="1053">
        <f t="shared" si="12"/>
        <v>0</v>
      </c>
      <c r="T60" s="1053">
        <f t="shared" si="13"/>
        <v>0</v>
      </c>
      <c r="U60" s="1054">
        <f t="shared" si="14"/>
        <v>0</v>
      </c>
      <c r="V60" s="1054">
        <f t="shared" si="14"/>
        <v>0</v>
      </c>
    </row>
    <row r="61" spans="1:22">
      <c r="A61" s="998">
        <v>55</v>
      </c>
      <c r="B61" s="999" t="s">
        <v>148</v>
      </c>
      <c r="C61" s="1197">
        <f>'[2]ALL-Reformatted'!X60</f>
        <v>0</v>
      </c>
      <c r="D61" s="1005">
        <f>'Table 3 Levels 1&amp;2'!BN63+'Table 3 Levels 1&amp;2'!BV63</f>
        <v>4115.0954812679902</v>
      </c>
      <c r="E61" s="1103">
        <f t="shared" si="2"/>
        <v>0</v>
      </c>
      <c r="F61" s="1103">
        <f>'Table 4 Level 3'!N60</f>
        <v>795.14</v>
      </c>
      <c r="G61" s="1103">
        <f t="shared" si="3"/>
        <v>0</v>
      </c>
      <c r="H61" s="1060">
        <f t="shared" si="4"/>
        <v>0</v>
      </c>
      <c r="I61" s="1113">
        <f t="shared" si="5"/>
        <v>0</v>
      </c>
      <c r="J61" s="1060">
        <f t="shared" si="6"/>
        <v>0</v>
      </c>
      <c r="K61" s="1060">
        <v>0</v>
      </c>
      <c r="L61" s="1060">
        <f t="shared" si="7"/>
        <v>0</v>
      </c>
      <c r="M61" s="1060">
        <f t="shared" si="8"/>
        <v>0</v>
      </c>
      <c r="N61" s="1056">
        <f>'[18]FY2012-13 Final'!K62</f>
        <v>3127</v>
      </c>
      <c r="O61" s="1057">
        <f t="shared" si="9"/>
        <v>0</v>
      </c>
      <c r="P61" s="1119">
        <f t="shared" si="10"/>
        <v>0</v>
      </c>
      <c r="Q61" s="1057">
        <f t="shared" si="11"/>
        <v>0</v>
      </c>
      <c r="R61" s="1057">
        <v>0</v>
      </c>
      <c r="S61" s="1057">
        <f t="shared" si="12"/>
        <v>0</v>
      </c>
      <c r="T61" s="1057">
        <f t="shared" si="13"/>
        <v>0</v>
      </c>
      <c r="U61" s="1058">
        <f t="shared" si="14"/>
        <v>0</v>
      </c>
      <c r="V61" s="1058">
        <f t="shared" si="14"/>
        <v>0</v>
      </c>
    </row>
    <row r="62" spans="1:22">
      <c r="A62" s="987">
        <v>56</v>
      </c>
      <c r="B62" s="988" t="s">
        <v>149</v>
      </c>
      <c r="C62" s="1198">
        <f>'[2]ALL-Reformatted'!X61</f>
        <v>0</v>
      </c>
      <c r="D62" s="1007">
        <f>'Table 3 Levels 1&amp;2'!BN64+'Table 3 Levels 1&amp;2'!BV64</f>
        <v>4924.9032059941637</v>
      </c>
      <c r="E62" s="1104">
        <f t="shared" si="2"/>
        <v>0</v>
      </c>
      <c r="F62" s="1104">
        <f>'Table 4 Level 3'!N61</f>
        <v>614.66000000000008</v>
      </c>
      <c r="G62" s="1104">
        <f t="shared" si="3"/>
        <v>0</v>
      </c>
      <c r="H62" s="1061">
        <f t="shared" si="4"/>
        <v>0</v>
      </c>
      <c r="I62" s="1114">
        <f t="shared" si="5"/>
        <v>0</v>
      </c>
      <c r="J62" s="1061">
        <f t="shared" si="6"/>
        <v>0</v>
      </c>
      <c r="K62" s="1061">
        <v>0</v>
      </c>
      <c r="L62" s="1061">
        <f t="shared" si="7"/>
        <v>0</v>
      </c>
      <c r="M62" s="1061">
        <f t="shared" si="8"/>
        <v>0</v>
      </c>
      <c r="N62" s="1051">
        <f>'[18]FY2012-13 Final'!K63</f>
        <v>2768</v>
      </c>
      <c r="O62" s="992">
        <f t="shared" si="9"/>
        <v>0</v>
      </c>
      <c r="P62" s="1117">
        <f t="shared" si="10"/>
        <v>0</v>
      </c>
      <c r="Q62" s="992">
        <f t="shared" si="11"/>
        <v>0</v>
      </c>
      <c r="R62" s="992">
        <v>0</v>
      </c>
      <c r="S62" s="992">
        <f t="shared" si="12"/>
        <v>0</v>
      </c>
      <c r="T62" s="992">
        <f t="shared" si="13"/>
        <v>0</v>
      </c>
      <c r="U62" s="993">
        <f t="shared" si="14"/>
        <v>0</v>
      </c>
      <c r="V62" s="993">
        <f t="shared" si="14"/>
        <v>0</v>
      </c>
    </row>
    <row r="63" spans="1:22">
      <c r="A63" s="994">
        <v>57</v>
      </c>
      <c r="B63" s="995" t="s">
        <v>150</v>
      </c>
      <c r="C63" s="1196">
        <f>'[2]ALL-Reformatted'!X62</f>
        <v>0</v>
      </c>
      <c r="D63" s="1003">
        <f>'Table 3 Levels 1&amp;2'!BN65+'Table 3 Levels 1&amp;2'!BV65</f>
        <v>4434.5516744018987</v>
      </c>
      <c r="E63" s="1102">
        <f t="shared" si="2"/>
        <v>0</v>
      </c>
      <c r="F63" s="1102">
        <f>'Table 4 Level 3'!N62</f>
        <v>764.51</v>
      </c>
      <c r="G63" s="1102">
        <f t="shared" si="3"/>
        <v>0</v>
      </c>
      <c r="H63" s="1059">
        <f t="shared" si="4"/>
        <v>0</v>
      </c>
      <c r="I63" s="1112">
        <f t="shared" si="5"/>
        <v>0</v>
      </c>
      <c r="J63" s="1059">
        <f t="shared" si="6"/>
        <v>0</v>
      </c>
      <c r="K63" s="1059">
        <v>0</v>
      </c>
      <c r="L63" s="1059">
        <f t="shared" si="7"/>
        <v>0</v>
      </c>
      <c r="M63" s="1059">
        <f t="shared" si="8"/>
        <v>0</v>
      </c>
      <c r="N63" s="1051">
        <f>'[18]FY2012-13 Final'!K64</f>
        <v>2987</v>
      </c>
      <c r="O63" s="1053">
        <f t="shared" si="9"/>
        <v>0</v>
      </c>
      <c r="P63" s="1118">
        <f t="shared" si="10"/>
        <v>0</v>
      </c>
      <c r="Q63" s="1053">
        <f t="shared" si="11"/>
        <v>0</v>
      </c>
      <c r="R63" s="1053">
        <v>0</v>
      </c>
      <c r="S63" s="1053">
        <f t="shared" si="12"/>
        <v>0</v>
      </c>
      <c r="T63" s="1053">
        <f t="shared" si="13"/>
        <v>0</v>
      </c>
      <c r="U63" s="1054">
        <f t="shared" si="14"/>
        <v>0</v>
      </c>
      <c r="V63" s="1054">
        <f t="shared" si="14"/>
        <v>0</v>
      </c>
    </row>
    <row r="64" spans="1:22">
      <c r="A64" s="994">
        <v>58</v>
      </c>
      <c r="B64" s="995" t="s">
        <v>151</v>
      </c>
      <c r="C64" s="1196">
        <f>'[2]ALL-Reformatted'!X63</f>
        <v>0</v>
      </c>
      <c r="D64" s="1003">
        <f>'Table 3 Levels 1&amp;2'!BN66+'Table 3 Levels 1&amp;2'!BV66</f>
        <v>5434.7170435013286</v>
      </c>
      <c r="E64" s="1102">
        <f t="shared" si="2"/>
        <v>0</v>
      </c>
      <c r="F64" s="1102">
        <f>'Table 4 Level 3'!N63</f>
        <v>697.04</v>
      </c>
      <c r="G64" s="1102">
        <f t="shared" si="3"/>
        <v>0</v>
      </c>
      <c r="H64" s="1059">
        <f t="shared" si="4"/>
        <v>0</v>
      </c>
      <c r="I64" s="1112">
        <f t="shared" si="5"/>
        <v>0</v>
      </c>
      <c r="J64" s="1059">
        <f t="shared" si="6"/>
        <v>0</v>
      </c>
      <c r="K64" s="1059">
        <v>0</v>
      </c>
      <c r="L64" s="1059">
        <f t="shared" si="7"/>
        <v>0</v>
      </c>
      <c r="M64" s="1059">
        <f t="shared" si="8"/>
        <v>0</v>
      </c>
      <c r="N64" s="1051">
        <f>'[18]FY2012-13 Final'!K65</f>
        <v>2055</v>
      </c>
      <c r="O64" s="1053">
        <f t="shared" si="9"/>
        <v>0</v>
      </c>
      <c r="P64" s="1118">
        <f t="shared" si="10"/>
        <v>0</v>
      </c>
      <c r="Q64" s="1053">
        <f t="shared" si="11"/>
        <v>0</v>
      </c>
      <c r="R64" s="1053">
        <v>0</v>
      </c>
      <c r="S64" s="1053">
        <f t="shared" si="12"/>
        <v>0</v>
      </c>
      <c r="T64" s="1053">
        <f t="shared" si="13"/>
        <v>0</v>
      </c>
      <c r="U64" s="1054">
        <f t="shared" si="14"/>
        <v>0</v>
      </c>
      <c r="V64" s="1054">
        <f t="shared" si="14"/>
        <v>0</v>
      </c>
    </row>
    <row r="65" spans="1:22">
      <c r="A65" s="994">
        <v>59</v>
      </c>
      <c r="B65" s="995" t="s">
        <v>152</v>
      </c>
      <c r="C65" s="1196">
        <f>'[2]ALL-Reformatted'!X64</f>
        <v>0</v>
      </c>
      <c r="D65" s="1003">
        <f>'Table 3 Levels 1&amp;2'!BN67+'Table 3 Levels 1&amp;2'!BV67</f>
        <v>6252.2385330184643</v>
      </c>
      <c r="E65" s="1102">
        <f t="shared" si="2"/>
        <v>0</v>
      </c>
      <c r="F65" s="1102">
        <f>'Table 4 Level 3'!N64</f>
        <v>689.52</v>
      </c>
      <c r="G65" s="1102">
        <f t="shared" si="3"/>
        <v>0</v>
      </c>
      <c r="H65" s="1059">
        <f t="shared" si="4"/>
        <v>0</v>
      </c>
      <c r="I65" s="1112">
        <f t="shared" si="5"/>
        <v>0</v>
      </c>
      <c r="J65" s="1059">
        <f t="shared" si="6"/>
        <v>0</v>
      </c>
      <c r="K65" s="1059">
        <v>0</v>
      </c>
      <c r="L65" s="1059">
        <f t="shared" si="7"/>
        <v>0</v>
      </c>
      <c r="M65" s="1059">
        <f t="shared" si="8"/>
        <v>0</v>
      </c>
      <c r="N65" s="1051">
        <f>'[18]FY2012-13 Final'!K66</f>
        <v>1528</v>
      </c>
      <c r="O65" s="1053">
        <f t="shared" si="9"/>
        <v>0</v>
      </c>
      <c r="P65" s="1118">
        <f t="shared" si="10"/>
        <v>0</v>
      </c>
      <c r="Q65" s="1053">
        <f t="shared" si="11"/>
        <v>0</v>
      </c>
      <c r="R65" s="1053">
        <v>0</v>
      </c>
      <c r="S65" s="1053">
        <f t="shared" si="12"/>
        <v>0</v>
      </c>
      <c r="T65" s="1053">
        <f t="shared" si="13"/>
        <v>0</v>
      </c>
      <c r="U65" s="1054">
        <f t="shared" si="14"/>
        <v>0</v>
      </c>
      <c r="V65" s="1054">
        <f t="shared" si="14"/>
        <v>0</v>
      </c>
    </row>
    <row r="66" spans="1:22">
      <c r="A66" s="998">
        <v>60</v>
      </c>
      <c r="B66" s="999" t="s">
        <v>153</v>
      </c>
      <c r="C66" s="1197">
        <f>'[2]ALL-Reformatted'!X65</f>
        <v>0</v>
      </c>
      <c r="D66" s="1005">
        <f>'Table 3 Levels 1&amp;2'!BN68+'Table 3 Levels 1&amp;2'!BV68</f>
        <v>4902.6575100268701</v>
      </c>
      <c r="E66" s="1103">
        <f t="shared" si="2"/>
        <v>0</v>
      </c>
      <c r="F66" s="1103">
        <f>'Table 4 Level 3'!N65</f>
        <v>594.04</v>
      </c>
      <c r="G66" s="1103">
        <f t="shared" si="3"/>
        <v>0</v>
      </c>
      <c r="H66" s="1060">
        <f t="shared" si="4"/>
        <v>0</v>
      </c>
      <c r="I66" s="1113">
        <f t="shared" si="5"/>
        <v>0</v>
      </c>
      <c r="J66" s="1060">
        <f t="shared" si="6"/>
        <v>0</v>
      </c>
      <c r="K66" s="1060">
        <v>0</v>
      </c>
      <c r="L66" s="1060">
        <f t="shared" si="7"/>
        <v>0</v>
      </c>
      <c r="M66" s="1060">
        <f t="shared" si="8"/>
        <v>0</v>
      </c>
      <c r="N66" s="1056">
        <f>'[18]FY2012-13 Final'!K67</f>
        <v>3918</v>
      </c>
      <c r="O66" s="1057">
        <f t="shared" si="9"/>
        <v>0</v>
      </c>
      <c r="P66" s="1119">
        <f t="shared" si="10"/>
        <v>0</v>
      </c>
      <c r="Q66" s="1057">
        <f t="shared" si="11"/>
        <v>0</v>
      </c>
      <c r="R66" s="1057">
        <v>0</v>
      </c>
      <c r="S66" s="1057">
        <f t="shared" si="12"/>
        <v>0</v>
      </c>
      <c r="T66" s="1057">
        <f t="shared" si="13"/>
        <v>0</v>
      </c>
      <c r="U66" s="1058">
        <f t="shared" si="14"/>
        <v>0</v>
      </c>
      <c r="V66" s="1058">
        <f t="shared" si="14"/>
        <v>0</v>
      </c>
    </row>
    <row r="67" spans="1:22">
      <c r="A67" s="987">
        <v>61</v>
      </c>
      <c r="B67" s="988" t="s">
        <v>154</v>
      </c>
      <c r="C67" s="1198">
        <f>'[2]ALL-Reformatted'!X66</f>
        <v>0</v>
      </c>
      <c r="D67" s="1007">
        <f>'Table 3 Levels 1&amp;2'!BN69+'Table 3 Levels 1&amp;2'!BV69</f>
        <v>2872.7719101339244</v>
      </c>
      <c r="E67" s="1104">
        <f t="shared" si="2"/>
        <v>0</v>
      </c>
      <c r="F67" s="1104">
        <f>'Table 4 Level 3'!N66</f>
        <v>833.70999999999992</v>
      </c>
      <c r="G67" s="1104">
        <f t="shared" si="3"/>
        <v>0</v>
      </c>
      <c r="H67" s="1061">
        <f t="shared" si="4"/>
        <v>0</v>
      </c>
      <c r="I67" s="1114">
        <f t="shared" si="5"/>
        <v>0</v>
      </c>
      <c r="J67" s="1061">
        <f t="shared" si="6"/>
        <v>0</v>
      </c>
      <c r="K67" s="1061">
        <v>0</v>
      </c>
      <c r="L67" s="1061">
        <f t="shared" si="7"/>
        <v>0</v>
      </c>
      <c r="M67" s="1061">
        <f t="shared" si="8"/>
        <v>0</v>
      </c>
      <c r="N67" s="1051">
        <f>'[18]FY2012-13 Final'!K68</f>
        <v>6680</v>
      </c>
      <c r="O67" s="992">
        <f t="shared" si="9"/>
        <v>0</v>
      </c>
      <c r="P67" s="1117">
        <f t="shared" si="10"/>
        <v>0</v>
      </c>
      <c r="Q67" s="992">
        <f t="shared" si="11"/>
        <v>0</v>
      </c>
      <c r="R67" s="992">
        <v>0</v>
      </c>
      <c r="S67" s="992">
        <f t="shared" si="12"/>
        <v>0</v>
      </c>
      <c r="T67" s="992">
        <f t="shared" si="13"/>
        <v>0</v>
      </c>
      <c r="U67" s="993">
        <f t="shared" si="14"/>
        <v>0</v>
      </c>
      <c r="V67" s="993">
        <f t="shared" si="14"/>
        <v>0</v>
      </c>
    </row>
    <row r="68" spans="1:22">
      <c r="A68" s="994">
        <v>62</v>
      </c>
      <c r="B68" s="995" t="s">
        <v>155</v>
      </c>
      <c r="C68" s="1196">
        <f>'[2]ALL-Reformatted'!X67</f>
        <v>0</v>
      </c>
      <c r="D68" s="1003">
        <f>'Table 3 Levels 1&amp;2'!BN70+'Table 3 Levels 1&amp;2'!BV70</f>
        <v>5594.25143978908</v>
      </c>
      <c r="E68" s="1102">
        <f t="shared" si="2"/>
        <v>0</v>
      </c>
      <c r="F68" s="1102">
        <f>'Table 4 Level 3'!N67</f>
        <v>516.08000000000004</v>
      </c>
      <c r="G68" s="1102">
        <f t="shared" si="3"/>
        <v>0</v>
      </c>
      <c r="H68" s="1059">
        <f t="shared" si="4"/>
        <v>0</v>
      </c>
      <c r="I68" s="1112">
        <f t="shared" si="5"/>
        <v>0</v>
      </c>
      <c r="J68" s="1059">
        <f t="shared" si="6"/>
        <v>0</v>
      </c>
      <c r="K68" s="1059">
        <v>0</v>
      </c>
      <c r="L68" s="1059">
        <f t="shared" si="7"/>
        <v>0</v>
      </c>
      <c r="M68" s="1059">
        <f t="shared" si="8"/>
        <v>0</v>
      </c>
      <c r="N68" s="1051">
        <f>'[18]FY2012-13 Final'!K69</f>
        <v>1754</v>
      </c>
      <c r="O68" s="1053">
        <f t="shared" si="9"/>
        <v>0</v>
      </c>
      <c r="P68" s="1118">
        <f t="shared" si="10"/>
        <v>0</v>
      </c>
      <c r="Q68" s="1053">
        <f t="shared" si="11"/>
        <v>0</v>
      </c>
      <c r="R68" s="1053">
        <v>0</v>
      </c>
      <c r="S68" s="1053">
        <f t="shared" si="12"/>
        <v>0</v>
      </c>
      <c r="T68" s="1053">
        <f t="shared" si="13"/>
        <v>0</v>
      </c>
      <c r="U68" s="1054">
        <f t="shared" si="14"/>
        <v>0</v>
      </c>
      <c r="V68" s="1054">
        <f t="shared" si="14"/>
        <v>0</v>
      </c>
    </row>
    <row r="69" spans="1:22">
      <c r="A69" s="994">
        <v>63</v>
      </c>
      <c r="B69" s="995" t="s">
        <v>156</v>
      </c>
      <c r="C69" s="1196">
        <f>'[2]ALL-Reformatted'!X68</f>
        <v>0</v>
      </c>
      <c r="D69" s="1003">
        <f>'Table 3 Levels 1&amp;2'!BN71+'Table 3 Levels 1&amp;2'!BV71</f>
        <v>4318.8609300898834</v>
      </c>
      <c r="E69" s="1102">
        <f t="shared" si="2"/>
        <v>0</v>
      </c>
      <c r="F69" s="1102">
        <f>'Table 4 Level 3'!N68</f>
        <v>756.79</v>
      </c>
      <c r="G69" s="1102">
        <f t="shared" si="3"/>
        <v>0</v>
      </c>
      <c r="H69" s="1059">
        <f t="shared" si="4"/>
        <v>0</v>
      </c>
      <c r="I69" s="1112">
        <f t="shared" si="5"/>
        <v>0</v>
      </c>
      <c r="J69" s="1059">
        <f t="shared" si="6"/>
        <v>0</v>
      </c>
      <c r="K69" s="1059">
        <v>0</v>
      </c>
      <c r="L69" s="1059">
        <f t="shared" si="7"/>
        <v>0</v>
      </c>
      <c r="M69" s="1059">
        <f t="shared" si="8"/>
        <v>0</v>
      </c>
      <c r="N69" s="1051">
        <f>'[18]FY2012-13 Final'!K70</f>
        <v>7182</v>
      </c>
      <c r="O69" s="1053">
        <f t="shared" si="9"/>
        <v>0</v>
      </c>
      <c r="P69" s="1118">
        <f t="shared" si="10"/>
        <v>0</v>
      </c>
      <c r="Q69" s="1053">
        <f t="shared" si="11"/>
        <v>0</v>
      </c>
      <c r="R69" s="1053">
        <v>0</v>
      </c>
      <c r="S69" s="1053">
        <f t="shared" si="12"/>
        <v>0</v>
      </c>
      <c r="T69" s="1053">
        <f t="shared" si="13"/>
        <v>0</v>
      </c>
      <c r="U69" s="1054">
        <f t="shared" si="14"/>
        <v>0</v>
      </c>
      <c r="V69" s="1054">
        <f t="shared" si="14"/>
        <v>0</v>
      </c>
    </row>
    <row r="70" spans="1:22">
      <c r="A70" s="994">
        <v>64</v>
      </c>
      <c r="B70" s="995" t="s">
        <v>157</v>
      </c>
      <c r="C70" s="1196">
        <f>'[2]ALL-Reformatted'!X69</f>
        <v>0</v>
      </c>
      <c r="D70" s="1003">
        <f>'Table 3 Levels 1&amp;2'!BN72+'Table 3 Levels 1&amp;2'!BV72</f>
        <v>5921.7418933384488</v>
      </c>
      <c r="E70" s="1102">
        <f t="shared" si="2"/>
        <v>0</v>
      </c>
      <c r="F70" s="1102">
        <f>'Table 4 Level 3'!N69</f>
        <v>592.66</v>
      </c>
      <c r="G70" s="1102">
        <f t="shared" si="3"/>
        <v>0</v>
      </c>
      <c r="H70" s="1059">
        <f t="shared" si="4"/>
        <v>0</v>
      </c>
      <c r="I70" s="1112">
        <f t="shared" si="5"/>
        <v>0</v>
      </c>
      <c r="J70" s="1059">
        <f t="shared" si="6"/>
        <v>0</v>
      </c>
      <c r="K70" s="1059">
        <v>0</v>
      </c>
      <c r="L70" s="1059">
        <f t="shared" si="7"/>
        <v>0</v>
      </c>
      <c r="M70" s="1059">
        <f t="shared" si="8"/>
        <v>0</v>
      </c>
      <c r="N70" s="1051">
        <f>'[18]FY2012-13 Final'!K71</f>
        <v>2701</v>
      </c>
      <c r="O70" s="1053">
        <f t="shared" si="9"/>
        <v>0</v>
      </c>
      <c r="P70" s="1118">
        <f t="shared" si="10"/>
        <v>0</v>
      </c>
      <c r="Q70" s="1053">
        <f t="shared" si="11"/>
        <v>0</v>
      </c>
      <c r="R70" s="1053">
        <v>0</v>
      </c>
      <c r="S70" s="1053">
        <f t="shared" si="12"/>
        <v>0</v>
      </c>
      <c r="T70" s="1053">
        <f t="shared" si="13"/>
        <v>0</v>
      </c>
      <c r="U70" s="1054">
        <f t="shared" si="14"/>
        <v>0</v>
      </c>
      <c r="V70" s="1054">
        <f t="shared" si="14"/>
        <v>0</v>
      </c>
    </row>
    <row r="71" spans="1:22">
      <c r="A71" s="998">
        <v>65</v>
      </c>
      <c r="B71" s="999" t="s">
        <v>158</v>
      </c>
      <c r="C71" s="1197">
        <f>'[2]ALL-Reformatted'!X70</f>
        <v>0</v>
      </c>
      <c r="D71" s="1005">
        <f>'Table 3 Levels 1&amp;2'!BN73+'Table 3 Levels 1&amp;2'!BV73</f>
        <v>4578.9201269671275</v>
      </c>
      <c r="E71" s="1103">
        <f t="shared" si="2"/>
        <v>0</v>
      </c>
      <c r="F71" s="1103">
        <f>'Table 4 Level 3'!N70</f>
        <v>829.12</v>
      </c>
      <c r="G71" s="1103">
        <f t="shared" si="3"/>
        <v>0</v>
      </c>
      <c r="H71" s="1060">
        <f t="shared" si="4"/>
        <v>0</v>
      </c>
      <c r="I71" s="1113">
        <f t="shared" si="5"/>
        <v>0</v>
      </c>
      <c r="J71" s="1060">
        <f t="shared" si="6"/>
        <v>0</v>
      </c>
      <c r="K71" s="1060">
        <v>0</v>
      </c>
      <c r="L71" s="1060">
        <f t="shared" si="7"/>
        <v>0</v>
      </c>
      <c r="M71" s="1060">
        <f t="shared" si="8"/>
        <v>0</v>
      </c>
      <c r="N71" s="1056">
        <f>'[18]FY2012-13 Final'!K72</f>
        <v>4813</v>
      </c>
      <c r="O71" s="1057">
        <f t="shared" si="9"/>
        <v>0</v>
      </c>
      <c r="P71" s="1119">
        <f t="shared" si="10"/>
        <v>0</v>
      </c>
      <c r="Q71" s="1057">
        <f t="shared" si="11"/>
        <v>0</v>
      </c>
      <c r="R71" s="1057">
        <v>0</v>
      </c>
      <c r="S71" s="1057">
        <f t="shared" si="12"/>
        <v>0</v>
      </c>
      <c r="T71" s="1057">
        <f t="shared" si="13"/>
        <v>0</v>
      </c>
      <c r="U71" s="1058">
        <f t="shared" si="14"/>
        <v>0</v>
      </c>
      <c r="V71" s="1058">
        <f t="shared" si="14"/>
        <v>0</v>
      </c>
    </row>
    <row r="72" spans="1:22">
      <c r="A72" s="987">
        <v>66</v>
      </c>
      <c r="B72" s="988" t="s">
        <v>159</v>
      </c>
      <c r="C72" s="1198">
        <f>'[2]ALL-Reformatted'!X71</f>
        <v>0</v>
      </c>
      <c r="D72" s="1007">
        <f>'Table 3 Levels 1&amp;2'!BN74+'Table 3 Levels 1&amp;2'!BV74</f>
        <v>6340.8763293271122</v>
      </c>
      <c r="E72" s="1104">
        <f t="shared" ref="E72:E75" si="15">C72*D72</f>
        <v>0</v>
      </c>
      <c r="F72" s="1104">
        <f>'Table 4 Level 3'!N71</f>
        <v>730.06</v>
      </c>
      <c r="G72" s="1104">
        <f t="shared" ref="G72:G75" si="16">C72*F72</f>
        <v>0</v>
      </c>
      <c r="H72" s="1061">
        <f t="shared" ref="H72:H75" si="17">E72+G72</f>
        <v>0</v>
      </c>
      <c r="I72" s="1114">
        <f t="shared" ref="I72:I75" si="18">-(0.25%*H72)</f>
        <v>0</v>
      </c>
      <c r="J72" s="1061">
        <f t="shared" ref="J72:J75" si="19">SUM(H72:I72)</f>
        <v>0</v>
      </c>
      <c r="K72" s="1061">
        <v>0</v>
      </c>
      <c r="L72" s="1061">
        <f t="shared" ref="L72:L75" si="20">SUM(J72:K72)</f>
        <v>0</v>
      </c>
      <c r="M72" s="1061">
        <f t="shared" ref="M72:M75" si="21">L72/12</f>
        <v>0</v>
      </c>
      <c r="N72" s="1051">
        <f>'[18]FY2012-13 Final'!K73</f>
        <v>3516</v>
      </c>
      <c r="O72" s="992">
        <f t="shared" ref="O72:O75" si="22">C72*N72</f>
        <v>0</v>
      </c>
      <c r="P72" s="1117">
        <f t="shared" ref="P72:P75" si="23">-(0.25%*O72)</f>
        <v>0</v>
      </c>
      <c r="Q72" s="992">
        <f t="shared" ref="Q72:Q75" si="24">SUM(O72:P72)</f>
        <v>0</v>
      </c>
      <c r="R72" s="992">
        <v>0</v>
      </c>
      <c r="S72" s="992">
        <f t="shared" ref="S72:S75" si="25">SUM(Q72:R72)</f>
        <v>0</v>
      </c>
      <c r="T72" s="992">
        <f t="shared" ref="T72:T75" si="26">S72/12</f>
        <v>0</v>
      </c>
      <c r="U72" s="993">
        <f t="shared" ref="U72:V75" si="27">L72+S72</f>
        <v>0</v>
      </c>
      <c r="V72" s="993">
        <f t="shared" si="27"/>
        <v>0</v>
      </c>
    </row>
    <row r="73" spans="1:22">
      <c r="A73" s="994">
        <v>67</v>
      </c>
      <c r="B73" s="995" t="s">
        <v>32</v>
      </c>
      <c r="C73" s="1196">
        <f>'[2]ALL-Reformatted'!X72</f>
        <v>0</v>
      </c>
      <c r="D73" s="1003">
        <f>'Table 3 Levels 1&amp;2'!BN75+'Table 3 Levels 1&amp;2'!BV75</f>
        <v>4984.1100297034172</v>
      </c>
      <c r="E73" s="1102">
        <f t="shared" si="15"/>
        <v>0</v>
      </c>
      <c r="F73" s="1102">
        <f>'Table 4 Level 3'!N72</f>
        <v>715.61</v>
      </c>
      <c r="G73" s="1102">
        <f t="shared" si="16"/>
        <v>0</v>
      </c>
      <c r="H73" s="1059">
        <f t="shared" si="17"/>
        <v>0</v>
      </c>
      <c r="I73" s="1112">
        <f t="shared" si="18"/>
        <v>0</v>
      </c>
      <c r="J73" s="1059">
        <f t="shared" si="19"/>
        <v>0</v>
      </c>
      <c r="K73" s="1059">
        <v>0</v>
      </c>
      <c r="L73" s="1059">
        <f t="shared" si="20"/>
        <v>0</v>
      </c>
      <c r="M73" s="1059">
        <f t="shared" si="21"/>
        <v>0</v>
      </c>
      <c r="N73" s="1051">
        <f>'[18]FY2012-13 Final'!K74</f>
        <v>5052</v>
      </c>
      <c r="O73" s="1053">
        <f t="shared" si="22"/>
        <v>0</v>
      </c>
      <c r="P73" s="1118">
        <f t="shared" si="23"/>
        <v>0</v>
      </c>
      <c r="Q73" s="1053">
        <f t="shared" si="24"/>
        <v>0</v>
      </c>
      <c r="R73" s="1053">
        <v>0</v>
      </c>
      <c r="S73" s="1053">
        <f t="shared" si="25"/>
        <v>0</v>
      </c>
      <c r="T73" s="1053">
        <f t="shared" si="26"/>
        <v>0</v>
      </c>
      <c r="U73" s="1054">
        <f t="shared" si="27"/>
        <v>0</v>
      </c>
      <c r="V73" s="1054">
        <f t="shared" si="27"/>
        <v>0</v>
      </c>
    </row>
    <row r="74" spans="1:22">
      <c r="A74" s="994">
        <v>68</v>
      </c>
      <c r="B74" s="995" t="s">
        <v>30</v>
      </c>
      <c r="C74" s="1196">
        <f>'[2]ALL-Reformatted'!X73</f>
        <v>0</v>
      </c>
      <c r="D74" s="1003">
        <f>'Table 3 Levels 1&amp;2'!BN76+'Table 3 Levels 1&amp;2'!BV76</f>
        <v>6012.7854305239725</v>
      </c>
      <c r="E74" s="1102">
        <f t="shared" si="15"/>
        <v>0</v>
      </c>
      <c r="F74" s="1102">
        <f>'Table 4 Level 3'!N73</f>
        <v>798.7</v>
      </c>
      <c r="G74" s="1102">
        <f t="shared" si="16"/>
        <v>0</v>
      </c>
      <c r="H74" s="1059">
        <f t="shared" si="17"/>
        <v>0</v>
      </c>
      <c r="I74" s="1112">
        <f t="shared" si="18"/>
        <v>0</v>
      </c>
      <c r="J74" s="1059">
        <f t="shared" si="19"/>
        <v>0</v>
      </c>
      <c r="K74" s="1059">
        <v>0</v>
      </c>
      <c r="L74" s="1059">
        <f t="shared" si="20"/>
        <v>0</v>
      </c>
      <c r="M74" s="1059">
        <f t="shared" si="21"/>
        <v>0</v>
      </c>
      <c r="N74" s="1051">
        <f>'[18]FY2012-13 Final'!K75</f>
        <v>2763</v>
      </c>
      <c r="O74" s="1053">
        <f t="shared" si="22"/>
        <v>0</v>
      </c>
      <c r="P74" s="1118">
        <f t="shared" si="23"/>
        <v>0</v>
      </c>
      <c r="Q74" s="1053">
        <f t="shared" si="24"/>
        <v>0</v>
      </c>
      <c r="R74" s="1053">
        <v>0</v>
      </c>
      <c r="S74" s="1053">
        <f t="shared" si="25"/>
        <v>0</v>
      </c>
      <c r="T74" s="1053">
        <f t="shared" si="26"/>
        <v>0</v>
      </c>
      <c r="U74" s="1054">
        <f t="shared" si="27"/>
        <v>0</v>
      </c>
      <c r="V74" s="1054">
        <f t="shared" si="27"/>
        <v>0</v>
      </c>
    </row>
    <row r="75" spans="1:22">
      <c r="A75" s="1008">
        <v>69</v>
      </c>
      <c r="B75" s="1009" t="s">
        <v>213</v>
      </c>
      <c r="C75" s="1199">
        <f>'[2]ALL-Reformatted'!X74</f>
        <v>0</v>
      </c>
      <c r="D75" s="1011">
        <f>'Table 3 Levels 1&amp;2'!BN77+'Table 3 Levels 1&amp;2'!BV77</f>
        <v>5559.7139008686299</v>
      </c>
      <c r="E75" s="1105">
        <f t="shared" si="15"/>
        <v>0</v>
      </c>
      <c r="F75" s="1105">
        <f>'Table 4 Level 3'!N74</f>
        <v>705.67</v>
      </c>
      <c r="G75" s="1105">
        <f t="shared" si="16"/>
        <v>0</v>
      </c>
      <c r="H75" s="1062">
        <f t="shared" si="17"/>
        <v>0</v>
      </c>
      <c r="I75" s="1115">
        <f t="shared" si="18"/>
        <v>0</v>
      </c>
      <c r="J75" s="1062">
        <f t="shared" si="19"/>
        <v>0</v>
      </c>
      <c r="K75" s="1062">
        <v>0</v>
      </c>
      <c r="L75" s="1062">
        <f t="shared" si="20"/>
        <v>0</v>
      </c>
      <c r="M75" s="1062">
        <f t="shared" si="21"/>
        <v>0</v>
      </c>
      <c r="N75" s="1051">
        <f>'[18]FY2012-13 Final'!K76</f>
        <v>3327</v>
      </c>
      <c r="O75" s="1063">
        <f t="shared" si="22"/>
        <v>0</v>
      </c>
      <c r="P75" s="1120">
        <f t="shared" si="23"/>
        <v>0</v>
      </c>
      <c r="Q75" s="1063">
        <f t="shared" si="24"/>
        <v>0</v>
      </c>
      <c r="R75" s="1063">
        <v>0</v>
      </c>
      <c r="S75" s="1063">
        <f t="shared" si="25"/>
        <v>0</v>
      </c>
      <c r="T75" s="1063">
        <f t="shared" si="26"/>
        <v>0</v>
      </c>
      <c r="U75" s="1064">
        <f t="shared" si="27"/>
        <v>0</v>
      </c>
      <c r="V75" s="1064">
        <f t="shared" si="27"/>
        <v>0</v>
      </c>
    </row>
    <row r="76" spans="1:22" ht="13.5" thickBot="1">
      <c r="A76" s="1012"/>
      <c r="B76" s="1013" t="s">
        <v>160</v>
      </c>
      <c r="C76" s="1014">
        <f>SUM(C7:C75)</f>
        <v>168</v>
      </c>
      <c r="D76" s="1015"/>
      <c r="E76" s="1106">
        <f>SUM(E7:E75)</f>
        <v>803045.38857347181</v>
      </c>
      <c r="F76" s="1106">
        <f>'Table 4 Level 3'!N75</f>
        <v>703.90028204588873</v>
      </c>
      <c r="G76" s="1106">
        <f t="shared" ref="G76:L76" si="28">SUM(G7:G75)</f>
        <v>96625.87999999999</v>
      </c>
      <c r="H76" s="1016">
        <f t="shared" si="28"/>
        <v>899671.26857347181</v>
      </c>
      <c r="I76" s="1116">
        <f t="shared" si="28"/>
        <v>-2249.1781714336798</v>
      </c>
      <c r="J76" s="1016">
        <f t="shared" si="28"/>
        <v>897422.09040203807</v>
      </c>
      <c r="K76" s="1016">
        <f t="shared" si="28"/>
        <v>0</v>
      </c>
      <c r="L76" s="1016">
        <f t="shared" si="28"/>
        <v>897422.09040203807</v>
      </c>
      <c r="M76" s="1016">
        <f>SUM(M7:M75)</f>
        <v>74785.174200169844</v>
      </c>
      <c r="N76" s="1065"/>
      <c r="O76" s="1017">
        <f t="shared" ref="O76:V76" si="29">SUM(O7:O75)</f>
        <v>395268</v>
      </c>
      <c r="P76" s="1121">
        <f t="shared" si="29"/>
        <v>-988.17000000000007</v>
      </c>
      <c r="Q76" s="1017">
        <f t="shared" si="29"/>
        <v>394279.83</v>
      </c>
      <c r="R76" s="1017">
        <f t="shared" si="29"/>
        <v>0</v>
      </c>
      <c r="S76" s="1017">
        <f t="shared" si="29"/>
        <v>394279.83</v>
      </c>
      <c r="T76" s="1017">
        <f t="shared" si="29"/>
        <v>32856.652500000004</v>
      </c>
      <c r="U76" s="1018">
        <f t="shared" si="29"/>
        <v>1291701.9204020381</v>
      </c>
      <c r="V76" s="1018">
        <f t="shared" si="29"/>
        <v>107641.82670016986</v>
      </c>
    </row>
    <row r="77" spans="1:22" ht="13.5" thickTop="1"/>
  </sheetData>
  <mergeCells count="19">
    <mergeCell ref="U2:U4"/>
    <mergeCell ref="V2:V4"/>
    <mergeCell ref="C3:C4"/>
    <mergeCell ref="D3:D4"/>
    <mergeCell ref="E3:E4"/>
    <mergeCell ref="F3:F4"/>
    <mergeCell ref="G3:G4"/>
    <mergeCell ref="Q3:Q4"/>
    <mergeCell ref="R3:R4"/>
    <mergeCell ref="S3:S4"/>
    <mergeCell ref="H3:H4"/>
    <mergeCell ref="J3:J4"/>
    <mergeCell ref="K3:K4"/>
    <mergeCell ref="L3:L4"/>
    <mergeCell ref="M3:M4"/>
    <mergeCell ref="N3:N4"/>
    <mergeCell ref="A2:B4"/>
    <mergeCell ref="C2:M2"/>
    <mergeCell ref="N2:T2"/>
  </mergeCells>
  <pageMargins left="0.36" right="0.42" top="0.75" bottom="0.75" header="0.3" footer="0.3"/>
  <pageSetup paperSize="5" scale="60" firstPageNumber="72" orientation="portrait" useFirstPageNumber="1" r:id="rId1"/>
  <headerFooter>
    <oddHeader>&amp;L&amp;"Arial,Bold"&amp;20Table 5C1-G: FY2013-14 MFP Budget Letter (Projection)
J.S. Clark Leadership  Academy</oddHeader>
    <oddFooter>&amp;R&amp;P</oddFooter>
  </headerFooter>
  <colBreaks count="1" manualBreakCount="1">
    <brk id="13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7"/>
  <sheetViews>
    <sheetView view="pageBreakPreview" zoomScaleNormal="100" zoomScaleSheetLayoutView="100" workbookViewId="0">
      <pane xSplit="2" ySplit="6" topLeftCell="C7" activePane="bottomRight" state="frozen"/>
      <selection activeCell="A2" sqref="A2:B4"/>
      <selection pane="topRight" activeCell="A2" sqref="A2:B4"/>
      <selection pane="bottomLeft" activeCell="A2" sqref="A2:B4"/>
      <selection pane="bottomRight" activeCell="A2" sqref="A2:B4"/>
    </sheetView>
  </sheetViews>
  <sheetFormatPr defaultRowHeight="12.75"/>
  <cols>
    <col min="1" max="1" width="4.28515625" customWidth="1"/>
    <col min="2" max="2" width="17.85546875" bestFit="1" customWidth="1"/>
    <col min="3" max="3" width="12.5703125" customWidth="1"/>
    <col min="4" max="4" width="17" customWidth="1"/>
    <col min="5" max="5" width="11.140625" customWidth="1"/>
    <col min="6" max="6" width="12" customWidth="1"/>
    <col min="7" max="7" width="13.28515625" customWidth="1"/>
    <col min="8" max="8" width="14.5703125" customWidth="1"/>
    <col min="9" max="9" width="12.28515625" customWidth="1"/>
    <col min="10" max="10" width="12" bestFit="1" customWidth="1"/>
    <col min="11" max="11" width="13.42578125" bestFit="1" customWidth="1"/>
    <col min="12" max="12" width="14" customWidth="1"/>
    <col min="13" max="13" width="9.28515625" bestFit="1" customWidth="1"/>
    <col min="14" max="14" width="17.28515625" customWidth="1"/>
    <col min="15" max="15" width="16.7109375" customWidth="1"/>
    <col min="16" max="16" width="13.7109375" customWidth="1"/>
    <col min="17" max="17" width="17" customWidth="1"/>
    <col min="18" max="18" width="15.28515625" customWidth="1"/>
    <col min="19" max="19" width="13.140625" customWidth="1"/>
    <col min="20" max="20" width="12" customWidth="1"/>
    <col min="21" max="21" width="11" customWidth="1"/>
    <col min="22" max="22" width="12.140625" customWidth="1"/>
  </cols>
  <sheetData>
    <row r="1" spans="1:22"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</row>
    <row r="2" spans="1:22" ht="45" customHeight="1">
      <c r="A2" s="2059" t="s">
        <v>683</v>
      </c>
      <c r="B2" s="2060"/>
      <c r="C2" s="2065" t="s">
        <v>1394</v>
      </c>
      <c r="D2" s="2017"/>
      <c r="E2" s="2017"/>
      <c r="F2" s="2017"/>
      <c r="G2" s="2017"/>
      <c r="H2" s="2017"/>
      <c r="I2" s="2017"/>
      <c r="J2" s="2017"/>
      <c r="K2" s="2017"/>
      <c r="L2" s="2017"/>
      <c r="M2" s="2018"/>
      <c r="N2" s="1992" t="s">
        <v>1357</v>
      </c>
      <c r="O2" s="1993"/>
      <c r="P2" s="1993"/>
      <c r="Q2" s="1993"/>
      <c r="R2" s="1993"/>
      <c r="S2" s="1993"/>
      <c r="T2" s="1994"/>
      <c r="U2" s="1995" t="s">
        <v>1403</v>
      </c>
      <c r="V2" s="1995" t="s">
        <v>1355</v>
      </c>
    </row>
    <row r="3" spans="1:22" ht="119.25" customHeight="1">
      <c r="A3" s="2061"/>
      <c r="B3" s="2062"/>
      <c r="C3" s="2006" t="s">
        <v>1175</v>
      </c>
      <c r="D3" s="2008" t="s">
        <v>1393</v>
      </c>
      <c r="E3" s="2008" t="s">
        <v>1395</v>
      </c>
      <c r="F3" s="2006" t="s">
        <v>662</v>
      </c>
      <c r="G3" s="2006" t="s">
        <v>492</v>
      </c>
      <c r="H3" s="2006" t="s">
        <v>1396</v>
      </c>
      <c r="I3" s="1227" t="s">
        <v>510</v>
      </c>
      <c r="J3" s="2006" t="s">
        <v>1397</v>
      </c>
      <c r="K3" s="2006" t="s">
        <v>1230</v>
      </c>
      <c r="L3" s="2006" t="s">
        <v>1398</v>
      </c>
      <c r="M3" s="2008" t="s">
        <v>1356</v>
      </c>
      <c r="N3" s="2019" t="s">
        <v>694</v>
      </c>
      <c r="O3" s="1743" t="s">
        <v>1399</v>
      </c>
      <c r="P3" s="1229" t="s">
        <v>512</v>
      </c>
      <c r="Q3" s="2019" t="s">
        <v>1400</v>
      </c>
      <c r="R3" s="2019" t="s">
        <v>1230</v>
      </c>
      <c r="S3" s="2019" t="s">
        <v>1401</v>
      </c>
      <c r="T3" s="1743" t="s">
        <v>1402</v>
      </c>
      <c r="U3" s="1996"/>
      <c r="V3" s="1996"/>
    </row>
    <row r="4" spans="1:22" ht="22.5" customHeight="1">
      <c r="A4" s="2063"/>
      <c r="B4" s="2064"/>
      <c r="C4" s="2007"/>
      <c r="D4" s="2008"/>
      <c r="E4" s="2008"/>
      <c r="F4" s="2007"/>
      <c r="G4" s="2007"/>
      <c r="H4" s="2007"/>
      <c r="I4" s="1107">
        <v>2.5000000000000001E-3</v>
      </c>
      <c r="J4" s="2007"/>
      <c r="K4" s="2007"/>
      <c r="L4" s="2007"/>
      <c r="M4" s="2008"/>
      <c r="N4" s="1999"/>
      <c r="O4" s="1228"/>
      <c r="P4" s="1108">
        <v>2.5000000000000001E-3</v>
      </c>
      <c r="Q4" s="1999"/>
      <c r="R4" s="1999"/>
      <c r="S4" s="1999"/>
      <c r="T4" s="1228"/>
      <c r="U4" s="1997"/>
      <c r="V4" s="1997"/>
    </row>
    <row r="5" spans="1:22" ht="14.25" customHeight="1">
      <c r="A5" s="978"/>
      <c r="B5" s="979"/>
      <c r="C5" s="980">
        <v>1</v>
      </c>
      <c r="D5" s="980">
        <f t="shared" ref="D5" si="0">C5+1</f>
        <v>2</v>
      </c>
      <c r="E5" s="980">
        <f>D5+1</f>
        <v>3</v>
      </c>
      <c r="F5" s="980">
        <f t="shared" ref="F5:V5" si="1">E5+1</f>
        <v>4</v>
      </c>
      <c r="G5" s="980">
        <f t="shared" si="1"/>
        <v>5</v>
      </c>
      <c r="H5" s="980">
        <f t="shared" si="1"/>
        <v>6</v>
      </c>
      <c r="I5" s="980">
        <f t="shared" si="1"/>
        <v>7</v>
      </c>
      <c r="J5" s="980">
        <f t="shared" si="1"/>
        <v>8</v>
      </c>
      <c r="K5" s="980">
        <f t="shared" si="1"/>
        <v>9</v>
      </c>
      <c r="L5" s="980">
        <f t="shared" si="1"/>
        <v>10</v>
      </c>
      <c r="M5" s="980">
        <f t="shared" si="1"/>
        <v>11</v>
      </c>
      <c r="N5" s="980">
        <f t="shared" si="1"/>
        <v>12</v>
      </c>
      <c r="O5" s="980">
        <f t="shared" si="1"/>
        <v>13</v>
      </c>
      <c r="P5" s="980">
        <f t="shared" si="1"/>
        <v>14</v>
      </c>
      <c r="Q5" s="980">
        <f t="shared" si="1"/>
        <v>15</v>
      </c>
      <c r="R5" s="980">
        <f t="shared" si="1"/>
        <v>16</v>
      </c>
      <c r="S5" s="980">
        <f t="shared" si="1"/>
        <v>17</v>
      </c>
      <c r="T5" s="980">
        <f t="shared" si="1"/>
        <v>18</v>
      </c>
      <c r="U5" s="980">
        <f t="shared" si="1"/>
        <v>19</v>
      </c>
      <c r="V5" s="980">
        <f t="shared" si="1"/>
        <v>20</v>
      </c>
    </row>
    <row r="6" spans="1:22" ht="27" customHeight="1">
      <c r="A6" s="1041"/>
      <c r="B6" s="1042"/>
      <c r="C6" s="1042"/>
      <c r="D6" s="1042"/>
      <c r="E6" s="1042"/>
      <c r="F6" s="1042"/>
      <c r="G6" s="1042"/>
      <c r="H6" s="1042"/>
      <c r="I6" s="1042"/>
      <c r="J6" s="1042"/>
      <c r="K6" s="1042"/>
      <c r="L6" s="1042"/>
      <c r="M6" s="1042"/>
      <c r="N6" s="1042"/>
      <c r="O6" s="1042"/>
      <c r="P6" s="1042"/>
      <c r="Q6" s="1042"/>
      <c r="R6" s="1042"/>
      <c r="S6" s="1042"/>
      <c r="T6" s="1042"/>
      <c r="U6" s="1042"/>
      <c r="V6" s="1042"/>
    </row>
    <row r="7" spans="1:22">
      <c r="A7" s="987">
        <v>1</v>
      </c>
      <c r="B7" s="988" t="s">
        <v>95</v>
      </c>
      <c r="C7" s="989">
        <f>'[2]ALL-Reformatted'!O6</f>
        <v>0</v>
      </c>
      <c r="D7" s="990">
        <f>'Table 3 Levels 1&amp;2'!BN9+'Table 3 Levels 1&amp;2'!BV9</f>
        <v>4565.2108060165392</v>
      </c>
      <c r="E7" s="1099">
        <f>C7*D7</f>
        <v>0</v>
      </c>
      <c r="F7" s="1099">
        <f>'Table 4 Level 3'!N6</f>
        <v>777.48</v>
      </c>
      <c r="G7" s="1099">
        <f>C7*F7</f>
        <v>0</v>
      </c>
      <c r="H7" s="991">
        <f>E7+G7</f>
        <v>0</v>
      </c>
      <c r="I7" s="1109">
        <f>-(0.25%*H7)</f>
        <v>0</v>
      </c>
      <c r="J7" s="991">
        <f>SUM(H7:I7)</f>
        <v>0</v>
      </c>
      <c r="K7" s="991">
        <v>0</v>
      </c>
      <c r="L7" s="991">
        <f>SUM(J7:K7)</f>
        <v>0</v>
      </c>
      <c r="M7" s="991">
        <f>L7/12</f>
        <v>0</v>
      </c>
      <c r="N7" s="1051">
        <f>'[18]FY2012-13 Final'!K8</f>
        <v>2112</v>
      </c>
      <c r="O7" s="992">
        <f>C7*N7</f>
        <v>0</v>
      </c>
      <c r="P7" s="1117">
        <f>-(0.25%*O7)</f>
        <v>0</v>
      </c>
      <c r="Q7" s="992">
        <f>SUM(O7:P7)</f>
        <v>0</v>
      </c>
      <c r="R7" s="992">
        <v>0</v>
      </c>
      <c r="S7" s="992">
        <f>SUM(Q7:R7)</f>
        <v>0</v>
      </c>
      <c r="T7" s="992">
        <f>S7/12</f>
        <v>0</v>
      </c>
      <c r="U7" s="993">
        <f>L7+S7</f>
        <v>0</v>
      </c>
      <c r="V7" s="993">
        <f>M7+T7</f>
        <v>0</v>
      </c>
    </row>
    <row r="8" spans="1:22">
      <c r="A8" s="994">
        <v>2</v>
      </c>
      <c r="B8" s="995" t="s">
        <v>96</v>
      </c>
      <c r="C8" s="1193">
        <f>'[2]ALL-Reformatted'!O7</f>
        <v>0</v>
      </c>
      <c r="D8" s="997">
        <f>'Table 3 Levels 1&amp;2'!BN10+'Table 3 Levels 1&amp;2'!BV10</f>
        <v>6132.0480322513831</v>
      </c>
      <c r="E8" s="1100">
        <f t="shared" ref="E8:E71" si="2">C8*D8</f>
        <v>0</v>
      </c>
      <c r="F8" s="1100">
        <f>'Table 4 Level 3'!N7</f>
        <v>842.32</v>
      </c>
      <c r="G8" s="1100">
        <f t="shared" ref="G8:G71" si="3">C8*F8</f>
        <v>0</v>
      </c>
      <c r="H8" s="1052">
        <f t="shared" ref="H8:H71" si="4">E8+G8</f>
        <v>0</v>
      </c>
      <c r="I8" s="1110">
        <f t="shared" ref="I8:I71" si="5">-(0.25%*H8)</f>
        <v>0</v>
      </c>
      <c r="J8" s="1052">
        <f t="shared" ref="J8:J71" si="6">SUM(H8:I8)</f>
        <v>0</v>
      </c>
      <c r="K8" s="1052">
        <v>0</v>
      </c>
      <c r="L8" s="1052">
        <f t="shared" ref="L8:L71" si="7">SUM(J8:K8)</f>
        <v>0</v>
      </c>
      <c r="M8" s="1052">
        <f t="shared" ref="M8:M71" si="8">L8/12</f>
        <v>0</v>
      </c>
      <c r="N8" s="1051">
        <f>'[18]FY2012-13 Final'!K9</f>
        <v>2584</v>
      </c>
      <c r="O8" s="1053">
        <f t="shared" ref="O8:O71" si="9">C8*N8</f>
        <v>0</v>
      </c>
      <c r="P8" s="1118">
        <f t="shared" ref="P8:P71" si="10">-(0.25%*O8)</f>
        <v>0</v>
      </c>
      <c r="Q8" s="1053">
        <f t="shared" ref="Q8:Q71" si="11">SUM(O8:P8)</f>
        <v>0</v>
      </c>
      <c r="R8" s="1053">
        <v>0</v>
      </c>
      <c r="S8" s="1053">
        <f t="shared" ref="S8:S71" si="12">SUM(Q8:R8)</f>
        <v>0</v>
      </c>
      <c r="T8" s="1053">
        <f t="shared" ref="T8:T71" si="13">S8/12</f>
        <v>0</v>
      </c>
      <c r="U8" s="1054">
        <f t="shared" ref="U8:V71" si="14">L8+S8</f>
        <v>0</v>
      </c>
      <c r="V8" s="1054">
        <f t="shared" si="14"/>
        <v>0</v>
      </c>
    </row>
    <row r="9" spans="1:22">
      <c r="A9" s="994">
        <v>3</v>
      </c>
      <c r="B9" s="995" t="s">
        <v>97</v>
      </c>
      <c r="C9" s="1193">
        <f>'[2]ALL-Reformatted'!O8</f>
        <v>0</v>
      </c>
      <c r="D9" s="997">
        <f>'Table 3 Levels 1&amp;2'!BN11+'Table 3 Levels 1&amp;2'!BV11</f>
        <v>4186.9626187036429</v>
      </c>
      <c r="E9" s="1100">
        <f t="shared" si="2"/>
        <v>0</v>
      </c>
      <c r="F9" s="1100">
        <f>'Table 4 Level 3'!N8</f>
        <v>596.84</v>
      </c>
      <c r="G9" s="1100">
        <f t="shared" si="3"/>
        <v>0</v>
      </c>
      <c r="H9" s="1052">
        <f t="shared" si="4"/>
        <v>0</v>
      </c>
      <c r="I9" s="1110">
        <f t="shared" si="5"/>
        <v>0</v>
      </c>
      <c r="J9" s="1052">
        <f t="shared" si="6"/>
        <v>0</v>
      </c>
      <c r="K9" s="1052">
        <v>0</v>
      </c>
      <c r="L9" s="1052">
        <f t="shared" si="7"/>
        <v>0</v>
      </c>
      <c r="M9" s="1052">
        <f t="shared" si="8"/>
        <v>0</v>
      </c>
      <c r="N9" s="1051">
        <f>'[18]FY2012-13 Final'!K10</f>
        <v>4966</v>
      </c>
      <c r="O9" s="1053">
        <f t="shared" si="9"/>
        <v>0</v>
      </c>
      <c r="P9" s="1118">
        <f t="shared" si="10"/>
        <v>0</v>
      </c>
      <c r="Q9" s="1053">
        <f t="shared" si="11"/>
        <v>0</v>
      </c>
      <c r="R9" s="1053">
        <v>0</v>
      </c>
      <c r="S9" s="1053">
        <f t="shared" si="12"/>
        <v>0</v>
      </c>
      <c r="T9" s="1053">
        <f t="shared" si="13"/>
        <v>0</v>
      </c>
      <c r="U9" s="1054">
        <f t="shared" si="14"/>
        <v>0</v>
      </c>
      <c r="V9" s="1054">
        <f t="shared" si="14"/>
        <v>0</v>
      </c>
    </row>
    <row r="10" spans="1:22">
      <c r="A10" s="994">
        <v>4</v>
      </c>
      <c r="B10" s="995" t="s">
        <v>98</v>
      </c>
      <c r="C10" s="1193">
        <f>'[2]ALL-Reformatted'!O9</f>
        <v>0</v>
      </c>
      <c r="D10" s="997">
        <f>'Table 3 Levels 1&amp;2'!BN12+'Table 3 Levels 1&amp;2'!BV12</f>
        <v>5918.8798759182582</v>
      </c>
      <c r="E10" s="1100">
        <f t="shared" si="2"/>
        <v>0</v>
      </c>
      <c r="F10" s="1100">
        <f>'Table 4 Level 3'!N9</f>
        <v>585.76</v>
      </c>
      <c r="G10" s="1100">
        <f t="shared" si="3"/>
        <v>0</v>
      </c>
      <c r="H10" s="1052">
        <f t="shared" si="4"/>
        <v>0</v>
      </c>
      <c r="I10" s="1110">
        <f t="shared" si="5"/>
        <v>0</v>
      </c>
      <c r="J10" s="1052">
        <f t="shared" si="6"/>
        <v>0</v>
      </c>
      <c r="K10" s="1052">
        <v>0</v>
      </c>
      <c r="L10" s="1052">
        <f t="shared" si="7"/>
        <v>0</v>
      </c>
      <c r="M10" s="1052">
        <f t="shared" si="8"/>
        <v>0</v>
      </c>
      <c r="N10" s="1051">
        <f>'[18]FY2012-13 Final'!K11</f>
        <v>3445</v>
      </c>
      <c r="O10" s="1053">
        <f t="shared" si="9"/>
        <v>0</v>
      </c>
      <c r="P10" s="1118">
        <f t="shared" si="10"/>
        <v>0</v>
      </c>
      <c r="Q10" s="1053">
        <f t="shared" si="11"/>
        <v>0</v>
      </c>
      <c r="R10" s="1053">
        <v>0</v>
      </c>
      <c r="S10" s="1053">
        <f t="shared" si="12"/>
        <v>0</v>
      </c>
      <c r="T10" s="1053">
        <f t="shared" si="13"/>
        <v>0</v>
      </c>
      <c r="U10" s="1054">
        <f t="shared" si="14"/>
        <v>0</v>
      </c>
      <c r="V10" s="1054">
        <f t="shared" si="14"/>
        <v>0</v>
      </c>
    </row>
    <row r="11" spans="1:22">
      <c r="A11" s="998">
        <v>5</v>
      </c>
      <c r="B11" s="999" t="s">
        <v>99</v>
      </c>
      <c r="C11" s="1194">
        <f>'[2]ALL-Reformatted'!O10</f>
        <v>0</v>
      </c>
      <c r="D11" s="1001">
        <f>'Table 3 Levels 1&amp;2'!BN13+'Table 3 Levels 1&amp;2'!BV13</f>
        <v>4880.3484353147733</v>
      </c>
      <c r="E11" s="1101">
        <f t="shared" si="2"/>
        <v>0</v>
      </c>
      <c r="F11" s="1101">
        <f>'Table 4 Level 3'!N10</f>
        <v>555.91</v>
      </c>
      <c r="G11" s="1101">
        <f t="shared" si="3"/>
        <v>0</v>
      </c>
      <c r="H11" s="1055">
        <f t="shared" si="4"/>
        <v>0</v>
      </c>
      <c r="I11" s="1111">
        <f t="shared" si="5"/>
        <v>0</v>
      </c>
      <c r="J11" s="1055">
        <f t="shared" si="6"/>
        <v>0</v>
      </c>
      <c r="K11" s="1055">
        <v>0</v>
      </c>
      <c r="L11" s="1055">
        <f t="shared" si="7"/>
        <v>0</v>
      </c>
      <c r="M11" s="1055">
        <f t="shared" si="8"/>
        <v>0</v>
      </c>
      <c r="N11" s="1056">
        <f>'[18]FY2012-13 Final'!K12</f>
        <v>1353</v>
      </c>
      <c r="O11" s="1057">
        <f t="shared" si="9"/>
        <v>0</v>
      </c>
      <c r="P11" s="1119">
        <f t="shared" si="10"/>
        <v>0</v>
      </c>
      <c r="Q11" s="1057">
        <f t="shared" si="11"/>
        <v>0</v>
      </c>
      <c r="R11" s="1057">
        <v>0</v>
      </c>
      <c r="S11" s="1057">
        <f t="shared" si="12"/>
        <v>0</v>
      </c>
      <c r="T11" s="1057">
        <f t="shared" si="13"/>
        <v>0</v>
      </c>
      <c r="U11" s="1058">
        <f t="shared" si="14"/>
        <v>0</v>
      </c>
      <c r="V11" s="1058">
        <f t="shared" si="14"/>
        <v>0</v>
      </c>
    </row>
    <row r="12" spans="1:22">
      <c r="A12" s="987">
        <v>6</v>
      </c>
      <c r="B12" s="988" t="s">
        <v>100</v>
      </c>
      <c r="C12" s="1195">
        <f>'[2]ALL-Reformatted'!O11</f>
        <v>0</v>
      </c>
      <c r="D12" s="990">
        <f>'Table 3 Levels 1&amp;2'!BN14+'Table 3 Levels 1&amp;2'!BV14</f>
        <v>5379.7759718479856</v>
      </c>
      <c r="E12" s="1099">
        <f t="shared" si="2"/>
        <v>0</v>
      </c>
      <c r="F12" s="1099">
        <f>'Table 4 Level 3'!N11</f>
        <v>545.4799999999999</v>
      </c>
      <c r="G12" s="1099">
        <f t="shared" si="3"/>
        <v>0</v>
      </c>
      <c r="H12" s="991">
        <f t="shared" si="4"/>
        <v>0</v>
      </c>
      <c r="I12" s="1109">
        <f t="shared" si="5"/>
        <v>0</v>
      </c>
      <c r="J12" s="991">
        <f t="shared" si="6"/>
        <v>0</v>
      </c>
      <c r="K12" s="991">
        <v>0</v>
      </c>
      <c r="L12" s="991">
        <f t="shared" si="7"/>
        <v>0</v>
      </c>
      <c r="M12" s="991">
        <f t="shared" si="8"/>
        <v>0</v>
      </c>
      <c r="N12" s="1051">
        <f>'[18]FY2012-13 Final'!K13</f>
        <v>3576</v>
      </c>
      <c r="O12" s="992">
        <f t="shared" si="9"/>
        <v>0</v>
      </c>
      <c r="P12" s="1117">
        <f t="shared" si="10"/>
        <v>0</v>
      </c>
      <c r="Q12" s="992">
        <f t="shared" si="11"/>
        <v>0</v>
      </c>
      <c r="R12" s="992">
        <v>0</v>
      </c>
      <c r="S12" s="992">
        <f t="shared" si="12"/>
        <v>0</v>
      </c>
      <c r="T12" s="992">
        <f t="shared" si="13"/>
        <v>0</v>
      </c>
      <c r="U12" s="993">
        <f t="shared" si="14"/>
        <v>0</v>
      </c>
      <c r="V12" s="993">
        <f t="shared" si="14"/>
        <v>0</v>
      </c>
    </row>
    <row r="13" spans="1:22">
      <c r="A13" s="994">
        <v>7</v>
      </c>
      <c r="B13" s="995" t="s">
        <v>101</v>
      </c>
      <c r="C13" s="1193">
        <f>'[2]ALL-Reformatted'!O12</f>
        <v>0</v>
      </c>
      <c r="D13" s="997">
        <f>'Table 3 Levels 1&amp;2'!BN15+'Table 3 Levels 1&amp;2'!BV15</f>
        <v>1698.1351763907733</v>
      </c>
      <c r="E13" s="1100">
        <f t="shared" si="2"/>
        <v>0</v>
      </c>
      <c r="F13" s="1100">
        <f>'Table 4 Level 3'!N12</f>
        <v>756.91999999999985</v>
      </c>
      <c r="G13" s="1100">
        <f t="shared" si="3"/>
        <v>0</v>
      </c>
      <c r="H13" s="1052">
        <f t="shared" si="4"/>
        <v>0</v>
      </c>
      <c r="I13" s="1110">
        <f t="shared" si="5"/>
        <v>0</v>
      </c>
      <c r="J13" s="1052">
        <f t="shared" si="6"/>
        <v>0</v>
      </c>
      <c r="K13" s="1052">
        <v>0</v>
      </c>
      <c r="L13" s="1052">
        <f t="shared" si="7"/>
        <v>0</v>
      </c>
      <c r="M13" s="1052">
        <f t="shared" si="8"/>
        <v>0</v>
      </c>
      <c r="N13" s="1051">
        <f>'[18]FY2012-13 Final'!K14</f>
        <v>12465</v>
      </c>
      <c r="O13" s="1053">
        <f t="shared" si="9"/>
        <v>0</v>
      </c>
      <c r="P13" s="1118">
        <f t="shared" si="10"/>
        <v>0</v>
      </c>
      <c r="Q13" s="1053">
        <f t="shared" si="11"/>
        <v>0</v>
      </c>
      <c r="R13" s="1053">
        <v>0</v>
      </c>
      <c r="S13" s="1053">
        <f t="shared" si="12"/>
        <v>0</v>
      </c>
      <c r="T13" s="1053">
        <f t="shared" si="13"/>
        <v>0</v>
      </c>
      <c r="U13" s="1054">
        <f t="shared" si="14"/>
        <v>0</v>
      </c>
      <c r="V13" s="1054">
        <f t="shared" si="14"/>
        <v>0</v>
      </c>
    </row>
    <row r="14" spans="1:22">
      <c r="A14" s="994">
        <v>8</v>
      </c>
      <c r="B14" s="995" t="s">
        <v>102</v>
      </c>
      <c r="C14" s="1193">
        <f>'[2]ALL-Reformatted'!O13</f>
        <v>0</v>
      </c>
      <c r="D14" s="997">
        <f>'Table 3 Levels 1&amp;2'!BN16+'Table 3 Levels 1&amp;2'!BV16</f>
        <v>4239.8578920718974</v>
      </c>
      <c r="E14" s="1100">
        <f t="shared" si="2"/>
        <v>0</v>
      </c>
      <c r="F14" s="1100">
        <f>'Table 4 Level 3'!N13</f>
        <v>725.76</v>
      </c>
      <c r="G14" s="1100">
        <f t="shared" si="3"/>
        <v>0</v>
      </c>
      <c r="H14" s="1052">
        <f t="shared" si="4"/>
        <v>0</v>
      </c>
      <c r="I14" s="1110">
        <f t="shared" si="5"/>
        <v>0</v>
      </c>
      <c r="J14" s="1052">
        <f t="shared" si="6"/>
        <v>0</v>
      </c>
      <c r="K14" s="1052">
        <v>0</v>
      </c>
      <c r="L14" s="1052">
        <f t="shared" si="7"/>
        <v>0</v>
      </c>
      <c r="M14" s="1052">
        <f t="shared" si="8"/>
        <v>0</v>
      </c>
      <c r="N14" s="1051">
        <f>'[18]FY2012-13 Final'!K15</f>
        <v>4184</v>
      </c>
      <c r="O14" s="1053">
        <f t="shared" si="9"/>
        <v>0</v>
      </c>
      <c r="P14" s="1118">
        <f t="shared" si="10"/>
        <v>0</v>
      </c>
      <c r="Q14" s="1053">
        <f t="shared" si="11"/>
        <v>0</v>
      </c>
      <c r="R14" s="1053">
        <v>0</v>
      </c>
      <c r="S14" s="1053">
        <f t="shared" si="12"/>
        <v>0</v>
      </c>
      <c r="T14" s="1053">
        <f t="shared" si="13"/>
        <v>0</v>
      </c>
      <c r="U14" s="1054">
        <f t="shared" si="14"/>
        <v>0</v>
      </c>
      <c r="V14" s="1054">
        <f t="shared" si="14"/>
        <v>0</v>
      </c>
    </row>
    <row r="15" spans="1:22">
      <c r="A15" s="994">
        <v>9</v>
      </c>
      <c r="B15" s="995" t="s">
        <v>103</v>
      </c>
      <c r="C15" s="1193">
        <f>'[2]ALL-Reformatted'!O14</f>
        <v>0</v>
      </c>
      <c r="D15" s="997">
        <f>'Table 3 Levels 1&amp;2'!BN17+'Table 3 Levels 1&amp;2'!BV17</f>
        <v>4361.2752875373017</v>
      </c>
      <c r="E15" s="1100">
        <f t="shared" si="2"/>
        <v>0</v>
      </c>
      <c r="F15" s="1100">
        <f>'Table 4 Level 3'!N14</f>
        <v>744.76</v>
      </c>
      <c r="G15" s="1100">
        <f t="shared" si="3"/>
        <v>0</v>
      </c>
      <c r="H15" s="1052">
        <f t="shared" si="4"/>
        <v>0</v>
      </c>
      <c r="I15" s="1110">
        <f t="shared" si="5"/>
        <v>0</v>
      </c>
      <c r="J15" s="1052">
        <f t="shared" si="6"/>
        <v>0</v>
      </c>
      <c r="K15" s="1052">
        <v>0</v>
      </c>
      <c r="L15" s="1052">
        <f t="shared" si="7"/>
        <v>0</v>
      </c>
      <c r="M15" s="1052">
        <f t="shared" si="8"/>
        <v>0</v>
      </c>
      <c r="N15" s="1051">
        <f>'[18]FY2012-13 Final'!K16</f>
        <v>4640</v>
      </c>
      <c r="O15" s="1053">
        <f t="shared" si="9"/>
        <v>0</v>
      </c>
      <c r="P15" s="1118">
        <f t="shared" si="10"/>
        <v>0</v>
      </c>
      <c r="Q15" s="1053">
        <f t="shared" si="11"/>
        <v>0</v>
      </c>
      <c r="R15" s="1053">
        <v>0</v>
      </c>
      <c r="S15" s="1053">
        <f t="shared" si="12"/>
        <v>0</v>
      </c>
      <c r="T15" s="1053">
        <f t="shared" si="13"/>
        <v>0</v>
      </c>
      <c r="U15" s="1054">
        <f t="shared" si="14"/>
        <v>0</v>
      </c>
      <c r="V15" s="1054">
        <f t="shared" si="14"/>
        <v>0</v>
      </c>
    </row>
    <row r="16" spans="1:22">
      <c r="A16" s="998">
        <v>10</v>
      </c>
      <c r="B16" s="999" t="s">
        <v>104</v>
      </c>
      <c r="C16" s="1194">
        <f>'[2]ALL-Reformatted'!O15</f>
        <v>523</v>
      </c>
      <c r="D16" s="1001">
        <f>'Table 3 Levels 1&amp;2'!BN18+'Table 3 Levels 1&amp;2'!BV18</f>
        <v>4179.4641652904756</v>
      </c>
      <c r="E16" s="1101">
        <f t="shared" si="2"/>
        <v>2185859.7584469188</v>
      </c>
      <c r="F16" s="1101">
        <f>'Table 4 Level 3'!N15</f>
        <v>608.04000000000008</v>
      </c>
      <c r="G16" s="1101">
        <f t="shared" si="3"/>
        <v>318004.92000000004</v>
      </c>
      <c r="H16" s="1055">
        <f t="shared" si="4"/>
        <v>2503864.6784469187</v>
      </c>
      <c r="I16" s="1111">
        <f t="shared" si="5"/>
        <v>-6259.6616961172967</v>
      </c>
      <c r="J16" s="1055">
        <f t="shared" si="6"/>
        <v>2497605.0167508014</v>
      </c>
      <c r="K16" s="1055">
        <v>0</v>
      </c>
      <c r="L16" s="1055">
        <f t="shared" si="7"/>
        <v>2497605.0167508014</v>
      </c>
      <c r="M16" s="1055">
        <f t="shared" si="8"/>
        <v>208133.75139590012</v>
      </c>
      <c r="N16" s="1056">
        <f>'[18]FY2012-13 Final'!K17</f>
        <v>4391</v>
      </c>
      <c r="O16" s="1057">
        <f t="shared" si="9"/>
        <v>2296493</v>
      </c>
      <c r="P16" s="1119">
        <f t="shared" si="10"/>
        <v>-5741.2325000000001</v>
      </c>
      <c r="Q16" s="1057">
        <f t="shared" si="11"/>
        <v>2290751.7675000001</v>
      </c>
      <c r="R16" s="1057">
        <v>0</v>
      </c>
      <c r="S16" s="1057">
        <f t="shared" si="12"/>
        <v>2290751.7675000001</v>
      </c>
      <c r="T16" s="1057">
        <f t="shared" si="13"/>
        <v>190895.980625</v>
      </c>
      <c r="U16" s="1058">
        <f t="shared" si="14"/>
        <v>4788356.7842508014</v>
      </c>
      <c r="V16" s="1058">
        <f t="shared" si="14"/>
        <v>399029.73202090012</v>
      </c>
    </row>
    <row r="17" spans="1:22">
      <c r="A17" s="987">
        <v>11</v>
      </c>
      <c r="B17" s="988" t="s">
        <v>105</v>
      </c>
      <c r="C17" s="1195">
        <f>'[2]ALL-Reformatted'!O16</f>
        <v>0</v>
      </c>
      <c r="D17" s="990">
        <f>'Table 3 Levels 1&amp;2'!BN19+'Table 3 Levels 1&amp;2'!BV19</f>
        <v>6825.0221851487568</v>
      </c>
      <c r="E17" s="1099">
        <f t="shared" si="2"/>
        <v>0</v>
      </c>
      <c r="F17" s="1099">
        <f>'Table 4 Level 3'!N16</f>
        <v>706.55</v>
      </c>
      <c r="G17" s="1099">
        <f t="shared" si="3"/>
        <v>0</v>
      </c>
      <c r="H17" s="991">
        <f t="shared" si="4"/>
        <v>0</v>
      </c>
      <c r="I17" s="1109">
        <f t="shared" si="5"/>
        <v>0</v>
      </c>
      <c r="J17" s="991">
        <f t="shared" si="6"/>
        <v>0</v>
      </c>
      <c r="K17" s="991">
        <v>0</v>
      </c>
      <c r="L17" s="991">
        <f t="shared" si="7"/>
        <v>0</v>
      </c>
      <c r="M17" s="991">
        <f t="shared" si="8"/>
        <v>0</v>
      </c>
      <c r="N17" s="1051">
        <f>'[18]FY2012-13 Final'!K18</f>
        <v>3430</v>
      </c>
      <c r="O17" s="992">
        <f t="shared" si="9"/>
        <v>0</v>
      </c>
      <c r="P17" s="1117">
        <f t="shared" si="10"/>
        <v>0</v>
      </c>
      <c r="Q17" s="992">
        <f t="shared" si="11"/>
        <v>0</v>
      </c>
      <c r="R17" s="992">
        <v>0</v>
      </c>
      <c r="S17" s="992">
        <f t="shared" si="12"/>
        <v>0</v>
      </c>
      <c r="T17" s="992">
        <f t="shared" si="13"/>
        <v>0</v>
      </c>
      <c r="U17" s="993">
        <f t="shared" si="14"/>
        <v>0</v>
      </c>
      <c r="V17" s="993">
        <f t="shared" si="14"/>
        <v>0</v>
      </c>
    </row>
    <row r="18" spans="1:22">
      <c r="A18" s="994">
        <v>12</v>
      </c>
      <c r="B18" s="995" t="s">
        <v>106</v>
      </c>
      <c r="C18" s="1193">
        <f>'[2]ALL-Reformatted'!O17</f>
        <v>0</v>
      </c>
      <c r="D18" s="997">
        <f>'Table 3 Levels 1&amp;2'!BN20+'Table 3 Levels 1&amp;2'!BV20</f>
        <v>1688.0492586490939</v>
      </c>
      <c r="E18" s="1100">
        <f t="shared" si="2"/>
        <v>0</v>
      </c>
      <c r="F18" s="1100">
        <f>'Table 4 Level 3'!N17</f>
        <v>1063.31</v>
      </c>
      <c r="G18" s="1100">
        <f t="shared" si="3"/>
        <v>0</v>
      </c>
      <c r="H18" s="1052">
        <f t="shared" si="4"/>
        <v>0</v>
      </c>
      <c r="I18" s="1110">
        <f t="shared" si="5"/>
        <v>0</v>
      </c>
      <c r="J18" s="1052">
        <f t="shared" si="6"/>
        <v>0</v>
      </c>
      <c r="K18" s="1052">
        <v>0</v>
      </c>
      <c r="L18" s="1052">
        <f t="shared" si="7"/>
        <v>0</v>
      </c>
      <c r="M18" s="1052">
        <f t="shared" si="8"/>
        <v>0</v>
      </c>
      <c r="N18" s="1051">
        <f>'[18]FY2012-13 Final'!K19</f>
        <v>12558</v>
      </c>
      <c r="O18" s="1053">
        <f t="shared" si="9"/>
        <v>0</v>
      </c>
      <c r="P18" s="1118">
        <f t="shared" si="10"/>
        <v>0</v>
      </c>
      <c r="Q18" s="1053">
        <f t="shared" si="11"/>
        <v>0</v>
      </c>
      <c r="R18" s="1053">
        <v>0</v>
      </c>
      <c r="S18" s="1053">
        <f t="shared" si="12"/>
        <v>0</v>
      </c>
      <c r="T18" s="1053">
        <f t="shared" si="13"/>
        <v>0</v>
      </c>
      <c r="U18" s="1054">
        <f t="shared" si="14"/>
        <v>0</v>
      </c>
      <c r="V18" s="1054">
        <f t="shared" si="14"/>
        <v>0</v>
      </c>
    </row>
    <row r="19" spans="1:22">
      <c r="A19" s="994">
        <v>13</v>
      </c>
      <c r="B19" s="995" t="s">
        <v>107</v>
      </c>
      <c r="C19" s="1193">
        <f>'[2]ALL-Reformatted'!O18</f>
        <v>0</v>
      </c>
      <c r="D19" s="997">
        <f>'Table 3 Levels 1&amp;2'!BN21+'Table 3 Levels 1&amp;2'!BV21</f>
        <v>6187.1651272387344</v>
      </c>
      <c r="E19" s="1100">
        <f t="shared" si="2"/>
        <v>0</v>
      </c>
      <c r="F19" s="1100">
        <f>'Table 4 Level 3'!N18</f>
        <v>749.43000000000006</v>
      </c>
      <c r="G19" s="1100">
        <f t="shared" si="3"/>
        <v>0</v>
      </c>
      <c r="H19" s="1052">
        <f t="shared" si="4"/>
        <v>0</v>
      </c>
      <c r="I19" s="1110">
        <f t="shared" si="5"/>
        <v>0</v>
      </c>
      <c r="J19" s="1052">
        <f t="shared" si="6"/>
        <v>0</v>
      </c>
      <c r="K19" s="1052">
        <v>0</v>
      </c>
      <c r="L19" s="1052">
        <f t="shared" si="7"/>
        <v>0</v>
      </c>
      <c r="M19" s="1052">
        <f t="shared" si="8"/>
        <v>0</v>
      </c>
      <c r="N19" s="1051">
        <f>'[18]FY2012-13 Final'!K20</f>
        <v>2536</v>
      </c>
      <c r="O19" s="1053">
        <f t="shared" si="9"/>
        <v>0</v>
      </c>
      <c r="P19" s="1118">
        <f t="shared" si="10"/>
        <v>0</v>
      </c>
      <c r="Q19" s="1053">
        <f t="shared" si="11"/>
        <v>0</v>
      </c>
      <c r="R19" s="1053">
        <v>0</v>
      </c>
      <c r="S19" s="1053">
        <f t="shared" si="12"/>
        <v>0</v>
      </c>
      <c r="T19" s="1053">
        <f t="shared" si="13"/>
        <v>0</v>
      </c>
      <c r="U19" s="1054">
        <f t="shared" si="14"/>
        <v>0</v>
      </c>
      <c r="V19" s="1054">
        <f t="shared" si="14"/>
        <v>0</v>
      </c>
    </row>
    <row r="20" spans="1:22">
      <c r="A20" s="994">
        <v>14</v>
      </c>
      <c r="B20" s="995" t="s">
        <v>108</v>
      </c>
      <c r="C20" s="1193">
        <f>'[2]ALL-Reformatted'!O19</f>
        <v>0</v>
      </c>
      <c r="D20" s="997">
        <f>'Table 3 Levels 1&amp;2'!BN22+'Table 3 Levels 1&amp;2'!BV22</f>
        <v>5339.1887414618923</v>
      </c>
      <c r="E20" s="1100">
        <f t="shared" si="2"/>
        <v>0</v>
      </c>
      <c r="F20" s="1100">
        <f>'Table 4 Level 3'!N19</f>
        <v>809.9799999999999</v>
      </c>
      <c r="G20" s="1100">
        <f t="shared" si="3"/>
        <v>0</v>
      </c>
      <c r="H20" s="1052">
        <f t="shared" si="4"/>
        <v>0</v>
      </c>
      <c r="I20" s="1110">
        <f t="shared" si="5"/>
        <v>0</v>
      </c>
      <c r="J20" s="1052">
        <f t="shared" si="6"/>
        <v>0</v>
      </c>
      <c r="K20" s="1052">
        <v>0</v>
      </c>
      <c r="L20" s="1052">
        <f t="shared" si="7"/>
        <v>0</v>
      </c>
      <c r="M20" s="1052">
        <f t="shared" si="8"/>
        <v>0</v>
      </c>
      <c r="N20" s="1051">
        <f>'[18]FY2012-13 Final'!K21</f>
        <v>3888</v>
      </c>
      <c r="O20" s="1053">
        <f t="shared" si="9"/>
        <v>0</v>
      </c>
      <c r="P20" s="1118">
        <f t="shared" si="10"/>
        <v>0</v>
      </c>
      <c r="Q20" s="1053">
        <f t="shared" si="11"/>
        <v>0</v>
      </c>
      <c r="R20" s="1053">
        <v>0</v>
      </c>
      <c r="S20" s="1053">
        <f t="shared" si="12"/>
        <v>0</v>
      </c>
      <c r="T20" s="1053">
        <f t="shared" si="13"/>
        <v>0</v>
      </c>
      <c r="U20" s="1054">
        <f t="shared" si="14"/>
        <v>0</v>
      </c>
      <c r="V20" s="1054">
        <f t="shared" si="14"/>
        <v>0</v>
      </c>
    </row>
    <row r="21" spans="1:22">
      <c r="A21" s="998">
        <v>15</v>
      </c>
      <c r="B21" s="999" t="s">
        <v>109</v>
      </c>
      <c r="C21" s="1194">
        <f>'[2]ALL-Reformatted'!O20</f>
        <v>0</v>
      </c>
      <c r="D21" s="1001">
        <f>'Table 3 Levels 1&amp;2'!BN23+'Table 3 Levels 1&amp;2'!BV23</f>
        <v>5492.5789412344011</v>
      </c>
      <c r="E21" s="1101">
        <f t="shared" si="2"/>
        <v>0</v>
      </c>
      <c r="F21" s="1101">
        <f>'Table 4 Level 3'!N20</f>
        <v>553.79999999999995</v>
      </c>
      <c r="G21" s="1101">
        <f t="shared" si="3"/>
        <v>0</v>
      </c>
      <c r="H21" s="1055">
        <f t="shared" si="4"/>
        <v>0</v>
      </c>
      <c r="I21" s="1111">
        <f t="shared" si="5"/>
        <v>0</v>
      </c>
      <c r="J21" s="1055">
        <f t="shared" si="6"/>
        <v>0</v>
      </c>
      <c r="K21" s="1055">
        <v>0</v>
      </c>
      <c r="L21" s="1055">
        <f t="shared" si="7"/>
        <v>0</v>
      </c>
      <c r="M21" s="1055">
        <f t="shared" si="8"/>
        <v>0</v>
      </c>
      <c r="N21" s="1056">
        <f>'[18]FY2012-13 Final'!K22</f>
        <v>2752</v>
      </c>
      <c r="O21" s="1057">
        <f t="shared" si="9"/>
        <v>0</v>
      </c>
      <c r="P21" s="1119">
        <f t="shared" si="10"/>
        <v>0</v>
      </c>
      <c r="Q21" s="1057">
        <f t="shared" si="11"/>
        <v>0</v>
      </c>
      <c r="R21" s="1057">
        <v>0</v>
      </c>
      <c r="S21" s="1057">
        <f t="shared" si="12"/>
        <v>0</v>
      </c>
      <c r="T21" s="1057">
        <f t="shared" si="13"/>
        <v>0</v>
      </c>
      <c r="U21" s="1058">
        <f t="shared" si="14"/>
        <v>0</v>
      </c>
      <c r="V21" s="1058">
        <f t="shared" si="14"/>
        <v>0</v>
      </c>
    </row>
    <row r="22" spans="1:22">
      <c r="A22" s="987">
        <v>16</v>
      </c>
      <c r="B22" s="988" t="s">
        <v>110</v>
      </c>
      <c r="C22" s="1195">
        <f>'[2]ALL-Reformatted'!O21</f>
        <v>0</v>
      </c>
      <c r="D22" s="990">
        <f>'Table 3 Levels 1&amp;2'!BN24+'Table 3 Levels 1&amp;2'!BV24</f>
        <v>1506.1153407945151</v>
      </c>
      <c r="E22" s="1099">
        <f t="shared" si="2"/>
        <v>0</v>
      </c>
      <c r="F22" s="1099">
        <f>'Table 4 Level 3'!N21</f>
        <v>686.73</v>
      </c>
      <c r="G22" s="1099">
        <f t="shared" si="3"/>
        <v>0</v>
      </c>
      <c r="H22" s="991">
        <f t="shared" si="4"/>
        <v>0</v>
      </c>
      <c r="I22" s="1109">
        <f t="shared" si="5"/>
        <v>0</v>
      </c>
      <c r="J22" s="991">
        <f t="shared" si="6"/>
        <v>0</v>
      </c>
      <c r="K22" s="991">
        <v>0</v>
      </c>
      <c r="L22" s="991">
        <f t="shared" si="7"/>
        <v>0</v>
      </c>
      <c r="M22" s="991">
        <f t="shared" si="8"/>
        <v>0</v>
      </c>
      <c r="N22" s="1051">
        <f>'[18]FY2012-13 Final'!K23</f>
        <v>15092</v>
      </c>
      <c r="O22" s="992">
        <f t="shared" si="9"/>
        <v>0</v>
      </c>
      <c r="P22" s="1117">
        <f t="shared" si="10"/>
        <v>0</v>
      </c>
      <c r="Q22" s="992">
        <f t="shared" si="11"/>
        <v>0</v>
      </c>
      <c r="R22" s="992">
        <v>0</v>
      </c>
      <c r="S22" s="992">
        <f t="shared" si="12"/>
        <v>0</v>
      </c>
      <c r="T22" s="992">
        <f t="shared" si="13"/>
        <v>0</v>
      </c>
      <c r="U22" s="993">
        <f t="shared" si="14"/>
        <v>0</v>
      </c>
      <c r="V22" s="993">
        <f t="shared" si="14"/>
        <v>0</v>
      </c>
    </row>
    <row r="23" spans="1:22">
      <c r="A23" s="994">
        <v>17</v>
      </c>
      <c r="B23" s="995" t="s">
        <v>111</v>
      </c>
      <c r="C23" s="1193">
        <f>'[2]ALL-Reformatted'!O22</f>
        <v>0</v>
      </c>
      <c r="D23" s="997">
        <f>'Table 3 Levels 1&amp;2'!BN25+'Table 3 Levels 1&amp;2'!BV25</f>
        <v>3311.610845996096</v>
      </c>
      <c r="E23" s="1100">
        <f t="shared" si="2"/>
        <v>0</v>
      </c>
      <c r="F23" s="1100">
        <f>'Table 5B2_RSD_LA'!F7</f>
        <v>801.47762416806802</v>
      </c>
      <c r="G23" s="1100">
        <f t="shared" si="3"/>
        <v>0</v>
      </c>
      <c r="H23" s="1052">
        <f t="shared" si="4"/>
        <v>0</v>
      </c>
      <c r="I23" s="1110">
        <f t="shared" si="5"/>
        <v>0</v>
      </c>
      <c r="J23" s="1052">
        <f t="shared" si="6"/>
        <v>0</v>
      </c>
      <c r="K23" s="1052">
        <v>0</v>
      </c>
      <c r="L23" s="1052">
        <f t="shared" si="7"/>
        <v>0</v>
      </c>
      <c r="M23" s="1052">
        <f t="shared" si="8"/>
        <v>0</v>
      </c>
      <c r="N23" s="1051">
        <f>'[18]FY2012-13 Final'!K24</f>
        <v>6551</v>
      </c>
      <c r="O23" s="1053">
        <f t="shared" si="9"/>
        <v>0</v>
      </c>
      <c r="P23" s="1118">
        <f t="shared" si="10"/>
        <v>0</v>
      </c>
      <c r="Q23" s="1053">
        <f t="shared" si="11"/>
        <v>0</v>
      </c>
      <c r="R23" s="1053">
        <v>0</v>
      </c>
      <c r="S23" s="1053">
        <f t="shared" si="12"/>
        <v>0</v>
      </c>
      <c r="T23" s="1053">
        <f t="shared" si="13"/>
        <v>0</v>
      </c>
      <c r="U23" s="1054">
        <f t="shared" si="14"/>
        <v>0</v>
      </c>
      <c r="V23" s="1054">
        <f t="shared" si="14"/>
        <v>0</v>
      </c>
    </row>
    <row r="24" spans="1:22">
      <c r="A24" s="994">
        <v>18</v>
      </c>
      <c r="B24" s="995" t="s">
        <v>112</v>
      </c>
      <c r="C24" s="1193">
        <f>'[2]ALL-Reformatted'!O23</f>
        <v>0</v>
      </c>
      <c r="D24" s="997">
        <f>'Table 3 Levels 1&amp;2'!BN26+'Table 3 Levels 1&amp;2'!BV26</f>
        <v>5964.3490202032081</v>
      </c>
      <c r="E24" s="1100">
        <f t="shared" si="2"/>
        <v>0</v>
      </c>
      <c r="F24" s="1100">
        <f>'Table 4 Level 3'!N23</f>
        <v>845.94999999999993</v>
      </c>
      <c r="G24" s="1100">
        <f t="shared" si="3"/>
        <v>0</v>
      </c>
      <c r="H24" s="1052">
        <f t="shared" si="4"/>
        <v>0</v>
      </c>
      <c r="I24" s="1110">
        <f t="shared" si="5"/>
        <v>0</v>
      </c>
      <c r="J24" s="1052">
        <f t="shared" si="6"/>
        <v>0</v>
      </c>
      <c r="K24" s="1052">
        <v>0</v>
      </c>
      <c r="L24" s="1052">
        <f t="shared" si="7"/>
        <v>0</v>
      </c>
      <c r="M24" s="1052">
        <f t="shared" si="8"/>
        <v>0</v>
      </c>
      <c r="N24" s="1051">
        <f>'[18]FY2012-13 Final'!K25</f>
        <v>2165</v>
      </c>
      <c r="O24" s="1053">
        <f t="shared" si="9"/>
        <v>0</v>
      </c>
      <c r="P24" s="1118">
        <f t="shared" si="10"/>
        <v>0</v>
      </c>
      <c r="Q24" s="1053">
        <f t="shared" si="11"/>
        <v>0</v>
      </c>
      <c r="R24" s="1053">
        <v>0</v>
      </c>
      <c r="S24" s="1053">
        <f t="shared" si="12"/>
        <v>0</v>
      </c>
      <c r="T24" s="1053">
        <f t="shared" si="13"/>
        <v>0</v>
      </c>
      <c r="U24" s="1054">
        <f t="shared" si="14"/>
        <v>0</v>
      </c>
      <c r="V24" s="1054">
        <f t="shared" si="14"/>
        <v>0</v>
      </c>
    </row>
    <row r="25" spans="1:22">
      <c r="A25" s="994">
        <v>19</v>
      </c>
      <c r="B25" s="995" t="s">
        <v>113</v>
      </c>
      <c r="C25" s="1193">
        <f>'[2]ALL-Reformatted'!O24</f>
        <v>0</v>
      </c>
      <c r="D25" s="997">
        <f>'Table 3 Levels 1&amp;2'!BN27+'Table 3 Levels 1&amp;2'!BV27</f>
        <v>5283.1088158476596</v>
      </c>
      <c r="E25" s="1100">
        <f t="shared" si="2"/>
        <v>0</v>
      </c>
      <c r="F25" s="1100">
        <f>'Table 4 Level 3'!N24</f>
        <v>905.43</v>
      </c>
      <c r="G25" s="1100">
        <f t="shared" si="3"/>
        <v>0</v>
      </c>
      <c r="H25" s="1052">
        <f t="shared" si="4"/>
        <v>0</v>
      </c>
      <c r="I25" s="1110">
        <f t="shared" si="5"/>
        <v>0</v>
      </c>
      <c r="J25" s="1052">
        <f t="shared" si="6"/>
        <v>0</v>
      </c>
      <c r="K25" s="1052">
        <v>0</v>
      </c>
      <c r="L25" s="1052">
        <f t="shared" si="7"/>
        <v>0</v>
      </c>
      <c r="M25" s="1052">
        <f t="shared" si="8"/>
        <v>0</v>
      </c>
      <c r="N25" s="1051">
        <f>'[18]FY2012-13 Final'!K26</f>
        <v>2729</v>
      </c>
      <c r="O25" s="1053">
        <f t="shared" si="9"/>
        <v>0</v>
      </c>
      <c r="P25" s="1118">
        <f t="shared" si="10"/>
        <v>0</v>
      </c>
      <c r="Q25" s="1053">
        <f t="shared" si="11"/>
        <v>0</v>
      </c>
      <c r="R25" s="1053">
        <v>0</v>
      </c>
      <c r="S25" s="1053">
        <f t="shared" si="12"/>
        <v>0</v>
      </c>
      <c r="T25" s="1053">
        <f t="shared" si="13"/>
        <v>0</v>
      </c>
      <c r="U25" s="1054">
        <f t="shared" si="14"/>
        <v>0</v>
      </c>
      <c r="V25" s="1054">
        <f t="shared" si="14"/>
        <v>0</v>
      </c>
    </row>
    <row r="26" spans="1:22">
      <c r="A26" s="998">
        <v>20</v>
      </c>
      <c r="B26" s="999" t="s">
        <v>114</v>
      </c>
      <c r="C26" s="1194">
        <f>'[2]ALL-Reformatted'!O25</f>
        <v>0</v>
      </c>
      <c r="D26" s="1001">
        <f>'Table 3 Levels 1&amp;2'!BN28+'Table 3 Levels 1&amp;2'!BV28</f>
        <v>5389.6047094824808</v>
      </c>
      <c r="E26" s="1101">
        <f t="shared" si="2"/>
        <v>0</v>
      </c>
      <c r="F26" s="1101">
        <f>'Table 4 Level 3'!N25</f>
        <v>586.16999999999996</v>
      </c>
      <c r="G26" s="1101">
        <f t="shared" si="3"/>
        <v>0</v>
      </c>
      <c r="H26" s="1055">
        <f t="shared" si="4"/>
        <v>0</v>
      </c>
      <c r="I26" s="1111">
        <f t="shared" si="5"/>
        <v>0</v>
      </c>
      <c r="J26" s="1055">
        <f t="shared" si="6"/>
        <v>0</v>
      </c>
      <c r="K26" s="1055">
        <v>0</v>
      </c>
      <c r="L26" s="1055">
        <f t="shared" si="7"/>
        <v>0</v>
      </c>
      <c r="M26" s="1055">
        <f t="shared" si="8"/>
        <v>0</v>
      </c>
      <c r="N26" s="1056">
        <f>'[18]FY2012-13 Final'!K27</f>
        <v>2334</v>
      </c>
      <c r="O26" s="1057">
        <f t="shared" si="9"/>
        <v>0</v>
      </c>
      <c r="P26" s="1119">
        <f t="shared" si="10"/>
        <v>0</v>
      </c>
      <c r="Q26" s="1057">
        <f t="shared" si="11"/>
        <v>0</v>
      </c>
      <c r="R26" s="1057">
        <v>0</v>
      </c>
      <c r="S26" s="1057">
        <f t="shared" si="12"/>
        <v>0</v>
      </c>
      <c r="T26" s="1057">
        <f t="shared" si="13"/>
        <v>0</v>
      </c>
      <c r="U26" s="1058">
        <f t="shared" si="14"/>
        <v>0</v>
      </c>
      <c r="V26" s="1058">
        <f t="shared" si="14"/>
        <v>0</v>
      </c>
    </row>
    <row r="27" spans="1:22">
      <c r="A27" s="987">
        <v>21</v>
      </c>
      <c r="B27" s="988" t="s">
        <v>115</v>
      </c>
      <c r="C27" s="1195">
        <f>'[2]ALL-Reformatted'!O26</f>
        <v>0</v>
      </c>
      <c r="D27" s="990">
        <f>'Table 3 Levels 1&amp;2'!BN29+'Table 3 Levels 1&amp;2'!BV29</f>
        <v>5659.8229810652783</v>
      </c>
      <c r="E27" s="1099">
        <f t="shared" si="2"/>
        <v>0</v>
      </c>
      <c r="F27" s="1099">
        <f>'Table 4 Level 3'!N26</f>
        <v>610.35</v>
      </c>
      <c r="G27" s="1099">
        <f t="shared" si="3"/>
        <v>0</v>
      </c>
      <c r="H27" s="991">
        <f t="shared" si="4"/>
        <v>0</v>
      </c>
      <c r="I27" s="1109">
        <f t="shared" si="5"/>
        <v>0</v>
      </c>
      <c r="J27" s="991">
        <f t="shared" si="6"/>
        <v>0</v>
      </c>
      <c r="K27" s="991">
        <v>0</v>
      </c>
      <c r="L27" s="991">
        <f t="shared" si="7"/>
        <v>0</v>
      </c>
      <c r="M27" s="991">
        <f t="shared" si="8"/>
        <v>0</v>
      </c>
      <c r="N27" s="1051">
        <f>'[18]FY2012-13 Final'!K28</f>
        <v>2233</v>
      </c>
      <c r="O27" s="992">
        <f t="shared" si="9"/>
        <v>0</v>
      </c>
      <c r="P27" s="1117">
        <f t="shared" si="10"/>
        <v>0</v>
      </c>
      <c r="Q27" s="992">
        <f t="shared" si="11"/>
        <v>0</v>
      </c>
      <c r="R27" s="992">
        <v>0</v>
      </c>
      <c r="S27" s="992">
        <f t="shared" si="12"/>
        <v>0</v>
      </c>
      <c r="T27" s="992">
        <f t="shared" si="13"/>
        <v>0</v>
      </c>
      <c r="U27" s="993">
        <f t="shared" si="14"/>
        <v>0</v>
      </c>
      <c r="V27" s="993">
        <f t="shared" si="14"/>
        <v>0</v>
      </c>
    </row>
    <row r="28" spans="1:22">
      <c r="A28" s="994">
        <v>22</v>
      </c>
      <c r="B28" s="995" t="s">
        <v>116</v>
      </c>
      <c r="C28" s="1193">
        <f>'[2]ALL-Reformatted'!O27</f>
        <v>0</v>
      </c>
      <c r="D28" s="997">
        <f>'Table 3 Levels 1&amp;2'!BN30+'Table 3 Levels 1&amp;2'!BV30</f>
        <v>6191.1997628958306</v>
      </c>
      <c r="E28" s="1100">
        <f t="shared" si="2"/>
        <v>0</v>
      </c>
      <c r="F28" s="1100">
        <f>'Table 4 Level 3'!N27</f>
        <v>496.36</v>
      </c>
      <c r="G28" s="1100">
        <f t="shared" si="3"/>
        <v>0</v>
      </c>
      <c r="H28" s="1052">
        <f t="shared" si="4"/>
        <v>0</v>
      </c>
      <c r="I28" s="1110">
        <f t="shared" si="5"/>
        <v>0</v>
      </c>
      <c r="J28" s="1052">
        <f t="shared" si="6"/>
        <v>0</v>
      </c>
      <c r="K28" s="1052">
        <v>0</v>
      </c>
      <c r="L28" s="1052">
        <f t="shared" si="7"/>
        <v>0</v>
      </c>
      <c r="M28" s="1052">
        <f t="shared" si="8"/>
        <v>0</v>
      </c>
      <c r="N28" s="1051">
        <f>'[18]FY2012-13 Final'!K29</f>
        <v>1410</v>
      </c>
      <c r="O28" s="1053">
        <f t="shared" si="9"/>
        <v>0</v>
      </c>
      <c r="P28" s="1118">
        <f t="shared" si="10"/>
        <v>0</v>
      </c>
      <c r="Q28" s="1053">
        <f t="shared" si="11"/>
        <v>0</v>
      </c>
      <c r="R28" s="1053">
        <v>0</v>
      </c>
      <c r="S28" s="1053">
        <f t="shared" si="12"/>
        <v>0</v>
      </c>
      <c r="T28" s="1053">
        <f t="shared" si="13"/>
        <v>0</v>
      </c>
      <c r="U28" s="1054">
        <f t="shared" si="14"/>
        <v>0</v>
      </c>
      <c r="V28" s="1054">
        <f t="shared" si="14"/>
        <v>0</v>
      </c>
    </row>
    <row r="29" spans="1:22">
      <c r="A29" s="994">
        <v>23</v>
      </c>
      <c r="B29" s="995" t="s">
        <v>117</v>
      </c>
      <c r="C29" s="1193">
        <f>'[2]ALL-Reformatted'!O28</f>
        <v>0</v>
      </c>
      <c r="D29" s="997">
        <f>'Table 3 Levels 1&amp;2'!BN31+'Table 3 Levels 1&amp;2'!BV31</f>
        <v>4788.2881021645453</v>
      </c>
      <c r="E29" s="1100">
        <f t="shared" si="2"/>
        <v>0</v>
      </c>
      <c r="F29" s="1100">
        <f>'Table 4 Level 3'!N28</f>
        <v>688.58</v>
      </c>
      <c r="G29" s="1100">
        <f t="shared" si="3"/>
        <v>0</v>
      </c>
      <c r="H29" s="1052">
        <f t="shared" si="4"/>
        <v>0</v>
      </c>
      <c r="I29" s="1110">
        <f t="shared" si="5"/>
        <v>0</v>
      </c>
      <c r="J29" s="1052">
        <f t="shared" si="6"/>
        <v>0</v>
      </c>
      <c r="K29" s="1052">
        <v>0</v>
      </c>
      <c r="L29" s="1052">
        <f t="shared" si="7"/>
        <v>0</v>
      </c>
      <c r="M29" s="1052">
        <f t="shared" si="8"/>
        <v>0</v>
      </c>
      <c r="N29" s="1051">
        <f>'[18]FY2012-13 Final'!K30</f>
        <v>3258</v>
      </c>
      <c r="O29" s="1053">
        <f t="shared" si="9"/>
        <v>0</v>
      </c>
      <c r="P29" s="1118">
        <f t="shared" si="10"/>
        <v>0</v>
      </c>
      <c r="Q29" s="1053">
        <f t="shared" si="11"/>
        <v>0</v>
      </c>
      <c r="R29" s="1053">
        <v>0</v>
      </c>
      <c r="S29" s="1053">
        <f t="shared" si="12"/>
        <v>0</v>
      </c>
      <c r="T29" s="1053">
        <f t="shared" si="13"/>
        <v>0</v>
      </c>
      <c r="U29" s="1054">
        <f t="shared" si="14"/>
        <v>0</v>
      </c>
      <c r="V29" s="1054">
        <f t="shared" si="14"/>
        <v>0</v>
      </c>
    </row>
    <row r="30" spans="1:22">
      <c r="A30" s="994">
        <v>24</v>
      </c>
      <c r="B30" s="995" t="s">
        <v>118</v>
      </c>
      <c r="C30" s="1193">
        <f>'[2]ALL-Reformatted'!O29</f>
        <v>0</v>
      </c>
      <c r="D30" s="997">
        <f>'Table 3 Levels 1&amp;2'!BN32+'Table 3 Levels 1&amp;2'!BV32</f>
        <v>2743.328175824176</v>
      </c>
      <c r="E30" s="1100">
        <f t="shared" si="2"/>
        <v>0</v>
      </c>
      <c r="F30" s="1100">
        <f>'Table 4 Level 3'!N29</f>
        <v>854.24999999999989</v>
      </c>
      <c r="G30" s="1100">
        <f t="shared" si="3"/>
        <v>0</v>
      </c>
      <c r="H30" s="1052">
        <f t="shared" si="4"/>
        <v>0</v>
      </c>
      <c r="I30" s="1110">
        <f t="shared" si="5"/>
        <v>0</v>
      </c>
      <c r="J30" s="1052">
        <f t="shared" si="6"/>
        <v>0</v>
      </c>
      <c r="K30" s="1052">
        <v>0</v>
      </c>
      <c r="L30" s="1052">
        <f t="shared" si="7"/>
        <v>0</v>
      </c>
      <c r="M30" s="1052">
        <f t="shared" si="8"/>
        <v>0</v>
      </c>
      <c r="N30" s="1051">
        <f>'[18]FY2012-13 Final'!K31</f>
        <v>9280</v>
      </c>
      <c r="O30" s="1053">
        <f t="shared" si="9"/>
        <v>0</v>
      </c>
      <c r="P30" s="1118">
        <f t="shared" si="10"/>
        <v>0</v>
      </c>
      <c r="Q30" s="1053">
        <f t="shared" si="11"/>
        <v>0</v>
      </c>
      <c r="R30" s="1053">
        <v>0</v>
      </c>
      <c r="S30" s="1053">
        <f t="shared" si="12"/>
        <v>0</v>
      </c>
      <c r="T30" s="1053">
        <f t="shared" si="13"/>
        <v>0</v>
      </c>
      <c r="U30" s="1054">
        <f t="shared" si="14"/>
        <v>0</v>
      </c>
      <c r="V30" s="1054">
        <f t="shared" si="14"/>
        <v>0</v>
      </c>
    </row>
    <row r="31" spans="1:22">
      <c r="A31" s="998">
        <v>25</v>
      </c>
      <c r="B31" s="999" t="s">
        <v>119</v>
      </c>
      <c r="C31" s="1194">
        <f>'[2]ALL-Reformatted'!O30</f>
        <v>0</v>
      </c>
      <c r="D31" s="1001">
        <f>'Table 3 Levels 1&amp;2'!BN33+'Table 3 Levels 1&amp;2'!BV33</f>
        <v>3799.3890273447178</v>
      </c>
      <c r="E31" s="1101">
        <f t="shared" si="2"/>
        <v>0</v>
      </c>
      <c r="F31" s="1101">
        <f>'Table 4 Level 3'!N30</f>
        <v>653.73</v>
      </c>
      <c r="G31" s="1101">
        <f t="shared" si="3"/>
        <v>0</v>
      </c>
      <c r="H31" s="1055">
        <f t="shared" si="4"/>
        <v>0</v>
      </c>
      <c r="I31" s="1111">
        <f t="shared" si="5"/>
        <v>0</v>
      </c>
      <c r="J31" s="1055">
        <f t="shared" si="6"/>
        <v>0</v>
      </c>
      <c r="K31" s="1055">
        <v>0</v>
      </c>
      <c r="L31" s="1055">
        <f t="shared" si="7"/>
        <v>0</v>
      </c>
      <c r="M31" s="1055">
        <f t="shared" si="8"/>
        <v>0</v>
      </c>
      <c r="N31" s="1056">
        <f>'[18]FY2012-13 Final'!K32</f>
        <v>5351</v>
      </c>
      <c r="O31" s="1057">
        <f t="shared" si="9"/>
        <v>0</v>
      </c>
      <c r="P31" s="1119">
        <f t="shared" si="10"/>
        <v>0</v>
      </c>
      <c r="Q31" s="1057">
        <f t="shared" si="11"/>
        <v>0</v>
      </c>
      <c r="R31" s="1057">
        <v>0</v>
      </c>
      <c r="S31" s="1057">
        <f t="shared" si="12"/>
        <v>0</v>
      </c>
      <c r="T31" s="1057">
        <f t="shared" si="13"/>
        <v>0</v>
      </c>
      <c r="U31" s="1058">
        <f t="shared" si="14"/>
        <v>0</v>
      </c>
      <c r="V31" s="1058">
        <f t="shared" si="14"/>
        <v>0</v>
      </c>
    </row>
    <row r="32" spans="1:22">
      <c r="A32" s="987">
        <v>26</v>
      </c>
      <c r="B32" s="988" t="s">
        <v>120</v>
      </c>
      <c r="C32" s="1195">
        <f>'[2]ALL-Reformatted'!O31</f>
        <v>0</v>
      </c>
      <c r="D32" s="990">
        <f>'Table 3 Levels 1&amp;2'!BN34+'Table 3 Levels 1&amp;2'!BV34</f>
        <v>3320.7842100822745</v>
      </c>
      <c r="E32" s="1099">
        <f t="shared" si="2"/>
        <v>0</v>
      </c>
      <c r="F32" s="1099">
        <f>'Table 4 Level 3'!N31</f>
        <v>836.83</v>
      </c>
      <c r="G32" s="1099">
        <f t="shared" si="3"/>
        <v>0</v>
      </c>
      <c r="H32" s="991">
        <f t="shared" si="4"/>
        <v>0</v>
      </c>
      <c r="I32" s="1109">
        <f t="shared" si="5"/>
        <v>0</v>
      </c>
      <c r="J32" s="991">
        <f t="shared" si="6"/>
        <v>0</v>
      </c>
      <c r="K32" s="991">
        <v>0</v>
      </c>
      <c r="L32" s="991">
        <f t="shared" si="7"/>
        <v>0</v>
      </c>
      <c r="M32" s="991">
        <f t="shared" si="8"/>
        <v>0</v>
      </c>
      <c r="N32" s="1051">
        <f>'[18]FY2012-13 Final'!K33</f>
        <v>5100</v>
      </c>
      <c r="O32" s="992">
        <f t="shared" si="9"/>
        <v>0</v>
      </c>
      <c r="P32" s="1117">
        <f t="shared" si="10"/>
        <v>0</v>
      </c>
      <c r="Q32" s="992">
        <f t="shared" si="11"/>
        <v>0</v>
      </c>
      <c r="R32" s="992">
        <v>0</v>
      </c>
      <c r="S32" s="992">
        <f t="shared" si="12"/>
        <v>0</v>
      </c>
      <c r="T32" s="992">
        <f t="shared" si="13"/>
        <v>0</v>
      </c>
      <c r="U32" s="993">
        <f t="shared" si="14"/>
        <v>0</v>
      </c>
      <c r="V32" s="993">
        <f t="shared" si="14"/>
        <v>0</v>
      </c>
    </row>
    <row r="33" spans="1:22">
      <c r="A33" s="994">
        <v>27</v>
      </c>
      <c r="B33" s="995" t="s">
        <v>121</v>
      </c>
      <c r="C33" s="1196">
        <f>'[2]ALL-Reformatted'!O32</f>
        <v>8</v>
      </c>
      <c r="D33" s="1003">
        <f>'Table 3 Levels 1&amp;2'!BN35+'Table 3 Levels 1&amp;2'!BV35</f>
        <v>5636.5919457972805</v>
      </c>
      <c r="E33" s="1102">
        <f t="shared" si="2"/>
        <v>45092.735566378244</v>
      </c>
      <c r="F33" s="1102">
        <f>'Table 4 Level 3'!N32</f>
        <v>693.06</v>
      </c>
      <c r="G33" s="1102">
        <f t="shared" si="3"/>
        <v>5544.48</v>
      </c>
      <c r="H33" s="1059">
        <f t="shared" si="4"/>
        <v>50637.215566378247</v>
      </c>
      <c r="I33" s="1112">
        <f t="shared" si="5"/>
        <v>-126.59303891594563</v>
      </c>
      <c r="J33" s="1059">
        <f t="shared" si="6"/>
        <v>50510.622527462299</v>
      </c>
      <c r="K33" s="1059">
        <v>0</v>
      </c>
      <c r="L33" s="1059">
        <f t="shared" si="7"/>
        <v>50510.622527462299</v>
      </c>
      <c r="M33" s="1059">
        <f t="shared" si="8"/>
        <v>4209.2185439551913</v>
      </c>
      <c r="N33" s="1051">
        <f>'[18]FY2012-13 Final'!K34</f>
        <v>3091</v>
      </c>
      <c r="O33" s="1053">
        <f t="shared" si="9"/>
        <v>24728</v>
      </c>
      <c r="P33" s="1118">
        <f t="shared" si="10"/>
        <v>-61.82</v>
      </c>
      <c r="Q33" s="1053">
        <f t="shared" si="11"/>
        <v>24666.18</v>
      </c>
      <c r="R33" s="1053">
        <v>0</v>
      </c>
      <c r="S33" s="1053">
        <f t="shared" si="12"/>
        <v>24666.18</v>
      </c>
      <c r="T33" s="1053">
        <f t="shared" si="13"/>
        <v>2055.5149999999999</v>
      </c>
      <c r="U33" s="1054">
        <f t="shared" si="14"/>
        <v>75176.802527462307</v>
      </c>
      <c r="V33" s="1054">
        <f t="shared" si="14"/>
        <v>6264.7335439551916</v>
      </c>
    </row>
    <row r="34" spans="1:22">
      <c r="A34" s="994">
        <v>28</v>
      </c>
      <c r="B34" s="995" t="s">
        <v>122</v>
      </c>
      <c r="C34" s="1196">
        <f>'[2]ALL-Reformatted'!O33</f>
        <v>0</v>
      </c>
      <c r="D34" s="1003">
        <f>'Table 3 Levels 1&amp;2'!BN36+'Table 3 Levels 1&amp;2'!BV36</f>
        <v>3106.8056522508969</v>
      </c>
      <c r="E34" s="1102">
        <f t="shared" si="2"/>
        <v>0</v>
      </c>
      <c r="F34" s="1102">
        <f>'Table 4 Level 3'!N33</f>
        <v>694.4</v>
      </c>
      <c r="G34" s="1102">
        <f t="shared" si="3"/>
        <v>0</v>
      </c>
      <c r="H34" s="1059">
        <f t="shared" si="4"/>
        <v>0</v>
      </c>
      <c r="I34" s="1112">
        <f t="shared" si="5"/>
        <v>0</v>
      </c>
      <c r="J34" s="1059">
        <f t="shared" si="6"/>
        <v>0</v>
      </c>
      <c r="K34" s="1059">
        <v>0</v>
      </c>
      <c r="L34" s="1059">
        <f t="shared" si="7"/>
        <v>0</v>
      </c>
      <c r="M34" s="1059">
        <f t="shared" si="8"/>
        <v>0</v>
      </c>
      <c r="N34" s="1051">
        <f>'[18]FY2012-13 Final'!K35</f>
        <v>5323</v>
      </c>
      <c r="O34" s="1053">
        <f t="shared" si="9"/>
        <v>0</v>
      </c>
      <c r="P34" s="1118">
        <f t="shared" si="10"/>
        <v>0</v>
      </c>
      <c r="Q34" s="1053">
        <f t="shared" si="11"/>
        <v>0</v>
      </c>
      <c r="R34" s="1053">
        <v>0</v>
      </c>
      <c r="S34" s="1053">
        <f t="shared" si="12"/>
        <v>0</v>
      </c>
      <c r="T34" s="1053">
        <f t="shared" si="13"/>
        <v>0</v>
      </c>
      <c r="U34" s="1054">
        <f t="shared" si="14"/>
        <v>0</v>
      </c>
      <c r="V34" s="1054">
        <f t="shared" si="14"/>
        <v>0</v>
      </c>
    </row>
    <row r="35" spans="1:22">
      <c r="A35" s="994">
        <v>29</v>
      </c>
      <c r="B35" s="995" t="s">
        <v>123</v>
      </c>
      <c r="C35" s="1196">
        <f>'[2]ALL-Reformatted'!O34</f>
        <v>0</v>
      </c>
      <c r="D35" s="1003">
        <f>'Table 3 Levels 1&amp;2'!BN37+'Table 3 Levels 1&amp;2'!BV37</f>
        <v>3912.1846976122315</v>
      </c>
      <c r="E35" s="1102">
        <f t="shared" si="2"/>
        <v>0</v>
      </c>
      <c r="F35" s="1102">
        <f>'Table 4 Level 3'!N34</f>
        <v>754.94999999999993</v>
      </c>
      <c r="G35" s="1102">
        <f t="shared" si="3"/>
        <v>0</v>
      </c>
      <c r="H35" s="1059">
        <f t="shared" si="4"/>
        <v>0</v>
      </c>
      <c r="I35" s="1112">
        <f t="shared" si="5"/>
        <v>0</v>
      </c>
      <c r="J35" s="1059">
        <f t="shared" si="6"/>
        <v>0</v>
      </c>
      <c r="K35" s="1059">
        <v>0</v>
      </c>
      <c r="L35" s="1059">
        <f t="shared" si="7"/>
        <v>0</v>
      </c>
      <c r="M35" s="1059">
        <f t="shared" si="8"/>
        <v>0</v>
      </c>
      <c r="N35" s="1051">
        <f>'[18]FY2012-13 Final'!K36</f>
        <v>4388</v>
      </c>
      <c r="O35" s="1053">
        <f t="shared" si="9"/>
        <v>0</v>
      </c>
      <c r="P35" s="1118">
        <f t="shared" si="10"/>
        <v>0</v>
      </c>
      <c r="Q35" s="1053">
        <f t="shared" si="11"/>
        <v>0</v>
      </c>
      <c r="R35" s="1053">
        <v>0</v>
      </c>
      <c r="S35" s="1053">
        <f t="shared" si="12"/>
        <v>0</v>
      </c>
      <c r="T35" s="1053">
        <f t="shared" si="13"/>
        <v>0</v>
      </c>
      <c r="U35" s="1054">
        <f t="shared" si="14"/>
        <v>0</v>
      </c>
      <c r="V35" s="1054">
        <f t="shared" si="14"/>
        <v>0</v>
      </c>
    </row>
    <row r="36" spans="1:22">
      <c r="A36" s="998">
        <v>30</v>
      </c>
      <c r="B36" s="999" t="s">
        <v>124</v>
      </c>
      <c r="C36" s="1197">
        <f>'[2]ALL-Reformatted'!O35</f>
        <v>0</v>
      </c>
      <c r="D36" s="1005">
        <f>'Table 3 Levels 1&amp;2'!BN38+'Table 3 Levels 1&amp;2'!BV38</f>
        <v>5594.0091640611508</v>
      </c>
      <c r="E36" s="1103">
        <f t="shared" si="2"/>
        <v>0</v>
      </c>
      <c r="F36" s="1103">
        <f>'Table 4 Level 3'!N35</f>
        <v>727.17</v>
      </c>
      <c r="G36" s="1103">
        <f t="shared" si="3"/>
        <v>0</v>
      </c>
      <c r="H36" s="1060">
        <f t="shared" si="4"/>
        <v>0</v>
      </c>
      <c r="I36" s="1113">
        <f t="shared" si="5"/>
        <v>0</v>
      </c>
      <c r="J36" s="1060">
        <f t="shared" si="6"/>
        <v>0</v>
      </c>
      <c r="K36" s="1060">
        <v>0</v>
      </c>
      <c r="L36" s="1060">
        <f t="shared" si="7"/>
        <v>0</v>
      </c>
      <c r="M36" s="1060">
        <f t="shared" si="8"/>
        <v>0</v>
      </c>
      <c r="N36" s="1056">
        <f>'[18]FY2012-13 Final'!K37</f>
        <v>3702</v>
      </c>
      <c r="O36" s="1057">
        <f t="shared" si="9"/>
        <v>0</v>
      </c>
      <c r="P36" s="1119">
        <f t="shared" si="10"/>
        <v>0</v>
      </c>
      <c r="Q36" s="1057">
        <f t="shared" si="11"/>
        <v>0</v>
      </c>
      <c r="R36" s="1057">
        <v>0</v>
      </c>
      <c r="S36" s="1057">
        <f t="shared" si="12"/>
        <v>0</v>
      </c>
      <c r="T36" s="1057">
        <f t="shared" si="13"/>
        <v>0</v>
      </c>
      <c r="U36" s="1058">
        <f t="shared" si="14"/>
        <v>0</v>
      </c>
      <c r="V36" s="1058">
        <f t="shared" si="14"/>
        <v>0</v>
      </c>
    </row>
    <row r="37" spans="1:22">
      <c r="A37" s="987">
        <v>31</v>
      </c>
      <c r="B37" s="988" t="s">
        <v>125</v>
      </c>
      <c r="C37" s="1198">
        <f>'[2]ALL-Reformatted'!O36</f>
        <v>0</v>
      </c>
      <c r="D37" s="1007">
        <f>'Table 3 Levels 1&amp;2'!BN39+'Table 3 Levels 1&amp;2'!BV39</f>
        <v>4320.114188911979</v>
      </c>
      <c r="E37" s="1104">
        <f t="shared" si="2"/>
        <v>0</v>
      </c>
      <c r="F37" s="1104">
        <f>'Table 4 Level 3'!N36</f>
        <v>620.83000000000004</v>
      </c>
      <c r="G37" s="1104">
        <f t="shared" si="3"/>
        <v>0</v>
      </c>
      <c r="H37" s="1061">
        <f t="shared" si="4"/>
        <v>0</v>
      </c>
      <c r="I37" s="1114">
        <f t="shared" si="5"/>
        <v>0</v>
      </c>
      <c r="J37" s="1061">
        <f t="shared" si="6"/>
        <v>0</v>
      </c>
      <c r="K37" s="1061">
        <v>0</v>
      </c>
      <c r="L37" s="1061">
        <f t="shared" si="7"/>
        <v>0</v>
      </c>
      <c r="M37" s="1061">
        <f t="shared" si="8"/>
        <v>0</v>
      </c>
      <c r="N37" s="1051">
        <f>'[18]FY2012-13 Final'!K38</f>
        <v>4669</v>
      </c>
      <c r="O37" s="992">
        <f t="shared" si="9"/>
        <v>0</v>
      </c>
      <c r="P37" s="1117">
        <f t="shared" si="10"/>
        <v>0</v>
      </c>
      <c r="Q37" s="992">
        <f t="shared" si="11"/>
        <v>0</v>
      </c>
      <c r="R37" s="992">
        <v>0</v>
      </c>
      <c r="S37" s="992">
        <f t="shared" si="12"/>
        <v>0</v>
      </c>
      <c r="T37" s="992">
        <f t="shared" si="13"/>
        <v>0</v>
      </c>
      <c r="U37" s="993">
        <f t="shared" si="14"/>
        <v>0</v>
      </c>
      <c r="V37" s="993">
        <f t="shared" si="14"/>
        <v>0</v>
      </c>
    </row>
    <row r="38" spans="1:22">
      <c r="A38" s="994">
        <v>32</v>
      </c>
      <c r="B38" s="995" t="s">
        <v>126</v>
      </c>
      <c r="C38" s="1196">
        <f>'[2]ALL-Reformatted'!O37</f>
        <v>0</v>
      </c>
      <c r="D38" s="1003">
        <f>'Table 3 Levels 1&amp;2'!BN40+'Table 3 Levels 1&amp;2'!BV40</f>
        <v>5504.4479209353676</v>
      </c>
      <c r="E38" s="1102">
        <f t="shared" si="2"/>
        <v>0</v>
      </c>
      <c r="F38" s="1102">
        <f>'Table 4 Level 3'!N37</f>
        <v>559.77</v>
      </c>
      <c r="G38" s="1102">
        <f t="shared" si="3"/>
        <v>0</v>
      </c>
      <c r="H38" s="1059">
        <f t="shared" si="4"/>
        <v>0</v>
      </c>
      <c r="I38" s="1112">
        <f t="shared" si="5"/>
        <v>0</v>
      </c>
      <c r="J38" s="1059">
        <f t="shared" si="6"/>
        <v>0</v>
      </c>
      <c r="K38" s="1059">
        <v>0</v>
      </c>
      <c r="L38" s="1059">
        <f t="shared" si="7"/>
        <v>0</v>
      </c>
      <c r="M38" s="1059">
        <f t="shared" si="8"/>
        <v>0</v>
      </c>
      <c r="N38" s="1051">
        <f>'[18]FY2012-13 Final'!K39</f>
        <v>1965</v>
      </c>
      <c r="O38" s="1053">
        <f t="shared" si="9"/>
        <v>0</v>
      </c>
      <c r="P38" s="1118">
        <f t="shared" si="10"/>
        <v>0</v>
      </c>
      <c r="Q38" s="1053">
        <f t="shared" si="11"/>
        <v>0</v>
      </c>
      <c r="R38" s="1053">
        <v>0</v>
      </c>
      <c r="S38" s="1053">
        <f t="shared" si="12"/>
        <v>0</v>
      </c>
      <c r="T38" s="1053">
        <f t="shared" si="13"/>
        <v>0</v>
      </c>
      <c r="U38" s="1054">
        <f t="shared" si="14"/>
        <v>0</v>
      </c>
      <c r="V38" s="1054">
        <f t="shared" si="14"/>
        <v>0</v>
      </c>
    </row>
    <row r="39" spans="1:22">
      <c r="A39" s="994">
        <v>33</v>
      </c>
      <c r="B39" s="995" t="s">
        <v>127</v>
      </c>
      <c r="C39" s="1196">
        <f>'[2]ALL-Reformatted'!O38</f>
        <v>0</v>
      </c>
      <c r="D39" s="1003">
        <f>'Table 3 Levels 1&amp;2'!BN41+'Table 3 Levels 1&amp;2'!BV41</f>
        <v>5322.07272511876</v>
      </c>
      <c r="E39" s="1102">
        <f t="shared" si="2"/>
        <v>0</v>
      </c>
      <c r="F39" s="1102">
        <f>'Table 4 Level 3'!N38</f>
        <v>655.31000000000006</v>
      </c>
      <c r="G39" s="1102">
        <f t="shared" si="3"/>
        <v>0</v>
      </c>
      <c r="H39" s="1059">
        <f t="shared" si="4"/>
        <v>0</v>
      </c>
      <c r="I39" s="1112">
        <f t="shared" si="5"/>
        <v>0</v>
      </c>
      <c r="J39" s="1059">
        <f t="shared" si="6"/>
        <v>0</v>
      </c>
      <c r="K39" s="1059">
        <v>0</v>
      </c>
      <c r="L39" s="1059">
        <f t="shared" si="7"/>
        <v>0</v>
      </c>
      <c r="M39" s="1059">
        <f t="shared" si="8"/>
        <v>0</v>
      </c>
      <c r="N39" s="1051">
        <f>'[18]FY2012-13 Final'!K40</f>
        <v>2771</v>
      </c>
      <c r="O39" s="1053">
        <f t="shared" si="9"/>
        <v>0</v>
      </c>
      <c r="P39" s="1118">
        <f t="shared" si="10"/>
        <v>0</v>
      </c>
      <c r="Q39" s="1053">
        <f t="shared" si="11"/>
        <v>0</v>
      </c>
      <c r="R39" s="1053">
        <v>0</v>
      </c>
      <c r="S39" s="1053">
        <f t="shared" si="12"/>
        <v>0</v>
      </c>
      <c r="T39" s="1053">
        <f t="shared" si="13"/>
        <v>0</v>
      </c>
      <c r="U39" s="1054">
        <f t="shared" si="14"/>
        <v>0</v>
      </c>
      <c r="V39" s="1054">
        <f t="shared" si="14"/>
        <v>0</v>
      </c>
    </row>
    <row r="40" spans="1:22">
      <c r="A40" s="994">
        <v>34</v>
      </c>
      <c r="B40" s="995" t="s">
        <v>128</v>
      </c>
      <c r="C40" s="1196">
        <f>'[2]ALL-Reformatted'!O39</f>
        <v>0</v>
      </c>
      <c r="D40" s="1003">
        <f>'Table 3 Levels 1&amp;2'!BN42+'Table 3 Levels 1&amp;2'!BV42</f>
        <v>5959.062840731639</v>
      </c>
      <c r="E40" s="1102">
        <f t="shared" si="2"/>
        <v>0</v>
      </c>
      <c r="F40" s="1102">
        <f>'Table 4 Level 3'!N39</f>
        <v>644.11000000000013</v>
      </c>
      <c r="G40" s="1102">
        <f t="shared" si="3"/>
        <v>0</v>
      </c>
      <c r="H40" s="1059">
        <f t="shared" si="4"/>
        <v>0</v>
      </c>
      <c r="I40" s="1112">
        <f t="shared" si="5"/>
        <v>0</v>
      </c>
      <c r="J40" s="1059">
        <f t="shared" si="6"/>
        <v>0</v>
      </c>
      <c r="K40" s="1059">
        <v>0</v>
      </c>
      <c r="L40" s="1059">
        <f t="shared" si="7"/>
        <v>0</v>
      </c>
      <c r="M40" s="1059">
        <f t="shared" si="8"/>
        <v>0</v>
      </c>
      <c r="N40" s="1051">
        <f>'[18]FY2012-13 Final'!K41</f>
        <v>2758</v>
      </c>
      <c r="O40" s="1053">
        <f t="shared" si="9"/>
        <v>0</v>
      </c>
      <c r="P40" s="1118">
        <f t="shared" si="10"/>
        <v>0</v>
      </c>
      <c r="Q40" s="1053">
        <f t="shared" si="11"/>
        <v>0</v>
      </c>
      <c r="R40" s="1053">
        <v>0</v>
      </c>
      <c r="S40" s="1053">
        <f t="shared" si="12"/>
        <v>0</v>
      </c>
      <c r="T40" s="1053">
        <f t="shared" si="13"/>
        <v>0</v>
      </c>
      <c r="U40" s="1054">
        <f t="shared" si="14"/>
        <v>0</v>
      </c>
      <c r="V40" s="1054">
        <f t="shared" si="14"/>
        <v>0</v>
      </c>
    </row>
    <row r="41" spans="1:22">
      <c r="A41" s="998">
        <v>35</v>
      </c>
      <c r="B41" s="999" t="s">
        <v>129</v>
      </c>
      <c r="C41" s="1197">
        <f>'[2]ALL-Reformatted'!O40</f>
        <v>0</v>
      </c>
      <c r="D41" s="1005">
        <f>'Table 3 Levels 1&amp;2'!BN43+'Table 3 Levels 1&amp;2'!BV43</f>
        <v>4571.947611490059</v>
      </c>
      <c r="E41" s="1103">
        <f t="shared" si="2"/>
        <v>0</v>
      </c>
      <c r="F41" s="1103">
        <f>'Table 4 Level 3'!N40</f>
        <v>537.96</v>
      </c>
      <c r="G41" s="1103">
        <f t="shared" si="3"/>
        <v>0</v>
      </c>
      <c r="H41" s="1060">
        <f t="shared" si="4"/>
        <v>0</v>
      </c>
      <c r="I41" s="1113">
        <f t="shared" si="5"/>
        <v>0</v>
      </c>
      <c r="J41" s="1060">
        <f t="shared" si="6"/>
        <v>0</v>
      </c>
      <c r="K41" s="1060">
        <v>0</v>
      </c>
      <c r="L41" s="1060">
        <f t="shared" si="7"/>
        <v>0</v>
      </c>
      <c r="M41" s="1060">
        <f t="shared" si="8"/>
        <v>0</v>
      </c>
      <c r="N41" s="1056">
        <f>'[18]FY2012-13 Final'!K42</f>
        <v>3603</v>
      </c>
      <c r="O41" s="1057">
        <f t="shared" si="9"/>
        <v>0</v>
      </c>
      <c r="P41" s="1119">
        <f t="shared" si="10"/>
        <v>0</v>
      </c>
      <c r="Q41" s="1057">
        <f t="shared" si="11"/>
        <v>0</v>
      </c>
      <c r="R41" s="1057">
        <v>0</v>
      </c>
      <c r="S41" s="1057">
        <f t="shared" si="12"/>
        <v>0</v>
      </c>
      <c r="T41" s="1057">
        <f t="shared" si="13"/>
        <v>0</v>
      </c>
      <c r="U41" s="1058">
        <f t="shared" si="14"/>
        <v>0</v>
      </c>
      <c r="V41" s="1058">
        <f t="shared" si="14"/>
        <v>0</v>
      </c>
    </row>
    <row r="42" spans="1:22">
      <c r="A42" s="987">
        <v>36</v>
      </c>
      <c r="B42" s="988" t="s">
        <v>130</v>
      </c>
      <c r="C42" s="1198">
        <f>'[2]ALL-Reformatted'!O41</f>
        <v>0</v>
      </c>
      <c r="D42" s="1007">
        <f>'Table 3 Levels 1&amp;2'!BN44+'Table 3 Levels 1&amp;2'!BV44</f>
        <v>3666.4136012725312</v>
      </c>
      <c r="E42" s="1104">
        <f t="shared" si="2"/>
        <v>0</v>
      </c>
      <c r="F42" s="1104">
        <f>'Table 5B1_RSD_Orleans'!F78</f>
        <v>746.0335616438357</v>
      </c>
      <c r="G42" s="1104">
        <f t="shared" si="3"/>
        <v>0</v>
      </c>
      <c r="H42" s="1061">
        <f t="shared" si="4"/>
        <v>0</v>
      </c>
      <c r="I42" s="1114">
        <f t="shared" si="5"/>
        <v>0</v>
      </c>
      <c r="J42" s="1061">
        <f t="shared" si="6"/>
        <v>0</v>
      </c>
      <c r="K42" s="1061">
        <v>0</v>
      </c>
      <c r="L42" s="1061">
        <f t="shared" si="7"/>
        <v>0</v>
      </c>
      <c r="M42" s="1061">
        <f t="shared" si="8"/>
        <v>0</v>
      </c>
      <c r="N42" s="1051">
        <f>'[18]FY2012-13 Final'!K43</f>
        <v>4601</v>
      </c>
      <c r="O42" s="992">
        <f t="shared" si="9"/>
        <v>0</v>
      </c>
      <c r="P42" s="1117">
        <f t="shared" si="10"/>
        <v>0</v>
      </c>
      <c r="Q42" s="992">
        <f t="shared" si="11"/>
        <v>0</v>
      </c>
      <c r="R42" s="992">
        <v>0</v>
      </c>
      <c r="S42" s="992">
        <f t="shared" si="12"/>
        <v>0</v>
      </c>
      <c r="T42" s="992">
        <f t="shared" si="13"/>
        <v>0</v>
      </c>
      <c r="U42" s="993">
        <f t="shared" si="14"/>
        <v>0</v>
      </c>
      <c r="V42" s="993">
        <f t="shared" si="14"/>
        <v>0</v>
      </c>
    </row>
    <row r="43" spans="1:22">
      <c r="A43" s="994">
        <v>37</v>
      </c>
      <c r="B43" s="995" t="s">
        <v>131</v>
      </c>
      <c r="C43" s="1196">
        <f>'[2]ALL-Reformatted'!O42</f>
        <v>0</v>
      </c>
      <c r="D43" s="1003">
        <f>'Table 3 Levels 1&amp;2'!BN45+'Table 3 Levels 1&amp;2'!BV45</f>
        <v>5484.8089042263191</v>
      </c>
      <c r="E43" s="1102">
        <f t="shared" si="2"/>
        <v>0</v>
      </c>
      <c r="F43" s="1102">
        <f>'Table 4 Level 3'!N42</f>
        <v>653.61</v>
      </c>
      <c r="G43" s="1102">
        <f t="shared" si="3"/>
        <v>0</v>
      </c>
      <c r="H43" s="1059">
        <f t="shared" si="4"/>
        <v>0</v>
      </c>
      <c r="I43" s="1112">
        <f t="shared" si="5"/>
        <v>0</v>
      </c>
      <c r="J43" s="1059">
        <f t="shared" si="6"/>
        <v>0</v>
      </c>
      <c r="K43" s="1059">
        <v>0</v>
      </c>
      <c r="L43" s="1059">
        <f t="shared" si="7"/>
        <v>0</v>
      </c>
      <c r="M43" s="1059">
        <f t="shared" si="8"/>
        <v>0</v>
      </c>
      <c r="N43" s="1051">
        <f>'[18]FY2012-13 Final'!K44</f>
        <v>3099</v>
      </c>
      <c r="O43" s="1053">
        <f t="shared" si="9"/>
        <v>0</v>
      </c>
      <c r="P43" s="1118">
        <f t="shared" si="10"/>
        <v>0</v>
      </c>
      <c r="Q43" s="1053">
        <f t="shared" si="11"/>
        <v>0</v>
      </c>
      <c r="R43" s="1053">
        <v>0</v>
      </c>
      <c r="S43" s="1053">
        <f t="shared" si="12"/>
        <v>0</v>
      </c>
      <c r="T43" s="1053">
        <f t="shared" si="13"/>
        <v>0</v>
      </c>
      <c r="U43" s="1054">
        <f t="shared" si="14"/>
        <v>0</v>
      </c>
      <c r="V43" s="1054">
        <f t="shared" si="14"/>
        <v>0</v>
      </c>
    </row>
    <row r="44" spans="1:22">
      <c r="A44" s="994">
        <v>38</v>
      </c>
      <c r="B44" s="995" t="s">
        <v>132</v>
      </c>
      <c r="C44" s="1196">
        <f>'[2]ALL-Reformatted'!O43</f>
        <v>0</v>
      </c>
      <c r="D44" s="1003">
        <f>'Table 3 Levels 1&amp;2'!BN46+'Table 3 Levels 1&amp;2'!BV46</f>
        <v>2078.5917829727841</v>
      </c>
      <c r="E44" s="1102">
        <f t="shared" si="2"/>
        <v>0</v>
      </c>
      <c r="F44" s="1102">
        <f>'Table 4 Level 3'!N43</f>
        <v>829.92000000000007</v>
      </c>
      <c r="G44" s="1102">
        <f t="shared" si="3"/>
        <v>0</v>
      </c>
      <c r="H44" s="1059">
        <f t="shared" si="4"/>
        <v>0</v>
      </c>
      <c r="I44" s="1112">
        <f t="shared" si="5"/>
        <v>0</v>
      </c>
      <c r="J44" s="1059">
        <f t="shared" si="6"/>
        <v>0</v>
      </c>
      <c r="K44" s="1059">
        <v>0</v>
      </c>
      <c r="L44" s="1059">
        <f t="shared" si="7"/>
        <v>0</v>
      </c>
      <c r="M44" s="1059">
        <f t="shared" si="8"/>
        <v>0</v>
      </c>
      <c r="N44" s="1051">
        <f>'[18]FY2012-13 Final'!K45</f>
        <v>9674</v>
      </c>
      <c r="O44" s="1053">
        <f t="shared" si="9"/>
        <v>0</v>
      </c>
      <c r="P44" s="1118">
        <f t="shared" si="10"/>
        <v>0</v>
      </c>
      <c r="Q44" s="1053">
        <f t="shared" si="11"/>
        <v>0</v>
      </c>
      <c r="R44" s="1053">
        <v>0</v>
      </c>
      <c r="S44" s="1053">
        <f t="shared" si="12"/>
        <v>0</v>
      </c>
      <c r="T44" s="1053">
        <f t="shared" si="13"/>
        <v>0</v>
      </c>
      <c r="U44" s="1054">
        <f t="shared" si="14"/>
        <v>0</v>
      </c>
      <c r="V44" s="1054">
        <f t="shared" si="14"/>
        <v>0</v>
      </c>
    </row>
    <row r="45" spans="1:22">
      <c r="A45" s="994">
        <v>39</v>
      </c>
      <c r="B45" s="995" t="s">
        <v>133</v>
      </c>
      <c r="C45" s="1196">
        <f>'[2]ALL-Reformatted'!O44</f>
        <v>0</v>
      </c>
      <c r="D45" s="1003">
        <f>'Table 3 Levels 1&amp;2'!BN47+'Table 3 Levels 1&amp;2'!BV47</f>
        <v>3622.4878999042335</v>
      </c>
      <c r="E45" s="1102">
        <f t="shared" si="2"/>
        <v>0</v>
      </c>
      <c r="F45" s="1102">
        <f>'Table 5B2_RSD_LA'!F21</f>
        <v>779.65573042776441</v>
      </c>
      <c r="G45" s="1102">
        <f t="shared" si="3"/>
        <v>0</v>
      </c>
      <c r="H45" s="1059">
        <f t="shared" si="4"/>
        <v>0</v>
      </c>
      <c r="I45" s="1112">
        <f t="shared" si="5"/>
        <v>0</v>
      </c>
      <c r="J45" s="1059">
        <f t="shared" si="6"/>
        <v>0</v>
      </c>
      <c r="K45" s="1059">
        <v>0</v>
      </c>
      <c r="L45" s="1059">
        <f t="shared" si="7"/>
        <v>0</v>
      </c>
      <c r="M45" s="1059">
        <f t="shared" si="8"/>
        <v>0</v>
      </c>
      <c r="N45" s="1051">
        <f>'[18]FY2012-13 Final'!K46</f>
        <v>4277</v>
      </c>
      <c r="O45" s="1053">
        <f t="shared" si="9"/>
        <v>0</v>
      </c>
      <c r="P45" s="1118">
        <f t="shared" si="10"/>
        <v>0</v>
      </c>
      <c r="Q45" s="1053">
        <f t="shared" si="11"/>
        <v>0</v>
      </c>
      <c r="R45" s="1053">
        <v>0</v>
      </c>
      <c r="S45" s="1053">
        <f t="shared" si="12"/>
        <v>0</v>
      </c>
      <c r="T45" s="1053">
        <f t="shared" si="13"/>
        <v>0</v>
      </c>
      <c r="U45" s="1054">
        <f t="shared" si="14"/>
        <v>0</v>
      </c>
      <c r="V45" s="1054">
        <f t="shared" si="14"/>
        <v>0</v>
      </c>
    </row>
    <row r="46" spans="1:22">
      <c r="A46" s="998">
        <v>40</v>
      </c>
      <c r="B46" s="999" t="s">
        <v>134</v>
      </c>
      <c r="C46" s="1197">
        <f>'[2]ALL-Reformatted'!O45</f>
        <v>0</v>
      </c>
      <c r="D46" s="1005">
        <f>'Table 3 Levels 1&amp;2'!BN48+'Table 3 Levels 1&amp;2'!BV48</f>
        <v>4885.6387343180086</v>
      </c>
      <c r="E46" s="1103">
        <f t="shared" si="2"/>
        <v>0</v>
      </c>
      <c r="F46" s="1103">
        <f>'Table 4 Level 3'!N45</f>
        <v>700.2700000000001</v>
      </c>
      <c r="G46" s="1103">
        <f t="shared" si="3"/>
        <v>0</v>
      </c>
      <c r="H46" s="1060">
        <f t="shared" si="4"/>
        <v>0</v>
      </c>
      <c r="I46" s="1113">
        <f t="shared" si="5"/>
        <v>0</v>
      </c>
      <c r="J46" s="1060">
        <f t="shared" si="6"/>
        <v>0</v>
      </c>
      <c r="K46" s="1060">
        <v>0</v>
      </c>
      <c r="L46" s="1060">
        <f t="shared" si="7"/>
        <v>0</v>
      </c>
      <c r="M46" s="1060">
        <f t="shared" si="8"/>
        <v>0</v>
      </c>
      <c r="N46" s="1056">
        <f>'[18]FY2012-13 Final'!K47</f>
        <v>2921</v>
      </c>
      <c r="O46" s="1057">
        <f t="shared" si="9"/>
        <v>0</v>
      </c>
      <c r="P46" s="1119">
        <f t="shared" si="10"/>
        <v>0</v>
      </c>
      <c r="Q46" s="1057">
        <f t="shared" si="11"/>
        <v>0</v>
      </c>
      <c r="R46" s="1057">
        <v>0</v>
      </c>
      <c r="S46" s="1057">
        <f t="shared" si="12"/>
        <v>0</v>
      </c>
      <c r="T46" s="1057">
        <f t="shared" si="13"/>
        <v>0</v>
      </c>
      <c r="U46" s="1058">
        <f t="shared" si="14"/>
        <v>0</v>
      </c>
      <c r="V46" s="1058">
        <f t="shared" si="14"/>
        <v>0</v>
      </c>
    </row>
    <row r="47" spans="1:22">
      <c r="A47" s="987">
        <v>41</v>
      </c>
      <c r="B47" s="988" t="s">
        <v>135</v>
      </c>
      <c r="C47" s="1198">
        <f>'[2]ALL-Reformatted'!O46</f>
        <v>0</v>
      </c>
      <c r="D47" s="1007">
        <f>'Table 3 Levels 1&amp;2'!BN49+'Table 3 Levels 1&amp;2'!BV49</f>
        <v>1602.0398121899364</v>
      </c>
      <c r="E47" s="1104">
        <f t="shared" si="2"/>
        <v>0</v>
      </c>
      <c r="F47" s="1104">
        <f>'Table 4 Level 3'!N46</f>
        <v>886.22</v>
      </c>
      <c r="G47" s="1104">
        <f t="shared" si="3"/>
        <v>0</v>
      </c>
      <c r="H47" s="1061">
        <f t="shared" si="4"/>
        <v>0</v>
      </c>
      <c r="I47" s="1114">
        <f t="shared" si="5"/>
        <v>0</v>
      </c>
      <c r="J47" s="1061">
        <f t="shared" si="6"/>
        <v>0</v>
      </c>
      <c r="K47" s="1061">
        <v>0</v>
      </c>
      <c r="L47" s="1061">
        <f t="shared" si="7"/>
        <v>0</v>
      </c>
      <c r="M47" s="1061">
        <f t="shared" si="8"/>
        <v>0</v>
      </c>
      <c r="N47" s="1051">
        <f>'[18]FY2012-13 Final'!K48</f>
        <v>12026</v>
      </c>
      <c r="O47" s="992">
        <f t="shared" si="9"/>
        <v>0</v>
      </c>
      <c r="P47" s="1117">
        <f t="shared" si="10"/>
        <v>0</v>
      </c>
      <c r="Q47" s="992">
        <f t="shared" si="11"/>
        <v>0</v>
      </c>
      <c r="R47" s="992">
        <v>0</v>
      </c>
      <c r="S47" s="992">
        <f t="shared" si="12"/>
        <v>0</v>
      </c>
      <c r="T47" s="992">
        <f t="shared" si="13"/>
        <v>0</v>
      </c>
      <c r="U47" s="993">
        <f t="shared" si="14"/>
        <v>0</v>
      </c>
      <c r="V47" s="993">
        <f t="shared" si="14"/>
        <v>0</v>
      </c>
    </row>
    <row r="48" spans="1:22">
      <c r="A48" s="994">
        <v>42</v>
      </c>
      <c r="B48" s="995" t="s">
        <v>136</v>
      </c>
      <c r="C48" s="1196">
        <f>'[2]ALL-Reformatted'!O47</f>
        <v>0</v>
      </c>
      <c r="D48" s="1003">
        <f>'Table 3 Levels 1&amp;2'!BN50+'Table 3 Levels 1&amp;2'!BV50</f>
        <v>5098.6172346404755</v>
      </c>
      <c r="E48" s="1102">
        <f t="shared" si="2"/>
        <v>0</v>
      </c>
      <c r="F48" s="1102">
        <f>'Table 4 Level 3'!N47</f>
        <v>534.28</v>
      </c>
      <c r="G48" s="1102">
        <f t="shared" si="3"/>
        <v>0</v>
      </c>
      <c r="H48" s="1059">
        <f t="shared" si="4"/>
        <v>0</v>
      </c>
      <c r="I48" s="1112">
        <f t="shared" si="5"/>
        <v>0</v>
      </c>
      <c r="J48" s="1059">
        <f t="shared" si="6"/>
        <v>0</v>
      </c>
      <c r="K48" s="1059">
        <v>0</v>
      </c>
      <c r="L48" s="1059">
        <f t="shared" si="7"/>
        <v>0</v>
      </c>
      <c r="M48" s="1059">
        <f t="shared" si="8"/>
        <v>0</v>
      </c>
      <c r="N48" s="1051">
        <f>'[18]FY2012-13 Final'!K49</f>
        <v>2554</v>
      </c>
      <c r="O48" s="1053">
        <f t="shared" si="9"/>
        <v>0</v>
      </c>
      <c r="P48" s="1118">
        <f t="shared" si="10"/>
        <v>0</v>
      </c>
      <c r="Q48" s="1053">
        <f t="shared" si="11"/>
        <v>0</v>
      </c>
      <c r="R48" s="1053">
        <v>0</v>
      </c>
      <c r="S48" s="1053">
        <f t="shared" si="12"/>
        <v>0</v>
      </c>
      <c r="T48" s="1053">
        <f t="shared" si="13"/>
        <v>0</v>
      </c>
      <c r="U48" s="1054">
        <f t="shared" si="14"/>
        <v>0</v>
      </c>
      <c r="V48" s="1054">
        <f t="shared" si="14"/>
        <v>0</v>
      </c>
    </row>
    <row r="49" spans="1:22">
      <c r="A49" s="994">
        <v>43</v>
      </c>
      <c r="B49" s="995" t="s">
        <v>137</v>
      </c>
      <c r="C49" s="1196">
        <f>'[2]ALL-Reformatted'!O48</f>
        <v>0</v>
      </c>
      <c r="D49" s="1003">
        <f>'Table 3 Levels 1&amp;2'!BN51+'Table 3 Levels 1&amp;2'!BV51</f>
        <v>4701.3362575004667</v>
      </c>
      <c r="E49" s="1102">
        <f t="shared" si="2"/>
        <v>0</v>
      </c>
      <c r="F49" s="1102">
        <f>'Table 4 Level 3'!N48</f>
        <v>574.6099999999999</v>
      </c>
      <c r="G49" s="1102">
        <f t="shared" si="3"/>
        <v>0</v>
      </c>
      <c r="H49" s="1059">
        <f t="shared" si="4"/>
        <v>0</v>
      </c>
      <c r="I49" s="1112">
        <f t="shared" si="5"/>
        <v>0</v>
      </c>
      <c r="J49" s="1059">
        <f t="shared" si="6"/>
        <v>0</v>
      </c>
      <c r="K49" s="1059">
        <v>0</v>
      </c>
      <c r="L49" s="1059">
        <f t="shared" si="7"/>
        <v>0</v>
      </c>
      <c r="M49" s="1059">
        <f t="shared" si="8"/>
        <v>0</v>
      </c>
      <c r="N49" s="1051">
        <f>'[18]FY2012-13 Final'!K50</f>
        <v>5265</v>
      </c>
      <c r="O49" s="1053">
        <f t="shared" si="9"/>
        <v>0</v>
      </c>
      <c r="P49" s="1118">
        <f t="shared" si="10"/>
        <v>0</v>
      </c>
      <c r="Q49" s="1053">
        <f t="shared" si="11"/>
        <v>0</v>
      </c>
      <c r="R49" s="1053">
        <v>0</v>
      </c>
      <c r="S49" s="1053">
        <f t="shared" si="12"/>
        <v>0</v>
      </c>
      <c r="T49" s="1053">
        <f t="shared" si="13"/>
        <v>0</v>
      </c>
      <c r="U49" s="1054">
        <f t="shared" si="14"/>
        <v>0</v>
      </c>
      <c r="V49" s="1054">
        <f t="shared" si="14"/>
        <v>0</v>
      </c>
    </row>
    <row r="50" spans="1:22">
      <c r="A50" s="994">
        <v>44</v>
      </c>
      <c r="B50" s="995" t="s">
        <v>138</v>
      </c>
      <c r="C50" s="1196">
        <f>'[2]ALL-Reformatted'!O49</f>
        <v>0</v>
      </c>
      <c r="D50" s="1003">
        <f>'Table 3 Levels 1&amp;2'!BN52+'Table 3 Levels 1&amp;2'!BV52</f>
        <v>4649.5559521248724</v>
      </c>
      <c r="E50" s="1102">
        <f t="shared" si="2"/>
        <v>0</v>
      </c>
      <c r="F50" s="1102">
        <f>'Table 4 Level 3'!N49</f>
        <v>663.16000000000008</v>
      </c>
      <c r="G50" s="1102">
        <f t="shared" si="3"/>
        <v>0</v>
      </c>
      <c r="H50" s="1059">
        <f t="shared" si="4"/>
        <v>0</v>
      </c>
      <c r="I50" s="1112">
        <f t="shared" si="5"/>
        <v>0</v>
      </c>
      <c r="J50" s="1059">
        <f t="shared" si="6"/>
        <v>0</v>
      </c>
      <c r="K50" s="1059">
        <v>0</v>
      </c>
      <c r="L50" s="1059">
        <f t="shared" si="7"/>
        <v>0</v>
      </c>
      <c r="M50" s="1059">
        <f t="shared" si="8"/>
        <v>0</v>
      </c>
      <c r="N50" s="1051">
        <f>'[18]FY2012-13 Final'!K51</f>
        <v>4109</v>
      </c>
      <c r="O50" s="1053">
        <f t="shared" si="9"/>
        <v>0</v>
      </c>
      <c r="P50" s="1118">
        <f t="shared" si="10"/>
        <v>0</v>
      </c>
      <c r="Q50" s="1053">
        <f t="shared" si="11"/>
        <v>0</v>
      </c>
      <c r="R50" s="1053">
        <v>0</v>
      </c>
      <c r="S50" s="1053">
        <f t="shared" si="12"/>
        <v>0</v>
      </c>
      <c r="T50" s="1053">
        <f t="shared" si="13"/>
        <v>0</v>
      </c>
      <c r="U50" s="1054">
        <f t="shared" si="14"/>
        <v>0</v>
      </c>
      <c r="V50" s="1054">
        <f t="shared" si="14"/>
        <v>0</v>
      </c>
    </row>
    <row r="51" spans="1:22">
      <c r="A51" s="998">
        <v>45</v>
      </c>
      <c r="B51" s="999" t="s">
        <v>139</v>
      </c>
      <c r="C51" s="1197">
        <f>'[2]ALL-Reformatted'!O50</f>
        <v>0</v>
      </c>
      <c r="D51" s="1005">
        <f>'Table 3 Levels 1&amp;2'!BN53+'Table 3 Levels 1&amp;2'!BV53</f>
        <v>2159.257884231537</v>
      </c>
      <c r="E51" s="1103">
        <f t="shared" si="2"/>
        <v>0</v>
      </c>
      <c r="F51" s="1103">
        <f>'Table 4 Level 3'!N50</f>
        <v>753.96000000000015</v>
      </c>
      <c r="G51" s="1103">
        <f t="shared" si="3"/>
        <v>0</v>
      </c>
      <c r="H51" s="1060">
        <f t="shared" si="4"/>
        <v>0</v>
      </c>
      <c r="I51" s="1113">
        <f t="shared" si="5"/>
        <v>0</v>
      </c>
      <c r="J51" s="1060">
        <f t="shared" si="6"/>
        <v>0</v>
      </c>
      <c r="K51" s="1060">
        <v>0</v>
      </c>
      <c r="L51" s="1060">
        <f t="shared" si="7"/>
        <v>0</v>
      </c>
      <c r="M51" s="1060">
        <f t="shared" si="8"/>
        <v>0</v>
      </c>
      <c r="N51" s="1056">
        <f>'[18]FY2012-13 Final'!K52</f>
        <v>12427</v>
      </c>
      <c r="O51" s="1057">
        <f t="shared" si="9"/>
        <v>0</v>
      </c>
      <c r="P51" s="1119">
        <f t="shared" si="10"/>
        <v>0</v>
      </c>
      <c r="Q51" s="1057">
        <f t="shared" si="11"/>
        <v>0</v>
      </c>
      <c r="R51" s="1057">
        <v>0</v>
      </c>
      <c r="S51" s="1057">
        <f t="shared" si="12"/>
        <v>0</v>
      </c>
      <c r="T51" s="1057">
        <f t="shared" si="13"/>
        <v>0</v>
      </c>
      <c r="U51" s="1058">
        <f t="shared" si="14"/>
        <v>0</v>
      </c>
      <c r="V51" s="1058">
        <f t="shared" si="14"/>
        <v>0</v>
      </c>
    </row>
    <row r="52" spans="1:22">
      <c r="A52" s="987">
        <v>46</v>
      </c>
      <c r="B52" s="988" t="s">
        <v>140</v>
      </c>
      <c r="C52" s="1198">
        <f>'[2]ALL-Reformatted'!O51</f>
        <v>0</v>
      </c>
      <c r="D52" s="1007">
        <f>'Table 3 Levels 1&amp;2'!BN54+'Table 3 Levels 1&amp;2'!BV54</f>
        <v>5578.7258135108641</v>
      </c>
      <c r="E52" s="1104">
        <f t="shared" si="2"/>
        <v>0</v>
      </c>
      <c r="F52" s="1104">
        <f>'Table 4 Level 3'!N51</f>
        <v>728.06</v>
      </c>
      <c r="G52" s="1104">
        <f t="shared" si="3"/>
        <v>0</v>
      </c>
      <c r="H52" s="1061">
        <f t="shared" si="4"/>
        <v>0</v>
      </c>
      <c r="I52" s="1114">
        <f t="shared" si="5"/>
        <v>0</v>
      </c>
      <c r="J52" s="1061">
        <f t="shared" si="6"/>
        <v>0</v>
      </c>
      <c r="K52" s="1061">
        <v>0</v>
      </c>
      <c r="L52" s="1061">
        <f t="shared" si="7"/>
        <v>0</v>
      </c>
      <c r="M52" s="1061">
        <f t="shared" si="8"/>
        <v>0</v>
      </c>
      <c r="N52" s="1051">
        <f>'[18]FY2012-13 Final'!K53</f>
        <v>1968</v>
      </c>
      <c r="O52" s="992">
        <f t="shared" si="9"/>
        <v>0</v>
      </c>
      <c r="P52" s="1117">
        <f t="shared" si="10"/>
        <v>0</v>
      </c>
      <c r="Q52" s="992">
        <f t="shared" si="11"/>
        <v>0</v>
      </c>
      <c r="R52" s="992">
        <v>0</v>
      </c>
      <c r="S52" s="992">
        <f t="shared" si="12"/>
        <v>0</v>
      </c>
      <c r="T52" s="992">
        <f t="shared" si="13"/>
        <v>0</v>
      </c>
      <c r="U52" s="993">
        <f t="shared" si="14"/>
        <v>0</v>
      </c>
      <c r="V52" s="993">
        <f t="shared" si="14"/>
        <v>0</v>
      </c>
    </row>
    <row r="53" spans="1:22">
      <c r="A53" s="994">
        <v>47</v>
      </c>
      <c r="B53" s="995" t="s">
        <v>141</v>
      </c>
      <c r="C53" s="1196">
        <f>'[2]ALL-Reformatted'!O52</f>
        <v>0</v>
      </c>
      <c r="D53" s="1003">
        <f>'Table 3 Levels 1&amp;2'!BN55+'Table 3 Levels 1&amp;2'!BV55</f>
        <v>2709.058014721415</v>
      </c>
      <c r="E53" s="1102">
        <f t="shared" si="2"/>
        <v>0</v>
      </c>
      <c r="F53" s="1102">
        <f>'Table 4 Level 3'!N52</f>
        <v>910.76</v>
      </c>
      <c r="G53" s="1102">
        <f t="shared" si="3"/>
        <v>0</v>
      </c>
      <c r="H53" s="1059">
        <f t="shared" si="4"/>
        <v>0</v>
      </c>
      <c r="I53" s="1112">
        <f t="shared" si="5"/>
        <v>0</v>
      </c>
      <c r="J53" s="1059">
        <f t="shared" si="6"/>
        <v>0</v>
      </c>
      <c r="K53" s="1059">
        <v>0</v>
      </c>
      <c r="L53" s="1059">
        <f t="shared" si="7"/>
        <v>0</v>
      </c>
      <c r="M53" s="1059">
        <f t="shared" si="8"/>
        <v>0</v>
      </c>
      <c r="N53" s="1051">
        <f>'[18]FY2012-13 Final'!K54</f>
        <v>10049</v>
      </c>
      <c r="O53" s="1053">
        <f t="shared" si="9"/>
        <v>0</v>
      </c>
      <c r="P53" s="1118">
        <f t="shared" si="10"/>
        <v>0</v>
      </c>
      <c r="Q53" s="1053">
        <f t="shared" si="11"/>
        <v>0</v>
      </c>
      <c r="R53" s="1053">
        <v>0</v>
      </c>
      <c r="S53" s="1053">
        <f t="shared" si="12"/>
        <v>0</v>
      </c>
      <c r="T53" s="1053">
        <f t="shared" si="13"/>
        <v>0</v>
      </c>
      <c r="U53" s="1054">
        <f t="shared" si="14"/>
        <v>0</v>
      </c>
      <c r="V53" s="1054">
        <f t="shared" si="14"/>
        <v>0</v>
      </c>
    </row>
    <row r="54" spans="1:22">
      <c r="A54" s="994">
        <v>48</v>
      </c>
      <c r="B54" s="995" t="s">
        <v>202</v>
      </c>
      <c r="C54" s="1196">
        <f>'[2]ALL-Reformatted'!O53</f>
        <v>0</v>
      </c>
      <c r="D54" s="1003">
        <f>'Table 3 Levels 1&amp;2'!BN56+'Table 3 Levels 1&amp;2'!BV56</f>
        <v>4259.4136153508553</v>
      </c>
      <c r="E54" s="1102">
        <f t="shared" si="2"/>
        <v>0</v>
      </c>
      <c r="F54" s="1102">
        <f>'Table 4 Level 3'!N53</f>
        <v>871.07</v>
      </c>
      <c r="G54" s="1102">
        <f t="shared" si="3"/>
        <v>0</v>
      </c>
      <c r="H54" s="1059">
        <f t="shared" si="4"/>
        <v>0</v>
      </c>
      <c r="I54" s="1112">
        <f t="shared" si="5"/>
        <v>0</v>
      </c>
      <c r="J54" s="1059">
        <f t="shared" si="6"/>
        <v>0</v>
      </c>
      <c r="K54" s="1059">
        <v>0</v>
      </c>
      <c r="L54" s="1059">
        <f t="shared" si="7"/>
        <v>0</v>
      </c>
      <c r="M54" s="1059">
        <f t="shared" si="8"/>
        <v>0</v>
      </c>
      <c r="N54" s="1051">
        <f>'[18]FY2012-13 Final'!K55</f>
        <v>5755</v>
      </c>
      <c r="O54" s="1053">
        <f t="shared" si="9"/>
        <v>0</v>
      </c>
      <c r="P54" s="1118">
        <f t="shared" si="10"/>
        <v>0</v>
      </c>
      <c r="Q54" s="1053">
        <f t="shared" si="11"/>
        <v>0</v>
      </c>
      <c r="R54" s="1053">
        <v>0</v>
      </c>
      <c r="S54" s="1053">
        <f t="shared" si="12"/>
        <v>0</v>
      </c>
      <c r="T54" s="1053">
        <f t="shared" si="13"/>
        <v>0</v>
      </c>
      <c r="U54" s="1054">
        <f t="shared" si="14"/>
        <v>0</v>
      </c>
      <c r="V54" s="1054">
        <f t="shared" si="14"/>
        <v>0</v>
      </c>
    </row>
    <row r="55" spans="1:22">
      <c r="A55" s="994">
        <v>49</v>
      </c>
      <c r="B55" s="995" t="s">
        <v>142</v>
      </c>
      <c r="C55" s="1196">
        <f>'[2]ALL-Reformatted'!O54</f>
        <v>0</v>
      </c>
      <c r="D55" s="1003">
        <f>'Table 3 Levels 1&amp;2'!BN57+'Table 3 Levels 1&amp;2'!BV57</f>
        <v>4790.0513947378495</v>
      </c>
      <c r="E55" s="1102">
        <f t="shared" si="2"/>
        <v>0</v>
      </c>
      <c r="F55" s="1102">
        <f>'Table 4 Level 3'!N54</f>
        <v>574.43999999999994</v>
      </c>
      <c r="G55" s="1102">
        <f t="shared" si="3"/>
        <v>0</v>
      </c>
      <c r="H55" s="1059">
        <f t="shared" si="4"/>
        <v>0</v>
      </c>
      <c r="I55" s="1112">
        <f t="shared" si="5"/>
        <v>0</v>
      </c>
      <c r="J55" s="1059">
        <f t="shared" si="6"/>
        <v>0</v>
      </c>
      <c r="K55" s="1059">
        <v>0</v>
      </c>
      <c r="L55" s="1059">
        <f t="shared" si="7"/>
        <v>0</v>
      </c>
      <c r="M55" s="1059">
        <f t="shared" si="8"/>
        <v>0</v>
      </c>
      <c r="N55" s="1051">
        <f>'[18]FY2012-13 Final'!K56</f>
        <v>2335</v>
      </c>
      <c r="O55" s="1053">
        <f t="shared" si="9"/>
        <v>0</v>
      </c>
      <c r="P55" s="1118">
        <f t="shared" si="10"/>
        <v>0</v>
      </c>
      <c r="Q55" s="1053">
        <f t="shared" si="11"/>
        <v>0</v>
      </c>
      <c r="R55" s="1053">
        <v>0</v>
      </c>
      <c r="S55" s="1053">
        <f t="shared" si="12"/>
        <v>0</v>
      </c>
      <c r="T55" s="1053">
        <f t="shared" si="13"/>
        <v>0</v>
      </c>
      <c r="U55" s="1054">
        <f t="shared" si="14"/>
        <v>0</v>
      </c>
      <c r="V55" s="1054">
        <f t="shared" si="14"/>
        <v>0</v>
      </c>
    </row>
    <row r="56" spans="1:22">
      <c r="A56" s="998">
        <v>50</v>
      </c>
      <c r="B56" s="999" t="s">
        <v>143</v>
      </c>
      <c r="C56" s="1197">
        <f>'[2]ALL-Reformatted'!O55</f>
        <v>0</v>
      </c>
      <c r="D56" s="1005">
        <f>'Table 3 Levels 1&amp;2'!BN58+'Table 3 Levels 1&amp;2'!BV58</f>
        <v>4954.3375045905796</v>
      </c>
      <c r="E56" s="1103">
        <f t="shared" si="2"/>
        <v>0</v>
      </c>
      <c r="F56" s="1103">
        <f>'Table 4 Level 3'!N55</f>
        <v>634.46</v>
      </c>
      <c r="G56" s="1103">
        <f t="shared" si="3"/>
        <v>0</v>
      </c>
      <c r="H56" s="1060">
        <f t="shared" si="4"/>
        <v>0</v>
      </c>
      <c r="I56" s="1113">
        <f t="shared" si="5"/>
        <v>0</v>
      </c>
      <c r="J56" s="1060">
        <f t="shared" si="6"/>
        <v>0</v>
      </c>
      <c r="K56" s="1060">
        <v>0</v>
      </c>
      <c r="L56" s="1060">
        <f t="shared" si="7"/>
        <v>0</v>
      </c>
      <c r="M56" s="1060">
        <f t="shared" si="8"/>
        <v>0</v>
      </c>
      <c r="N56" s="1056">
        <f>'[18]FY2012-13 Final'!K57</f>
        <v>2801</v>
      </c>
      <c r="O56" s="1057">
        <f t="shared" si="9"/>
        <v>0</v>
      </c>
      <c r="P56" s="1119">
        <f t="shared" si="10"/>
        <v>0</v>
      </c>
      <c r="Q56" s="1057">
        <f t="shared" si="11"/>
        <v>0</v>
      </c>
      <c r="R56" s="1057">
        <v>0</v>
      </c>
      <c r="S56" s="1057">
        <f t="shared" si="12"/>
        <v>0</v>
      </c>
      <c r="T56" s="1057">
        <f t="shared" si="13"/>
        <v>0</v>
      </c>
      <c r="U56" s="1058">
        <f t="shared" si="14"/>
        <v>0</v>
      </c>
      <c r="V56" s="1058">
        <f t="shared" si="14"/>
        <v>0</v>
      </c>
    </row>
    <row r="57" spans="1:22">
      <c r="A57" s="987">
        <v>51</v>
      </c>
      <c r="B57" s="988" t="s">
        <v>144</v>
      </c>
      <c r="C57" s="1198">
        <f>'[2]ALL-Reformatted'!O56</f>
        <v>0</v>
      </c>
      <c r="D57" s="1007">
        <f>'Table 3 Levels 1&amp;2'!BN59+'Table 3 Levels 1&amp;2'!BV59</f>
        <v>4290.3461727150461</v>
      </c>
      <c r="E57" s="1104">
        <f t="shared" si="2"/>
        <v>0</v>
      </c>
      <c r="F57" s="1104">
        <f>'Table 4 Level 3'!N56</f>
        <v>706.66</v>
      </c>
      <c r="G57" s="1104">
        <f t="shared" si="3"/>
        <v>0</v>
      </c>
      <c r="H57" s="1061">
        <f t="shared" si="4"/>
        <v>0</v>
      </c>
      <c r="I57" s="1114">
        <f t="shared" si="5"/>
        <v>0</v>
      </c>
      <c r="J57" s="1061">
        <f t="shared" si="6"/>
        <v>0</v>
      </c>
      <c r="K57" s="1061">
        <v>0</v>
      </c>
      <c r="L57" s="1061">
        <f t="shared" si="7"/>
        <v>0</v>
      </c>
      <c r="M57" s="1061">
        <f t="shared" si="8"/>
        <v>0</v>
      </c>
      <c r="N57" s="1051">
        <f>'[18]FY2012-13 Final'!K58</f>
        <v>4053</v>
      </c>
      <c r="O57" s="992">
        <f t="shared" si="9"/>
        <v>0</v>
      </c>
      <c r="P57" s="1117">
        <f t="shared" si="10"/>
        <v>0</v>
      </c>
      <c r="Q57" s="992">
        <f t="shared" si="11"/>
        <v>0</v>
      </c>
      <c r="R57" s="992">
        <v>0</v>
      </c>
      <c r="S57" s="992">
        <f t="shared" si="12"/>
        <v>0</v>
      </c>
      <c r="T57" s="992">
        <f t="shared" si="13"/>
        <v>0</v>
      </c>
      <c r="U57" s="993">
        <f t="shared" si="14"/>
        <v>0</v>
      </c>
      <c r="V57" s="993">
        <f t="shared" si="14"/>
        <v>0</v>
      </c>
    </row>
    <row r="58" spans="1:22">
      <c r="A58" s="994">
        <v>52</v>
      </c>
      <c r="B58" s="995" t="s">
        <v>145</v>
      </c>
      <c r="C58" s="1196">
        <f>'[2]ALL-Reformatted'!O57</f>
        <v>0</v>
      </c>
      <c r="D58" s="1003">
        <f>'Table 3 Levels 1&amp;2'!BN60+'Table 3 Levels 1&amp;2'!BV60</f>
        <v>4988.6415961118701</v>
      </c>
      <c r="E58" s="1102">
        <f t="shared" si="2"/>
        <v>0</v>
      </c>
      <c r="F58" s="1102">
        <f>'Table 4 Level 3'!N57</f>
        <v>658.37</v>
      </c>
      <c r="G58" s="1102">
        <f t="shared" si="3"/>
        <v>0</v>
      </c>
      <c r="H58" s="1059">
        <f t="shared" si="4"/>
        <v>0</v>
      </c>
      <c r="I58" s="1112">
        <f t="shared" si="5"/>
        <v>0</v>
      </c>
      <c r="J58" s="1059">
        <f t="shared" si="6"/>
        <v>0</v>
      </c>
      <c r="K58" s="1059">
        <v>0</v>
      </c>
      <c r="L58" s="1059">
        <f t="shared" si="7"/>
        <v>0</v>
      </c>
      <c r="M58" s="1059">
        <f t="shared" si="8"/>
        <v>0</v>
      </c>
      <c r="N58" s="1051">
        <f>'[18]FY2012-13 Final'!K59</f>
        <v>4886</v>
      </c>
      <c r="O58" s="1053">
        <f t="shared" si="9"/>
        <v>0</v>
      </c>
      <c r="P58" s="1118">
        <f t="shared" si="10"/>
        <v>0</v>
      </c>
      <c r="Q58" s="1053">
        <f t="shared" si="11"/>
        <v>0</v>
      </c>
      <c r="R58" s="1053">
        <v>0</v>
      </c>
      <c r="S58" s="1053">
        <f t="shared" si="12"/>
        <v>0</v>
      </c>
      <c r="T58" s="1053">
        <f t="shared" si="13"/>
        <v>0</v>
      </c>
      <c r="U58" s="1054">
        <f t="shared" si="14"/>
        <v>0</v>
      </c>
      <c r="V58" s="1054">
        <f t="shared" si="14"/>
        <v>0</v>
      </c>
    </row>
    <row r="59" spans="1:22">
      <c r="A59" s="994">
        <v>53</v>
      </c>
      <c r="B59" s="995" t="s">
        <v>146</v>
      </c>
      <c r="C59" s="1196">
        <f>'[2]ALL-Reformatted'!O58</f>
        <v>0</v>
      </c>
      <c r="D59" s="1003">
        <f>'Table 3 Levels 1&amp;2'!BN61+'Table 3 Levels 1&amp;2'!BV61</f>
        <v>4739.7077057162423</v>
      </c>
      <c r="E59" s="1102">
        <f t="shared" si="2"/>
        <v>0</v>
      </c>
      <c r="F59" s="1102">
        <f>'Table 4 Level 3'!N58</f>
        <v>689.74</v>
      </c>
      <c r="G59" s="1102">
        <f t="shared" si="3"/>
        <v>0</v>
      </c>
      <c r="H59" s="1059">
        <f t="shared" si="4"/>
        <v>0</v>
      </c>
      <c r="I59" s="1112">
        <f t="shared" si="5"/>
        <v>0</v>
      </c>
      <c r="J59" s="1059">
        <f t="shared" si="6"/>
        <v>0</v>
      </c>
      <c r="K59" s="1059">
        <v>0</v>
      </c>
      <c r="L59" s="1059">
        <f t="shared" si="7"/>
        <v>0</v>
      </c>
      <c r="M59" s="1059">
        <f t="shared" si="8"/>
        <v>0</v>
      </c>
      <c r="N59" s="1051">
        <f>'[18]FY2012-13 Final'!K60</f>
        <v>1929</v>
      </c>
      <c r="O59" s="1053">
        <f t="shared" si="9"/>
        <v>0</v>
      </c>
      <c r="P59" s="1118">
        <f t="shared" si="10"/>
        <v>0</v>
      </c>
      <c r="Q59" s="1053">
        <f t="shared" si="11"/>
        <v>0</v>
      </c>
      <c r="R59" s="1053">
        <v>0</v>
      </c>
      <c r="S59" s="1053">
        <f t="shared" si="12"/>
        <v>0</v>
      </c>
      <c r="T59" s="1053">
        <f t="shared" si="13"/>
        <v>0</v>
      </c>
      <c r="U59" s="1054">
        <f t="shared" si="14"/>
        <v>0</v>
      </c>
      <c r="V59" s="1054">
        <f t="shared" si="14"/>
        <v>0</v>
      </c>
    </row>
    <row r="60" spans="1:22">
      <c r="A60" s="994">
        <v>54</v>
      </c>
      <c r="B60" s="995" t="s">
        <v>147</v>
      </c>
      <c r="C60" s="1196">
        <f>'[2]ALL-Reformatted'!O59</f>
        <v>0</v>
      </c>
      <c r="D60" s="1003">
        <f>'Table 3 Levels 1&amp;2'!BN62+'Table 3 Levels 1&amp;2'!BV62</f>
        <v>5907.1276437932838</v>
      </c>
      <c r="E60" s="1102">
        <f t="shared" si="2"/>
        <v>0</v>
      </c>
      <c r="F60" s="1102">
        <f>'Table 4 Level 3'!N59</f>
        <v>951.45</v>
      </c>
      <c r="G60" s="1102">
        <f t="shared" si="3"/>
        <v>0</v>
      </c>
      <c r="H60" s="1059">
        <f t="shared" si="4"/>
        <v>0</v>
      </c>
      <c r="I60" s="1112">
        <f t="shared" si="5"/>
        <v>0</v>
      </c>
      <c r="J60" s="1059">
        <f t="shared" si="6"/>
        <v>0</v>
      </c>
      <c r="K60" s="1059">
        <v>0</v>
      </c>
      <c r="L60" s="1059">
        <f t="shared" si="7"/>
        <v>0</v>
      </c>
      <c r="M60" s="1059">
        <f t="shared" si="8"/>
        <v>0</v>
      </c>
      <c r="N60" s="1051">
        <f>'[18]FY2012-13 Final'!K61</f>
        <v>3382</v>
      </c>
      <c r="O60" s="1053">
        <f t="shared" si="9"/>
        <v>0</v>
      </c>
      <c r="P60" s="1118">
        <f t="shared" si="10"/>
        <v>0</v>
      </c>
      <c r="Q60" s="1053">
        <f t="shared" si="11"/>
        <v>0</v>
      </c>
      <c r="R60" s="1053">
        <v>0</v>
      </c>
      <c r="S60" s="1053">
        <f t="shared" si="12"/>
        <v>0</v>
      </c>
      <c r="T60" s="1053">
        <f t="shared" si="13"/>
        <v>0</v>
      </c>
      <c r="U60" s="1054">
        <f t="shared" si="14"/>
        <v>0</v>
      </c>
      <c r="V60" s="1054">
        <f t="shared" si="14"/>
        <v>0</v>
      </c>
    </row>
    <row r="61" spans="1:22">
      <c r="A61" s="998">
        <v>55</v>
      </c>
      <c r="B61" s="999" t="s">
        <v>148</v>
      </c>
      <c r="C61" s="1197">
        <f>'[2]ALL-Reformatted'!O60</f>
        <v>0</v>
      </c>
      <c r="D61" s="1005">
        <f>'Table 3 Levels 1&amp;2'!BN63+'Table 3 Levels 1&amp;2'!BV63</f>
        <v>4115.0954812679902</v>
      </c>
      <c r="E61" s="1103">
        <f t="shared" si="2"/>
        <v>0</v>
      </c>
      <c r="F61" s="1103">
        <f>'Table 4 Level 3'!N60</f>
        <v>795.14</v>
      </c>
      <c r="G61" s="1103">
        <f t="shared" si="3"/>
        <v>0</v>
      </c>
      <c r="H61" s="1060">
        <f t="shared" si="4"/>
        <v>0</v>
      </c>
      <c r="I61" s="1113">
        <f t="shared" si="5"/>
        <v>0</v>
      </c>
      <c r="J61" s="1060">
        <f t="shared" si="6"/>
        <v>0</v>
      </c>
      <c r="K61" s="1060">
        <v>0</v>
      </c>
      <c r="L61" s="1060">
        <f t="shared" si="7"/>
        <v>0</v>
      </c>
      <c r="M61" s="1060">
        <f t="shared" si="8"/>
        <v>0</v>
      </c>
      <c r="N61" s="1056">
        <f>'[18]FY2012-13 Final'!K62</f>
        <v>3127</v>
      </c>
      <c r="O61" s="1057">
        <f t="shared" si="9"/>
        <v>0</v>
      </c>
      <c r="P61" s="1119">
        <f t="shared" si="10"/>
        <v>0</v>
      </c>
      <c r="Q61" s="1057">
        <f t="shared" si="11"/>
        <v>0</v>
      </c>
      <c r="R61" s="1057">
        <v>0</v>
      </c>
      <c r="S61" s="1057">
        <f t="shared" si="12"/>
        <v>0</v>
      </c>
      <c r="T61" s="1057">
        <f t="shared" si="13"/>
        <v>0</v>
      </c>
      <c r="U61" s="1058">
        <f t="shared" si="14"/>
        <v>0</v>
      </c>
      <c r="V61" s="1058">
        <f t="shared" si="14"/>
        <v>0</v>
      </c>
    </row>
    <row r="62" spans="1:22">
      <c r="A62" s="987">
        <v>56</v>
      </c>
      <c r="B62" s="988" t="s">
        <v>149</v>
      </c>
      <c r="C62" s="1198">
        <f>'[2]ALL-Reformatted'!O61</f>
        <v>0</v>
      </c>
      <c r="D62" s="1007">
        <f>'Table 3 Levels 1&amp;2'!BN64+'Table 3 Levels 1&amp;2'!BV64</f>
        <v>4924.9032059941637</v>
      </c>
      <c r="E62" s="1104">
        <f t="shared" si="2"/>
        <v>0</v>
      </c>
      <c r="F62" s="1104">
        <f>'Table 4 Level 3'!N61</f>
        <v>614.66000000000008</v>
      </c>
      <c r="G62" s="1104">
        <f t="shared" si="3"/>
        <v>0</v>
      </c>
      <c r="H62" s="1061">
        <f t="shared" si="4"/>
        <v>0</v>
      </c>
      <c r="I62" s="1114">
        <f t="shared" si="5"/>
        <v>0</v>
      </c>
      <c r="J62" s="1061">
        <f t="shared" si="6"/>
        <v>0</v>
      </c>
      <c r="K62" s="1061">
        <v>0</v>
      </c>
      <c r="L62" s="1061">
        <f t="shared" si="7"/>
        <v>0</v>
      </c>
      <c r="M62" s="1061">
        <f t="shared" si="8"/>
        <v>0</v>
      </c>
      <c r="N62" s="1051">
        <f>'[18]FY2012-13 Final'!K63</f>
        <v>2768</v>
      </c>
      <c r="O62" s="992">
        <f t="shared" si="9"/>
        <v>0</v>
      </c>
      <c r="P62" s="1117">
        <f t="shared" si="10"/>
        <v>0</v>
      </c>
      <c r="Q62" s="992">
        <f t="shared" si="11"/>
        <v>0</v>
      </c>
      <c r="R62" s="992">
        <v>0</v>
      </c>
      <c r="S62" s="992">
        <f t="shared" si="12"/>
        <v>0</v>
      </c>
      <c r="T62" s="992">
        <f t="shared" si="13"/>
        <v>0</v>
      </c>
      <c r="U62" s="993">
        <f t="shared" si="14"/>
        <v>0</v>
      </c>
      <c r="V62" s="993">
        <f t="shared" si="14"/>
        <v>0</v>
      </c>
    </row>
    <row r="63" spans="1:22">
      <c r="A63" s="994">
        <v>57</v>
      </c>
      <c r="B63" s="995" t="s">
        <v>150</v>
      </c>
      <c r="C63" s="1196">
        <f>'[2]ALL-Reformatted'!O62</f>
        <v>0</v>
      </c>
      <c r="D63" s="1003">
        <f>'Table 3 Levels 1&amp;2'!BN65+'Table 3 Levels 1&amp;2'!BV65</f>
        <v>4434.5516744018987</v>
      </c>
      <c r="E63" s="1102">
        <f t="shared" si="2"/>
        <v>0</v>
      </c>
      <c r="F63" s="1102">
        <f>'Table 4 Level 3'!N62</f>
        <v>764.51</v>
      </c>
      <c r="G63" s="1102">
        <f t="shared" si="3"/>
        <v>0</v>
      </c>
      <c r="H63" s="1059">
        <f t="shared" si="4"/>
        <v>0</v>
      </c>
      <c r="I63" s="1112">
        <f t="shared" si="5"/>
        <v>0</v>
      </c>
      <c r="J63" s="1059">
        <f t="shared" si="6"/>
        <v>0</v>
      </c>
      <c r="K63" s="1059">
        <v>0</v>
      </c>
      <c r="L63" s="1059">
        <f t="shared" si="7"/>
        <v>0</v>
      </c>
      <c r="M63" s="1059">
        <f t="shared" si="8"/>
        <v>0</v>
      </c>
      <c r="N63" s="1051">
        <f>'[18]FY2012-13 Final'!K64</f>
        <v>2987</v>
      </c>
      <c r="O63" s="1053">
        <f t="shared" si="9"/>
        <v>0</v>
      </c>
      <c r="P63" s="1118">
        <f t="shared" si="10"/>
        <v>0</v>
      </c>
      <c r="Q63" s="1053">
        <f t="shared" si="11"/>
        <v>0</v>
      </c>
      <c r="R63" s="1053">
        <v>0</v>
      </c>
      <c r="S63" s="1053">
        <f t="shared" si="12"/>
        <v>0</v>
      </c>
      <c r="T63" s="1053">
        <f t="shared" si="13"/>
        <v>0</v>
      </c>
      <c r="U63" s="1054">
        <f t="shared" si="14"/>
        <v>0</v>
      </c>
      <c r="V63" s="1054">
        <f t="shared" si="14"/>
        <v>0</v>
      </c>
    </row>
    <row r="64" spans="1:22">
      <c r="A64" s="994">
        <v>58</v>
      </c>
      <c r="B64" s="995" t="s">
        <v>151</v>
      </c>
      <c r="C64" s="1196">
        <f>'[2]ALL-Reformatted'!O63</f>
        <v>0</v>
      </c>
      <c r="D64" s="1003">
        <f>'Table 3 Levels 1&amp;2'!BN66+'Table 3 Levels 1&amp;2'!BV66</f>
        <v>5434.7170435013286</v>
      </c>
      <c r="E64" s="1102">
        <f t="shared" si="2"/>
        <v>0</v>
      </c>
      <c r="F64" s="1102">
        <f>'Table 4 Level 3'!N63</f>
        <v>697.04</v>
      </c>
      <c r="G64" s="1102">
        <f t="shared" si="3"/>
        <v>0</v>
      </c>
      <c r="H64" s="1059">
        <f t="shared" si="4"/>
        <v>0</v>
      </c>
      <c r="I64" s="1112">
        <f t="shared" si="5"/>
        <v>0</v>
      </c>
      <c r="J64" s="1059">
        <f t="shared" si="6"/>
        <v>0</v>
      </c>
      <c r="K64" s="1059">
        <v>0</v>
      </c>
      <c r="L64" s="1059">
        <f t="shared" si="7"/>
        <v>0</v>
      </c>
      <c r="M64" s="1059">
        <f t="shared" si="8"/>
        <v>0</v>
      </c>
      <c r="N64" s="1051">
        <f>'[18]FY2012-13 Final'!K65</f>
        <v>2055</v>
      </c>
      <c r="O64" s="1053">
        <f t="shared" si="9"/>
        <v>0</v>
      </c>
      <c r="P64" s="1118">
        <f t="shared" si="10"/>
        <v>0</v>
      </c>
      <c r="Q64" s="1053">
        <f t="shared" si="11"/>
        <v>0</v>
      </c>
      <c r="R64" s="1053">
        <v>0</v>
      </c>
      <c r="S64" s="1053">
        <f t="shared" si="12"/>
        <v>0</v>
      </c>
      <c r="T64" s="1053">
        <f t="shared" si="13"/>
        <v>0</v>
      </c>
      <c r="U64" s="1054">
        <f t="shared" si="14"/>
        <v>0</v>
      </c>
      <c r="V64" s="1054">
        <f t="shared" si="14"/>
        <v>0</v>
      </c>
    </row>
    <row r="65" spans="1:22">
      <c r="A65" s="994">
        <v>59</v>
      </c>
      <c r="B65" s="995" t="s">
        <v>152</v>
      </c>
      <c r="C65" s="1196">
        <f>'[2]ALL-Reformatted'!O64</f>
        <v>0</v>
      </c>
      <c r="D65" s="1003">
        <f>'Table 3 Levels 1&amp;2'!BN67+'Table 3 Levels 1&amp;2'!BV67</f>
        <v>6252.2385330184643</v>
      </c>
      <c r="E65" s="1102">
        <f t="shared" si="2"/>
        <v>0</v>
      </c>
      <c r="F65" s="1102">
        <f>'Table 4 Level 3'!N64</f>
        <v>689.52</v>
      </c>
      <c r="G65" s="1102">
        <f t="shared" si="3"/>
        <v>0</v>
      </c>
      <c r="H65" s="1059">
        <f t="shared" si="4"/>
        <v>0</v>
      </c>
      <c r="I65" s="1112">
        <f t="shared" si="5"/>
        <v>0</v>
      </c>
      <c r="J65" s="1059">
        <f t="shared" si="6"/>
        <v>0</v>
      </c>
      <c r="K65" s="1059">
        <v>0</v>
      </c>
      <c r="L65" s="1059">
        <f t="shared" si="7"/>
        <v>0</v>
      </c>
      <c r="M65" s="1059">
        <f t="shared" si="8"/>
        <v>0</v>
      </c>
      <c r="N65" s="1051">
        <f>'[18]FY2012-13 Final'!K66</f>
        <v>1528</v>
      </c>
      <c r="O65" s="1053">
        <f t="shared" si="9"/>
        <v>0</v>
      </c>
      <c r="P65" s="1118">
        <f t="shared" si="10"/>
        <v>0</v>
      </c>
      <c r="Q65" s="1053">
        <f t="shared" si="11"/>
        <v>0</v>
      </c>
      <c r="R65" s="1053">
        <v>0</v>
      </c>
      <c r="S65" s="1053">
        <f t="shared" si="12"/>
        <v>0</v>
      </c>
      <c r="T65" s="1053">
        <f t="shared" si="13"/>
        <v>0</v>
      </c>
      <c r="U65" s="1054">
        <f t="shared" si="14"/>
        <v>0</v>
      </c>
      <c r="V65" s="1054">
        <f t="shared" si="14"/>
        <v>0</v>
      </c>
    </row>
    <row r="66" spans="1:22">
      <c r="A66" s="998">
        <v>60</v>
      </c>
      <c r="B66" s="999" t="s">
        <v>153</v>
      </c>
      <c r="C66" s="1197">
        <f>'[2]ALL-Reformatted'!O65</f>
        <v>0</v>
      </c>
      <c r="D66" s="1005">
        <f>'Table 3 Levels 1&amp;2'!BN68+'Table 3 Levels 1&amp;2'!BV68</f>
        <v>4902.6575100268701</v>
      </c>
      <c r="E66" s="1103">
        <f t="shared" si="2"/>
        <v>0</v>
      </c>
      <c r="F66" s="1103">
        <f>'Table 4 Level 3'!N65</f>
        <v>594.04</v>
      </c>
      <c r="G66" s="1103">
        <f t="shared" si="3"/>
        <v>0</v>
      </c>
      <c r="H66" s="1060">
        <f t="shared" si="4"/>
        <v>0</v>
      </c>
      <c r="I66" s="1113">
        <f t="shared" si="5"/>
        <v>0</v>
      </c>
      <c r="J66" s="1060">
        <f t="shared" si="6"/>
        <v>0</v>
      </c>
      <c r="K66" s="1060">
        <v>0</v>
      </c>
      <c r="L66" s="1060">
        <f t="shared" si="7"/>
        <v>0</v>
      </c>
      <c r="M66" s="1060">
        <f t="shared" si="8"/>
        <v>0</v>
      </c>
      <c r="N66" s="1056">
        <f>'[18]FY2012-13 Final'!K67</f>
        <v>3918</v>
      </c>
      <c r="O66" s="1057">
        <f t="shared" si="9"/>
        <v>0</v>
      </c>
      <c r="P66" s="1119">
        <f t="shared" si="10"/>
        <v>0</v>
      </c>
      <c r="Q66" s="1057">
        <f t="shared" si="11"/>
        <v>0</v>
      </c>
      <c r="R66" s="1057">
        <v>0</v>
      </c>
      <c r="S66" s="1057">
        <f t="shared" si="12"/>
        <v>0</v>
      </c>
      <c r="T66" s="1057">
        <f t="shared" si="13"/>
        <v>0</v>
      </c>
      <c r="U66" s="1058">
        <f t="shared" si="14"/>
        <v>0</v>
      </c>
      <c r="V66" s="1058">
        <f t="shared" si="14"/>
        <v>0</v>
      </c>
    </row>
    <row r="67" spans="1:22">
      <c r="A67" s="987">
        <v>61</v>
      </c>
      <c r="B67" s="988" t="s">
        <v>154</v>
      </c>
      <c r="C67" s="1198">
        <f>'[2]ALL-Reformatted'!O66</f>
        <v>0</v>
      </c>
      <c r="D67" s="1007">
        <f>'Table 3 Levels 1&amp;2'!BN69+'Table 3 Levels 1&amp;2'!BV69</f>
        <v>2872.7719101339244</v>
      </c>
      <c r="E67" s="1104">
        <f t="shared" si="2"/>
        <v>0</v>
      </c>
      <c r="F67" s="1104">
        <f>'Table 4 Level 3'!N66</f>
        <v>833.70999999999992</v>
      </c>
      <c r="G67" s="1104">
        <f t="shared" si="3"/>
        <v>0</v>
      </c>
      <c r="H67" s="1061">
        <f t="shared" si="4"/>
        <v>0</v>
      </c>
      <c r="I67" s="1114">
        <f t="shared" si="5"/>
        <v>0</v>
      </c>
      <c r="J67" s="1061">
        <f t="shared" si="6"/>
        <v>0</v>
      </c>
      <c r="K67" s="1061">
        <v>0</v>
      </c>
      <c r="L67" s="1061">
        <f t="shared" si="7"/>
        <v>0</v>
      </c>
      <c r="M67" s="1061">
        <f t="shared" si="8"/>
        <v>0</v>
      </c>
      <c r="N67" s="1051">
        <f>'[18]FY2012-13 Final'!K68</f>
        <v>6680</v>
      </c>
      <c r="O67" s="992">
        <f t="shared" si="9"/>
        <v>0</v>
      </c>
      <c r="P67" s="1117">
        <f t="shared" si="10"/>
        <v>0</v>
      </c>
      <c r="Q67" s="992">
        <f t="shared" si="11"/>
        <v>0</v>
      </c>
      <c r="R67" s="992">
        <v>0</v>
      </c>
      <c r="S67" s="992">
        <f t="shared" si="12"/>
        <v>0</v>
      </c>
      <c r="T67" s="992">
        <f t="shared" si="13"/>
        <v>0</v>
      </c>
      <c r="U67" s="993">
        <f t="shared" si="14"/>
        <v>0</v>
      </c>
      <c r="V67" s="993">
        <f t="shared" si="14"/>
        <v>0</v>
      </c>
    </row>
    <row r="68" spans="1:22">
      <c r="A68" s="994">
        <v>62</v>
      </c>
      <c r="B68" s="995" t="s">
        <v>155</v>
      </c>
      <c r="C68" s="1196">
        <f>'[2]ALL-Reformatted'!O67</f>
        <v>0</v>
      </c>
      <c r="D68" s="1003">
        <f>'Table 3 Levels 1&amp;2'!BN70+'Table 3 Levels 1&amp;2'!BV70</f>
        <v>5594.25143978908</v>
      </c>
      <c r="E68" s="1102">
        <f t="shared" si="2"/>
        <v>0</v>
      </c>
      <c r="F68" s="1102">
        <f>'Table 4 Level 3'!N67</f>
        <v>516.08000000000004</v>
      </c>
      <c r="G68" s="1102">
        <f t="shared" si="3"/>
        <v>0</v>
      </c>
      <c r="H68" s="1059">
        <f t="shared" si="4"/>
        <v>0</v>
      </c>
      <c r="I68" s="1112">
        <f t="shared" si="5"/>
        <v>0</v>
      </c>
      <c r="J68" s="1059">
        <f t="shared" si="6"/>
        <v>0</v>
      </c>
      <c r="K68" s="1059">
        <v>0</v>
      </c>
      <c r="L68" s="1059">
        <f t="shared" si="7"/>
        <v>0</v>
      </c>
      <c r="M68" s="1059">
        <f t="shared" si="8"/>
        <v>0</v>
      </c>
      <c r="N68" s="1051">
        <f>'[18]FY2012-13 Final'!K69</f>
        <v>1754</v>
      </c>
      <c r="O68" s="1053">
        <f t="shared" si="9"/>
        <v>0</v>
      </c>
      <c r="P68" s="1118">
        <f t="shared" si="10"/>
        <v>0</v>
      </c>
      <c r="Q68" s="1053">
        <f t="shared" si="11"/>
        <v>0</v>
      </c>
      <c r="R68" s="1053">
        <v>0</v>
      </c>
      <c r="S68" s="1053">
        <f t="shared" si="12"/>
        <v>0</v>
      </c>
      <c r="T68" s="1053">
        <f t="shared" si="13"/>
        <v>0</v>
      </c>
      <c r="U68" s="1054">
        <f t="shared" si="14"/>
        <v>0</v>
      </c>
      <c r="V68" s="1054">
        <f t="shared" si="14"/>
        <v>0</v>
      </c>
    </row>
    <row r="69" spans="1:22">
      <c r="A69" s="994">
        <v>63</v>
      </c>
      <c r="B69" s="995" t="s">
        <v>156</v>
      </c>
      <c r="C69" s="1196">
        <f>'[2]ALL-Reformatted'!O68</f>
        <v>0</v>
      </c>
      <c r="D69" s="1003">
        <f>'Table 3 Levels 1&amp;2'!BN71+'Table 3 Levels 1&amp;2'!BV71</f>
        <v>4318.8609300898834</v>
      </c>
      <c r="E69" s="1102">
        <f t="shared" si="2"/>
        <v>0</v>
      </c>
      <c r="F69" s="1102">
        <f>'Table 4 Level 3'!N68</f>
        <v>756.79</v>
      </c>
      <c r="G69" s="1102">
        <f t="shared" si="3"/>
        <v>0</v>
      </c>
      <c r="H69" s="1059">
        <f t="shared" si="4"/>
        <v>0</v>
      </c>
      <c r="I69" s="1112">
        <f t="shared" si="5"/>
        <v>0</v>
      </c>
      <c r="J69" s="1059">
        <f t="shared" si="6"/>
        <v>0</v>
      </c>
      <c r="K69" s="1059">
        <v>0</v>
      </c>
      <c r="L69" s="1059">
        <f t="shared" si="7"/>
        <v>0</v>
      </c>
      <c r="M69" s="1059">
        <f t="shared" si="8"/>
        <v>0</v>
      </c>
      <c r="N69" s="1051">
        <f>'[18]FY2012-13 Final'!K70</f>
        <v>7182</v>
      </c>
      <c r="O69" s="1053">
        <f t="shared" si="9"/>
        <v>0</v>
      </c>
      <c r="P69" s="1118">
        <f t="shared" si="10"/>
        <v>0</v>
      </c>
      <c r="Q69" s="1053">
        <f t="shared" si="11"/>
        <v>0</v>
      </c>
      <c r="R69" s="1053">
        <v>0</v>
      </c>
      <c r="S69" s="1053">
        <f t="shared" si="12"/>
        <v>0</v>
      </c>
      <c r="T69" s="1053">
        <f t="shared" si="13"/>
        <v>0</v>
      </c>
      <c r="U69" s="1054">
        <f t="shared" si="14"/>
        <v>0</v>
      </c>
      <c r="V69" s="1054">
        <f t="shared" si="14"/>
        <v>0</v>
      </c>
    </row>
    <row r="70" spans="1:22">
      <c r="A70" s="994">
        <v>64</v>
      </c>
      <c r="B70" s="995" t="s">
        <v>157</v>
      </c>
      <c r="C70" s="1196">
        <f>'[2]ALL-Reformatted'!O69</f>
        <v>0</v>
      </c>
      <c r="D70" s="1003">
        <f>'Table 3 Levels 1&amp;2'!BN72+'Table 3 Levels 1&amp;2'!BV72</f>
        <v>5921.7418933384488</v>
      </c>
      <c r="E70" s="1102">
        <f t="shared" si="2"/>
        <v>0</v>
      </c>
      <c r="F70" s="1102">
        <f>'Table 4 Level 3'!N69</f>
        <v>592.66</v>
      </c>
      <c r="G70" s="1102">
        <f t="shared" si="3"/>
        <v>0</v>
      </c>
      <c r="H70" s="1059">
        <f t="shared" si="4"/>
        <v>0</v>
      </c>
      <c r="I70" s="1112">
        <f t="shared" si="5"/>
        <v>0</v>
      </c>
      <c r="J70" s="1059">
        <f t="shared" si="6"/>
        <v>0</v>
      </c>
      <c r="K70" s="1059">
        <v>0</v>
      </c>
      <c r="L70" s="1059">
        <f t="shared" si="7"/>
        <v>0</v>
      </c>
      <c r="M70" s="1059">
        <f t="shared" si="8"/>
        <v>0</v>
      </c>
      <c r="N70" s="1051">
        <f>'[18]FY2012-13 Final'!K71</f>
        <v>2701</v>
      </c>
      <c r="O70" s="1053">
        <f t="shared" si="9"/>
        <v>0</v>
      </c>
      <c r="P70" s="1118">
        <f t="shared" si="10"/>
        <v>0</v>
      </c>
      <c r="Q70" s="1053">
        <f t="shared" si="11"/>
        <v>0</v>
      </c>
      <c r="R70" s="1053">
        <v>0</v>
      </c>
      <c r="S70" s="1053">
        <f t="shared" si="12"/>
        <v>0</v>
      </c>
      <c r="T70" s="1053">
        <f t="shared" si="13"/>
        <v>0</v>
      </c>
      <c r="U70" s="1054">
        <f t="shared" si="14"/>
        <v>0</v>
      </c>
      <c r="V70" s="1054">
        <f t="shared" si="14"/>
        <v>0</v>
      </c>
    </row>
    <row r="71" spans="1:22">
      <c r="A71" s="998">
        <v>65</v>
      </c>
      <c r="B71" s="999" t="s">
        <v>158</v>
      </c>
      <c r="C71" s="1197">
        <f>'[2]ALL-Reformatted'!O70</f>
        <v>0</v>
      </c>
      <c r="D71" s="1005">
        <f>'Table 3 Levels 1&amp;2'!BN73+'Table 3 Levels 1&amp;2'!BV73</f>
        <v>4578.9201269671275</v>
      </c>
      <c r="E71" s="1103">
        <f t="shared" si="2"/>
        <v>0</v>
      </c>
      <c r="F71" s="1103">
        <f>'Table 4 Level 3'!N70</f>
        <v>829.12</v>
      </c>
      <c r="G71" s="1103">
        <f t="shared" si="3"/>
        <v>0</v>
      </c>
      <c r="H71" s="1060">
        <f t="shared" si="4"/>
        <v>0</v>
      </c>
      <c r="I71" s="1113">
        <f t="shared" si="5"/>
        <v>0</v>
      </c>
      <c r="J71" s="1060">
        <f t="shared" si="6"/>
        <v>0</v>
      </c>
      <c r="K71" s="1060">
        <v>0</v>
      </c>
      <c r="L71" s="1060">
        <f t="shared" si="7"/>
        <v>0</v>
      </c>
      <c r="M71" s="1060">
        <f t="shared" si="8"/>
        <v>0</v>
      </c>
      <c r="N71" s="1056">
        <f>'[18]FY2012-13 Final'!K72</f>
        <v>4813</v>
      </c>
      <c r="O71" s="1057">
        <f t="shared" si="9"/>
        <v>0</v>
      </c>
      <c r="P71" s="1119">
        <f t="shared" si="10"/>
        <v>0</v>
      </c>
      <c r="Q71" s="1057">
        <f t="shared" si="11"/>
        <v>0</v>
      </c>
      <c r="R71" s="1057">
        <v>0</v>
      </c>
      <c r="S71" s="1057">
        <f t="shared" si="12"/>
        <v>0</v>
      </c>
      <c r="T71" s="1057">
        <f t="shared" si="13"/>
        <v>0</v>
      </c>
      <c r="U71" s="1058">
        <f t="shared" si="14"/>
        <v>0</v>
      </c>
      <c r="V71" s="1058">
        <f t="shared" si="14"/>
        <v>0</v>
      </c>
    </row>
    <row r="72" spans="1:22">
      <c r="A72" s="987">
        <v>66</v>
      </c>
      <c r="B72" s="988" t="s">
        <v>159</v>
      </c>
      <c r="C72" s="1198">
        <f>'[2]ALL-Reformatted'!O71</f>
        <v>0</v>
      </c>
      <c r="D72" s="1007">
        <f>'Table 3 Levels 1&amp;2'!BN74+'Table 3 Levels 1&amp;2'!BV74</f>
        <v>6340.8763293271122</v>
      </c>
      <c r="E72" s="1104">
        <f t="shared" ref="E72:E75" si="15">C72*D72</f>
        <v>0</v>
      </c>
      <c r="F72" s="1104">
        <f>'Table 4 Level 3'!N71</f>
        <v>730.06</v>
      </c>
      <c r="G72" s="1104">
        <f t="shared" ref="G72:G75" si="16">C72*F72</f>
        <v>0</v>
      </c>
      <c r="H72" s="1061">
        <f t="shared" ref="H72:H75" si="17">E72+G72</f>
        <v>0</v>
      </c>
      <c r="I72" s="1114">
        <f t="shared" ref="I72:I75" si="18">-(0.25%*H72)</f>
        <v>0</v>
      </c>
      <c r="J72" s="1061">
        <f t="shared" ref="J72:J75" si="19">SUM(H72:I72)</f>
        <v>0</v>
      </c>
      <c r="K72" s="1061">
        <v>0</v>
      </c>
      <c r="L72" s="1061">
        <f t="shared" ref="L72:L75" si="20">SUM(J72:K72)</f>
        <v>0</v>
      </c>
      <c r="M72" s="1061">
        <f t="shared" ref="M72:M75" si="21">L72/12</f>
        <v>0</v>
      </c>
      <c r="N72" s="1051">
        <f>'[18]FY2012-13 Final'!K73</f>
        <v>3516</v>
      </c>
      <c r="O72" s="992">
        <f t="shared" ref="O72:O75" si="22">C72*N72</f>
        <v>0</v>
      </c>
      <c r="P72" s="1117">
        <f t="shared" ref="P72:P75" si="23">-(0.25%*O72)</f>
        <v>0</v>
      </c>
      <c r="Q72" s="992">
        <f t="shared" ref="Q72:Q75" si="24">SUM(O72:P72)</f>
        <v>0</v>
      </c>
      <c r="R72" s="992">
        <v>0</v>
      </c>
      <c r="S72" s="992">
        <f t="shared" ref="S72:S75" si="25">SUM(Q72:R72)</f>
        <v>0</v>
      </c>
      <c r="T72" s="992">
        <f t="shared" ref="T72:T75" si="26">S72/12</f>
        <v>0</v>
      </c>
      <c r="U72" s="993">
        <f t="shared" ref="U72:V75" si="27">L72+S72</f>
        <v>0</v>
      </c>
      <c r="V72" s="993">
        <f t="shared" si="27"/>
        <v>0</v>
      </c>
    </row>
    <row r="73" spans="1:22">
      <c r="A73" s="994">
        <v>67</v>
      </c>
      <c r="B73" s="995" t="s">
        <v>32</v>
      </c>
      <c r="C73" s="1196">
        <f>'[2]ALL-Reformatted'!O72</f>
        <v>0</v>
      </c>
      <c r="D73" s="1003">
        <f>'Table 3 Levels 1&amp;2'!BN75+'Table 3 Levels 1&amp;2'!BV75</f>
        <v>4984.1100297034172</v>
      </c>
      <c r="E73" s="1102">
        <f t="shared" si="15"/>
        <v>0</v>
      </c>
      <c r="F73" s="1102">
        <f>'Table 4 Level 3'!N72</f>
        <v>715.61</v>
      </c>
      <c r="G73" s="1102">
        <f t="shared" si="16"/>
        <v>0</v>
      </c>
      <c r="H73" s="1059">
        <f t="shared" si="17"/>
        <v>0</v>
      </c>
      <c r="I73" s="1112">
        <f t="shared" si="18"/>
        <v>0</v>
      </c>
      <c r="J73" s="1059">
        <f t="shared" si="19"/>
        <v>0</v>
      </c>
      <c r="K73" s="1059">
        <v>0</v>
      </c>
      <c r="L73" s="1059">
        <f t="shared" si="20"/>
        <v>0</v>
      </c>
      <c r="M73" s="1059">
        <f t="shared" si="21"/>
        <v>0</v>
      </c>
      <c r="N73" s="1051">
        <f>'[18]FY2012-13 Final'!K74</f>
        <v>5052</v>
      </c>
      <c r="O73" s="1053">
        <f t="shared" si="22"/>
        <v>0</v>
      </c>
      <c r="P73" s="1118">
        <f t="shared" si="23"/>
        <v>0</v>
      </c>
      <c r="Q73" s="1053">
        <f t="shared" si="24"/>
        <v>0</v>
      </c>
      <c r="R73" s="1053">
        <v>0</v>
      </c>
      <c r="S73" s="1053">
        <f t="shared" si="25"/>
        <v>0</v>
      </c>
      <c r="T73" s="1053">
        <f t="shared" si="26"/>
        <v>0</v>
      </c>
      <c r="U73" s="1054">
        <f t="shared" si="27"/>
        <v>0</v>
      </c>
      <c r="V73" s="1054">
        <f t="shared" si="27"/>
        <v>0</v>
      </c>
    </row>
    <row r="74" spans="1:22">
      <c r="A74" s="994">
        <v>68</v>
      </c>
      <c r="B74" s="995" t="s">
        <v>30</v>
      </c>
      <c r="C74" s="1196">
        <f>'[2]ALL-Reformatted'!O73</f>
        <v>0</v>
      </c>
      <c r="D74" s="1003">
        <f>'Table 3 Levels 1&amp;2'!BN76+'Table 3 Levels 1&amp;2'!BV76</f>
        <v>6012.7854305239725</v>
      </c>
      <c r="E74" s="1102">
        <f t="shared" si="15"/>
        <v>0</v>
      </c>
      <c r="F74" s="1102">
        <f>'Table 4 Level 3'!N73</f>
        <v>798.7</v>
      </c>
      <c r="G74" s="1102">
        <f t="shared" si="16"/>
        <v>0</v>
      </c>
      <c r="H74" s="1059">
        <f t="shared" si="17"/>
        <v>0</v>
      </c>
      <c r="I74" s="1112">
        <f t="shared" si="18"/>
        <v>0</v>
      </c>
      <c r="J74" s="1059">
        <f t="shared" si="19"/>
        <v>0</v>
      </c>
      <c r="K74" s="1059">
        <v>0</v>
      </c>
      <c r="L74" s="1059">
        <f t="shared" si="20"/>
        <v>0</v>
      </c>
      <c r="M74" s="1059">
        <f t="shared" si="21"/>
        <v>0</v>
      </c>
      <c r="N74" s="1051">
        <f>'[18]FY2012-13 Final'!K75</f>
        <v>2763</v>
      </c>
      <c r="O74" s="1053">
        <f t="shared" si="22"/>
        <v>0</v>
      </c>
      <c r="P74" s="1118">
        <f t="shared" si="23"/>
        <v>0</v>
      </c>
      <c r="Q74" s="1053">
        <f t="shared" si="24"/>
        <v>0</v>
      </c>
      <c r="R74" s="1053">
        <v>0</v>
      </c>
      <c r="S74" s="1053">
        <f t="shared" si="25"/>
        <v>0</v>
      </c>
      <c r="T74" s="1053">
        <f t="shared" si="26"/>
        <v>0</v>
      </c>
      <c r="U74" s="1054">
        <f t="shared" si="27"/>
        <v>0</v>
      </c>
      <c r="V74" s="1054">
        <f t="shared" si="27"/>
        <v>0</v>
      </c>
    </row>
    <row r="75" spans="1:22">
      <c r="A75" s="1008">
        <v>69</v>
      </c>
      <c r="B75" s="1009" t="s">
        <v>213</v>
      </c>
      <c r="C75" s="1199">
        <f>'[2]ALL-Reformatted'!O74</f>
        <v>0</v>
      </c>
      <c r="D75" s="1011">
        <f>'Table 3 Levels 1&amp;2'!BN77+'Table 3 Levels 1&amp;2'!BV77</f>
        <v>5559.7139008686299</v>
      </c>
      <c r="E75" s="1105">
        <f t="shared" si="15"/>
        <v>0</v>
      </c>
      <c r="F75" s="1105">
        <f>'Table 4 Level 3'!N74</f>
        <v>705.67</v>
      </c>
      <c r="G75" s="1105">
        <f t="shared" si="16"/>
        <v>0</v>
      </c>
      <c r="H75" s="1062">
        <f t="shared" si="17"/>
        <v>0</v>
      </c>
      <c r="I75" s="1115">
        <f t="shared" si="18"/>
        <v>0</v>
      </c>
      <c r="J75" s="1062">
        <f t="shared" si="19"/>
        <v>0</v>
      </c>
      <c r="K75" s="1062">
        <v>0</v>
      </c>
      <c r="L75" s="1062">
        <f t="shared" si="20"/>
        <v>0</v>
      </c>
      <c r="M75" s="1062">
        <f t="shared" si="21"/>
        <v>0</v>
      </c>
      <c r="N75" s="1051">
        <f>'[18]FY2012-13 Final'!K76</f>
        <v>3327</v>
      </c>
      <c r="O75" s="1063">
        <f t="shared" si="22"/>
        <v>0</v>
      </c>
      <c r="P75" s="1120">
        <f t="shared" si="23"/>
        <v>0</v>
      </c>
      <c r="Q75" s="1063">
        <f t="shared" si="24"/>
        <v>0</v>
      </c>
      <c r="R75" s="1063">
        <v>0</v>
      </c>
      <c r="S75" s="1063">
        <f t="shared" si="25"/>
        <v>0</v>
      </c>
      <c r="T75" s="1063">
        <f t="shared" si="26"/>
        <v>0</v>
      </c>
      <c r="U75" s="1064">
        <f t="shared" si="27"/>
        <v>0</v>
      </c>
      <c r="V75" s="1064">
        <f t="shared" si="27"/>
        <v>0</v>
      </c>
    </row>
    <row r="76" spans="1:22" ht="13.5" thickBot="1">
      <c r="A76" s="1012"/>
      <c r="B76" s="1013" t="s">
        <v>160</v>
      </c>
      <c r="C76" s="1014">
        <f>SUM(C7:C75)</f>
        <v>531</v>
      </c>
      <c r="D76" s="1015"/>
      <c r="E76" s="1106">
        <f>SUM(E7:E75)</f>
        <v>2230952.4940132969</v>
      </c>
      <c r="F76" s="1106">
        <f>'Table 4 Level 3'!N75</f>
        <v>703.90028204588873</v>
      </c>
      <c r="G76" s="1106">
        <f t="shared" ref="G76:L76" si="28">SUM(G7:G75)</f>
        <v>323549.40000000002</v>
      </c>
      <c r="H76" s="1016">
        <f t="shared" si="28"/>
        <v>2554501.8940132968</v>
      </c>
      <c r="I76" s="1116">
        <f t="shared" si="28"/>
        <v>-6386.2547350332425</v>
      </c>
      <c r="J76" s="1016">
        <f t="shared" si="28"/>
        <v>2548115.6392782638</v>
      </c>
      <c r="K76" s="1016">
        <f t="shared" si="28"/>
        <v>0</v>
      </c>
      <c r="L76" s="1016">
        <f t="shared" si="28"/>
        <v>2548115.6392782638</v>
      </c>
      <c r="M76" s="1016">
        <f>SUM(M7:M75)</f>
        <v>212342.96993985531</v>
      </c>
      <c r="N76" s="1065"/>
      <c r="O76" s="1017">
        <f t="shared" ref="O76:V76" si="29">SUM(O7:O75)</f>
        <v>2321221</v>
      </c>
      <c r="P76" s="1121">
        <f t="shared" si="29"/>
        <v>-5803.0524999999998</v>
      </c>
      <c r="Q76" s="1017">
        <f t="shared" si="29"/>
        <v>2315417.9475000002</v>
      </c>
      <c r="R76" s="1017">
        <f t="shared" si="29"/>
        <v>0</v>
      </c>
      <c r="S76" s="1017">
        <f t="shared" si="29"/>
        <v>2315417.9475000002</v>
      </c>
      <c r="T76" s="1017">
        <f t="shared" si="29"/>
        <v>192951.49562500001</v>
      </c>
      <c r="U76" s="1018">
        <f t="shared" si="29"/>
        <v>4863533.5867782636</v>
      </c>
      <c r="V76" s="1018">
        <f t="shared" si="29"/>
        <v>405294.46556485532</v>
      </c>
    </row>
    <row r="77" spans="1:22" ht="13.5" thickTop="1"/>
  </sheetData>
  <mergeCells count="19">
    <mergeCell ref="U2:U4"/>
    <mergeCell ref="V2:V4"/>
    <mergeCell ref="C3:C4"/>
    <mergeCell ref="D3:D4"/>
    <mergeCell ref="E3:E4"/>
    <mergeCell ref="F3:F4"/>
    <mergeCell ref="G3:G4"/>
    <mergeCell ref="Q3:Q4"/>
    <mergeCell ref="R3:R4"/>
    <mergeCell ref="S3:S4"/>
    <mergeCell ref="H3:H4"/>
    <mergeCell ref="J3:J4"/>
    <mergeCell ref="K3:K4"/>
    <mergeCell ref="L3:L4"/>
    <mergeCell ref="M3:M4"/>
    <mergeCell ref="N3:N4"/>
    <mergeCell ref="A2:B4"/>
    <mergeCell ref="C2:M2"/>
    <mergeCell ref="N2:T2"/>
  </mergeCells>
  <pageMargins left="0.34" right="0.46" top="0.75" bottom="0.75" header="0.3" footer="0.3"/>
  <pageSetup paperSize="5" scale="60" firstPageNumber="74" orientation="portrait" useFirstPageNumber="1" r:id="rId1"/>
  <headerFooter>
    <oddHeader>&amp;L&amp;"Arial,Bold"&amp;20Table 5C1-H: FY2013-14 MFP Budget Letter (Projection)
Southwest LA Charter Academy</oddHeader>
    <oddFooter>&amp;R&amp;P</oddFooter>
  </headerFooter>
  <colBreaks count="1" manualBreakCount="1">
    <brk id="13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7"/>
  <sheetViews>
    <sheetView view="pageBreakPreview" zoomScale="90" zoomScaleNormal="100" zoomScaleSheetLayoutView="90" workbookViewId="0">
      <pane xSplit="2" ySplit="6" topLeftCell="C7" activePane="bottomRight" state="frozen"/>
      <selection activeCell="A2" sqref="A2:B4"/>
      <selection pane="topRight" activeCell="A2" sqref="A2:B4"/>
      <selection pane="bottomLeft" activeCell="A2" sqref="A2:B4"/>
      <selection pane="bottomRight" activeCell="A2" sqref="A2:B4"/>
    </sheetView>
  </sheetViews>
  <sheetFormatPr defaultRowHeight="12.75"/>
  <cols>
    <col min="1" max="1" width="4.28515625" style="1192" customWidth="1"/>
    <col min="2" max="2" width="17.85546875" style="1192" bestFit="1" customWidth="1"/>
    <col min="3" max="3" width="12.7109375" style="1192" customWidth="1"/>
    <col min="4" max="4" width="17" style="1192" customWidth="1"/>
    <col min="5" max="5" width="11" style="1192" bestFit="1" customWidth="1"/>
    <col min="6" max="6" width="12" style="1192" customWidth="1"/>
    <col min="7" max="7" width="13.28515625" style="1192" customWidth="1"/>
    <col min="8" max="8" width="14.5703125" style="1192" customWidth="1"/>
    <col min="9" max="9" width="12.28515625" style="1192" customWidth="1"/>
    <col min="10" max="10" width="12" style="1192" bestFit="1" customWidth="1"/>
    <col min="11" max="11" width="13.42578125" style="1192" bestFit="1" customWidth="1"/>
    <col min="12" max="12" width="14" style="1192" customWidth="1"/>
    <col min="13" max="13" width="9.28515625" style="1192" bestFit="1" customWidth="1"/>
    <col min="14" max="14" width="17.28515625" style="1192" customWidth="1"/>
    <col min="15" max="15" width="16.7109375" style="1192" customWidth="1"/>
    <col min="16" max="16" width="13.7109375" style="1192" customWidth="1"/>
    <col min="17" max="17" width="17" style="1192" customWidth="1"/>
    <col min="18" max="18" width="15.28515625" style="1192" customWidth="1"/>
    <col min="19" max="19" width="13.140625" style="1192" customWidth="1"/>
    <col min="20" max="20" width="12" style="1192" customWidth="1"/>
    <col min="21" max="21" width="11" style="1192" customWidth="1"/>
    <col min="22" max="22" width="12.140625" style="1192" customWidth="1"/>
    <col min="23" max="16384" width="9.140625" style="1192"/>
  </cols>
  <sheetData>
    <row r="1" spans="1:22">
      <c r="C1" s="1392"/>
      <c r="D1" s="1392"/>
      <c r="E1" s="1392"/>
      <c r="F1" s="1392"/>
      <c r="G1" s="1392"/>
      <c r="H1" s="1392"/>
      <c r="I1" s="1392"/>
      <c r="J1" s="1392"/>
      <c r="K1" s="1392"/>
      <c r="L1" s="1392"/>
      <c r="M1" s="1392"/>
    </row>
    <row r="2" spans="1:22" ht="45" customHeight="1">
      <c r="A2" s="2082" t="s">
        <v>1217</v>
      </c>
      <c r="B2" s="2083"/>
      <c r="C2" s="2065" t="s">
        <v>1394</v>
      </c>
      <c r="D2" s="2017"/>
      <c r="E2" s="2017"/>
      <c r="F2" s="2017"/>
      <c r="G2" s="2017"/>
      <c r="H2" s="2017"/>
      <c r="I2" s="2017"/>
      <c r="J2" s="2017"/>
      <c r="K2" s="2017"/>
      <c r="L2" s="2017"/>
      <c r="M2" s="2018"/>
      <c r="N2" s="1992" t="s">
        <v>1357</v>
      </c>
      <c r="O2" s="1993"/>
      <c r="P2" s="1993"/>
      <c r="Q2" s="1993"/>
      <c r="R2" s="1993"/>
      <c r="S2" s="1993"/>
      <c r="T2" s="1994"/>
      <c r="U2" s="1995" t="s">
        <v>1403</v>
      </c>
      <c r="V2" s="1995" t="s">
        <v>1355</v>
      </c>
    </row>
    <row r="3" spans="1:22" ht="111.75" customHeight="1">
      <c r="A3" s="2084"/>
      <c r="B3" s="2085"/>
      <c r="C3" s="2088" t="s">
        <v>1177</v>
      </c>
      <c r="D3" s="2008" t="s">
        <v>1393</v>
      </c>
      <c r="E3" s="2008" t="s">
        <v>1395</v>
      </c>
      <c r="F3" s="2006" t="s">
        <v>662</v>
      </c>
      <c r="G3" s="2006" t="s">
        <v>492</v>
      </c>
      <c r="H3" s="2006" t="s">
        <v>1396</v>
      </c>
      <c r="I3" s="1385" t="s">
        <v>510</v>
      </c>
      <c r="J3" s="2006" t="s">
        <v>1397</v>
      </c>
      <c r="K3" s="2006" t="s">
        <v>1230</v>
      </c>
      <c r="L3" s="2006" t="s">
        <v>1398</v>
      </c>
      <c r="M3" s="2008" t="s">
        <v>1356</v>
      </c>
      <c r="N3" s="2019" t="s">
        <v>694</v>
      </c>
      <c r="O3" s="1743" t="s">
        <v>1399</v>
      </c>
      <c r="P3" s="1387" t="s">
        <v>512</v>
      </c>
      <c r="Q3" s="2019" t="s">
        <v>1400</v>
      </c>
      <c r="R3" s="2019" t="s">
        <v>1230</v>
      </c>
      <c r="S3" s="2019" t="s">
        <v>1401</v>
      </c>
      <c r="T3" s="1743" t="s">
        <v>1402</v>
      </c>
      <c r="U3" s="1996"/>
      <c r="V3" s="1996"/>
    </row>
    <row r="4" spans="1:22" ht="23.25" customHeight="1">
      <c r="A4" s="2086"/>
      <c r="B4" s="2087"/>
      <c r="C4" s="2089"/>
      <c r="D4" s="2008"/>
      <c r="E4" s="2008"/>
      <c r="F4" s="2007"/>
      <c r="G4" s="2007"/>
      <c r="H4" s="2007"/>
      <c r="I4" s="1107">
        <v>2.5000000000000001E-3</v>
      </c>
      <c r="J4" s="2007"/>
      <c r="K4" s="2007"/>
      <c r="L4" s="2007"/>
      <c r="M4" s="2008"/>
      <c r="N4" s="1999"/>
      <c r="O4" s="1386"/>
      <c r="P4" s="1108">
        <v>2.5000000000000001E-3</v>
      </c>
      <c r="Q4" s="1999"/>
      <c r="R4" s="1999"/>
      <c r="S4" s="1999"/>
      <c r="T4" s="1386"/>
      <c r="U4" s="1997"/>
      <c r="V4" s="1997"/>
    </row>
    <row r="5" spans="1:22" ht="14.25" customHeight="1">
      <c r="A5" s="978"/>
      <c r="B5" s="979"/>
      <c r="C5" s="980">
        <v>1</v>
      </c>
      <c r="D5" s="980">
        <f t="shared" ref="D5" si="0">C5+1</f>
        <v>2</v>
      </c>
      <c r="E5" s="980">
        <f>D5+1</f>
        <v>3</v>
      </c>
      <c r="F5" s="980">
        <f t="shared" ref="F5:V5" si="1">E5+1</f>
        <v>4</v>
      </c>
      <c r="G5" s="980">
        <f t="shared" si="1"/>
        <v>5</v>
      </c>
      <c r="H5" s="980">
        <f t="shared" si="1"/>
        <v>6</v>
      </c>
      <c r="I5" s="980">
        <f t="shared" si="1"/>
        <v>7</v>
      </c>
      <c r="J5" s="980">
        <f t="shared" si="1"/>
        <v>8</v>
      </c>
      <c r="K5" s="980">
        <f t="shared" si="1"/>
        <v>9</v>
      </c>
      <c r="L5" s="980">
        <f t="shared" si="1"/>
        <v>10</v>
      </c>
      <c r="M5" s="980">
        <f t="shared" si="1"/>
        <v>11</v>
      </c>
      <c r="N5" s="980">
        <f t="shared" si="1"/>
        <v>12</v>
      </c>
      <c r="O5" s="980">
        <f t="shared" si="1"/>
        <v>13</v>
      </c>
      <c r="P5" s="980">
        <f t="shared" si="1"/>
        <v>14</v>
      </c>
      <c r="Q5" s="980">
        <f t="shared" si="1"/>
        <v>15</v>
      </c>
      <c r="R5" s="980">
        <f t="shared" si="1"/>
        <v>16</v>
      </c>
      <c r="S5" s="980">
        <f t="shared" si="1"/>
        <v>17</v>
      </c>
      <c r="T5" s="980">
        <f t="shared" si="1"/>
        <v>18</v>
      </c>
      <c r="U5" s="980">
        <f t="shared" si="1"/>
        <v>19</v>
      </c>
      <c r="V5" s="980">
        <f t="shared" si="1"/>
        <v>20</v>
      </c>
    </row>
    <row r="6" spans="1:22" ht="27" customHeight="1">
      <c r="A6" s="1041"/>
      <c r="B6" s="1042"/>
      <c r="C6" s="1042"/>
      <c r="D6" s="1042"/>
      <c r="E6" s="1042"/>
      <c r="F6" s="1042"/>
      <c r="G6" s="1042"/>
      <c r="H6" s="1042"/>
      <c r="I6" s="1042"/>
      <c r="J6" s="1042"/>
      <c r="K6" s="1042"/>
      <c r="L6" s="1042"/>
      <c r="M6" s="1042"/>
      <c r="N6" s="1042"/>
      <c r="O6" s="1042"/>
      <c r="P6" s="1042"/>
      <c r="Q6" s="1042"/>
      <c r="R6" s="1042"/>
      <c r="S6" s="1042"/>
      <c r="T6" s="1042"/>
      <c r="U6" s="1042"/>
      <c r="V6" s="1042"/>
    </row>
    <row r="7" spans="1:22">
      <c r="A7" s="987">
        <v>1</v>
      </c>
      <c r="B7" s="988" t="s">
        <v>95</v>
      </c>
      <c r="C7" s="989">
        <v>0</v>
      </c>
      <c r="D7" s="990">
        <f>'Table 3 Levels 1&amp;2'!BN9+'Table 3 Levels 1&amp;2'!BV9</f>
        <v>4565.2108060165392</v>
      </c>
      <c r="E7" s="1099">
        <f>C7*D7</f>
        <v>0</v>
      </c>
      <c r="F7" s="1099">
        <f>'Table 4 Level 3'!N6</f>
        <v>777.48</v>
      </c>
      <c r="G7" s="1099">
        <f>C7*F7</f>
        <v>0</v>
      </c>
      <c r="H7" s="991">
        <f>E7+G7</f>
        <v>0</v>
      </c>
      <c r="I7" s="1109">
        <f>-(0.25%*H7)</f>
        <v>0</v>
      </c>
      <c r="J7" s="991">
        <f>SUM(H7:I7)</f>
        <v>0</v>
      </c>
      <c r="K7" s="991">
        <v>0</v>
      </c>
      <c r="L7" s="991">
        <f>SUM(J7:K7)</f>
        <v>0</v>
      </c>
      <c r="M7" s="991">
        <f>L7/12</f>
        <v>0</v>
      </c>
      <c r="N7" s="1051">
        <f>'[18]FY2012-13 Final'!K8</f>
        <v>2112</v>
      </c>
      <c r="O7" s="992">
        <f>C7*N7</f>
        <v>0</v>
      </c>
      <c r="P7" s="1117">
        <f>-(0.25%*O7)</f>
        <v>0</v>
      </c>
      <c r="Q7" s="992">
        <f>SUM(O7:P7)</f>
        <v>0</v>
      </c>
      <c r="R7" s="992">
        <v>0</v>
      </c>
      <c r="S7" s="992">
        <f>SUM(Q7:R7)</f>
        <v>0</v>
      </c>
      <c r="T7" s="992">
        <f>S7/12</f>
        <v>0</v>
      </c>
      <c r="U7" s="993">
        <f>L7+S7</f>
        <v>0</v>
      </c>
      <c r="V7" s="993">
        <f>M7+T7</f>
        <v>0</v>
      </c>
    </row>
    <row r="8" spans="1:22">
      <c r="A8" s="994">
        <v>2</v>
      </c>
      <c r="B8" s="995" t="s">
        <v>96</v>
      </c>
      <c r="C8" s="1193">
        <v>0</v>
      </c>
      <c r="D8" s="997">
        <f>'Table 3 Levels 1&amp;2'!BN10+'Table 3 Levels 1&amp;2'!BV10</f>
        <v>6132.0480322513831</v>
      </c>
      <c r="E8" s="1100">
        <f t="shared" ref="E8:E71" si="2">C8*D8</f>
        <v>0</v>
      </c>
      <c r="F8" s="1100">
        <f>'Table 4 Level 3'!N7</f>
        <v>842.32</v>
      </c>
      <c r="G8" s="1100">
        <f t="shared" ref="G8:G71" si="3">C8*F8</f>
        <v>0</v>
      </c>
      <c r="H8" s="1052">
        <f t="shared" ref="H8:H71" si="4">E8+G8</f>
        <v>0</v>
      </c>
      <c r="I8" s="1110">
        <f t="shared" ref="I8:I71" si="5">-(0.25%*H8)</f>
        <v>0</v>
      </c>
      <c r="J8" s="1052">
        <f t="shared" ref="J8:J71" si="6">SUM(H8:I8)</f>
        <v>0</v>
      </c>
      <c r="K8" s="1052">
        <v>0</v>
      </c>
      <c r="L8" s="1052">
        <f t="shared" ref="L8:L71" si="7">SUM(J8:K8)</f>
        <v>0</v>
      </c>
      <c r="M8" s="1052">
        <f t="shared" ref="M8:M71" si="8">L8/12</f>
        <v>0</v>
      </c>
      <c r="N8" s="1051">
        <f>'[18]FY2012-13 Final'!K9</f>
        <v>2584</v>
      </c>
      <c r="O8" s="1053">
        <f t="shared" ref="O8:O71" si="9">C8*N8</f>
        <v>0</v>
      </c>
      <c r="P8" s="1118">
        <f t="shared" ref="P8:P71" si="10">-(0.25%*O8)</f>
        <v>0</v>
      </c>
      <c r="Q8" s="1053">
        <f t="shared" ref="Q8:Q71" si="11">SUM(O8:P8)</f>
        <v>0</v>
      </c>
      <c r="R8" s="1053">
        <v>0</v>
      </c>
      <c r="S8" s="1053">
        <f t="shared" ref="S8:S71" si="12">SUM(Q8:R8)</f>
        <v>0</v>
      </c>
      <c r="T8" s="1053">
        <f t="shared" ref="T8:T71" si="13">S8/12</f>
        <v>0</v>
      </c>
      <c r="U8" s="1054">
        <f t="shared" ref="U8:V71" si="14">L8+S8</f>
        <v>0</v>
      </c>
      <c r="V8" s="1054">
        <f t="shared" si="14"/>
        <v>0</v>
      </c>
    </row>
    <row r="9" spans="1:22">
      <c r="A9" s="994">
        <v>3</v>
      </c>
      <c r="B9" s="995" t="s">
        <v>97</v>
      </c>
      <c r="C9" s="1193">
        <f>412*5%</f>
        <v>20.6</v>
      </c>
      <c r="D9" s="997">
        <f>'Table 3 Levels 1&amp;2'!BN11+'Table 3 Levels 1&amp;2'!BV11</f>
        <v>4186.9626187036429</v>
      </c>
      <c r="E9" s="1100">
        <f t="shared" si="2"/>
        <v>86251.429945295051</v>
      </c>
      <c r="F9" s="1100">
        <f>'Table 4 Level 3'!N8</f>
        <v>596.84</v>
      </c>
      <c r="G9" s="1100">
        <f t="shared" si="3"/>
        <v>12294.904000000002</v>
      </c>
      <c r="H9" s="1052">
        <f t="shared" si="4"/>
        <v>98546.333945295046</v>
      </c>
      <c r="I9" s="1110">
        <f t="shared" si="5"/>
        <v>-246.36583486323761</v>
      </c>
      <c r="J9" s="1052">
        <f t="shared" si="6"/>
        <v>98299.968110431815</v>
      </c>
      <c r="K9" s="1052">
        <v>0</v>
      </c>
      <c r="L9" s="1052">
        <f t="shared" si="7"/>
        <v>98299.968110431815</v>
      </c>
      <c r="M9" s="1052">
        <f t="shared" si="8"/>
        <v>8191.664009202651</v>
      </c>
      <c r="N9" s="1051">
        <f>'[18]FY2012-13 Final'!K10</f>
        <v>4966</v>
      </c>
      <c r="O9" s="1053">
        <f t="shared" si="9"/>
        <v>102299.6</v>
      </c>
      <c r="P9" s="1118">
        <f t="shared" si="10"/>
        <v>-255.74900000000002</v>
      </c>
      <c r="Q9" s="1053">
        <f t="shared" si="11"/>
        <v>102043.85100000001</v>
      </c>
      <c r="R9" s="1053">
        <v>0</v>
      </c>
      <c r="S9" s="1053">
        <f t="shared" si="12"/>
        <v>102043.85100000001</v>
      </c>
      <c r="T9" s="1053">
        <f t="shared" si="13"/>
        <v>8503.6542500000014</v>
      </c>
      <c r="U9" s="1054">
        <f t="shared" si="14"/>
        <v>200343.81911043182</v>
      </c>
      <c r="V9" s="1054">
        <f t="shared" si="14"/>
        <v>16695.318259202653</v>
      </c>
    </row>
    <row r="10" spans="1:22">
      <c r="A10" s="994">
        <v>4</v>
      </c>
      <c r="B10" s="995" t="s">
        <v>98</v>
      </c>
      <c r="C10" s="1193">
        <v>0</v>
      </c>
      <c r="D10" s="997">
        <f>'Table 3 Levels 1&amp;2'!BN12+'Table 3 Levels 1&amp;2'!BV12</f>
        <v>5918.8798759182582</v>
      </c>
      <c r="E10" s="1100">
        <f t="shared" si="2"/>
        <v>0</v>
      </c>
      <c r="F10" s="1100">
        <f>'Table 4 Level 3'!N9</f>
        <v>585.76</v>
      </c>
      <c r="G10" s="1100">
        <f t="shared" si="3"/>
        <v>0</v>
      </c>
      <c r="H10" s="1052">
        <f t="shared" si="4"/>
        <v>0</v>
      </c>
      <c r="I10" s="1110">
        <f t="shared" si="5"/>
        <v>0</v>
      </c>
      <c r="J10" s="1052">
        <f t="shared" si="6"/>
        <v>0</v>
      </c>
      <c r="K10" s="1052">
        <v>0</v>
      </c>
      <c r="L10" s="1052">
        <f t="shared" si="7"/>
        <v>0</v>
      </c>
      <c r="M10" s="1052">
        <f t="shared" si="8"/>
        <v>0</v>
      </c>
      <c r="N10" s="1051">
        <f>'[18]FY2012-13 Final'!K11</f>
        <v>3445</v>
      </c>
      <c r="O10" s="1053">
        <f t="shared" si="9"/>
        <v>0</v>
      </c>
      <c r="P10" s="1118">
        <f t="shared" si="10"/>
        <v>0</v>
      </c>
      <c r="Q10" s="1053">
        <f t="shared" si="11"/>
        <v>0</v>
      </c>
      <c r="R10" s="1053">
        <v>0</v>
      </c>
      <c r="S10" s="1053">
        <f t="shared" si="12"/>
        <v>0</v>
      </c>
      <c r="T10" s="1053">
        <f t="shared" si="13"/>
        <v>0</v>
      </c>
      <c r="U10" s="1054">
        <f t="shared" si="14"/>
        <v>0</v>
      </c>
      <c r="V10" s="1054">
        <f t="shared" si="14"/>
        <v>0</v>
      </c>
    </row>
    <row r="11" spans="1:22">
      <c r="A11" s="998">
        <v>5</v>
      </c>
      <c r="B11" s="999" t="s">
        <v>99</v>
      </c>
      <c r="C11" s="1194">
        <v>0</v>
      </c>
      <c r="D11" s="1001">
        <f>'Table 3 Levels 1&amp;2'!BN13+'Table 3 Levels 1&amp;2'!BV13</f>
        <v>4880.3484353147733</v>
      </c>
      <c r="E11" s="1101">
        <f t="shared" si="2"/>
        <v>0</v>
      </c>
      <c r="F11" s="1101">
        <f>'Table 4 Level 3'!N10</f>
        <v>555.91</v>
      </c>
      <c r="G11" s="1101">
        <f t="shared" si="3"/>
        <v>0</v>
      </c>
      <c r="H11" s="1055">
        <f t="shared" si="4"/>
        <v>0</v>
      </c>
      <c r="I11" s="1111">
        <f t="shared" si="5"/>
        <v>0</v>
      </c>
      <c r="J11" s="1055">
        <f t="shared" si="6"/>
        <v>0</v>
      </c>
      <c r="K11" s="1055">
        <v>0</v>
      </c>
      <c r="L11" s="1055">
        <f t="shared" si="7"/>
        <v>0</v>
      </c>
      <c r="M11" s="1055">
        <f t="shared" si="8"/>
        <v>0</v>
      </c>
      <c r="N11" s="1056">
        <f>'[18]FY2012-13 Final'!K12</f>
        <v>1353</v>
      </c>
      <c r="O11" s="1057">
        <f t="shared" si="9"/>
        <v>0</v>
      </c>
      <c r="P11" s="1119">
        <f t="shared" si="10"/>
        <v>0</v>
      </c>
      <c r="Q11" s="1057">
        <f t="shared" si="11"/>
        <v>0</v>
      </c>
      <c r="R11" s="1057">
        <v>0</v>
      </c>
      <c r="S11" s="1057">
        <f t="shared" si="12"/>
        <v>0</v>
      </c>
      <c r="T11" s="1057">
        <f t="shared" si="13"/>
        <v>0</v>
      </c>
      <c r="U11" s="1058">
        <f t="shared" si="14"/>
        <v>0</v>
      </c>
      <c r="V11" s="1058">
        <f t="shared" si="14"/>
        <v>0</v>
      </c>
    </row>
    <row r="12" spans="1:22">
      <c r="A12" s="987">
        <v>6</v>
      </c>
      <c r="B12" s="988" t="s">
        <v>100</v>
      </c>
      <c r="C12" s="1195">
        <v>0</v>
      </c>
      <c r="D12" s="990">
        <f>'Table 3 Levels 1&amp;2'!BN14+'Table 3 Levels 1&amp;2'!BV14</f>
        <v>5379.7759718479856</v>
      </c>
      <c r="E12" s="1099">
        <f t="shared" si="2"/>
        <v>0</v>
      </c>
      <c r="F12" s="1099">
        <f>'Table 4 Level 3'!N11</f>
        <v>545.4799999999999</v>
      </c>
      <c r="G12" s="1099">
        <f t="shared" si="3"/>
        <v>0</v>
      </c>
      <c r="H12" s="991">
        <f t="shared" si="4"/>
        <v>0</v>
      </c>
      <c r="I12" s="1109">
        <f t="shared" si="5"/>
        <v>0</v>
      </c>
      <c r="J12" s="991">
        <f t="shared" si="6"/>
        <v>0</v>
      </c>
      <c r="K12" s="991">
        <v>0</v>
      </c>
      <c r="L12" s="991">
        <f t="shared" si="7"/>
        <v>0</v>
      </c>
      <c r="M12" s="991">
        <f t="shared" si="8"/>
        <v>0</v>
      </c>
      <c r="N12" s="1051">
        <f>'[18]FY2012-13 Final'!K13</f>
        <v>3576</v>
      </c>
      <c r="O12" s="992">
        <f t="shared" si="9"/>
        <v>0</v>
      </c>
      <c r="P12" s="1117">
        <f t="shared" si="10"/>
        <v>0</v>
      </c>
      <c r="Q12" s="992">
        <f t="shared" si="11"/>
        <v>0</v>
      </c>
      <c r="R12" s="992">
        <v>0</v>
      </c>
      <c r="S12" s="992">
        <f t="shared" si="12"/>
        <v>0</v>
      </c>
      <c r="T12" s="992">
        <f t="shared" si="13"/>
        <v>0</v>
      </c>
      <c r="U12" s="993">
        <f t="shared" si="14"/>
        <v>0</v>
      </c>
      <c r="V12" s="993">
        <f t="shared" si="14"/>
        <v>0</v>
      </c>
    </row>
    <row r="13" spans="1:22">
      <c r="A13" s="994">
        <v>7</v>
      </c>
      <c r="B13" s="995" t="s">
        <v>101</v>
      </c>
      <c r="C13" s="1193">
        <v>0</v>
      </c>
      <c r="D13" s="997">
        <f>'Table 3 Levels 1&amp;2'!BN15+'Table 3 Levels 1&amp;2'!BV15</f>
        <v>1698.1351763907733</v>
      </c>
      <c r="E13" s="1100">
        <f t="shared" si="2"/>
        <v>0</v>
      </c>
      <c r="F13" s="1100">
        <f>'Table 4 Level 3'!N12</f>
        <v>756.91999999999985</v>
      </c>
      <c r="G13" s="1100">
        <f t="shared" si="3"/>
        <v>0</v>
      </c>
      <c r="H13" s="1052">
        <f t="shared" si="4"/>
        <v>0</v>
      </c>
      <c r="I13" s="1110">
        <f t="shared" si="5"/>
        <v>0</v>
      </c>
      <c r="J13" s="1052">
        <f t="shared" si="6"/>
        <v>0</v>
      </c>
      <c r="K13" s="1052">
        <v>0</v>
      </c>
      <c r="L13" s="1052">
        <f t="shared" si="7"/>
        <v>0</v>
      </c>
      <c r="M13" s="1052">
        <f t="shared" si="8"/>
        <v>0</v>
      </c>
      <c r="N13" s="1051">
        <f>'[18]FY2012-13 Final'!K14</f>
        <v>12465</v>
      </c>
      <c r="O13" s="1053">
        <f t="shared" si="9"/>
        <v>0</v>
      </c>
      <c r="P13" s="1118">
        <f t="shared" si="10"/>
        <v>0</v>
      </c>
      <c r="Q13" s="1053">
        <f t="shared" si="11"/>
        <v>0</v>
      </c>
      <c r="R13" s="1053">
        <v>0</v>
      </c>
      <c r="S13" s="1053">
        <f t="shared" si="12"/>
        <v>0</v>
      </c>
      <c r="T13" s="1053">
        <f t="shared" si="13"/>
        <v>0</v>
      </c>
      <c r="U13" s="1054">
        <f t="shared" si="14"/>
        <v>0</v>
      </c>
      <c r="V13" s="1054">
        <f t="shared" si="14"/>
        <v>0</v>
      </c>
    </row>
    <row r="14" spans="1:22">
      <c r="A14" s="994">
        <v>8</v>
      </c>
      <c r="B14" s="995" t="s">
        <v>102</v>
      </c>
      <c r="C14" s="1193">
        <v>0</v>
      </c>
      <c r="D14" s="997">
        <f>'Table 3 Levels 1&amp;2'!BN16+'Table 3 Levels 1&amp;2'!BV16</f>
        <v>4239.8578920718974</v>
      </c>
      <c r="E14" s="1100">
        <f t="shared" si="2"/>
        <v>0</v>
      </c>
      <c r="F14" s="1100">
        <f>'Table 4 Level 3'!N13</f>
        <v>725.76</v>
      </c>
      <c r="G14" s="1100">
        <f t="shared" si="3"/>
        <v>0</v>
      </c>
      <c r="H14" s="1052">
        <f t="shared" si="4"/>
        <v>0</v>
      </c>
      <c r="I14" s="1110">
        <f t="shared" si="5"/>
        <v>0</v>
      </c>
      <c r="J14" s="1052">
        <f t="shared" si="6"/>
        <v>0</v>
      </c>
      <c r="K14" s="1052">
        <v>0</v>
      </c>
      <c r="L14" s="1052">
        <f t="shared" si="7"/>
        <v>0</v>
      </c>
      <c r="M14" s="1052">
        <f t="shared" si="8"/>
        <v>0</v>
      </c>
      <c r="N14" s="1051">
        <f>'[18]FY2012-13 Final'!K15</f>
        <v>4184</v>
      </c>
      <c r="O14" s="1053">
        <f t="shared" si="9"/>
        <v>0</v>
      </c>
      <c r="P14" s="1118">
        <f t="shared" si="10"/>
        <v>0</v>
      </c>
      <c r="Q14" s="1053">
        <f t="shared" si="11"/>
        <v>0</v>
      </c>
      <c r="R14" s="1053">
        <v>0</v>
      </c>
      <c r="S14" s="1053">
        <f t="shared" si="12"/>
        <v>0</v>
      </c>
      <c r="T14" s="1053">
        <f t="shared" si="13"/>
        <v>0</v>
      </c>
      <c r="U14" s="1054">
        <f t="shared" si="14"/>
        <v>0</v>
      </c>
      <c r="V14" s="1054">
        <f t="shared" si="14"/>
        <v>0</v>
      </c>
    </row>
    <row r="15" spans="1:22">
      <c r="A15" s="994">
        <v>9</v>
      </c>
      <c r="B15" s="995" t="s">
        <v>103</v>
      </c>
      <c r="C15" s="1193">
        <v>0</v>
      </c>
      <c r="D15" s="997">
        <f>'Table 3 Levels 1&amp;2'!BN17+'Table 3 Levels 1&amp;2'!BV17</f>
        <v>4361.2752875373017</v>
      </c>
      <c r="E15" s="1100">
        <f t="shared" si="2"/>
        <v>0</v>
      </c>
      <c r="F15" s="1100">
        <f>'Table 4 Level 3'!N14</f>
        <v>744.76</v>
      </c>
      <c r="G15" s="1100">
        <f t="shared" si="3"/>
        <v>0</v>
      </c>
      <c r="H15" s="1052">
        <f t="shared" si="4"/>
        <v>0</v>
      </c>
      <c r="I15" s="1110">
        <f t="shared" si="5"/>
        <v>0</v>
      </c>
      <c r="J15" s="1052">
        <f t="shared" si="6"/>
        <v>0</v>
      </c>
      <c r="K15" s="1052">
        <v>0</v>
      </c>
      <c r="L15" s="1052">
        <f t="shared" si="7"/>
        <v>0</v>
      </c>
      <c r="M15" s="1052">
        <f t="shared" si="8"/>
        <v>0</v>
      </c>
      <c r="N15" s="1051">
        <f>'[18]FY2012-13 Final'!K16</f>
        <v>4640</v>
      </c>
      <c r="O15" s="1053">
        <f t="shared" si="9"/>
        <v>0</v>
      </c>
      <c r="P15" s="1118">
        <f t="shared" si="10"/>
        <v>0</v>
      </c>
      <c r="Q15" s="1053">
        <f t="shared" si="11"/>
        <v>0</v>
      </c>
      <c r="R15" s="1053">
        <v>0</v>
      </c>
      <c r="S15" s="1053">
        <f t="shared" si="12"/>
        <v>0</v>
      </c>
      <c r="T15" s="1053">
        <f t="shared" si="13"/>
        <v>0</v>
      </c>
      <c r="U15" s="1054">
        <f t="shared" si="14"/>
        <v>0</v>
      </c>
      <c r="V15" s="1054">
        <f t="shared" si="14"/>
        <v>0</v>
      </c>
    </row>
    <row r="16" spans="1:22">
      <c r="A16" s="998">
        <v>10</v>
      </c>
      <c r="B16" s="999" t="s">
        <v>104</v>
      </c>
      <c r="C16" s="1194">
        <v>0</v>
      </c>
      <c r="D16" s="1001">
        <f>'Table 3 Levels 1&amp;2'!BN18+'Table 3 Levels 1&amp;2'!BV18</f>
        <v>4179.4641652904756</v>
      </c>
      <c r="E16" s="1101">
        <f t="shared" si="2"/>
        <v>0</v>
      </c>
      <c r="F16" s="1101">
        <f>'Table 4 Level 3'!N15</f>
        <v>608.04000000000008</v>
      </c>
      <c r="G16" s="1101">
        <f t="shared" si="3"/>
        <v>0</v>
      </c>
      <c r="H16" s="1055">
        <f t="shared" si="4"/>
        <v>0</v>
      </c>
      <c r="I16" s="1111">
        <f t="shared" si="5"/>
        <v>0</v>
      </c>
      <c r="J16" s="1055">
        <f t="shared" si="6"/>
        <v>0</v>
      </c>
      <c r="K16" s="1055">
        <v>0</v>
      </c>
      <c r="L16" s="1055">
        <f t="shared" si="7"/>
        <v>0</v>
      </c>
      <c r="M16" s="1055">
        <f t="shared" si="8"/>
        <v>0</v>
      </c>
      <c r="N16" s="1056">
        <f>'[18]FY2012-13 Final'!K17</f>
        <v>4391</v>
      </c>
      <c r="O16" s="1057">
        <f t="shared" si="9"/>
        <v>0</v>
      </c>
      <c r="P16" s="1119">
        <f t="shared" si="10"/>
        <v>0</v>
      </c>
      <c r="Q16" s="1057">
        <f t="shared" si="11"/>
        <v>0</v>
      </c>
      <c r="R16" s="1057">
        <v>0</v>
      </c>
      <c r="S16" s="1057">
        <f t="shared" si="12"/>
        <v>0</v>
      </c>
      <c r="T16" s="1057">
        <f t="shared" si="13"/>
        <v>0</v>
      </c>
      <c r="U16" s="1058">
        <f t="shared" si="14"/>
        <v>0</v>
      </c>
      <c r="V16" s="1058">
        <f t="shared" si="14"/>
        <v>0</v>
      </c>
    </row>
    <row r="17" spans="1:22">
      <c r="A17" s="987">
        <v>11</v>
      </c>
      <c r="B17" s="988" t="s">
        <v>105</v>
      </c>
      <c r="C17" s="1195">
        <v>0</v>
      </c>
      <c r="D17" s="990">
        <f>'Table 3 Levels 1&amp;2'!BN19+'Table 3 Levels 1&amp;2'!BV19</f>
        <v>6825.0221851487568</v>
      </c>
      <c r="E17" s="1099">
        <f t="shared" si="2"/>
        <v>0</v>
      </c>
      <c r="F17" s="1099">
        <f>'Table 4 Level 3'!N16</f>
        <v>706.55</v>
      </c>
      <c r="G17" s="1099">
        <f t="shared" si="3"/>
        <v>0</v>
      </c>
      <c r="H17" s="991">
        <f t="shared" si="4"/>
        <v>0</v>
      </c>
      <c r="I17" s="1109">
        <f t="shared" si="5"/>
        <v>0</v>
      </c>
      <c r="J17" s="991">
        <f t="shared" si="6"/>
        <v>0</v>
      </c>
      <c r="K17" s="991">
        <v>0</v>
      </c>
      <c r="L17" s="991">
        <f t="shared" si="7"/>
        <v>0</v>
      </c>
      <c r="M17" s="991">
        <f t="shared" si="8"/>
        <v>0</v>
      </c>
      <c r="N17" s="1051">
        <f>'[18]FY2012-13 Final'!K18</f>
        <v>3430</v>
      </c>
      <c r="O17" s="992">
        <f t="shared" si="9"/>
        <v>0</v>
      </c>
      <c r="P17" s="1117">
        <f t="shared" si="10"/>
        <v>0</v>
      </c>
      <c r="Q17" s="992">
        <f t="shared" si="11"/>
        <v>0</v>
      </c>
      <c r="R17" s="992">
        <v>0</v>
      </c>
      <c r="S17" s="992">
        <f t="shared" si="12"/>
        <v>0</v>
      </c>
      <c r="T17" s="992">
        <f t="shared" si="13"/>
        <v>0</v>
      </c>
      <c r="U17" s="993">
        <f t="shared" si="14"/>
        <v>0</v>
      </c>
      <c r="V17" s="993">
        <f t="shared" si="14"/>
        <v>0</v>
      </c>
    </row>
    <row r="18" spans="1:22">
      <c r="A18" s="994">
        <v>12</v>
      </c>
      <c r="B18" s="995" t="s">
        <v>106</v>
      </c>
      <c r="C18" s="1193">
        <v>0</v>
      </c>
      <c r="D18" s="997">
        <f>'Table 3 Levels 1&amp;2'!BN20+'Table 3 Levels 1&amp;2'!BV20</f>
        <v>1688.0492586490939</v>
      </c>
      <c r="E18" s="1100">
        <f t="shared" si="2"/>
        <v>0</v>
      </c>
      <c r="F18" s="1100">
        <f>'Table 4 Level 3'!N17</f>
        <v>1063.31</v>
      </c>
      <c r="G18" s="1100">
        <f t="shared" si="3"/>
        <v>0</v>
      </c>
      <c r="H18" s="1052">
        <f t="shared" si="4"/>
        <v>0</v>
      </c>
      <c r="I18" s="1110">
        <f t="shared" si="5"/>
        <v>0</v>
      </c>
      <c r="J18" s="1052">
        <f t="shared" si="6"/>
        <v>0</v>
      </c>
      <c r="K18" s="1052">
        <v>0</v>
      </c>
      <c r="L18" s="1052">
        <f t="shared" si="7"/>
        <v>0</v>
      </c>
      <c r="M18" s="1052">
        <f t="shared" si="8"/>
        <v>0</v>
      </c>
      <c r="N18" s="1051">
        <f>'[18]FY2012-13 Final'!K19</f>
        <v>12558</v>
      </c>
      <c r="O18" s="1053">
        <f t="shared" si="9"/>
        <v>0</v>
      </c>
      <c r="P18" s="1118">
        <f t="shared" si="10"/>
        <v>0</v>
      </c>
      <c r="Q18" s="1053">
        <f t="shared" si="11"/>
        <v>0</v>
      </c>
      <c r="R18" s="1053">
        <v>0</v>
      </c>
      <c r="S18" s="1053">
        <f t="shared" si="12"/>
        <v>0</v>
      </c>
      <c r="T18" s="1053">
        <f t="shared" si="13"/>
        <v>0</v>
      </c>
      <c r="U18" s="1054">
        <f t="shared" si="14"/>
        <v>0</v>
      </c>
      <c r="V18" s="1054">
        <f t="shared" si="14"/>
        <v>0</v>
      </c>
    </row>
    <row r="19" spans="1:22">
      <c r="A19" s="994">
        <v>13</v>
      </c>
      <c r="B19" s="995" t="s">
        <v>107</v>
      </c>
      <c r="C19" s="1193">
        <v>0</v>
      </c>
      <c r="D19" s="997">
        <f>'Table 3 Levels 1&amp;2'!BN21+'Table 3 Levels 1&amp;2'!BV21</f>
        <v>6187.1651272387344</v>
      </c>
      <c r="E19" s="1100">
        <f t="shared" si="2"/>
        <v>0</v>
      </c>
      <c r="F19" s="1100">
        <f>'Table 4 Level 3'!N18</f>
        <v>749.43000000000006</v>
      </c>
      <c r="G19" s="1100">
        <f t="shared" si="3"/>
        <v>0</v>
      </c>
      <c r="H19" s="1052">
        <f t="shared" si="4"/>
        <v>0</v>
      </c>
      <c r="I19" s="1110">
        <f t="shared" si="5"/>
        <v>0</v>
      </c>
      <c r="J19" s="1052">
        <f t="shared" si="6"/>
        <v>0</v>
      </c>
      <c r="K19" s="1052">
        <v>0</v>
      </c>
      <c r="L19" s="1052">
        <f t="shared" si="7"/>
        <v>0</v>
      </c>
      <c r="M19" s="1052">
        <f t="shared" si="8"/>
        <v>0</v>
      </c>
      <c r="N19" s="1051">
        <f>'[18]FY2012-13 Final'!K20</f>
        <v>2536</v>
      </c>
      <c r="O19" s="1053">
        <f t="shared" si="9"/>
        <v>0</v>
      </c>
      <c r="P19" s="1118">
        <f t="shared" si="10"/>
        <v>0</v>
      </c>
      <c r="Q19" s="1053">
        <f t="shared" si="11"/>
        <v>0</v>
      </c>
      <c r="R19" s="1053">
        <v>0</v>
      </c>
      <c r="S19" s="1053">
        <f t="shared" si="12"/>
        <v>0</v>
      </c>
      <c r="T19" s="1053">
        <f t="shared" si="13"/>
        <v>0</v>
      </c>
      <c r="U19" s="1054">
        <f t="shared" si="14"/>
        <v>0</v>
      </c>
      <c r="V19" s="1054">
        <f t="shared" si="14"/>
        <v>0</v>
      </c>
    </row>
    <row r="20" spans="1:22">
      <c r="A20" s="994">
        <v>14</v>
      </c>
      <c r="B20" s="995" t="s">
        <v>108</v>
      </c>
      <c r="C20" s="1193">
        <v>0</v>
      </c>
      <c r="D20" s="997">
        <f>'Table 3 Levels 1&amp;2'!BN22+'Table 3 Levels 1&amp;2'!BV22</f>
        <v>5339.1887414618923</v>
      </c>
      <c r="E20" s="1100">
        <f t="shared" si="2"/>
        <v>0</v>
      </c>
      <c r="F20" s="1100">
        <f>'Table 4 Level 3'!N19</f>
        <v>809.9799999999999</v>
      </c>
      <c r="G20" s="1100">
        <f t="shared" si="3"/>
        <v>0</v>
      </c>
      <c r="H20" s="1052">
        <f t="shared" si="4"/>
        <v>0</v>
      </c>
      <c r="I20" s="1110">
        <f t="shared" si="5"/>
        <v>0</v>
      </c>
      <c r="J20" s="1052">
        <f t="shared" si="6"/>
        <v>0</v>
      </c>
      <c r="K20" s="1052">
        <v>0</v>
      </c>
      <c r="L20" s="1052">
        <f t="shared" si="7"/>
        <v>0</v>
      </c>
      <c r="M20" s="1052">
        <f t="shared" si="8"/>
        <v>0</v>
      </c>
      <c r="N20" s="1051">
        <f>'[18]FY2012-13 Final'!K21</f>
        <v>3888</v>
      </c>
      <c r="O20" s="1053">
        <f t="shared" si="9"/>
        <v>0</v>
      </c>
      <c r="P20" s="1118">
        <f t="shared" si="10"/>
        <v>0</v>
      </c>
      <c r="Q20" s="1053">
        <f t="shared" si="11"/>
        <v>0</v>
      </c>
      <c r="R20" s="1053">
        <v>0</v>
      </c>
      <c r="S20" s="1053">
        <f t="shared" si="12"/>
        <v>0</v>
      </c>
      <c r="T20" s="1053">
        <f t="shared" si="13"/>
        <v>0</v>
      </c>
      <c r="U20" s="1054">
        <f t="shared" si="14"/>
        <v>0</v>
      </c>
      <c r="V20" s="1054">
        <f t="shared" si="14"/>
        <v>0</v>
      </c>
    </row>
    <row r="21" spans="1:22">
      <c r="A21" s="998">
        <v>15</v>
      </c>
      <c r="B21" s="999" t="s">
        <v>109</v>
      </c>
      <c r="C21" s="1194">
        <v>0</v>
      </c>
      <c r="D21" s="1001">
        <f>'Table 3 Levels 1&amp;2'!BN23+'Table 3 Levels 1&amp;2'!BV23</f>
        <v>5492.5789412344011</v>
      </c>
      <c r="E21" s="1101">
        <f t="shared" si="2"/>
        <v>0</v>
      </c>
      <c r="F21" s="1101">
        <f>'Table 4 Level 3'!N20</f>
        <v>553.79999999999995</v>
      </c>
      <c r="G21" s="1101">
        <f t="shared" si="3"/>
        <v>0</v>
      </c>
      <c r="H21" s="1055">
        <f t="shared" si="4"/>
        <v>0</v>
      </c>
      <c r="I21" s="1111">
        <f t="shared" si="5"/>
        <v>0</v>
      </c>
      <c r="J21" s="1055">
        <f t="shared" si="6"/>
        <v>0</v>
      </c>
      <c r="K21" s="1055">
        <v>0</v>
      </c>
      <c r="L21" s="1055">
        <f t="shared" si="7"/>
        <v>0</v>
      </c>
      <c r="M21" s="1055">
        <f t="shared" si="8"/>
        <v>0</v>
      </c>
      <c r="N21" s="1056">
        <f>'[18]FY2012-13 Final'!K22</f>
        <v>2752</v>
      </c>
      <c r="O21" s="1057">
        <f t="shared" si="9"/>
        <v>0</v>
      </c>
      <c r="P21" s="1119">
        <f t="shared" si="10"/>
        <v>0</v>
      </c>
      <c r="Q21" s="1057">
        <f t="shared" si="11"/>
        <v>0</v>
      </c>
      <c r="R21" s="1057">
        <v>0</v>
      </c>
      <c r="S21" s="1057">
        <f t="shared" si="12"/>
        <v>0</v>
      </c>
      <c r="T21" s="1057">
        <f t="shared" si="13"/>
        <v>0</v>
      </c>
      <c r="U21" s="1058">
        <f t="shared" si="14"/>
        <v>0</v>
      </c>
      <c r="V21" s="1058">
        <f t="shared" si="14"/>
        <v>0</v>
      </c>
    </row>
    <row r="22" spans="1:22">
      <c r="A22" s="987">
        <v>16</v>
      </c>
      <c r="B22" s="988" t="s">
        <v>110</v>
      </c>
      <c r="C22" s="1195">
        <v>0</v>
      </c>
      <c r="D22" s="990">
        <f>'Table 3 Levels 1&amp;2'!BN24+'Table 3 Levels 1&amp;2'!BV24</f>
        <v>1506.1153407945151</v>
      </c>
      <c r="E22" s="1099">
        <f t="shared" si="2"/>
        <v>0</v>
      </c>
      <c r="F22" s="1099">
        <f>'Table 4 Level 3'!N21</f>
        <v>686.73</v>
      </c>
      <c r="G22" s="1099">
        <f t="shared" si="3"/>
        <v>0</v>
      </c>
      <c r="H22" s="991">
        <f t="shared" si="4"/>
        <v>0</v>
      </c>
      <c r="I22" s="1109">
        <f t="shared" si="5"/>
        <v>0</v>
      </c>
      <c r="J22" s="991">
        <f t="shared" si="6"/>
        <v>0</v>
      </c>
      <c r="K22" s="991">
        <v>0</v>
      </c>
      <c r="L22" s="991">
        <f t="shared" si="7"/>
        <v>0</v>
      </c>
      <c r="M22" s="991">
        <f t="shared" si="8"/>
        <v>0</v>
      </c>
      <c r="N22" s="1051">
        <f>'[18]FY2012-13 Final'!K23</f>
        <v>15092</v>
      </c>
      <c r="O22" s="992">
        <f t="shared" si="9"/>
        <v>0</v>
      </c>
      <c r="P22" s="1117">
        <f t="shared" si="10"/>
        <v>0</v>
      </c>
      <c r="Q22" s="992">
        <f t="shared" si="11"/>
        <v>0</v>
      </c>
      <c r="R22" s="992">
        <v>0</v>
      </c>
      <c r="S22" s="992">
        <f t="shared" si="12"/>
        <v>0</v>
      </c>
      <c r="T22" s="992">
        <f t="shared" si="13"/>
        <v>0</v>
      </c>
      <c r="U22" s="993">
        <f t="shared" si="14"/>
        <v>0</v>
      </c>
      <c r="V22" s="993">
        <f t="shared" si="14"/>
        <v>0</v>
      </c>
    </row>
    <row r="23" spans="1:22">
      <c r="A23" s="994">
        <v>17</v>
      </c>
      <c r="B23" s="995" t="s">
        <v>111</v>
      </c>
      <c r="C23" s="1193">
        <f>412*75%</f>
        <v>309</v>
      </c>
      <c r="D23" s="997">
        <f>'Table 3 Levels 1&amp;2'!BN25+'Table 3 Levels 1&amp;2'!BV25</f>
        <v>3311.610845996096</v>
      </c>
      <c r="E23" s="1100">
        <f t="shared" si="2"/>
        <v>1023287.7514127936</v>
      </c>
      <c r="F23" s="1100">
        <f>'Table 4 Level 3'!N22</f>
        <v>801.47762416806802</v>
      </c>
      <c r="G23" s="1100">
        <f t="shared" si="3"/>
        <v>247656.58586793303</v>
      </c>
      <c r="H23" s="1052">
        <f t="shared" si="4"/>
        <v>1270944.3372807268</v>
      </c>
      <c r="I23" s="1110">
        <f t="shared" si="5"/>
        <v>-3177.3608432018168</v>
      </c>
      <c r="J23" s="1052">
        <f t="shared" si="6"/>
        <v>1267766.9764375249</v>
      </c>
      <c r="K23" s="1052">
        <v>0</v>
      </c>
      <c r="L23" s="1052">
        <f t="shared" si="7"/>
        <v>1267766.9764375249</v>
      </c>
      <c r="M23" s="1052">
        <f t="shared" si="8"/>
        <v>105647.24803646041</v>
      </c>
      <c r="N23" s="1051">
        <f>'[18]FY2012-13 Final'!K24</f>
        <v>6551</v>
      </c>
      <c r="O23" s="1053">
        <f t="shared" si="9"/>
        <v>2024259</v>
      </c>
      <c r="P23" s="1118">
        <f t="shared" si="10"/>
        <v>-5060.6475</v>
      </c>
      <c r="Q23" s="1053">
        <f t="shared" si="11"/>
        <v>2019198.3525</v>
      </c>
      <c r="R23" s="1053">
        <v>0</v>
      </c>
      <c r="S23" s="1053">
        <f t="shared" si="12"/>
        <v>2019198.3525</v>
      </c>
      <c r="T23" s="1053">
        <f t="shared" si="13"/>
        <v>168266.52937500001</v>
      </c>
      <c r="U23" s="1054">
        <f t="shared" si="14"/>
        <v>3286965.3289375249</v>
      </c>
      <c r="V23" s="1054">
        <f t="shared" si="14"/>
        <v>273913.77741146041</v>
      </c>
    </row>
    <row r="24" spans="1:22">
      <c r="A24" s="994">
        <v>18</v>
      </c>
      <c r="B24" s="995" t="s">
        <v>112</v>
      </c>
      <c r="C24" s="1193">
        <v>0</v>
      </c>
      <c r="D24" s="997">
        <f>'Table 3 Levels 1&amp;2'!BN26+'Table 3 Levels 1&amp;2'!BV26</f>
        <v>5964.3490202032081</v>
      </c>
      <c r="E24" s="1100">
        <f t="shared" si="2"/>
        <v>0</v>
      </c>
      <c r="F24" s="1100">
        <f>'Table 4 Level 3'!N23</f>
        <v>845.94999999999993</v>
      </c>
      <c r="G24" s="1100">
        <f t="shared" si="3"/>
        <v>0</v>
      </c>
      <c r="H24" s="1052">
        <f t="shared" si="4"/>
        <v>0</v>
      </c>
      <c r="I24" s="1110">
        <f t="shared" si="5"/>
        <v>0</v>
      </c>
      <c r="J24" s="1052">
        <f t="shared" si="6"/>
        <v>0</v>
      </c>
      <c r="K24" s="1052">
        <v>0</v>
      </c>
      <c r="L24" s="1052">
        <f t="shared" si="7"/>
        <v>0</v>
      </c>
      <c r="M24" s="1052">
        <f t="shared" si="8"/>
        <v>0</v>
      </c>
      <c r="N24" s="1051">
        <f>'[18]FY2012-13 Final'!K25</f>
        <v>2165</v>
      </c>
      <c r="O24" s="1053">
        <f t="shared" si="9"/>
        <v>0</v>
      </c>
      <c r="P24" s="1118">
        <f t="shared" si="10"/>
        <v>0</v>
      </c>
      <c r="Q24" s="1053">
        <f t="shared" si="11"/>
        <v>0</v>
      </c>
      <c r="R24" s="1053">
        <v>0</v>
      </c>
      <c r="S24" s="1053">
        <f t="shared" si="12"/>
        <v>0</v>
      </c>
      <c r="T24" s="1053">
        <f t="shared" si="13"/>
        <v>0</v>
      </c>
      <c r="U24" s="1054">
        <f t="shared" si="14"/>
        <v>0</v>
      </c>
      <c r="V24" s="1054">
        <f t="shared" si="14"/>
        <v>0</v>
      </c>
    </row>
    <row r="25" spans="1:22">
      <c r="A25" s="994">
        <v>19</v>
      </c>
      <c r="B25" s="995" t="s">
        <v>113</v>
      </c>
      <c r="C25" s="1193">
        <v>0</v>
      </c>
      <c r="D25" s="997">
        <f>'Table 3 Levels 1&amp;2'!BN27+'Table 3 Levels 1&amp;2'!BV27</f>
        <v>5283.1088158476596</v>
      </c>
      <c r="E25" s="1100">
        <f t="shared" si="2"/>
        <v>0</v>
      </c>
      <c r="F25" s="1100">
        <f>'Table 4 Level 3'!N24</f>
        <v>905.43</v>
      </c>
      <c r="G25" s="1100">
        <f t="shared" si="3"/>
        <v>0</v>
      </c>
      <c r="H25" s="1052">
        <f t="shared" si="4"/>
        <v>0</v>
      </c>
      <c r="I25" s="1110">
        <f t="shared" si="5"/>
        <v>0</v>
      </c>
      <c r="J25" s="1052">
        <f t="shared" si="6"/>
        <v>0</v>
      </c>
      <c r="K25" s="1052">
        <v>0</v>
      </c>
      <c r="L25" s="1052">
        <f t="shared" si="7"/>
        <v>0</v>
      </c>
      <c r="M25" s="1052">
        <f t="shared" si="8"/>
        <v>0</v>
      </c>
      <c r="N25" s="1051">
        <f>'[18]FY2012-13 Final'!K26</f>
        <v>2729</v>
      </c>
      <c r="O25" s="1053">
        <f t="shared" si="9"/>
        <v>0</v>
      </c>
      <c r="P25" s="1118">
        <f t="shared" si="10"/>
        <v>0</v>
      </c>
      <c r="Q25" s="1053">
        <f t="shared" si="11"/>
        <v>0</v>
      </c>
      <c r="R25" s="1053">
        <v>0</v>
      </c>
      <c r="S25" s="1053">
        <f t="shared" si="12"/>
        <v>0</v>
      </c>
      <c r="T25" s="1053">
        <f t="shared" si="13"/>
        <v>0</v>
      </c>
      <c r="U25" s="1054">
        <f t="shared" si="14"/>
        <v>0</v>
      </c>
      <c r="V25" s="1054">
        <f t="shared" si="14"/>
        <v>0</v>
      </c>
    </row>
    <row r="26" spans="1:22">
      <c r="A26" s="998">
        <v>20</v>
      </c>
      <c r="B26" s="999" t="s">
        <v>114</v>
      </c>
      <c r="C26" s="1194">
        <v>0</v>
      </c>
      <c r="D26" s="1001">
        <f>'Table 3 Levels 1&amp;2'!BN28+'Table 3 Levels 1&amp;2'!BV28</f>
        <v>5389.6047094824808</v>
      </c>
      <c r="E26" s="1101">
        <f t="shared" si="2"/>
        <v>0</v>
      </c>
      <c r="F26" s="1101">
        <f>'Table 4 Level 3'!N25</f>
        <v>586.16999999999996</v>
      </c>
      <c r="G26" s="1101">
        <f t="shared" si="3"/>
        <v>0</v>
      </c>
      <c r="H26" s="1055">
        <f t="shared" si="4"/>
        <v>0</v>
      </c>
      <c r="I26" s="1111">
        <f t="shared" si="5"/>
        <v>0</v>
      </c>
      <c r="J26" s="1055">
        <f t="shared" si="6"/>
        <v>0</v>
      </c>
      <c r="K26" s="1055">
        <v>0</v>
      </c>
      <c r="L26" s="1055">
        <f t="shared" si="7"/>
        <v>0</v>
      </c>
      <c r="M26" s="1055">
        <f t="shared" si="8"/>
        <v>0</v>
      </c>
      <c r="N26" s="1056">
        <f>'[18]FY2012-13 Final'!K27</f>
        <v>2334</v>
      </c>
      <c r="O26" s="1057">
        <f t="shared" si="9"/>
        <v>0</v>
      </c>
      <c r="P26" s="1119">
        <f t="shared" si="10"/>
        <v>0</v>
      </c>
      <c r="Q26" s="1057">
        <f t="shared" si="11"/>
        <v>0</v>
      </c>
      <c r="R26" s="1057">
        <v>0</v>
      </c>
      <c r="S26" s="1057">
        <f t="shared" si="12"/>
        <v>0</v>
      </c>
      <c r="T26" s="1057">
        <f t="shared" si="13"/>
        <v>0</v>
      </c>
      <c r="U26" s="1058">
        <f t="shared" si="14"/>
        <v>0</v>
      </c>
      <c r="V26" s="1058">
        <f t="shared" si="14"/>
        <v>0</v>
      </c>
    </row>
    <row r="27" spans="1:22">
      <c r="A27" s="987">
        <v>21</v>
      </c>
      <c r="B27" s="988" t="s">
        <v>115</v>
      </c>
      <c r="C27" s="1195">
        <v>0</v>
      </c>
      <c r="D27" s="990">
        <f>'Table 3 Levels 1&amp;2'!BN29+'Table 3 Levels 1&amp;2'!BV29</f>
        <v>5659.8229810652783</v>
      </c>
      <c r="E27" s="1099">
        <f t="shared" si="2"/>
        <v>0</v>
      </c>
      <c r="F27" s="1099">
        <f>'Table 4 Level 3'!N26</f>
        <v>610.35</v>
      </c>
      <c r="G27" s="1099">
        <f t="shared" si="3"/>
        <v>0</v>
      </c>
      <c r="H27" s="991">
        <f t="shared" si="4"/>
        <v>0</v>
      </c>
      <c r="I27" s="1109">
        <f t="shared" si="5"/>
        <v>0</v>
      </c>
      <c r="J27" s="991">
        <f t="shared" si="6"/>
        <v>0</v>
      </c>
      <c r="K27" s="991">
        <v>0</v>
      </c>
      <c r="L27" s="991">
        <f t="shared" si="7"/>
        <v>0</v>
      </c>
      <c r="M27" s="991">
        <f t="shared" si="8"/>
        <v>0</v>
      </c>
      <c r="N27" s="1051">
        <f>'[18]FY2012-13 Final'!K28</f>
        <v>2233</v>
      </c>
      <c r="O27" s="992">
        <f t="shared" si="9"/>
        <v>0</v>
      </c>
      <c r="P27" s="1117">
        <f t="shared" si="10"/>
        <v>0</v>
      </c>
      <c r="Q27" s="992">
        <f t="shared" si="11"/>
        <v>0</v>
      </c>
      <c r="R27" s="992">
        <v>0</v>
      </c>
      <c r="S27" s="992">
        <f t="shared" si="12"/>
        <v>0</v>
      </c>
      <c r="T27" s="992">
        <f t="shared" si="13"/>
        <v>0</v>
      </c>
      <c r="U27" s="993">
        <f t="shared" si="14"/>
        <v>0</v>
      </c>
      <c r="V27" s="993">
        <f t="shared" si="14"/>
        <v>0</v>
      </c>
    </row>
    <row r="28" spans="1:22">
      <c r="A28" s="994">
        <v>22</v>
      </c>
      <c r="B28" s="995" t="s">
        <v>116</v>
      </c>
      <c r="C28" s="1193">
        <v>0</v>
      </c>
      <c r="D28" s="997">
        <f>'Table 3 Levels 1&amp;2'!BN30+'Table 3 Levels 1&amp;2'!BV30</f>
        <v>6191.1997628958306</v>
      </c>
      <c r="E28" s="1100">
        <f t="shared" si="2"/>
        <v>0</v>
      </c>
      <c r="F28" s="1100">
        <f>'Table 4 Level 3'!N27</f>
        <v>496.36</v>
      </c>
      <c r="G28" s="1100">
        <f t="shared" si="3"/>
        <v>0</v>
      </c>
      <c r="H28" s="1052">
        <f t="shared" si="4"/>
        <v>0</v>
      </c>
      <c r="I28" s="1110">
        <f t="shared" si="5"/>
        <v>0</v>
      </c>
      <c r="J28" s="1052">
        <f t="shared" si="6"/>
        <v>0</v>
      </c>
      <c r="K28" s="1052">
        <v>0</v>
      </c>
      <c r="L28" s="1052">
        <f t="shared" si="7"/>
        <v>0</v>
      </c>
      <c r="M28" s="1052">
        <f t="shared" si="8"/>
        <v>0</v>
      </c>
      <c r="N28" s="1051">
        <f>'[18]FY2012-13 Final'!K29</f>
        <v>1410</v>
      </c>
      <c r="O28" s="1053">
        <f t="shared" si="9"/>
        <v>0</v>
      </c>
      <c r="P28" s="1118">
        <f t="shared" si="10"/>
        <v>0</v>
      </c>
      <c r="Q28" s="1053">
        <f t="shared" si="11"/>
        <v>0</v>
      </c>
      <c r="R28" s="1053">
        <v>0</v>
      </c>
      <c r="S28" s="1053">
        <f t="shared" si="12"/>
        <v>0</v>
      </c>
      <c r="T28" s="1053">
        <f t="shared" si="13"/>
        <v>0</v>
      </c>
      <c r="U28" s="1054">
        <f t="shared" si="14"/>
        <v>0</v>
      </c>
      <c r="V28" s="1054">
        <f t="shared" si="14"/>
        <v>0</v>
      </c>
    </row>
    <row r="29" spans="1:22">
      <c r="A29" s="994">
        <v>23</v>
      </c>
      <c r="B29" s="995" t="s">
        <v>117</v>
      </c>
      <c r="C29" s="1193">
        <v>0</v>
      </c>
      <c r="D29" s="997">
        <f>'Table 3 Levels 1&amp;2'!BN31+'Table 3 Levels 1&amp;2'!BV31</f>
        <v>4788.2881021645453</v>
      </c>
      <c r="E29" s="1100">
        <f t="shared" si="2"/>
        <v>0</v>
      </c>
      <c r="F29" s="1100">
        <f>'Table 4 Level 3'!N28</f>
        <v>688.58</v>
      </c>
      <c r="G29" s="1100">
        <f t="shared" si="3"/>
        <v>0</v>
      </c>
      <c r="H29" s="1052">
        <f t="shared" si="4"/>
        <v>0</v>
      </c>
      <c r="I29" s="1110">
        <f t="shared" si="5"/>
        <v>0</v>
      </c>
      <c r="J29" s="1052">
        <f t="shared" si="6"/>
        <v>0</v>
      </c>
      <c r="K29" s="1052">
        <v>0</v>
      </c>
      <c r="L29" s="1052">
        <f t="shared" si="7"/>
        <v>0</v>
      </c>
      <c r="M29" s="1052">
        <f t="shared" si="8"/>
        <v>0</v>
      </c>
      <c r="N29" s="1051">
        <f>'[18]FY2012-13 Final'!K30</f>
        <v>3258</v>
      </c>
      <c r="O29" s="1053">
        <f t="shared" si="9"/>
        <v>0</v>
      </c>
      <c r="P29" s="1118">
        <f t="shared" si="10"/>
        <v>0</v>
      </c>
      <c r="Q29" s="1053">
        <f t="shared" si="11"/>
        <v>0</v>
      </c>
      <c r="R29" s="1053">
        <v>0</v>
      </c>
      <c r="S29" s="1053">
        <f t="shared" si="12"/>
        <v>0</v>
      </c>
      <c r="T29" s="1053">
        <f t="shared" si="13"/>
        <v>0</v>
      </c>
      <c r="U29" s="1054">
        <f t="shared" si="14"/>
        <v>0</v>
      </c>
      <c r="V29" s="1054">
        <f t="shared" si="14"/>
        <v>0</v>
      </c>
    </row>
    <row r="30" spans="1:22">
      <c r="A30" s="994">
        <v>24</v>
      </c>
      <c r="B30" s="995" t="s">
        <v>118</v>
      </c>
      <c r="C30" s="1193">
        <v>0</v>
      </c>
      <c r="D30" s="997">
        <f>'Table 3 Levels 1&amp;2'!BN32+'Table 3 Levels 1&amp;2'!BV32</f>
        <v>2743.328175824176</v>
      </c>
      <c r="E30" s="1100">
        <f t="shared" si="2"/>
        <v>0</v>
      </c>
      <c r="F30" s="1100">
        <f>'Table 4 Level 3'!N29</f>
        <v>854.24999999999989</v>
      </c>
      <c r="G30" s="1100">
        <f t="shared" si="3"/>
        <v>0</v>
      </c>
      <c r="H30" s="1052">
        <f t="shared" si="4"/>
        <v>0</v>
      </c>
      <c r="I30" s="1110">
        <f t="shared" si="5"/>
        <v>0</v>
      </c>
      <c r="J30" s="1052">
        <f t="shared" si="6"/>
        <v>0</v>
      </c>
      <c r="K30" s="1052">
        <v>0</v>
      </c>
      <c r="L30" s="1052">
        <f t="shared" si="7"/>
        <v>0</v>
      </c>
      <c r="M30" s="1052">
        <f t="shared" si="8"/>
        <v>0</v>
      </c>
      <c r="N30" s="1051">
        <f>'[18]FY2012-13 Final'!K31</f>
        <v>9280</v>
      </c>
      <c r="O30" s="1053">
        <f t="shared" si="9"/>
        <v>0</v>
      </c>
      <c r="P30" s="1118">
        <f t="shared" si="10"/>
        <v>0</v>
      </c>
      <c r="Q30" s="1053">
        <f t="shared" si="11"/>
        <v>0</v>
      </c>
      <c r="R30" s="1053">
        <v>0</v>
      </c>
      <c r="S30" s="1053">
        <f t="shared" si="12"/>
        <v>0</v>
      </c>
      <c r="T30" s="1053">
        <f t="shared" si="13"/>
        <v>0</v>
      </c>
      <c r="U30" s="1054">
        <f t="shared" si="14"/>
        <v>0</v>
      </c>
      <c r="V30" s="1054">
        <f t="shared" si="14"/>
        <v>0</v>
      </c>
    </row>
    <row r="31" spans="1:22">
      <c r="A31" s="998">
        <v>25</v>
      </c>
      <c r="B31" s="999" t="s">
        <v>119</v>
      </c>
      <c r="C31" s="1194">
        <v>0</v>
      </c>
      <c r="D31" s="1001">
        <f>'Table 3 Levels 1&amp;2'!BN33+'Table 3 Levels 1&amp;2'!BV33</f>
        <v>3799.3890273447178</v>
      </c>
      <c r="E31" s="1101">
        <f t="shared" si="2"/>
        <v>0</v>
      </c>
      <c r="F31" s="1101">
        <f>'Table 4 Level 3'!N30</f>
        <v>653.73</v>
      </c>
      <c r="G31" s="1101">
        <f t="shared" si="3"/>
        <v>0</v>
      </c>
      <c r="H31" s="1055">
        <f t="shared" si="4"/>
        <v>0</v>
      </c>
      <c r="I31" s="1111">
        <f t="shared" si="5"/>
        <v>0</v>
      </c>
      <c r="J31" s="1055">
        <f t="shared" si="6"/>
        <v>0</v>
      </c>
      <c r="K31" s="1055">
        <v>0</v>
      </c>
      <c r="L31" s="1055">
        <f t="shared" si="7"/>
        <v>0</v>
      </c>
      <c r="M31" s="1055">
        <f t="shared" si="8"/>
        <v>0</v>
      </c>
      <c r="N31" s="1056">
        <f>'[18]FY2012-13 Final'!K32</f>
        <v>5351</v>
      </c>
      <c r="O31" s="1057">
        <f t="shared" si="9"/>
        <v>0</v>
      </c>
      <c r="P31" s="1119">
        <f t="shared" si="10"/>
        <v>0</v>
      </c>
      <c r="Q31" s="1057">
        <f t="shared" si="11"/>
        <v>0</v>
      </c>
      <c r="R31" s="1057">
        <v>0</v>
      </c>
      <c r="S31" s="1057">
        <f t="shared" si="12"/>
        <v>0</v>
      </c>
      <c r="T31" s="1057">
        <f t="shared" si="13"/>
        <v>0</v>
      </c>
      <c r="U31" s="1058">
        <f t="shared" si="14"/>
        <v>0</v>
      </c>
      <c r="V31" s="1058">
        <f t="shared" si="14"/>
        <v>0</v>
      </c>
    </row>
    <row r="32" spans="1:22">
      <c r="A32" s="987">
        <v>26</v>
      </c>
      <c r="B32" s="988" t="s">
        <v>120</v>
      </c>
      <c r="C32" s="1195">
        <v>0</v>
      </c>
      <c r="D32" s="990">
        <f>'Table 3 Levels 1&amp;2'!BN34+'Table 3 Levels 1&amp;2'!BV34</f>
        <v>3320.7842100822745</v>
      </c>
      <c r="E32" s="1099">
        <f t="shared" si="2"/>
        <v>0</v>
      </c>
      <c r="F32" s="1099">
        <f>'Table 4 Level 3'!N31</f>
        <v>836.83</v>
      </c>
      <c r="G32" s="1099">
        <f t="shared" si="3"/>
        <v>0</v>
      </c>
      <c r="H32" s="991">
        <f t="shared" si="4"/>
        <v>0</v>
      </c>
      <c r="I32" s="1109">
        <f t="shared" si="5"/>
        <v>0</v>
      </c>
      <c r="J32" s="991">
        <f t="shared" si="6"/>
        <v>0</v>
      </c>
      <c r="K32" s="991">
        <v>0</v>
      </c>
      <c r="L32" s="991">
        <f t="shared" si="7"/>
        <v>0</v>
      </c>
      <c r="M32" s="991">
        <f t="shared" si="8"/>
        <v>0</v>
      </c>
      <c r="N32" s="1051">
        <f>'[18]FY2012-13 Final'!K33</f>
        <v>5100</v>
      </c>
      <c r="O32" s="992">
        <f t="shared" si="9"/>
        <v>0</v>
      </c>
      <c r="P32" s="1117">
        <f t="shared" si="10"/>
        <v>0</v>
      </c>
      <c r="Q32" s="992">
        <f t="shared" si="11"/>
        <v>0</v>
      </c>
      <c r="R32" s="992">
        <v>0</v>
      </c>
      <c r="S32" s="992">
        <f t="shared" si="12"/>
        <v>0</v>
      </c>
      <c r="T32" s="992">
        <f t="shared" si="13"/>
        <v>0</v>
      </c>
      <c r="U32" s="993">
        <f t="shared" si="14"/>
        <v>0</v>
      </c>
      <c r="V32" s="993">
        <f t="shared" si="14"/>
        <v>0</v>
      </c>
    </row>
    <row r="33" spans="1:22">
      <c r="A33" s="994">
        <v>27</v>
      </c>
      <c r="B33" s="995" t="s">
        <v>121</v>
      </c>
      <c r="C33" s="1196">
        <v>0</v>
      </c>
      <c r="D33" s="1003">
        <f>'Table 3 Levels 1&amp;2'!BN35+'Table 3 Levels 1&amp;2'!BV35</f>
        <v>5636.5919457972805</v>
      </c>
      <c r="E33" s="1102">
        <f t="shared" si="2"/>
        <v>0</v>
      </c>
      <c r="F33" s="1102">
        <f>'Table 4 Level 3'!N32</f>
        <v>693.06</v>
      </c>
      <c r="G33" s="1102">
        <f t="shared" si="3"/>
        <v>0</v>
      </c>
      <c r="H33" s="1059">
        <f t="shared" si="4"/>
        <v>0</v>
      </c>
      <c r="I33" s="1112">
        <f t="shared" si="5"/>
        <v>0</v>
      </c>
      <c r="J33" s="1059">
        <f t="shared" si="6"/>
        <v>0</v>
      </c>
      <c r="K33" s="1059">
        <v>0</v>
      </c>
      <c r="L33" s="1059">
        <f t="shared" si="7"/>
        <v>0</v>
      </c>
      <c r="M33" s="1059">
        <f t="shared" si="8"/>
        <v>0</v>
      </c>
      <c r="N33" s="1051">
        <f>'[18]FY2012-13 Final'!K34</f>
        <v>3091</v>
      </c>
      <c r="O33" s="1053">
        <f t="shared" si="9"/>
        <v>0</v>
      </c>
      <c r="P33" s="1118">
        <f t="shared" si="10"/>
        <v>0</v>
      </c>
      <c r="Q33" s="1053">
        <f t="shared" si="11"/>
        <v>0</v>
      </c>
      <c r="R33" s="1053">
        <v>0</v>
      </c>
      <c r="S33" s="1053">
        <f t="shared" si="12"/>
        <v>0</v>
      </c>
      <c r="T33" s="1053">
        <f t="shared" si="13"/>
        <v>0</v>
      </c>
      <c r="U33" s="1054">
        <f t="shared" si="14"/>
        <v>0</v>
      </c>
      <c r="V33" s="1054">
        <f t="shared" si="14"/>
        <v>0</v>
      </c>
    </row>
    <row r="34" spans="1:22">
      <c r="A34" s="994">
        <v>28</v>
      </c>
      <c r="B34" s="995" t="s">
        <v>122</v>
      </c>
      <c r="C34" s="1196">
        <v>0</v>
      </c>
      <c r="D34" s="1003">
        <f>'Table 3 Levels 1&amp;2'!BN36+'Table 3 Levels 1&amp;2'!BV36</f>
        <v>3106.8056522508969</v>
      </c>
      <c r="E34" s="1102">
        <f t="shared" si="2"/>
        <v>0</v>
      </c>
      <c r="F34" s="1102">
        <f>'Table 4 Level 3'!N33</f>
        <v>694.4</v>
      </c>
      <c r="G34" s="1102">
        <f t="shared" si="3"/>
        <v>0</v>
      </c>
      <c r="H34" s="1059">
        <f t="shared" si="4"/>
        <v>0</v>
      </c>
      <c r="I34" s="1112">
        <f t="shared" si="5"/>
        <v>0</v>
      </c>
      <c r="J34" s="1059">
        <f t="shared" si="6"/>
        <v>0</v>
      </c>
      <c r="K34" s="1059">
        <v>0</v>
      </c>
      <c r="L34" s="1059">
        <f t="shared" si="7"/>
        <v>0</v>
      </c>
      <c r="M34" s="1059">
        <f t="shared" si="8"/>
        <v>0</v>
      </c>
      <c r="N34" s="1051">
        <f>'[18]FY2012-13 Final'!K35</f>
        <v>5323</v>
      </c>
      <c r="O34" s="1053">
        <f t="shared" si="9"/>
        <v>0</v>
      </c>
      <c r="P34" s="1118">
        <f t="shared" si="10"/>
        <v>0</v>
      </c>
      <c r="Q34" s="1053">
        <f t="shared" si="11"/>
        <v>0</v>
      </c>
      <c r="R34" s="1053">
        <v>0</v>
      </c>
      <c r="S34" s="1053">
        <f t="shared" si="12"/>
        <v>0</v>
      </c>
      <c r="T34" s="1053">
        <f t="shared" si="13"/>
        <v>0</v>
      </c>
      <c r="U34" s="1054">
        <f t="shared" si="14"/>
        <v>0</v>
      </c>
      <c r="V34" s="1054">
        <f t="shared" si="14"/>
        <v>0</v>
      </c>
    </row>
    <row r="35" spans="1:22">
      <c r="A35" s="994">
        <v>29</v>
      </c>
      <c r="B35" s="995" t="s">
        <v>123</v>
      </c>
      <c r="C35" s="1196">
        <v>0</v>
      </c>
      <c r="D35" s="1003">
        <f>'Table 3 Levels 1&amp;2'!BN37+'Table 3 Levels 1&amp;2'!BV37</f>
        <v>3912.1846976122315</v>
      </c>
      <c r="E35" s="1102">
        <f t="shared" si="2"/>
        <v>0</v>
      </c>
      <c r="F35" s="1102">
        <f>'Table 4 Level 3'!N34</f>
        <v>754.94999999999993</v>
      </c>
      <c r="G35" s="1102">
        <f t="shared" si="3"/>
        <v>0</v>
      </c>
      <c r="H35" s="1059">
        <f t="shared" si="4"/>
        <v>0</v>
      </c>
      <c r="I35" s="1112">
        <f t="shared" si="5"/>
        <v>0</v>
      </c>
      <c r="J35" s="1059">
        <f t="shared" si="6"/>
        <v>0</v>
      </c>
      <c r="K35" s="1059">
        <v>0</v>
      </c>
      <c r="L35" s="1059">
        <f t="shared" si="7"/>
        <v>0</v>
      </c>
      <c r="M35" s="1059">
        <f t="shared" si="8"/>
        <v>0</v>
      </c>
      <c r="N35" s="1051">
        <f>'[18]FY2012-13 Final'!K36</f>
        <v>4388</v>
      </c>
      <c r="O35" s="1053">
        <f t="shared" si="9"/>
        <v>0</v>
      </c>
      <c r="P35" s="1118">
        <f t="shared" si="10"/>
        <v>0</v>
      </c>
      <c r="Q35" s="1053">
        <f t="shared" si="11"/>
        <v>0</v>
      </c>
      <c r="R35" s="1053">
        <v>0</v>
      </c>
      <c r="S35" s="1053">
        <f t="shared" si="12"/>
        <v>0</v>
      </c>
      <c r="T35" s="1053">
        <f t="shared" si="13"/>
        <v>0</v>
      </c>
      <c r="U35" s="1054">
        <f t="shared" si="14"/>
        <v>0</v>
      </c>
      <c r="V35" s="1054">
        <f t="shared" si="14"/>
        <v>0</v>
      </c>
    </row>
    <row r="36" spans="1:22">
      <c r="A36" s="998">
        <v>30</v>
      </c>
      <c r="B36" s="999" t="s">
        <v>124</v>
      </c>
      <c r="C36" s="1197">
        <v>0</v>
      </c>
      <c r="D36" s="1005">
        <f>'Table 3 Levels 1&amp;2'!BN38+'Table 3 Levels 1&amp;2'!BV38</f>
        <v>5594.0091640611508</v>
      </c>
      <c r="E36" s="1103">
        <f t="shared" si="2"/>
        <v>0</v>
      </c>
      <c r="F36" s="1103">
        <f>'Table 4 Level 3'!N35</f>
        <v>727.17</v>
      </c>
      <c r="G36" s="1103">
        <f t="shared" si="3"/>
        <v>0</v>
      </c>
      <c r="H36" s="1060">
        <f t="shared" si="4"/>
        <v>0</v>
      </c>
      <c r="I36" s="1113">
        <f t="shared" si="5"/>
        <v>0</v>
      </c>
      <c r="J36" s="1060">
        <f t="shared" si="6"/>
        <v>0</v>
      </c>
      <c r="K36" s="1060">
        <v>0</v>
      </c>
      <c r="L36" s="1060">
        <f t="shared" si="7"/>
        <v>0</v>
      </c>
      <c r="M36" s="1060">
        <f t="shared" si="8"/>
        <v>0</v>
      </c>
      <c r="N36" s="1056">
        <f>'[18]FY2012-13 Final'!K37</f>
        <v>3702</v>
      </c>
      <c r="O36" s="1057">
        <f t="shared" si="9"/>
        <v>0</v>
      </c>
      <c r="P36" s="1119">
        <f t="shared" si="10"/>
        <v>0</v>
      </c>
      <c r="Q36" s="1057">
        <f t="shared" si="11"/>
        <v>0</v>
      </c>
      <c r="R36" s="1057">
        <v>0</v>
      </c>
      <c r="S36" s="1057">
        <f t="shared" si="12"/>
        <v>0</v>
      </c>
      <c r="T36" s="1057">
        <f t="shared" si="13"/>
        <v>0</v>
      </c>
      <c r="U36" s="1058">
        <f t="shared" si="14"/>
        <v>0</v>
      </c>
      <c r="V36" s="1058">
        <f t="shared" si="14"/>
        <v>0</v>
      </c>
    </row>
    <row r="37" spans="1:22">
      <c r="A37" s="987">
        <v>31</v>
      </c>
      <c r="B37" s="988" t="s">
        <v>125</v>
      </c>
      <c r="C37" s="1198">
        <v>0</v>
      </c>
      <c r="D37" s="1007">
        <f>'Table 3 Levels 1&amp;2'!BN39+'Table 3 Levels 1&amp;2'!BV39</f>
        <v>4320.114188911979</v>
      </c>
      <c r="E37" s="1104">
        <f t="shared" si="2"/>
        <v>0</v>
      </c>
      <c r="F37" s="1104">
        <f>'Table 4 Level 3'!N36</f>
        <v>620.83000000000004</v>
      </c>
      <c r="G37" s="1104">
        <f t="shared" si="3"/>
        <v>0</v>
      </c>
      <c r="H37" s="1061">
        <f t="shared" si="4"/>
        <v>0</v>
      </c>
      <c r="I37" s="1114">
        <f t="shared" si="5"/>
        <v>0</v>
      </c>
      <c r="J37" s="1061">
        <f t="shared" si="6"/>
        <v>0</v>
      </c>
      <c r="K37" s="1061">
        <v>0</v>
      </c>
      <c r="L37" s="1061">
        <f t="shared" si="7"/>
        <v>0</v>
      </c>
      <c r="M37" s="1061">
        <f t="shared" si="8"/>
        <v>0</v>
      </c>
      <c r="N37" s="1051">
        <f>'[18]FY2012-13 Final'!K38</f>
        <v>4669</v>
      </c>
      <c r="O37" s="992">
        <f t="shared" si="9"/>
        <v>0</v>
      </c>
      <c r="P37" s="1117">
        <f t="shared" si="10"/>
        <v>0</v>
      </c>
      <c r="Q37" s="992">
        <f t="shared" si="11"/>
        <v>0</v>
      </c>
      <c r="R37" s="992">
        <v>0</v>
      </c>
      <c r="S37" s="992">
        <f t="shared" si="12"/>
        <v>0</v>
      </c>
      <c r="T37" s="992">
        <f t="shared" si="13"/>
        <v>0</v>
      </c>
      <c r="U37" s="993">
        <f t="shared" si="14"/>
        <v>0</v>
      </c>
      <c r="V37" s="993">
        <f t="shared" si="14"/>
        <v>0</v>
      </c>
    </row>
    <row r="38" spans="1:22">
      <c r="A38" s="994">
        <v>32</v>
      </c>
      <c r="B38" s="995" t="s">
        <v>126</v>
      </c>
      <c r="C38" s="1196">
        <f>412*5%</f>
        <v>20.6</v>
      </c>
      <c r="D38" s="1003">
        <f>'Table 3 Levels 1&amp;2'!BN40+'Table 3 Levels 1&amp;2'!BV40</f>
        <v>5504.4479209353676</v>
      </c>
      <c r="E38" s="1102">
        <f t="shared" si="2"/>
        <v>113391.62717126858</v>
      </c>
      <c r="F38" s="1102">
        <f>'Table 4 Level 3'!N37</f>
        <v>559.77</v>
      </c>
      <c r="G38" s="1102">
        <f t="shared" si="3"/>
        <v>11531.262000000001</v>
      </c>
      <c r="H38" s="1059">
        <f t="shared" si="4"/>
        <v>124922.88917126859</v>
      </c>
      <c r="I38" s="1112">
        <f t="shared" si="5"/>
        <v>-312.30722292817148</v>
      </c>
      <c r="J38" s="1059">
        <f t="shared" si="6"/>
        <v>124610.58194834042</v>
      </c>
      <c r="K38" s="1059">
        <v>0</v>
      </c>
      <c r="L38" s="1059">
        <f t="shared" si="7"/>
        <v>124610.58194834042</v>
      </c>
      <c r="M38" s="1059">
        <f t="shared" si="8"/>
        <v>10384.215162361701</v>
      </c>
      <c r="N38" s="1051">
        <f>'[18]FY2012-13 Final'!K39</f>
        <v>1965</v>
      </c>
      <c r="O38" s="1053">
        <f t="shared" si="9"/>
        <v>40479</v>
      </c>
      <c r="P38" s="1118">
        <f t="shared" si="10"/>
        <v>-101.19750000000001</v>
      </c>
      <c r="Q38" s="1053">
        <f t="shared" si="11"/>
        <v>40377.802499999998</v>
      </c>
      <c r="R38" s="1053">
        <v>0</v>
      </c>
      <c r="S38" s="1053">
        <f t="shared" si="12"/>
        <v>40377.802499999998</v>
      </c>
      <c r="T38" s="1053">
        <f t="shared" si="13"/>
        <v>3364.816875</v>
      </c>
      <c r="U38" s="1054">
        <f t="shared" si="14"/>
        <v>164988.38444834042</v>
      </c>
      <c r="V38" s="1054">
        <f t="shared" si="14"/>
        <v>13749.032037361701</v>
      </c>
    </row>
    <row r="39" spans="1:22">
      <c r="A39" s="994">
        <v>33</v>
      </c>
      <c r="B39" s="995" t="s">
        <v>127</v>
      </c>
      <c r="C39" s="1196">
        <v>0</v>
      </c>
      <c r="D39" s="1003">
        <f>'Table 3 Levels 1&amp;2'!BN41+'Table 3 Levels 1&amp;2'!BV41</f>
        <v>5322.07272511876</v>
      </c>
      <c r="E39" s="1102">
        <f t="shared" si="2"/>
        <v>0</v>
      </c>
      <c r="F39" s="1102">
        <f>'Table 4 Level 3'!N38</f>
        <v>655.31000000000006</v>
      </c>
      <c r="G39" s="1102">
        <f t="shared" si="3"/>
        <v>0</v>
      </c>
      <c r="H39" s="1059">
        <f t="shared" si="4"/>
        <v>0</v>
      </c>
      <c r="I39" s="1112">
        <f t="shared" si="5"/>
        <v>0</v>
      </c>
      <c r="J39" s="1059">
        <f t="shared" si="6"/>
        <v>0</v>
      </c>
      <c r="K39" s="1059">
        <v>0</v>
      </c>
      <c r="L39" s="1059">
        <f t="shared" si="7"/>
        <v>0</v>
      </c>
      <c r="M39" s="1059">
        <f t="shared" si="8"/>
        <v>0</v>
      </c>
      <c r="N39" s="1051">
        <f>'[18]FY2012-13 Final'!K40</f>
        <v>2771</v>
      </c>
      <c r="O39" s="1053">
        <f t="shared" si="9"/>
        <v>0</v>
      </c>
      <c r="P39" s="1118">
        <f t="shared" si="10"/>
        <v>0</v>
      </c>
      <c r="Q39" s="1053">
        <f t="shared" si="11"/>
        <v>0</v>
      </c>
      <c r="R39" s="1053">
        <v>0</v>
      </c>
      <c r="S39" s="1053">
        <f t="shared" si="12"/>
        <v>0</v>
      </c>
      <c r="T39" s="1053">
        <f t="shared" si="13"/>
        <v>0</v>
      </c>
      <c r="U39" s="1054">
        <f t="shared" si="14"/>
        <v>0</v>
      </c>
      <c r="V39" s="1054">
        <f t="shared" si="14"/>
        <v>0</v>
      </c>
    </row>
    <row r="40" spans="1:22">
      <c r="A40" s="994">
        <v>34</v>
      </c>
      <c r="B40" s="995" t="s">
        <v>128</v>
      </c>
      <c r="C40" s="1196">
        <v>0</v>
      </c>
      <c r="D40" s="1003">
        <f>'Table 3 Levels 1&amp;2'!BN42+'Table 3 Levels 1&amp;2'!BV42</f>
        <v>5959.062840731639</v>
      </c>
      <c r="E40" s="1102">
        <f t="shared" si="2"/>
        <v>0</v>
      </c>
      <c r="F40" s="1102">
        <f>'Table 4 Level 3'!N39</f>
        <v>644.11000000000013</v>
      </c>
      <c r="G40" s="1102">
        <f t="shared" si="3"/>
        <v>0</v>
      </c>
      <c r="H40" s="1059">
        <f t="shared" si="4"/>
        <v>0</v>
      </c>
      <c r="I40" s="1112">
        <f t="shared" si="5"/>
        <v>0</v>
      </c>
      <c r="J40" s="1059">
        <f t="shared" si="6"/>
        <v>0</v>
      </c>
      <c r="K40" s="1059">
        <v>0</v>
      </c>
      <c r="L40" s="1059">
        <f t="shared" si="7"/>
        <v>0</v>
      </c>
      <c r="M40" s="1059">
        <f t="shared" si="8"/>
        <v>0</v>
      </c>
      <c r="N40" s="1051">
        <f>'[18]FY2012-13 Final'!K41</f>
        <v>2758</v>
      </c>
      <c r="O40" s="1053">
        <f t="shared" si="9"/>
        <v>0</v>
      </c>
      <c r="P40" s="1118">
        <f t="shared" si="10"/>
        <v>0</v>
      </c>
      <c r="Q40" s="1053">
        <f t="shared" si="11"/>
        <v>0</v>
      </c>
      <c r="R40" s="1053">
        <v>0</v>
      </c>
      <c r="S40" s="1053">
        <f t="shared" si="12"/>
        <v>0</v>
      </c>
      <c r="T40" s="1053">
        <f t="shared" si="13"/>
        <v>0</v>
      </c>
      <c r="U40" s="1054">
        <f t="shared" si="14"/>
        <v>0</v>
      </c>
      <c r="V40" s="1054">
        <f t="shared" si="14"/>
        <v>0</v>
      </c>
    </row>
    <row r="41" spans="1:22">
      <c r="A41" s="998">
        <v>35</v>
      </c>
      <c r="B41" s="999" t="s">
        <v>129</v>
      </c>
      <c r="C41" s="1197">
        <v>0</v>
      </c>
      <c r="D41" s="1005">
        <f>'Table 3 Levels 1&amp;2'!BN43+'Table 3 Levels 1&amp;2'!BV43</f>
        <v>4571.947611490059</v>
      </c>
      <c r="E41" s="1103">
        <f t="shared" si="2"/>
        <v>0</v>
      </c>
      <c r="F41" s="1103">
        <f>'Table 4 Level 3'!N40</f>
        <v>537.96</v>
      </c>
      <c r="G41" s="1103">
        <f t="shared" si="3"/>
        <v>0</v>
      </c>
      <c r="H41" s="1060">
        <f t="shared" si="4"/>
        <v>0</v>
      </c>
      <c r="I41" s="1113">
        <f t="shared" si="5"/>
        <v>0</v>
      </c>
      <c r="J41" s="1060">
        <f t="shared" si="6"/>
        <v>0</v>
      </c>
      <c r="K41" s="1060">
        <v>0</v>
      </c>
      <c r="L41" s="1060">
        <f t="shared" si="7"/>
        <v>0</v>
      </c>
      <c r="M41" s="1060">
        <f t="shared" si="8"/>
        <v>0</v>
      </c>
      <c r="N41" s="1056">
        <f>'[18]FY2012-13 Final'!K42</f>
        <v>3603</v>
      </c>
      <c r="O41" s="1057">
        <f t="shared" si="9"/>
        <v>0</v>
      </c>
      <c r="P41" s="1119">
        <f t="shared" si="10"/>
        <v>0</v>
      </c>
      <c r="Q41" s="1057">
        <f t="shared" si="11"/>
        <v>0</v>
      </c>
      <c r="R41" s="1057">
        <v>0</v>
      </c>
      <c r="S41" s="1057">
        <f t="shared" si="12"/>
        <v>0</v>
      </c>
      <c r="T41" s="1057">
        <f t="shared" si="13"/>
        <v>0</v>
      </c>
      <c r="U41" s="1058">
        <f t="shared" si="14"/>
        <v>0</v>
      </c>
      <c r="V41" s="1058">
        <f t="shared" si="14"/>
        <v>0</v>
      </c>
    </row>
    <row r="42" spans="1:22">
      <c r="A42" s="987">
        <v>36</v>
      </c>
      <c r="B42" s="988" t="s">
        <v>130</v>
      </c>
      <c r="C42" s="1198">
        <v>0</v>
      </c>
      <c r="D42" s="1007">
        <f>'Table 3 Levels 1&amp;2'!BN44+'Table 3 Levels 1&amp;2'!BV44</f>
        <v>3666.4136012725312</v>
      </c>
      <c r="E42" s="1104">
        <f t="shared" si="2"/>
        <v>0</v>
      </c>
      <c r="F42" s="1104">
        <f>'Table 4 Level 3'!N41</f>
        <v>727.23177743956114</v>
      </c>
      <c r="G42" s="1104">
        <f t="shared" si="3"/>
        <v>0</v>
      </c>
      <c r="H42" s="1061">
        <f t="shared" si="4"/>
        <v>0</v>
      </c>
      <c r="I42" s="1114">
        <f t="shared" si="5"/>
        <v>0</v>
      </c>
      <c r="J42" s="1061">
        <f t="shared" si="6"/>
        <v>0</v>
      </c>
      <c r="K42" s="1061">
        <v>0</v>
      </c>
      <c r="L42" s="1061">
        <f t="shared" si="7"/>
        <v>0</v>
      </c>
      <c r="M42" s="1061">
        <f t="shared" si="8"/>
        <v>0</v>
      </c>
      <c r="N42" s="1051">
        <f>'[18]FY2012-13 Final'!K43</f>
        <v>4601</v>
      </c>
      <c r="O42" s="992">
        <f t="shared" si="9"/>
        <v>0</v>
      </c>
      <c r="P42" s="1117">
        <f t="shared" si="10"/>
        <v>0</v>
      </c>
      <c r="Q42" s="992">
        <f t="shared" si="11"/>
        <v>0</v>
      </c>
      <c r="R42" s="992">
        <v>0</v>
      </c>
      <c r="S42" s="992">
        <f t="shared" si="12"/>
        <v>0</v>
      </c>
      <c r="T42" s="992">
        <f t="shared" si="13"/>
        <v>0</v>
      </c>
      <c r="U42" s="993">
        <f t="shared" si="14"/>
        <v>0</v>
      </c>
      <c r="V42" s="993">
        <f t="shared" si="14"/>
        <v>0</v>
      </c>
    </row>
    <row r="43" spans="1:22">
      <c r="A43" s="994">
        <v>37</v>
      </c>
      <c r="B43" s="995" t="s">
        <v>131</v>
      </c>
      <c r="C43" s="1196">
        <v>0</v>
      </c>
      <c r="D43" s="1003">
        <f>'Table 3 Levels 1&amp;2'!BN45+'Table 3 Levels 1&amp;2'!BV45</f>
        <v>5484.8089042263191</v>
      </c>
      <c r="E43" s="1102">
        <f t="shared" si="2"/>
        <v>0</v>
      </c>
      <c r="F43" s="1102">
        <f>'Table 4 Level 3'!N42</f>
        <v>653.61</v>
      </c>
      <c r="G43" s="1102">
        <f t="shared" si="3"/>
        <v>0</v>
      </c>
      <c r="H43" s="1059">
        <f t="shared" si="4"/>
        <v>0</v>
      </c>
      <c r="I43" s="1112">
        <f t="shared" si="5"/>
        <v>0</v>
      </c>
      <c r="J43" s="1059">
        <f t="shared" si="6"/>
        <v>0</v>
      </c>
      <c r="K43" s="1059">
        <v>0</v>
      </c>
      <c r="L43" s="1059">
        <f t="shared" si="7"/>
        <v>0</v>
      </c>
      <c r="M43" s="1059">
        <f t="shared" si="8"/>
        <v>0</v>
      </c>
      <c r="N43" s="1051">
        <f>'[18]FY2012-13 Final'!K44</f>
        <v>3099</v>
      </c>
      <c r="O43" s="1053">
        <f t="shared" si="9"/>
        <v>0</v>
      </c>
      <c r="P43" s="1118">
        <f t="shared" si="10"/>
        <v>0</v>
      </c>
      <c r="Q43" s="1053">
        <f t="shared" si="11"/>
        <v>0</v>
      </c>
      <c r="R43" s="1053">
        <v>0</v>
      </c>
      <c r="S43" s="1053">
        <f t="shared" si="12"/>
        <v>0</v>
      </c>
      <c r="T43" s="1053">
        <f t="shared" si="13"/>
        <v>0</v>
      </c>
      <c r="U43" s="1054">
        <f t="shared" si="14"/>
        <v>0</v>
      </c>
      <c r="V43" s="1054">
        <f t="shared" si="14"/>
        <v>0</v>
      </c>
    </row>
    <row r="44" spans="1:22">
      <c r="A44" s="994">
        <v>38</v>
      </c>
      <c r="B44" s="995" t="s">
        <v>132</v>
      </c>
      <c r="C44" s="1196">
        <v>0</v>
      </c>
      <c r="D44" s="1003">
        <f>'Table 3 Levels 1&amp;2'!BN46+'Table 3 Levels 1&amp;2'!BV46</f>
        <v>2078.5917829727841</v>
      </c>
      <c r="E44" s="1102">
        <f t="shared" si="2"/>
        <v>0</v>
      </c>
      <c r="F44" s="1102">
        <f>'Table 4 Level 3'!N43</f>
        <v>829.92000000000007</v>
      </c>
      <c r="G44" s="1102">
        <f t="shared" si="3"/>
        <v>0</v>
      </c>
      <c r="H44" s="1059">
        <f t="shared" si="4"/>
        <v>0</v>
      </c>
      <c r="I44" s="1112">
        <f t="shared" si="5"/>
        <v>0</v>
      </c>
      <c r="J44" s="1059">
        <f t="shared" si="6"/>
        <v>0</v>
      </c>
      <c r="K44" s="1059">
        <v>0</v>
      </c>
      <c r="L44" s="1059">
        <f t="shared" si="7"/>
        <v>0</v>
      </c>
      <c r="M44" s="1059">
        <f t="shared" si="8"/>
        <v>0</v>
      </c>
      <c r="N44" s="1051">
        <f>'[18]FY2012-13 Final'!K45</f>
        <v>9674</v>
      </c>
      <c r="O44" s="1053">
        <f t="shared" si="9"/>
        <v>0</v>
      </c>
      <c r="P44" s="1118">
        <f t="shared" si="10"/>
        <v>0</v>
      </c>
      <c r="Q44" s="1053">
        <f t="shared" si="11"/>
        <v>0</v>
      </c>
      <c r="R44" s="1053">
        <v>0</v>
      </c>
      <c r="S44" s="1053">
        <f t="shared" si="12"/>
        <v>0</v>
      </c>
      <c r="T44" s="1053">
        <f t="shared" si="13"/>
        <v>0</v>
      </c>
      <c r="U44" s="1054">
        <f t="shared" si="14"/>
        <v>0</v>
      </c>
      <c r="V44" s="1054">
        <f t="shared" si="14"/>
        <v>0</v>
      </c>
    </row>
    <row r="45" spans="1:22">
      <c r="A45" s="994">
        <v>39</v>
      </c>
      <c r="B45" s="995" t="s">
        <v>133</v>
      </c>
      <c r="C45" s="1196">
        <f>412*5%</f>
        <v>20.6</v>
      </c>
      <c r="D45" s="1003">
        <f>'Table 3 Levels 1&amp;2'!BN47+'Table 3 Levels 1&amp;2'!BV47</f>
        <v>3622.4878999042335</v>
      </c>
      <c r="E45" s="1102">
        <f t="shared" si="2"/>
        <v>74623.250738027215</v>
      </c>
      <c r="F45" s="1102">
        <f>'Table 4 Level 3'!N44</f>
        <v>779.65573042776441</v>
      </c>
      <c r="G45" s="1102">
        <f t="shared" si="3"/>
        <v>16060.908046811948</v>
      </c>
      <c r="H45" s="1059">
        <f t="shared" si="4"/>
        <v>90684.158784839165</v>
      </c>
      <c r="I45" s="1112">
        <f t="shared" si="5"/>
        <v>-226.71039696209792</v>
      </c>
      <c r="J45" s="1059">
        <f t="shared" si="6"/>
        <v>90457.44838787707</v>
      </c>
      <c r="K45" s="1059">
        <v>0</v>
      </c>
      <c r="L45" s="1059">
        <f t="shared" si="7"/>
        <v>90457.44838787707</v>
      </c>
      <c r="M45" s="1059">
        <f t="shared" si="8"/>
        <v>7538.1206989897555</v>
      </c>
      <c r="N45" s="1051">
        <f>'[18]FY2012-13 Final'!K46</f>
        <v>4277</v>
      </c>
      <c r="O45" s="1053">
        <f t="shared" si="9"/>
        <v>88106.200000000012</v>
      </c>
      <c r="P45" s="1118">
        <f t="shared" si="10"/>
        <v>-220.26550000000003</v>
      </c>
      <c r="Q45" s="1053">
        <f t="shared" si="11"/>
        <v>87885.934500000018</v>
      </c>
      <c r="R45" s="1053">
        <v>0</v>
      </c>
      <c r="S45" s="1053">
        <f t="shared" si="12"/>
        <v>87885.934500000018</v>
      </c>
      <c r="T45" s="1053">
        <f t="shared" si="13"/>
        <v>7323.8278750000018</v>
      </c>
      <c r="U45" s="1054">
        <f t="shared" si="14"/>
        <v>178343.38288787709</v>
      </c>
      <c r="V45" s="1054">
        <f t="shared" si="14"/>
        <v>14861.948573989757</v>
      </c>
    </row>
    <row r="46" spans="1:22">
      <c r="A46" s="998">
        <v>40</v>
      </c>
      <c r="B46" s="999" t="s">
        <v>134</v>
      </c>
      <c r="C46" s="1197">
        <v>0</v>
      </c>
      <c r="D46" s="1005">
        <f>'Table 3 Levels 1&amp;2'!BN48+'Table 3 Levels 1&amp;2'!BV48</f>
        <v>4885.6387343180086</v>
      </c>
      <c r="E46" s="1103">
        <f t="shared" si="2"/>
        <v>0</v>
      </c>
      <c r="F46" s="1103">
        <f>'Table 4 Level 3'!N45</f>
        <v>700.2700000000001</v>
      </c>
      <c r="G46" s="1103">
        <f t="shared" si="3"/>
        <v>0</v>
      </c>
      <c r="H46" s="1060">
        <f t="shared" si="4"/>
        <v>0</v>
      </c>
      <c r="I46" s="1113">
        <f t="shared" si="5"/>
        <v>0</v>
      </c>
      <c r="J46" s="1060">
        <f t="shared" si="6"/>
        <v>0</v>
      </c>
      <c r="K46" s="1060">
        <v>0</v>
      </c>
      <c r="L46" s="1060">
        <f t="shared" si="7"/>
        <v>0</v>
      </c>
      <c r="M46" s="1060">
        <f t="shared" si="8"/>
        <v>0</v>
      </c>
      <c r="N46" s="1056">
        <f>'[18]FY2012-13 Final'!K47</f>
        <v>2921</v>
      </c>
      <c r="O46" s="1057">
        <f t="shared" si="9"/>
        <v>0</v>
      </c>
      <c r="P46" s="1119">
        <f t="shared" si="10"/>
        <v>0</v>
      </c>
      <c r="Q46" s="1057">
        <f t="shared" si="11"/>
        <v>0</v>
      </c>
      <c r="R46" s="1057">
        <v>0</v>
      </c>
      <c r="S46" s="1057">
        <f t="shared" si="12"/>
        <v>0</v>
      </c>
      <c r="T46" s="1057">
        <f t="shared" si="13"/>
        <v>0</v>
      </c>
      <c r="U46" s="1058">
        <f t="shared" si="14"/>
        <v>0</v>
      </c>
      <c r="V46" s="1058">
        <f t="shared" si="14"/>
        <v>0</v>
      </c>
    </row>
    <row r="47" spans="1:22">
      <c r="A47" s="987">
        <v>41</v>
      </c>
      <c r="B47" s="988" t="s">
        <v>135</v>
      </c>
      <c r="C47" s="1198">
        <v>0</v>
      </c>
      <c r="D47" s="1007">
        <f>'Table 3 Levels 1&amp;2'!BN49+'Table 3 Levels 1&amp;2'!BV49</f>
        <v>1602.0398121899364</v>
      </c>
      <c r="E47" s="1104">
        <f t="shared" si="2"/>
        <v>0</v>
      </c>
      <c r="F47" s="1104">
        <f>'Table 4 Level 3'!N46</f>
        <v>886.22</v>
      </c>
      <c r="G47" s="1104">
        <f t="shared" si="3"/>
        <v>0</v>
      </c>
      <c r="H47" s="1061">
        <f t="shared" si="4"/>
        <v>0</v>
      </c>
      <c r="I47" s="1114">
        <f t="shared" si="5"/>
        <v>0</v>
      </c>
      <c r="J47" s="1061">
        <f t="shared" si="6"/>
        <v>0</v>
      </c>
      <c r="K47" s="1061">
        <v>0</v>
      </c>
      <c r="L47" s="1061">
        <f t="shared" si="7"/>
        <v>0</v>
      </c>
      <c r="M47" s="1061">
        <f t="shared" si="8"/>
        <v>0</v>
      </c>
      <c r="N47" s="1051">
        <f>'[18]FY2012-13 Final'!K48</f>
        <v>12026</v>
      </c>
      <c r="O47" s="992">
        <f t="shared" si="9"/>
        <v>0</v>
      </c>
      <c r="P47" s="1117">
        <f t="shared" si="10"/>
        <v>0</v>
      </c>
      <c r="Q47" s="992">
        <f t="shared" si="11"/>
        <v>0</v>
      </c>
      <c r="R47" s="992">
        <v>0</v>
      </c>
      <c r="S47" s="992">
        <f t="shared" si="12"/>
        <v>0</v>
      </c>
      <c r="T47" s="992">
        <f t="shared" si="13"/>
        <v>0</v>
      </c>
      <c r="U47" s="993">
        <f t="shared" si="14"/>
        <v>0</v>
      </c>
      <c r="V47" s="993">
        <f t="shared" si="14"/>
        <v>0</v>
      </c>
    </row>
    <row r="48" spans="1:22">
      <c r="A48" s="994">
        <v>42</v>
      </c>
      <c r="B48" s="995" t="s">
        <v>136</v>
      </c>
      <c r="C48" s="1196">
        <v>0</v>
      </c>
      <c r="D48" s="1003">
        <f>'Table 3 Levels 1&amp;2'!BN50+'Table 3 Levels 1&amp;2'!BV50</f>
        <v>5098.6172346404755</v>
      </c>
      <c r="E48" s="1102">
        <f t="shared" si="2"/>
        <v>0</v>
      </c>
      <c r="F48" s="1102">
        <f>'Table 4 Level 3'!N47</f>
        <v>534.28</v>
      </c>
      <c r="G48" s="1102">
        <f t="shared" si="3"/>
        <v>0</v>
      </c>
      <c r="H48" s="1059">
        <f t="shared" si="4"/>
        <v>0</v>
      </c>
      <c r="I48" s="1112">
        <f t="shared" si="5"/>
        <v>0</v>
      </c>
      <c r="J48" s="1059">
        <f t="shared" si="6"/>
        <v>0</v>
      </c>
      <c r="K48" s="1059">
        <v>0</v>
      </c>
      <c r="L48" s="1059">
        <f t="shared" si="7"/>
        <v>0</v>
      </c>
      <c r="M48" s="1059">
        <f t="shared" si="8"/>
        <v>0</v>
      </c>
      <c r="N48" s="1051">
        <f>'[18]FY2012-13 Final'!K49</f>
        <v>2554</v>
      </c>
      <c r="O48" s="1053">
        <f t="shared" si="9"/>
        <v>0</v>
      </c>
      <c r="P48" s="1118">
        <f t="shared" si="10"/>
        <v>0</v>
      </c>
      <c r="Q48" s="1053">
        <f t="shared" si="11"/>
        <v>0</v>
      </c>
      <c r="R48" s="1053">
        <v>0</v>
      </c>
      <c r="S48" s="1053">
        <f t="shared" si="12"/>
        <v>0</v>
      </c>
      <c r="T48" s="1053">
        <f t="shared" si="13"/>
        <v>0</v>
      </c>
      <c r="U48" s="1054">
        <f t="shared" si="14"/>
        <v>0</v>
      </c>
      <c r="V48" s="1054">
        <f t="shared" si="14"/>
        <v>0</v>
      </c>
    </row>
    <row r="49" spans="1:22">
      <c r="A49" s="994">
        <v>43</v>
      </c>
      <c r="B49" s="995" t="s">
        <v>137</v>
      </c>
      <c r="C49" s="1196">
        <v>0</v>
      </c>
      <c r="D49" s="1003">
        <f>'Table 3 Levels 1&amp;2'!BN51+'Table 3 Levels 1&amp;2'!BV51</f>
        <v>4701.3362575004667</v>
      </c>
      <c r="E49" s="1102">
        <f t="shared" si="2"/>
        <v>0</v>
      </c>
      <c r="F49" s="1102">
        <f>'Table 4 Level 3'!N48</f>
        <v>574.6099999999999</v>
      </c>
      <c r="G49" s="1102">
        <f t="shared" si="3"/>
        <v>0</v>
      </c>
      <c r="H49" s="1059">
        <f t="shared" si="4"/>
        <v>0</v>
      </c>
      <c r="I49" s="1112">
        <f t="shared" si="5"/>
        <v>0</v>
      </c>
      <c r="J49" s="1059">
        <f t="shared" si="6"/>
        <v>0</v>
      </c>
      <c r="K49" s="1059">
        <v>0</v>
      </c>
      <c r="L49" s="1059">
        <f t="shared" si="7"/>
        <v>0</v>
      </c>
      <c r="M49" s="1059">
        <f t="shared" si="8"/>
        <v>0</v>
      </c>
      <c r="N49" s="1051">
        <f>'[18]FY2012-13 Final'!K50</f>
        <v>5265</v>
      </c>
      <c r="O49" s="1053">
        <f t="shared" si="9"/>
        <v>0</v>
      </c>
      <c r="P49" s="1118">
        <f t="shared" si="10"/>
        <v>0</v>
      </c>
      <c r="Q49" s="1053">
        <f t="shared" si="11"/>
        <v>0</v>
      </c>
      <c r="R49" s="1053">
        <v>0</v>
      </c>
      <c r="S49" s="1053">
        <f t="shared" si="12"/>
        <v>0</v>
      </c>
      <c r="T49" s="1053">
        <f t="shared" si="13"/>
        <v>0</v>
      </c>
      <c r="U49" s="1054">
        <f t="shared" si="14"/>
        <v>0</v>
      </c>
      <c r="V49" s="1054">
        <f t="shared" si="14"/>
        <v>0</v>
      </c>
    </row>
    <row r="50" spans="1:22">
      <c r="A50" s="994">
        <v>44</v>
      </c>
      <c r="B50" s="995" t="s">
        <v>138</v>
      </c>
      <c r="C50" s="1196">
        <v>0</v>
      </c>
      <c r="D50" s="1003">
        <f>'Table 3 Levels 1&amp;2'!BN52+'Table 3 Levels 1&amp;2'!BV52</f>
        <v>4649.5559521248724</v>
      </c>
      <c r="E50" s="1102">
        <f t="shared" si="2"/>
        <v>0</v>
      </c>
      <c r="F50" s="1102">
        <f>'Table 4 Level 3'!N49</f>
        <v>663.16000000000008</v>
      </c>
      <c r="G50" s="1102">
        <f t="shared" si="3"/>
        <v>0</v>
      </c>
      <c r="H50" s="1059">
        <f t="shared" si="4"/>
        <v>0</v>
      </c>
      <c r="I50" s="1112">
        <f t="shared" si="5"/>
        <v>0</v>
      </c>
      <c r="J50" s="1059">
        <f t="shared" si="6"/>
        <v>0</v>
      </c>
      <c r="K50" s="1059">
        <v>0</v>
      </c>
      <c r="L50" s="1059">
        <f t="shared" si="7"/>
        <v>0</v>
      </c>
      <c r="M50" s="1059">
        <f t="shared" si="8"/>
        <v>0</v>
      </c>
      <c r="N50" s="1051">
        <f>'[18]FY2012-13 Final'!K51</f>
        <v>4109</v>
      </c>
      <c r="O50" s="1053">
        <f t="shared" si="9"/>
        <v>0</v>
      </c>
      <c r="P50" s="1118">
        <f t="shared" si="10"/>
        <v>0</v>
      </c>
      <c r="Q50" s="1053">
        <f t="shared" si="11"/>
        <v>0</v>
      </c>
      <c r="R50" s="1053">
        <v>0</v>
      </c>
      <c r="S50" s="1053">
        <f t="shared" si="12"/>
        <v>0</v>
      </c>
      <c r="T50" s="1053">
        <f t="shared" si="13"/>
        <v>0</v>
      </c>
      <c r="U50" s="1054">
        <f t="shared" si="14"/>
        <v>0</v>
      </c>
      <c r="V50" s="1054">
        <f t="shared" si="14"/>
        <v>0</v>
      </c>
    </row>
    <row r="51" spans="1:22">
      <c r="A51" s="998">
        <v>45</v>
      </c>
      <c r="B51" s="999" t="s">
        <v>139</v>
      </c>
      <c r="C51" s="1197">
        <v>0</v>
      </c>
      <c r="D51" s="1005">
        <f>'Table 3 Levels 1&amp;2'!BN53+'Table 3 Levels 1&amp;2'!BV53</f>
        <v>2159.257884231537</v>
      </c>
      <c r="E51" s="1103">
        <f t="shared" si="2"/>
        <v>0</v>
      </c>
      <c r="F51" s="1103">
        <f>'Table 4 Level 3'!N50</f>
        <v>753.96000000000015</v>
      </c>
      <c r="G51" s="1103">
        <f t="shared" si="3"/>
        <v>0</v>
      </c>
      <c r="H51" s="1060">
        <f t="shared" si="4"/>
        <v>0</v>
      </c>
      <c r="I51" s="1113">
        <f t="shared" si="5"/>
        <v>0</v>
      </c>
      <c r="J51" s="1060">
        <f t="shared" si="6"/>
        <v>0</v>
      </c>
      <c r="K51" s="1060">
        <v>0</v>
      </c>
      <c r="L51" s="1060">
        <f t="shared" si="7"/>
        <v>0</v>
      </c>
      <c r="M51" s="1060">
        <f t="shared" si="8"/>
        <v>0</v>
      </c>
      <c r="N51" s="1056">
        <f>'[18]FY2012-13 Final'!K52</f>
        <v>12427</v>
      </c>
      <c r="O51" s="1057">
        <f t="shared" si="9"/>
        <v>0</v>
      </c>
      <c r="P51" s="1119">
        <f t="shared" si="10"/>
        <v>0</v>
      </c>
      <c r="Q51" s="1057">
        <f t="shared" si="11"/>
        <v>0</v>
      </c>
      <c r="R51" s="1057">
        <v>0</v>
      </c>
      <c r="S51" s="1057">
        <f t="shared" si="12"/>
        <v>0</v>
      </c>
      <c r="T51" s="1057">
        <f t="shared" si="13"/>
        <v>0</v>
      </c>
      <c r="U51" s="1058">
        <f t="shared" si="14"/>
        <v>0</v>
      </c>
      <c r="V51" s="1058">
        <f t="shared" si="14"/>
        <v>0</v>
      </c>
    </row>
    <row r="52" spans="1:22">
      <c r="A52" s="987">
        <v>46</v>
      </c>
      <c r="B52" s="988" t="s">
        <v>140</v>
      </c>
      <c r="C52" s="1198">
        <v>0</v>
      </c>
      <c r="D52" s="1007">
        <f>'Table 3 Levels 1&amp;2'!BN54+'Table 3 Levels 1&amp;2'!BV54</f>
        <v>5578.7258135108641</v>
      </c>
      <c r="E52" s="1104">
        <f t="shared" si="2"/>
        <v>0</v>
      </c>
      <c r="F52" s="1104">
        <f>'Table 4 Level 3'!N51</f>
        <v>728.06</v>
      </c>
      <c r="G52" s="1104">
        <f t="shared" si="3"/>
        <v>0</v>
      </c>
      <c r="H52" s="1061">
        <f t="shared" si="4"/>
        <v>0</v>
      </c>
      <c r="I52" s="1114">
        <f t="shared" si="5"/>
        <v>0</v>
      </c>
      <c r="J52" s="1061">
        <f t="shared" si="6"/>
        <v>0</v>
      </c>
      <c r="K52" s="1061">
        <v>0</v>
      </c>
      <c r="L52" s="1061">
        <f t="shared" si="7"/>
        <v>0</v>
      </c>
      <c r="M52" s="1061">
        <f t="shared" si="8"/>
        <v>0</v>
      </c>
      <c r="N52" s="1051">
        <f>'[18]FY2012-13 Final'!K53</f>
        <v>1968</v>
      </c>
      <c r="O52" s="992">
        <f t="shared" si="9"/>
        <v>0</v>
      </c>
      <c r="P52" s="1117">
        <f t="shared" si="10"/>
        <v>0</v>
      </c>
      <c r="Q52" s="992">
        <f t="shared" si="11"/>
        <v>0</v>
      </c>
      <c r="R52" s="992">
        <v>0</v>
      </c>
      <c r="S52" s="992">
        <f t="shared" si="12"/>
        <v>0</v>
      </c>
      <c r="T52" s="992">
        <f t="shared" si="13"/>
        <v>0</v>
      </c>
      <c r="U52" s="993">
        <f t="shared" si="14"/>
        <v>0</v>
      </c>
      <c r="V52" s="993">
        <f t="shared" si="14"/>
        <v>0</v>
      </c>
    </row>
    <row r="53" spans="1:22">
      <c r="A53" s="994">
        <v>47</v>
      </c>
      <c r="B53" s="995" t="s">
        <v>141</v>
      </c>
      <c r="C53" s="1196">
        <v>0</v>
      </c>
      <c r="D53" s="1003">
        <f>'Table 3 Levels 1&amp;2'!BN55+'Table 3 Levels 1&amp;2'!BV55</f>
        <v>2709.058014721415</v>
      </c>
      <c r="E53" s="1102">
        <f t="shared" si="2"/>
        <v>0</v>
      </c>
      <c r="F53" s="1102">
        <f>'Table 4 Level 3'!N52</f>
        <v>910.76</v>
      </c>
      <c r="G53" s="1102">
        <f t="shared" si="3"/>
        <v>0</v>
      </c>
      <c r="H53" s="1059">
        <f t="shared" si="4"/>
        <v>0</v>
      </c>
      <c r="I53" s="1112">
        <f t="shared" si="5"/>
        <v>0</v>
      </c>
      <c r="J53" s="1059">
        <f t="shared" si="6"/>
        <v>0</v>
      </c>
      <c r="K53" s="1059">
        <v>0</v>
      </c>
      <c r="L53" s="1059">
        <f t="shared" si="7"/>
        <v>0</v>
      </c>
      <c r="M53" s="1059">
        <f t="shared" si="8"/>
        <v>0</v>
      </c>
      <c r="N53" s="1051">
        <f>'[18]FY2012-13 Final'!K54</f>
        <v>10049</v>
      </c>
      <c r="O53" s="1053">
        <f t="shared" si="9"/>
        <v>0</v>
      </c>
      <c r="P53" s="1118">
        <f t="shared" si="10"/>
        <v>0</v>
      </c>
      <c r="Q53" s="1053">
        <f t="shared" si="11"/>
        <v>0</v>
      </c>
      <c r="R53" s="1053">
        <v>0</v>
      </c>
      <c r="S53" s="1053">
        <f t="shared" si="12"/>
        <v>0</v>
      </c>
      <c r="T53" s="1053">
        <f t="shared" si="13"/>
        <v>0</v>
      </c>
      <c r="U53" s="1054">
        <f t="shared" si="14"/>
        <v>0</v>
      </c>
      <c r="V53" s="1054">
        <f t="shared" si="14"/>
        <v>0</v>
      </c>
    </row>
    <row r="54" spans="1:22">
      <c r="A54" s="994">
        <v>48</v>
      </c>
      <c r="B54" s="995" t="s">
        <v>202</v>
      </c>
      <c r="C54" s="1196">
        <v>0</v>
      </c>
      <c r="D54" s="1003">
        <f>'Table 3 Levels 1&amp;2'!BN56+'Table 3 Levels 1&amp;2'!BV56</f>
        <v>4259.4136153508553</v>
      </c>
      <c r="E54" s="1102">
        <f t="shared" si="2"/>
        <v>0</v>
      </c>
      <c r="F54" s="1102">
        <f>'Table 4 Level 3'!N53</f>
        <v>871.07</v>
      </c>
      <c r="G54" s="1102">
        <f t="shared" si="3"/>
        <v>0</v>
      </c>
      <c r="H54" s="1059">
        <f t="shared" si="4"/>
        <v>0</v>
      </c>
      <c r="I54" s="1112">
        <f t="shared" si="5"/>
        <v>0</v>
      </c>
      <c r="J54" s="1059">
        <f t="shared" si="6"/>
        <v>0</v>
      </c>
      <c r="K54" s="1059">
        <v>0</v>
      </c>
      <c r="L54" s="1059">
        <f t="shared" si="7"/>
        <v>0</v>
      </c>
      <c r="M54" s="1059">
        <f t="shared" si="8"/>
        <v>0</v>
      </c>
      <c r="N54" s="1051">
        <f>'[18]FY2012-13 Final'!K55</f>
        <v>5755</v>
      </c>
      <c r="O54" s="1053">
        <f t="shared" si="9"/>
        <v>0</v>
      </c>
      <c r="P54" s="1118">
        <f t="shared" si="10"/>
        <v>0</v>
      </c>
      <c r="Q54" s="1053">
        <f t="shared" si="11"/>
        <v>0</v>
      </c>
      <c r="R54" s="1053">
        <v>0</v>
      </c>
      <c r="S54" s="1053">
        <f t="shared" si="12"/>
        <v>0</v>
      </c>
      <c r="T54" s="1053">
        <f t="shared" si="13"/>
        <v>0</v>
      </c>
      <c r="U54" s="1054">
        <f t="shared" si="14"/>
        <v>0</v>
      </c>
      <c r="V54" s="1054">
        <f t="shared" si="14"/>
        <v>0</v>
      </c>
    </row>
    <row r="55" spans="1:22">
      <c r="A55" s="994">
        <v>49</v>
      </c>
      <c r="B55" s="995" t="s">
        <v>142</v>
      </c>
      <c r="C55" s="1196">
        <v>0</v>
      </c>
      <c r="D55" s="1003">
        <f>'Table 3 Levels 1&amp;2'!BN57+'Table 3 Levels 1&amp;2'!BV57</f>
        <v>4790.0513947378495</v>
      </c>
      <c r="E55" s="1102">
        <f t="shared" si="2"/>
        <v>0</v>
      </c>
      <c r="F55" s="1102">
        <f>'Table 4 Level 3'!N54</f>
        <v>574.43999999999994</v>
      </c>
      <c r="G55" s="1102">
        <f t="shared" si="3"/>
        <v>0</v>
      </c>
      <c r="H55" s="1059">
        <f t="shared" si="4"/>
        <v>0</v>
      </c>
      <c r="I55" s="1112">
        <f t="shared" si="5"/>
        <v>0</v>
      </c>
      <c r="J55" s="1059">
        <f t="shared" si="6"/>
        <v>0</v>
      </c>
      <c r="K55" s="1059">
        <v>0</v>
      </c>
      <c r="L55" s="1059">
        <f t="shared" si="7"/>
        <v>0</v>
      </c>
      <c r="M55" s="1059">
        <f t="shared" si="8"/>
        <v>0</v>
      </c>
      <c r="N55" s="1051">
        <f>'[18]FY2012-13 Final'!K56</f>
        <v>2335</v>
      </c>
      <c r="O55" s="1053">
        <f t="shared" si="9"/>
        <v>0</v>
      </c>
      <c r="P55" s="1118">
        <f t="shared" si="10"/>
        <v>0</v>
      </c>
      <c r="Q55" s="1053">
        <f t="shared" si="11"/>
        <v>0</v>
      </c>
      <c r="R55" s="1053">
        <v>0</v>
      </c>
      <c r="S55" s="1053">
        <f t="shared" si="12"/>
        <v>0</v>
      </c>
      <c r="T55" s="1053">
        <f t="shared" si="13"/>
        <v>0</v>
      </c>
      <c r="U55" s="1054">
        <f t="shared" si="14"/>
        <v>0</v>
      </c>
      <c r="V55" s="1054">
        <f t="shared" si="14"/>
        <v>0</v>
      </c>
    </row>
    <row r="56" spans="1:22">
      <c r="A56" s="998">
        <v>50</v>
      </c>
      <c r="B56" s="999" t="s">
        <v>143</v>
      </c>
      <c r="C56" s="1197">
        <v>0</v>
      </c>
      <c r="D56" s="1005">
        <f>'Table 3 Levels 1&amp;2'!BN58+'Table 3 Levels 1&amp;2'!BV58</f>
        <v>4954.3375045905796</v>
      </c>
      <c r="E56" s="1103">
        <f t="shared" si="2"/>
        <v>0</v>
      </c>
      <c r="F56" s="1103">
        <f>'Table 4 Level 3'!N55</f>
        <v>634.46</v>
      </c>
      <c r="G56" s="1103">
        <f t="shared" si="3"/>
        <v>0</v>
      </c>
      <c r="H56" s="1060">
        <f t="shared" si="4"/>
        <v>0</v>
      </c>
      <c r="I56" s="1113">
        <f t="shared" si="5"/>
        <v>0</v>
      </c>
      <c r="J56" s="1060">
        <f t="shared" si="6"/>
        <v>0</v>
      </c>
      <c r="K56" s="1060">
        <v>0</v>
      </c>
      <c r="L56" s="1060">
        <f t="shared" si="7"/>
        <v>0</v>
      </c>
      <c r="M56" s="1060">
        <f t="shared" si="8"/>
        <v>0</v>
      </c>
      <c r="N56" s="1056">
        <f>'[18]FY2012-13 Final'!K57</f>
        <v>2801</v>
      </c>
      <c r="O56" s="1057">
        <f t="shared" si="9"/>
        <v>0</v>
      </c>
      <c r="P56" s="1119">
        <f t="shared" si="10"/>
        <v>0</v>
      </c>
      <c r="Q56" s="1057">
        <f t="shared" si="11"/>
        <v>0</v>
      </c>
      <c r="R56" s="1057">
        <v>0</v>
      </c>
      <c r="S56" s="1057">
        <f t="shared" si="12"/>
        <v>0</v>
      </c>
      <c r="T56" s="1057">
        <f t="shared" si="13"/>
        <v>0</v>
      </c>
      <c r="U56" s="1058">
        <f t="shared" si="14"/>
        <v>0</v>
      </c>
      <c r="V56" s="1058">
        <f t="shared" si="14"/>
        <v>0</v>
      </c>
    </row>
    <row r="57" spans="1:22">
      <c r="A57" s="987">
        <v>51</v>
      </c>
      <c r="B57" s="988" t="s">
        <v>144</v>
      </c>
      <c r="C57" s="1198">
        <v>0</v>
      </c>
      <c r="D57" s="1007">
        <f>'Table 3 Levels 1&amp;2'!BN59+'Table 3 Levels 1&amp;2'!BV59</f>
        <v>4290.3461727150461</v>
      </c>
      <c r="E57" s="1104">
        <f t="shared" si="2"/>
        <v>0</v>
      </c>
      <c r="F57" s="1104">
        <f>'Table 4 Level 3'!N56</f>
        <v>706.66</v>
      </c>
      <c r="G57" s="1104">
        <f t="shared" si="3"/>
        <v>0</v>
      </c>
      <c r="H57" s="1061">
        <f t="shared" si="4"/>
        <v>0</v>
      </c>
      <c r="I57" s="1114">
        <f t="shared" si="5"/>
        <v>0</v>
      </c>
      <c r="J57" s="1061">
        <f t="shared" si="6"/>
        <v>0</v>
      </c>
      <c r="K57" s="1061">
        <v>0</v>
      </c>
      <c r="L57" s="1061">
        <f t="shared" si="7"/>
        <v>0</v>
      </c>
      <c r="M57" s="1061">
        <f t="shared" si="8"/>
        <v>0</v>
      </c>
      <c r="N57" s="1051">
        <f>'[18]FY2012-13 Final'!K58</f>
        <v>4053</v>
      </c>
      <c r="O57" s="992">
        <f t="shared" si="9"/>
        <v>0</v>
      </c>
      <c r="P57" s="1117">
        <f t="shared" si="10"/>
        <v>0</v>
      </c>
      <c r="Q57" s="992">
        <f t="shared" si="11"/>
        <v>0</v>
      </c>
      <c r="R57" s="992">
        <v>0</v>
      </c>
      <c r="S57" s="992">
        <f t="shared" si="12"/>
        <v>0</v>
      </c>
      <c r="T57" s="992">
        <f t="shared" si="13"/>
        <v>0</v>
      </c>
      <c r="U57" s="993">
        <f t="shared" si="14"/>
        <v>0</v>
      </c>
      <c r="V57" s="993">
        <f t="shared" si="14"/>
        <v>0</v>
      </c>
    </row>
    <row r="58" spans="1:22">
      <c r="A58" s="994">
        <v>52</v>
      </c>
      <c r="B58" s="995" t="s">
        <v>145</v>
      </c>
      <c r="C58" s="1196">
        <v>0</v>
      </c>
      <c r="D58" s="1003">
        <f>'Table 3 Levels 1&amp;2'!BN60+'Table 3 Levels 1&amp;2'!BV60</f>
        <v>4988.6415961118701</v>
      </c>
      <c r="E58" s="1102">
        <f t="shared" si="2"/>
        <v>0</v>
      </c>
      <c r="F58" s="1102">
        <f>'Table 4 Level 3'!N57</f>
        <v>658.37</v>
      </c>
      <c r="G58" s="1102">
        <f t="shared" si="3"/>
        <v>0</v>
      </c>
      <c r="H58" s="1059">
        <f t="shared" si="4"/>
        <v>0</v>
      </c>
      <c r="I58" s="1112">
        <f t="shared" si="5"/>
        <v>0</v>
      </c>
      <c r="J58" s="1059">
        <f t="shared" si="6"/>
        <v>0</v>
      </c>
      <c r="K58" s="1059">
        <v>0</v>
      </c>
      <c r="L58" s="1059">
        <f t="shared" si="7"/>
        <v>0</v>
      </c>
      <c r="M58" s="1059">
        <f t="shared" si="8"/>
        <v>0</v>
      </c>
      <c r="N58" s="1051">
        <f>'[18]FY2012-13 Final'!K59</f>
        <v>4886</v>
      </c>
      <c r="O58" s="1053">
        <f t="shared" si="9"/>
        <v>0</v>
      </c>
      <c r="P58" s="1118">
        <f t="shared" si="10"/>
        <v>0</v>
      </c>
      <c r="Q58" s="1053">
        <f t="shared" si="11"/>
        <v>0</v>
      </c>
      <c r="R58" s="1053">
        <v>0</v>
      </c>
      <c r="S58" s="1053">
        <f t="shared" si="12"/>
        <v>0</v>
      </c>
      <c r="T58" s="1053">
        <f t="shared" si="13"/>
        <v>0</v>
      </c>
      <c r="U58" s="1054">
        <f t="shared" si="14"/>
        <v>0</v>
      </c>
      <c r="V58" s="1054">
        <f t="shared" si="14"/>
        <v>0</v>
      </c>
    </row>
    <row r="59" spans="1:22">
      <c r="A59" s="994">
        <v>53</v>
      </c>
      <c r="B59" s="995" t="s">
        <v>146</v>
      </c>
      <c r="C59" s="1196">
        <v>0</v>
      </c>
      <c r="D59" s="1003">
        <f>'Table 3 Levels 1&amp;2'!BN61+'Table 3 Levels 1&amp;2'!BV61</f>
        <v>4739.7077057162423</v>
      </c>
      <c r="E59" s="1102">
        <f t="shared" si="2"/>
        <v>0</v>
      </c>
      <c r="F59" s="1102">
        <f>'Table 4 Level 3'!N58</f>
        <v>689.74</v>
      </c>
      <c r="G59" s="1102">
        <f t="shared" si="3"/>
        <v>0</v>
      </c>
      <c r="H59" s="1059">
        <f t="shared" si="4"/>
        <v>0</v>
      </c>
      <c r="I59" s="1112">
        <f t="shared" si="5"/>
        <v>0</v>
      </c>
      <c r="J59" s="1059">
        <f t="shared" si="6"/>
        <v>0</v>
      </c>
      <c r="K59" s="1059">
        <v>0</v>
      </c>
      <c r="L59" s="1059">
        <f t="shared" si="7"/>
        <v>0</v>
      </c>
      <c r="M59" s="1059">
        <f t="shared" si="8"/>
        <v>0</v>
      </c>
      <c r="N59" s="1051">
        <f>'[18]FY2012-13 Final'!K60</f>
        <v>1929</v>
      </c>
      <c r="O59" s="1053">
        <f t="shared" si="9"/>
        <v>0</v>
      </c>
      <c r="P59" s="1118">
        <f t="shared" si="10"/>
        <v>0</v>
      </c>
      <c r="Q59" s="1053">
        <f t="shared" si="11"/>
        <v>0</v>
      </c>
      <c r="R59" s="1053">
        <v>0</v>
      </c>
      <c r="S59" s="1053">
        <f t="shared" si="12"/>
        <v>0</v>
      </c>
      <c r="T59" s="1053">
        <f t="shared" si="13"/>
        <v>0</v>
      </c>
      <c r="U59" s="1054">
        <f t="shared" si="14"/>
        <v>0</v>
      </c>
      <c r="V59" s="1054">
        <f t="shared" si="14"/>
        <v>0</v>
      </c>
    </row>
    <row r="60" spans="1:22">
      <c r="A60" s="994">
        <v>54</v>
      </c>
      <c r="B60" s="995" t="s">
        <v>147</v>
      </c>
      <c r="C60" s="1196">
        <v>0</v>
      </c>
      <c r="D60" s="1003">
        <f>'Table 3 Levels 1&amp;2'!BN62+'Table 3 Levels 1&amp;2'!BV62</f>
        <v>5907.1276437932838</v>
      </c>
      <c r="E60" s="1102">
        <f t="shared" si="2"/>
        <v>0</v>
      </c>
      <c r="F60" s="1102">
        <f>'Table 4 Level 3'!N59</f>
        <v>951.45</v>
      </c>
      <c r="G60" s="1102">
        <f t="shared" si="3"/>
        <v>0</v>
      </c>
      <c r="H60" s="1059">
        <f t="shared" si="4"/>
        <v>0</v>
      </c>
      <c r="I60" s="1112">
        <f t="shared" si="5"/>
        <v>0</v>
      </c>
      <c r="J60" s="1059">
        <f t="shared" si="6"/>
        <v>0</v>
      </c>
      <c r="K60" s="1059">
        <v>0</v>
      </c>
      <c r="L60" s="1059">
        <f t="shared" si="7"/>
        <v>0</v>
      </c>
      <c r="M60" s="1059">
        <f t="shared" si="8"/>
        <v>0</v>
      </c>
      <c r="N60" s="1051">
        <f>'[18]FY2012-13 Final'!K61</f>
        <v>3382</v>
      </c>
      <c r="O60" s="1053">
        <f t="shared" si="9"/>
        <v>0</v>
      </c>
      <c r="P60" s="1118">
        <f t="shared" si="10"/>
        <v>0</v>
      </c>
      <c r="Q60" s="1053">
        <f t="shared" si="11"/>
        <v>0</v>
      </c>
      <c r="R60" s="1053">
        <v>0</v>
      </c>
      <c r="S60" s="1053">
        <f t="shared" si="12"/>
        <v>0</v>
      </c>
      <c r="T60" s="1053">
        <f t="shared" si="13"/>
        <v>0</v>
      </c>
      <c r="U60" s="1054">
        <f t="shared" si="14"/>
        <v>0</v>
      </c>
      <c r="V60" s="1054">
        <f t="shared" si="14"/>
        <v>0</v>
      </c>
    </row>
    <row r="61" spans="1:22">
      <c r="A61" s="998">
        <v>55</v>
      </c>
      <c r="B61" s="999" t="s">
        <v>148</v>
      </c>
      <c r="C61" s="1197">
        <v>0</v>
      </c>
      <c r="D61" s="1005">
        <f>'Table 3 Levels 1&amp;2'!BN63+'Table 3 Levels 1&amp;2'!BV63</f>
        <v>4115.0954812679902</v>
      </c>
      <c r="E61" s="1103">
        <f t="shared" si="2"/>
        <v>0</v>
      </c>
      <c r="F61" s="1103">
        <f>'Table 4 Level 3'!N60</f>
        <v>795.14</v>
      </c>
      <c r="G61" s="1103">
        <f t="shared" si="3"/>
        <v>0</v>
      </c>
      <c r="H61" s="1060">
        <f t="shared" si="4"/>
        <v>0</v>
      </c>
      <c r="I61" s="1113">
        <f t="shared" si="5"/>
        <v>0</v>
      </c>
      <c r="J61" s="1060">
        <f t="shared" si="6"/>
        <v>0</v>
      </c>
      <c r="K61" s="1060">
        <v>0</v>
      </c>
      <c r="L61" s="1060">
        <f t="shared" si="7"/>
        <v>0</v>
      </c>
      <c r="M61" s="1060">
        <f t="shared" si="8"/>
        <v>0</v>
      </c>
      <c r="N61" s="1056">
        <f>'[18]FY2012-13 Final'!K62</f>
        <v>3127</v>
      </c>
      <c r="O61" s="1057">
        <f t="shared" si="9"/>
        <v>0</v>
      </c>
      <c r="P61" s="1119">
        <f t="shared" si="10"/>
        <v>0</v>
      </c>
      <c r="Q61" s="1057">
        <f t="shared" si="11"/>
        <v>0</v>
      </c>
      <c r="R61" s="1057">
        <v>0</v>
      </c>
      <c r="S61" s="1057">
        <f t="shared" si="12"/>
        <v>0</v>
      </c>
      <c r="T61" s="1057">
        <f t="shared" si="13"/>
        <v>0</v>
      </c>
      <c r="U61" s="1058">
        <f t="shared" si="14"/>
        <v>0</v>
      </c>
      <c r="V61" s="1058">
        <f t="shared" si="14"/>
        <v>0</v>
      </c>
    </row>
    <row r="62" spans="1:22">
      <c r="A62" s="987">
        <v>56</v>
      </c>
      <c r="B62" s="988" t="s">
        <v>149</v>
      </c>
      <c r="C62" s="1198">
        <v>0</v>
      </c>
      <c r="D62" s="1007">
        <f>'Table 3 Levels 1&amp;2'!BN64+'Table 3 Levels 1&amp;2'!BV64</f>
        <v>4924.9032059941637</v>
      </c>
      <c r="E62" s="1104">
        <f t="shared" si="2"/>
        <v>0</v>
      </c>
      <c r="F62" s="1104">
        <f>'Table 4 Level 3'!N61</f>
        <v>614.66000000000008</v>
      </c>
      <c r="G62" s="1104">
        <f t="shared" si="3"/>
        <v>0</v>
      </c>
      <c r="H62" s="1061">
        <f t="shared" si="4"/>
        <v>0</v>
      </c>
      <c r="I62" s="1114">
        <f t="shared" si="5"/>
        <v>0</v>
      </c>
      <c r="J62" s="1061">
        <f t="shared" si="6"/>
        <v>0</v>
      </c>
      <c r="K62" s="1061">
        <v>0</v>
      </c>
      <c r="L62" s="1061">
        <f t="shared" si="7"/>
        <v>0</v>
      </c>
      <c r="M62" s="1061">
        <f t="shared" si="8"/>
        <v>0</v>
      </c>
      <c r="N62" s="1051">
        <f>'[18]FY2012-13 Final'!K63</f>
        <v>2768</v>
      </c>
      <c r="O62" s="992">
        <f t="shared" si="9"/>
        <v>0</v>
      </c>
      <c r="P62" s="1117">
        <f t="shared" si="10"/>
        <v>0</v>
      </c>
      <c r="Q62" s="992">
        <f t="shared" si="11"/>
        <v>0</v>
      </c>
      <c r="R62" s="992">
        <v>0</v>
      </c>
      <c r="S62" s="992">
        <f t="shared" si="12"/>
        <v>0</v>
      </c>
      <c r="T62" s="992">
        <f t="shared" si="13"/>
        <v>0</v>
      </c>
      <c r="U62" s="993">
        <f t="shared" si="14"/>
        <v>0</v>
      </c>
      <c r="V62" s="993">
        <f t="shared" si="14"/>
        <v>0</v>
      </c>
    </row>
    <row r="63" spans="1:22">
      <c r="A63" s="994">
        <v>57</v>
      </c>
      <c r="B63" s="995" t="s">
        <v>150</v>
      </c>
      <c r="C63" s="1196">
        <v>0</v>
      </c>
      <c r="D63" s="1003">
        <f>'Table 3 Levels 1&amp;2'!BN65+'Table 3 Levels 1&amp;2'!BV65</f>
        <v>4434.5516744018987</v>
      </c>
      <c r="E63" s="1102">
        <f t="shared" si="2"/>
        <v>0</v>
      </c>
      <c r="F63" s="1102">
        <f>'Table 4 Level 3'!N62</f>
        <v>764.51</v>
      </c>
      <c r="G63" s="1102">
        <f t="shared" si="3"/>
        <v>0</v>
      </c>
      <c r="H63" s="1059">
        <f t="shared" si="4"/>
        <v>0</v>
      </c>
      <c r="I63" s="1112">
        <f t="shared" si="5"/>
        <v>0</v>
      </c>
      <c r="J63" s="1059">
        <f t="shared" si="6"/>
        <v>0</v>
      </c>
      <c r="K63" s="1059">
        <v>0</v>
      </c>
      <c r="L63" s="1059">
        <f t="shared" si="7"/>
        <v>0</v>
      </c>
      <c r="M63" s="1059">
        <f t="shared" si="8"/>
        <v>0</v>
      </c>
      <c r="N63" s="1051">
        <f>'[18]FY2012-13 Final'!K64</f>
        <v>2987</v>
      </c>
      <c r="O63" s="1053">
        <f t="shared" si="9"/>
        <v>0</v>
      </c>
      <c r="P63" s="1118">
        <f t="shared" si="10"/>
        <v>0</v>
      </c>
      <c r="Q63" s="1053">
        <f t="shared" si="11"/>
        <v>0</v>
      </c>
      <c r="R63" s="1053">
        <v>0</v>
      </c>
      <c r="S63" s="1053">
        <f t="shared" si="12"/>
        <v>0</v>
      </c>
      <c r="T63" s="1053">
        <f t="shared" si="13"/>
        <v>0</v>
      </c>
      <c r="U63" s="1054">
        <f t="shared" si="14"/>
        <v>0</v>
      </c>
      <c r="V63" s="1054">
        <f t="shared" si="14"/>
        <v>0</v>
      </c>
    </row>
    <row r="64" spans="1:22">
      <c r="A64" s="994">
        <v>58</v>
      </c>
      <c r="B64" s="995" t="s">
        <v>151</v>
      </c>
      <c r="C64" s="1196">
        <v>0</v>
      </c>
      <c r="D64" s="1003">
        <f>'Table 3 Levels 1&amp;2'!BN66+'Table 3 Levels 1&amp;2'!BV66</f>
        <v>5434.7170435013286</v>
      </c>
      <c r="E64" s="1102">
        <f t="shared" si="2"/>
        <v>0</v>
      </c>
      <c r="F64" s="1102">
        <f>'Table 4 Level 3'!N63</f>
        <v>697.04</v>
      </c>
      <c r="G64" s="1102">
        <f t="shared" si="3"/>
        <v>0</v>
      </c>
      <c r="H64" s="1059">
        <f t="shared" si="4"/>
        <v>0</v>
      </c>
      <c r="I64" s="1112">
        <f t="shared" si="5"/>
        <v>0</v>
      </c>
      <c r="J64" s="1059">
        <f t="shared" si="6"/>
        <v>0</v>
      </c>
      <c r="K64" s="1059">
        <v>0</v>
      </c>
      <c r="L64" s="1059">
        <f t="shared" si="7"/>
        <v>0</v>
      </c>
      <c r="M64" s="1059">
        <f t="shared" si="8"/>
        <v>0</v>
      </c>
      <c r="N64" s="1051">
        <f>'[18]FY2012-13 Final'!K65</f>
        <v>2055</v>
      </c>
      <c r="O64" s="1053">
        <f t="shared" si="9"/>
        <v>0</v>
      </c>
      <c r="P64" s="1118">
        <f t="shared" si="10"/>
        <v>0</v>
      </c>
      <c r="Q64" s="1053">
        <f t="shared" si="11"/>
        <v>0</v>
      </c>
      <c r="R64" s="1053">
        <v>0</v>
      </c>
      <c r="S64" s="1053">
        <f t="shared" si="12"/>
        <v>0</v>
      </c>
      <c r="T64" s="1053">
        <f t="shared" si="13"/>
        <v>0</v>
      </c>
      <c r="U64" s="1054">
        <f t="shared" si="14"/>
        <v>0</v>
      </c>
      <c r="V64" s="1054">
        <f t="shared" si="14"/>
        <v>0</v>
      </c>
    </row>
    <row r="65" spans="1:22">
      <c r="A65" s="994">
        <v>59</v>
      </c>
      <c r="B65" s="995" t="s">
        <v>152</v>
      </c>
      <c r="C65" s="1196">
        <v>0</v>
      </c>
      <c r="D65" s="1003">
        <f>'Table 3 Levels 1&amp;2'!BN67+'Table 3 Levels 1&amp;2'!BV67</f>
        <v>6252.2385330184643</v>
      </c>
      <c r="E65" s="1102">
        <f t="shared" si="2"/>
        <v>0</v>
      </c>
      <c r="F65" s="1102">
        <f>'Table 4 Level 3'!N64</f>
        <v>689.52</v>
      </c>
      <c r="G65" s="1102">
        <f t="shared" si="3"/>
        <v>0</v>
      </c>
      <c r="H65" s="1059">
        <f t="shared" si="4"/>
        <v>0</v>
      </c>
      <c r="I65" s="1112">
        <f t="shared" si="5"/>
        <v>0</v>
      </c>
      <c r="J65" s="1059">
        <f t="shared" si="6"/>
        <v>0</v>
      </c>
      <c r="K65" s="1059">
        <v>0</v>
      </c>
      <c r="L65" s="1059">
        <f t="shared" si="7"/>
        <v>0</v>
      </c>
      <c r="M65" s="1059">
        <f t="shared" si="8"/>
        <v>0</v>
      </c>
      <c r="N65" s="1051">
        <f>'[18]FY2012-13 Final'!K66</f>
        <v>1528</v>
      </c>
      <c r="O65" s="1053">
        <f t="shared" si="9"/>
        <v>0</v>
      </c>
      <c r="P65" s="1118">
        <f t="shared" si="10"/>
        <v>0</v>
      </c>
      <c r="Q65" s="1053">
        <f t="shared" si="11"/>
        <v>0</v>
      </c>
      <c r="R65" s="1053">
        <v>0</v>
      </c>
      <c r="S65" s="1053">
        <f t="shared" si="12"/>
        <v>0</v>
      </c>
      <c r="T65" s="1053">
        <f t="shared" si="13"/>
        <v>0</v>
      </c>
      <c r="U65" s="1054">
        <f t="shared" si="14"/>
        <v>0</v>
      </c>
      <c r="V65" s="1054">
        <f t="shared" si="14"/>
        <v>0</v>
      </c>
    </row>
    <row r="66" spans="1:22">
      <c r="A66" s="998">
        <v>60</v>
      </c>
      <c r="B66" s="999" t="s">
        <v>153</v>
      </c>
      <c r="C66" s="1197">
        <v>0</v>
      </c>
      <c r="D66" s="1005">
        <f>'Table 3 Levels 1&amp;2'!BN68+'Table 3 Levels 1&amp;2'!BV68</f>
        <v>4902.6575100268701</v>
      </c>
      <c r="E66" s="1103">
        <f t="shared" si="2"/>
        <v>0</v>
      </c>
      <c r="F66" s="1103">
        <f>'Table 4 Level 3'!N65</f>
        <v>594.04</v>
      </c>
      <c r="G66" s="1103">
        <f t="shared" si="3"/>
        <v>0</v>
      </c>
      <c r="H66" s="1060">
        <f t="shared" si="4"/>
        <v>0</v>
      </c>
      <c r="I66" s="1113">
        <f t="shared" si="5"/>
        <v>0</v>
      </c>
      <c r="J66" s="1060">
        <f t="shared" si="6"/>
        <v>0</v>
      </c>
      <c r="K66" s="1060">
        <v>0</v>
      </c>
      <c r="L66" s="1060">
        <f t="shared" si="7"/>
        <v>0</v>
      </c>
      <c r="M66" s="1060">
        <f t="shared" si="8"/>
        <v>0</v>
      </c>
      <c r="N66" s="1056">
        <f>'[18]FY2012-13 Final'!K67</f>
        <v>3918</v>
      </c>
      <c r="O66" s="1057">
        <f t="shared" si="9"/>
        <v>0</v>
      </c>
      <c r="P66" s="1119">
        <f t="shared" si="10"/>
        <v>0</v>
      </c>
      <c r="Q66" s="1057">
        <f t="shared" si="11"/>
        <v>0</v>
      </c>
      <c r="R66" s="1057">
        <v>0</v>
      </c>
      <c r="S66" s="1057">
        <f t="shared" si="12"/>
        <v>0</v>
      </c>
      <c r="T66" s="1057">
        <f t="shared" si="13"/>
        <v>0</v>
      </c>
      <c r="U66" s="1058">
        <f t="shared" si="14"/>
        <v>0</v>
      </c>
      <c r="V66" s="1058">
        <f t="shared" si="14"/>
        <v>0</v>
      </c>
    </row>
    <row r="67" spans="1:22">
      <c r="A67" s="987">
        <v>61</v>
      </c>
      <c r="B67" s="988" t="s">
        <v>154</v>
      </c>
      <c r="C67" s="1198">
        <f>412*5%</f>
        <v>20.6</v>
      </c>
      <c r="D67" s="1007">
        <f>'Table 3 Levels 1&amp;2'!BN69+'Table 3 Levels 1&amp;2'!BV69</f>
        <v>2872.7719101339244</v>
      </c>
      <c r="E67" s="1104">
        <f t="shared" si="2"/>
        <v>59179.10134875885</v>
      </c>
      <c r="F67" s="1104">
        <f>'Table 4 Level 3'!N66</f>
        <v>833.70999999999992</v>
      </c>
      <c r="G67" s="1104">
        <f t="shared" si="3"/>
        <v>17174.425999999999</v>
      </c>
      <c r="H67" s="1061">
        <f t="shared" si="4"/>
        <v>76353.527348758857</v>
      </c>
      <c r="I67" s="1114">
        <f t="shared" si="5"/>
        <v>-190.88381837189715</v>
      </c>
      <c r="J67" s="1061">
        <f t="shared" si="6"/>
        <v>76162.643530386966</v>
      </c>
      <c r="K67" s="1061">
        <v>0</v>
      </c>
      <c r="L67" s="1061">
        <f t="shared" si="7"/>
        <v>76162.643530386966</v>
      </c>
      <c r="M67" s="1061">
        <f t="shared" si="8"/>
        <v>6346.8869608655805</v>
      </c>
      <c r="N67" s="1051">
        <f>'[18]FY2012-13 Final'!K68</f>
        <v>6680</v>
      </c>
      <c r="O67" s="992">
        <f t="shared" si="9"/>
        <v>137608</v>
      </c>
      <c r="P67" s="1117">
        <f t="shared" si="10"/>
        <v>-344.02</v>
      </c>
      <c r="Q67" s="992">
        <f t="shared" si="11"/>
        <v>137263.98000000001</v>
      </c>
      <c r="R67" s="992">
        <v>0</v>
      </c>
      <c r="S67" s="992">
        <f t="shared" si="12"/>
        <v>137263.98000000001</v>
      </c>
      <c r="T67" s="992">
        <f t="shared" si="13"/>
        <v>11438.665000000001</v>
      </c>
      <c r="U67" s="993">
        <f t="shared" si="14"/>
        <v>213426.62353038698</v>
      </c>
      <c r="V67" s="993">
        <f t="shared" si="14"/>
        <v>17785.551960865581</v>
      </c>
    </row>
    <row r="68" spans="1:22">
      <c r="A68" s="994">
        <v>62</v>
      </c>
      <c r="B68" s="995" t="s">
        <v>155</v>
      </c>
      <c r="C68" s="1196">
        <v>0</v>
      </c>
      <c r="D68" s="1003">
        <f>'Table 3 Levels 1&amp;2'!BN70+'Table 3 Levels 1&amp;2'!BV70</f>
        <v>5594.25143978908</v>
      </c>
      <c r="E68" s="1102">
        <f t="shared" si="2"/>
        <v>0</v>
      </c>
      <c r="F68" s="1102">
        <f>'Table 4 Level 3'!N67</f>
        <v>516.08000000000004</v>
      </c>
      <c r="G68" s="1102">
        <f t="shared" si="3"/>
        <v>0</v>
      </c>
      <c r="H68" s="1059">
        <f t="shared" si="4"/>
        <v>0</v>
      </c>
      <c r="I68" s="1112">
        <f t="shared" si="5"/>
        <v>0</v>
      </c>
      <c r="J68" s="1059">
        <f t="shared" si="6"/>
        <v>0</v>
      </c>
      <c r="K68" s="1059">
        <v>0</v>
      </c>
      <c r="L68" s="1059">
        <f t="shared" si="7"/>
        <v>0</v>
      </c>
      <c r="M68" s="1059">
        <f t="shared" si="8"/>
        <v>0</v>
      </c>
      <c r="N68" s="1051">
        <f>'[18]FY2012-13 Final'!K69</f>
        <v>1754</v>
      </c>
      <c r="O68" s="1053">
        <f t="shared" si="9"/>
        <v>0</v>
      </c>
      <c r="P68" s="1118">
        <f t="shared" si="10"/>
        <v>0</v>
      </c>
      <c r="Q68" s="1053">
        <f t="shared" si="11"/>
        <v>0</v>
      </c>
      <c r="R68" s="1053">
        <v>0</v>
      </c>
      <c r="S68" s="1053">
        <f t="shared" si="12"/>
        <v>0</v>
      </c>
      <c r="T68" s="1053">
        <f t="shared" si="13"/>
        <v>0</v>
      </c>
      <c r="U68" s="1054">
        <f t="shared" si="14"/>
        <v>0</v>
      </c>
      <c r="V68" s="1054">
        <f t="shared" si="14"/>
        <v>0</v>
      </c>
    </row>
    <row r="69" spans="1:22">
      <c r="A69" s="994">
        <v>63</v>
      </c>
      <c r="B69" s="995" t="s">
        <v>156</v>
      </c>
      <c r="C69" s="1196">
        <f>412*5%</f>
        <v>20.6</v>
      </c>
      <c r="D69" s="1003">
        <f>'Table 3 Levels 1&amp;2'!BN71+'Table 3 Levels 1&amp;2'!BV71</f>
        <v>4318.8609300898834</v>
      </c>
      <c r="E69" s="1102">
        <f t="shared" si="2"/>
        <v>88968.535159851599</v>
      </c>
      <c r="F69" s="1102">
        <f>'Table 4 Level 3'!N68</f>
        <v>756.79</v>
      </c>
      <c r="G69" s="1102">
        <f t="shared" si="3"/>
        <v>15589.874</v>
      </c>
      <c r="H69" s="1059">
        <f t="shared" si="4"/>
        <v>104558.4091598516</v>
      </c>
      <c r="I69" s="1112">
        <f t="shared" si="5"/>
        <v>-261.39602289962897</v>
      </c>
      <c r="J69" s="1059">
        <f t="shared" si="6"/>
        <v>104297.01313695197</v>
      </c>
      <c r="K69" s="1059">
        <v>0</v>
      </c>
      <c r="L69" s="1059">
        <f t="shared" si="7"/>
        <v>104297.01313695197</v>
      </c>
      <c r="M69" s="1059">
        <f t="shared" si="8"/>
        <v>8691.4177614126638</v>
      </c>
      <c r="N69" s="1051">
        <f>'[18]FY2012-13 Final'!K70</f>
        <v>7182</v>
      </c>
      <c r="O69" s="1053">
        <f t="shared" si="9"/>
        <v>147949.20000000001</v>
      </c>
      <c r="P69" s="1118">
        <f t="shared" si="10"/>
        <v>-369.87300000000005</v>
      </c>
      <c r="Q69" s="1053">
        <f t="shared" si="11"/>
        <v>147579.32700000002</v>
      </c>
      <c r="R69" s="1053">
        <v>0</v>
      </c>
      <c r="S69" s="1053">
        <f t="shared" si="12"/>
        <v>147579.32700000002</v>
      </c>
      <c r="T69" s="1053">
        <f t="shared" si="13"/>
        <v>12298.277250000001</v>
      </c>
      <c r="U69" s="1054">
        <f t="shared" si="14"/>
        <v>251876.340136952</v>
      </c>
      <c r="V69" s="1054">
        <f t="shared" si="14"/>
        <v>20989.695011412667</v>
      </c>
    </row>
    <row r="70" spans="1:22">
      <c r="A70" s="994">
        <v>64</v>
      </c>
      <c r="B70" s="995" t="s">
        <v>157</v>
      </c>
      <c r="C70" s="1196">
        <v>0</v>
      </c>
      <c r="D70" s="1003">
        <f>'Table 3 Levels 1&amp;2'!BN72+'Table 3 Levels 1&amp;2'!BV72</f>
        <v>5921.7418933384488</v>
      </c>
      <c r="E70" s="1102">
        <f t="shared" si="2"/>
        <v>0</v>
      </c>
      <c r="F70" s="1102">
        <f>'Table 4 Level 3'!N69</f>
        <v>592.66</v>
      </c>
      <c r="G70" s="1102">
        <f t="shared" si="3"/>
        <v>0</v>
      </c>
      <c r="H70" s="1059">
        <f t="shared" si="4"/>
        <v>0</v>
      </c>
      <c r="I70" s="1112">
        <f t="shared" si="5"/>
        <v>0</v>
      </c>
      <c r="J70" s="1059">
        <f t="shared" si="6"/>
        <v>0</v>
      </c>
      <c r="K70" s="1059">
        <v>0</v>
      </c>
      <c r="L70" s="1059">
        <f t="shared" si="7"/>
        <v>0</v>
      </c>
      <c r="M70" s="1059">
        <f t="shared" si="8"/>
        <v>0</v>
      </c>
      <c r="N70" s="1051">
        <f>'[18]FY2012-13 Final'!K71</f>
        <v>2701</v>
      </c>
      <c r="O70" s="1053">
        <f t="shared" si="9"/>
        <v>0</v>
      </c>
      <c r="P70" s="1118">
        <f t="shared" si="10"/>
        <v>0</v>
      </c>
      <c r="Q70" s="1053">
        <f t="shared" si="11"/>
        <v>0</v>
      </c>
      <c r="R70" s="1053">
        <v>0</v>
      </c>
      <c r="S70" s="1053">
        <f t="shared" si="12"/>
        <v>0</v>
      </c>
      <c r="T70" s="1053">
        <f t="shared" si="13"/>
        <v>0</v>
      </c>
      <c r="U70" s="1054">
        <f t="shared" si="14"/>
        <v>0</v>
      </c>
      <c r="V70" s="1054">
        <f t="shared" si="14"/>
        <v>0</v>
      </c>
    </row>
    <row r="71" spans="1:22">
      <c r="A71" s="998">
        <v>65</v>
      </c>
      <c r="B71" s="999" t="s">
        <v>158</v>
      </c>
      <c r="C71" s="1197">
        <v>0</v>
      </c>
      <c r="D71" s="1005">
        <f>'Table 3 Levels 1&amp;2'!BN73+'Table 3 Levels 1&amp;2'!BV73</f>
        <v>4578.9201269671275</v>
      </c>
      <c r="E71" s="1103">
        <f t="shared" si="2"/>
        <v>0</v>
      </c>
      <c r="F71" s="1103">
        <f>'Table 4 Level 3'!N70</f>
        <v>829.12</v>
      </c>
      <c r="G71" s="1103">
        <f t="shared" si="3"/>
        <v>0</v>
      </c>
      <c r="H71" s="1060">
        <f t="shared" si="4"/>
        <v>0</v>
      </c>
      <c r="I71" s="1113">
        <f t="shared" si="5"/>
        <v>0</v>
      </c>
      <c r="J71" s="1060">
        <f t="shared" si="6"/>
        <v>0</v>
      </c>
      <c r="K71" s="1060">
        <v>0</v>
      </c>
      <c r="L71" s="1060">
        <f t="shared" si="7"/>
        <v>0</v>
      </c>
      <c r="M71" s="1060">
        <f t="shared" si="8"/>
        <v>0</v>
      </c>
      <c r="N71" s="1056">
        <f>'[18]FY2012-13 Final'!K72</f>
        <v>4813</v>
      </c>
      <c r="O71" s="1057">
        <f t="shared" si="9"/>
        <v>0</v>
      </c>
      <c r="P71" s="1119">
        <f t="shared" si="10"/>
        <v>0</v>
      </c>
      <c r="Q71" s="1057">
        <f t="shared" si="11"/>
        <v>0</v>
      </c>
      <c r="R71" s="1057">
        <v>0</v>
      </c>
      <c r="S71" s="1057">
        <f t="shared" si="12"/>
        <v>0</v>
      </c>
      <c r="T71" s="1057">
        <f t="shared" si="13"/>
        <v>0</v>
      </c>
      <c r="U71" s="1058">
        <f t="shared" si="14"/>
        <v>0</v>
      </c>
      <c r="V71" s="1058">
        <f t="shared" si="14"/>
        <v>0</v>
      </c>
    </row>
    <row r="72" spans="1:22">
      <c r="A72" s="987">
        <v>66</v>
      </c>
      <c r="B72" s="988" t="s">
        <v>159</v>
      </c>
      <c r="C72" s="1198">
        <v>0</v>
      </c>
      <c r="D72" s="1007">
        <f>'Table 3 Levels 1&amp;2'!BN74+'Table 3 Levels 1&amp;2'!BV74</f>
        <v>6340.8763293271122</v>
      </c>
      <c r="E72" s="1104">
        <f t="shared" ref="E72:E75" si="15">C72*D72</f>
        <v>0</v>
      </c>
      <c r="F72" s="1104">
        <f>'Table 4 Level 3'!N71</f>
        <v>730.06</v>
      </c>
      <c r="G72" s="1104">
        <f t="shared" ref="G72:G75" si="16">C72*F72</f>
        <v>0</v>
      </c>
      <c r="H72" s="1061">
        <f t="shared" ref="H72:H75" si="17">E72+G72</f>
        <v>0</v>
      </c>
      <c r="I72" s="1114">
        <f t="shared" ref="I72:I75" si="18">-(0.25%*H72)</f>
        <v>0</v>
      </c>
      <c r="J72" s="1061">
        <f t="shared" ref="J72:J75" si="19">SUM(H72:I72)</f>
        <v>0</v>
      </c>
      <c r="K72" s="1061">
        <v>0</v>
      </c>
      <c r="L72" s="1061">
        <f t="shared" ref="L72:L75" si="20">SUM(J72:K72)</f>
        <v>0</v>
      </c>
      <c r="M72" s="1061">
        <f t="shared" ref="M72:M75" si="21">L72/12</f>
        <v>0</v>
      </c>
      <c r="N72" s="1051">
        <f>'[18]FY2012-13 Final'!K73</f>
        <v>3516</v>
      </c>
      <c r="O72" s="992">
        <f t="shared" ref="O72:O75" si="22">C72*N72</f>
        <v>0</v>
      </c>
      <c r="P72" s="1117">
        <f t="shared" ref="P72:P75" si="23">-(0.25%*O72)</f>
        <v>0</v>
      </c>
      <c r="Q72" s="992">
        <f t="shared" ref="Q72:Q75" si="24">SUM(O72:P72)</f>
        <v>0</v>
      </c>
      <c r="R72" s="992">
        <v>0</v>
      </c>
      <c r="S72" s="992">
        <f t="shared" ref="S72:S75" si="25">SUM(Q72:R72)</f>
        <v>0</v>
      </c>
      <c r="T72" s="992">
        <f t="shared" ref="T72:T75" si="26">S72/12</f>
        <v>0</v>
      </c>
      <c r="U72" s="993">
        <f t="shared" ref="U72:V75" si="27">L72+S72</f>
        <v>0</v>
      </c>
      <c r="V72" s="993">
        <f t="shared" si="27"/>
        <v>0</v>
      </c>
    </row>
    <row r="73" spans="1:22">
      <c r="A73" s="994">
        <v>67</v>
      </c>
      <c r="B73" s="995" t="s">
        <v>32</v>
      </c>
      <c r="C73" s="1196">
        <v>0</v>
      </c>
      <c r="D73" s="1003">
        <f>'Table 3 Levels 1&amp;2'!BN75+'Table 3 Levels 1&amp;2'!BV75</f>
        <v>4984.1100297034172</v>
      </c>
      <c r="E73" s="1102">
        <f t="shared" si="15"/>
        <v>0</v>
      </c>
      <c r="F73" s="1102">
        <f>'Table 4 Level 3'!N72</f>
        <v>715.61</v>
      </c>
      <c r="G73" s="1102">
        <f t="shared" si="16"/>
        <v>0</v>
      </c>
      <c r="H73" s="1059">
        <f t="shared" si="17"/>
        <v>0</v>
      </c>
      <c r="I73" s="1112">
        <f t="shared" si="18"/>
        <v>0</v>
      </c>
      <c r="J73" s="1059">
        <f t="shared" si="19"/>
        <v>0</v>
      </c>
      <c r="K73" s="1059">
        <v>0</v>
      </c>
      <c r="L73" s="1059">
        <f t="shared" si="20"/>
        <v>0</v>
      </c>
      <c r="M73" s="1059">
        <f t="shared" si="21"/>
        <v>0</v>
      </c>
      <c r="N73" s="1051">
        <f>'[18]FY2012-13 Final'!K74</f>
        <v>5052</v>
      </c>
      <c r="O73" s="1053">
        <f t="shared" si="22"/>
        <v>0</v>
      </c>
      <c r="P73" s="1118">
        <f t="shared" si="23"/>
        <v>0</v>
      </c>
      <c r="Q73" s="1053">
        <f t="shared" si="24"/>
        <v>0</v>
      </c>
      <c r="R73" s="1053">
        <v>0</v>
      </c>
      <c r="S73" s="1053">
        <f t="shared" si="25"/>
        <v>0</v>
      </c>
      <c r="T73" s="1053">
        <f t="shared" si="26"/>
        <v>0</v>
      </c>
      <c r="U73" s="1054">
        <f t="shared" si="27"/>
        <v>0</v>
      </c>
      <c r="V73" s="1054">
        <f t="shared" si="27"/>
        <v>0</v>
      </c>
    </row>
    <row r="74" spans="1:22">
      <c r="A74" s="994">
        <v>68</v>
      </c>
      <c r="B74" s="995" t="s">
        <v>30</v>
      </c>
      <c r="C74" s="1196">
        <v>0</v>
      </c>
      <c r="D74" s="1003">
        <f>'Table 3 Levels 1&amp;2'!BN76+'Table 3 Levels 1&amp;2'!BV76</f>
        <v>6012.7854305239725</v>
      </c>
      <c r="E74" s="1102">
        <f t="shared" si="15"/>
        <v>0</v>
      </c>
      <c r="F74" s="1102">
        <f>'Table 4 Level 3'!N73</f>
        <v>798.7</v>
      </c>
      <c r="G74" s="1102">
        <f t="shared" si="16"/>
        <v>0</v>
      </c>
      <c r="H74" s="1059">
        <f t="shared" si="17"/>
        <v>0</v>
      </c>
      <c r="I74" s="1112">
        <f t="shared" si="18"/>
        <v>0</v>
      </c>
      <c r="J74" s="1059">
        <f t="shared" si="19"/>
        <v>0</v>
      </c>
      <c r="K74" s="1059">
        <v>0</v>
      </c>
      <c r="L74" s="1059">
        <f t="shared" si="20"/>
        <v>0</v>
      </c>
      <c r="M74" s="1059">
        <f t="shared" si="21"/>
        <v>0</v>
      </c>
      <c r="N74" s="1051">
        <f>'[18]FY2012-13 Final'!K75</f>
        <v>2763</v>
      </c>
      <c r="O74" s="1053">
        <f t="shared" si="22"/>
        <v>0</v>
      </c>
      <c r="P74" s="1118">
        <f t="shared" si="23"/>
        <v>0</v>
      </c>
      <c r="Q74" s="1053">
        <f t="shared" si="24"/>
        <v>0</v>
      </c>
      <c r="R74" s="1053">
        <v>0</v>
      </c>
      <c r="S74" s="1053">
        <f t="shared" si="25"/>
        <v>0</v>
      </c>
      <c r="T74" s="1053">
        <f t="shared" si="26"/>
        <v>0</v>
      </c>
      <c r="U74" s="1054">
        <f t="shared" si="27"/>
        <v>0</v>
      </c>
      <c r="V74" s="1054">
        <f t="shared" si="27"/>
        <v>0</v>
      </c>
    </row>
    <row r="75" spans="1:22">
      <c r="A75" s="1008">
        <v>69</v>
      </c>
      <c r="B75" s="1009" t="s">
        <v>213</v>
      </c>
      <c r="C75" s="1199">
        <v>0</v>
      </c>
      <c r="D75" s="1011">
        <f>'Table 3 Levels 1&amp;2'!BN77+'Table 3 Levels 1&amp;2'!BV77</f>
        <v>5559.7139008686299</v>
      </c>
      <c r="E75" s="1105">
        <f t="shared" si="15"/>
        <v>0</v>
      </c>
      <c r="F75" s="1105">
        <f>'Table 4 Level 3'!N74</f>
        <v>705.67</v>
      </c>
      <c r="G75" s="1105">
        <f t="shared" si="16"/>
        <v>0</v>
      </c>
      <c r="H75" s="1062">
        <f t="shared" si="17"/>
        <v>0</v>
      </c>
      <c r="I75" s="1115">
        <f t="shared" si="18"/>
        <v>0</v>
      </c>
      <c r="J75" s="1062">
        <f t="shared" si="19"/>
        <v>0</v>
      </c>
      <c r="K75" s="1062">
        <v>0</v>
      </c>
      <c r="L75" s="1062">
        <f t="shared" si="20"/>
        <v>0</v>
      </c>
      <c r="M75" s="1062">
        <f t="shared" si="21"/>
        <v>0</v>
      </c>
      <c r="N75" s="1051">
        <f>'[18]FY2012-13 Final'!K76</f>
        <v>3327</v>
      </c>
      <c r="O75" s="1063">
        <f t="shared" si="22"/>
        <v>0</v>
      </c>
      <c r="P75" s="1120">
        <f t="shared" si="23"/>
        <v>0</v>
      </c>
      <c r="Q75" s="1063">
        <f t="shared" si="24"/>
        <v>0</v>
      </c>
      <c r="R75" s="1063">
        <v>0</v>
      </c>
      <c r="S75" s="1063">
        <f t="shared" si="25"/>
        <v>0</v>
      </c>
      <c r="T75" s="1063">
        <f t="shared" si="26"/>
        <v>0</v>
      </c>
      <c r="U75" s="1064">
        <f t="shared" si="27"/>
        <v>0</v>
      </c>
      <c r="V75" s="1064">
        <f t="shared" si="27"/>
        <v>0</v>
      </c>
    </row>
    <row r="76" spans="1:22" ht="13.5" thickBot="1">
      <c r="A76" s="1012"/>
      <c r="B76" s="1013" t="s">
        <v>160</v>
      </c>
      <c r="C76" s="1014">
        <f>SUM(C7:C75)</f>
        <v>412.00000000000011</v>
      </c>
      <c r="D76" s="1015"/>
      <c r="E76" s="1106">
        <f>SUM(E7:E75)</f>
        <v>1445701.6957759953</v>
      </c>
      <c r="F76" s="1106">
        <f>'[23]Table 4 Level 3'!P75</f>
        <v>703.90028204588873</v>
      </c>
      <c r="G76" s="1106">
        <f t="shared" ref="G76:L76" si="28">SUM(G7:G75)</f>
        <v>320307.95991474495</v>
      </c>
      <c r="H76" s="1016">
        <f t="shared" si="28"/>
        <v>1766009.6556907399</v>
      </c>
      <c r="I76" s="1116">
        <f t="shared" si="28"/>
        <v>-4415.0241392268499</v>
      </c>
      <c r="J76" s="1016">
        <f t="shared" si="28"/>
        <v>1761594.6315515132</v>
      </c>
      <c r="K76" s="1016">
        <f t="shared" si="28"/>
        <v>0</v>
      </c>
      <c r="L76" s="1016">
        <f t="shared" si="28"/>
        <v>1761594.6315515132</v>
      </c>
      <c r="M76" s="1016">
        <f>SUM(M7:M75)</f>
        <v>146799.55262929274</v>
      </c>
      <c r="N76" s="1065"/>
      <c r="O76" s="1017">
        <f t="shared" ref="O76:V76" si="29">SUM(O7:O75)</f>
        <v>2540701.0000000005</v>
      </c>
      <c r="P76" s="1121">
        <f t="shared" si="29"/>
        <v>-6351.7525000000005</v>
      </c>
      <c r="Q76" s="1017">
        <f t="shared" si="29"/>
        <v>2534349.2475000001</v>
      </c>
      <c r="R76" s="1017">
        <f t="shared" si="29"/>
        <v>0</v>
      </c>
      <c r="S76" s="1017">
        <f t="shared" si="29"/>
        <v>2534349.2475000001</v>
      </c>
      <c r="T76" s="1017">
        <f t="shared" si="29"/>
        <v>211195.770625</v>
      </c>
      <c r="U76" s="1018">
        <f t="shared" si="29"/>
        <v>4295943.879051513</v>
      </c>
      <c r="V76" s="1018">
        <f t="shared" si="29"/>
        <v>357995.32325429271</v>
      </c>
    </row>
    <row r="77" spans="1:22" ht="13.5" thickTop="1"/>
  </sheetData>
  <mergeCells count="19">
    <mergeCell ref="L3:L4"/>
    <mergeCell ref="M3:M4"/>
    <mergeCell ref="N3:N4"/>
    <mergeCell ref="A2:B4"/>
    <mergeCell ref="C2:M2"/>
    <mergeCell ref="N2:T2"/>
    <mergeCell ref="U2:U4"/>
    <mergeCell ref="V2:V4"/>
    <mergeCell ref="C3:C4"/>
    <mergeCell ref="D3:D4"/>
    <mergeCell ref="E3:E4"/>
    <mergeCell ref="F3:F4"/>
    <mergeCell ref="G3:G4"/>
    <mergeCell ref="Q3:Q4"/>
    <mergeCell ref="R3:R4"/>
    <mergeCell ref="S3:S4"/>
    <mergeCell ref="H3:H4"/>
    <mergeCell ref="J3:J4"/>
    <mergeCell ref="K3:K4"/>
  </mergeCells>
  <pageMargins left="0.34" right="0.46" top="0.75" bottom="0.75" header="0.3" footer="0.3"/>
  <pageSetup paperSize="5" scale="60" firstPageNumber="76" orientation="portrait" useFirstPageNumber="1" r:id="rId1"/>
  <headerFooter>
    <oddHeader>&amp;L&amp;"Arial,Bold"&amp;20Table 5C1-J: FY2013-14 MFP Budget Letter (Projection)
Louisiana Key Academy</oddHeader>
    <oddFooter>&amp;R&amp;P</oddFooter>
  </headerFooter>
  <colBreaks count="1" manualBreakCount="1">
    <brk id="13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7"/>
  <sheetViews>
    <sheetView view="pageBreakPreview" zoomScale="90" zoomScaleNormal="100" zoomScaleSheetLayoutView="90" workbookViewId="0">
      <pane xSplit="2" ySplit="6" topLeftCell="C7" activePane="bottomRight" state="frozen"/>
      <selection activeCell="B1" sqref="B1:B2"/>
      <selection pane="topRight" activeCell="B1" sqref="B1:B2"/>
      <selection pane="bottomLeft" activeCell="B1" sqref="B1:B2"/>
      <selection pane="bottomRight" activeCell="A2" sqref="A2:B4"/>
    </sheetView>
  </sheetViews>
  <sheetFormatPr defaultRowHeight="12.75"/>
  <cols>
    <col min="1" max="1" width="4.28515625" style="1192" customWidth="1"/>
    <col min="2" max="2" width="17.85546875" style="1192" bestFit="1" customWidth="1"/>
    <col min="3" max="3" width="12.7109375" style="1192" customWidth="1"/>
    <col min="4" max="4" width="17" style="1192" customWidth="1"/>
    <col min="5" max="5" width="11" style="1192" bestFit="1" customWidth="1"/>
    <col min="6" max="6" width="12" style="1192" customWidth="1"/>
    <col min="7" max="7" width="13.28515625" style="1192" customWidth="1"/>
    <col min="8" max="8" width="14.5703125" style="1192" customWidth="1"/>
    <col min="9" max="9" width="12.28515625" style="1192" customWidth="1"/>
    <col min="10" max="10" width="12" style="1192" bestFit="1" customWidth="1"/>
    <col min="11" max="11" width="13.42578125" style="1192" bestFit="1" customWidth="1"/>
    <col min="12" max="12" width="14" style="1192" customWidth="1"/>
    <col min="13" max="13" width="9.28515625" style="1192" bestFit="1" customWidth="1"/>
    <col min="14" max="14" width="17.28515625" style="1192" customWidth="1"/>
    <col min="15" max="15" width="16.7109375" style="1192" customWidth="1"/>
    <col min="16" max="16" width="13.7109375" style="1192" customWidth="1"/>
    <col min="17" max="17" width="17" style="1192" customWidth="1"/>
    <col min="18" max="18" width="15.28515625" style="1192" customWidth="1"/>
    <col min="19" max="19" width="13.140625" style="1192" customWidth="1"/>
    <col min="20" max="20" width="12" style="1192" customWidth="1"/>
    <col min="21" max="21" width="11" style="1192" customWidth="1"/>
    <col min="22" max="22" width="12.140625" style="1192" customWidth="1"/>
    <col min="23" max="16384" width="9.140625" style="1192"/>
  </cols>
  <sheetData>
    <row r="1" spans="1:22">
      <c r="C1" s="1392"/>
      <c r="D1" s="1392"/>
      <c r="E1" s="1392"/>
      <c r="F1" s="1392"/>
      <c r="G1" s="1392"/>
      <c r="H1" s="1392"/>
      <c r="I1" s="1392"/>
      <c r="J1" s="1392"/>
      <c r="K1" s="1392"/>
      <c r="L1" s="1392"/>
      <c r="M1" s="1392"/>
    </row>
    <row r="2" spans="1:22" ht="45" customHeight="1">
      <c r="A2" s="2082" t="s">
        <v>1218</v>
      </c>
      <c r="B2" s="2083"/>
      <c r="C2" s="2065" t="s">
        <v>1394</v>
      </c>
      <c r="D2" s="2017"/>
      <c r="E2" s="2017"/>
      <c r="F2" s="2017"/>
      <c r="G2" s="2017"/>
      <c r="H2" s="2017"/>
      <c r="I2" s="2017"/>
      <c r="J2" s="2017"/>
      <c r="K2" s="2017"/>
      <c r="L2" s="2017"/>
      <c r="M2" s="2018"/>
      <c r="N2" s="1992" t="s">
        <v>1357</v>
      </c>
      <c r="O2" s="1993"/>
      <c r="P2" s="1993"/>
      <c r="Q2" s="1993"/>
      <c r="R2" s="1993"/>
      <c r="S2" s="1993"/>
      <c r="T2" s="1994"/>
      <c r="U2" s="1995" t="s">
        <v>1403</v>
      </c>
      <c r="V2" s="1995" t="s">
        <v>1355</v>
      </c>
    </row>
    <row r="3" spans="1:22" ht="113.25" customHeight="1">
      <c r="A3" s="2084"/>
      <c r="B3" s="2085"/>
      <c r="C3" s="2088" t="s">
        <v>1177</v>
      </c>
      <c r="D3" s="2008" t="s">
        <v>1393</v>
      </c>
      <c r="E3" s="2008" t="s">
        <v>1395</v>
      </c>
      <c r="F3" s="2006" t="s">
        <v>662</v>
      </c>
      <c r="G3" s="2006" t="s">
        <v>492</v>
      </c>
      <c r="H3" s="2006" t="s">
        <v>1396</v>
      </c>
      <c r="I3" s="1742" t="s">
        <v>510</v>
      </c>
      <c r="J3" s="2006" t="s">
        <v>1397</v>
      </c>
      <c r="K3" s="2006" t="s">
        <v>1230</v>
      </c>
      <c r="L3" s="2006" t="s">
        <v>1398</v>
      </c>
      <c r="M3" s="2008" t="s">
        <v>1356</v>
      </c>
      <c r="N3" s="2019" t="s">
        <v>694</v>
      </c>
      <c r="O3" s="1743" t="s">
        <v>1399</v>
      </c>
      <c r="P3" s="1743" t="s">
        <v>512</v>
      </c>
      <c r="Q3" s="2019" t="s">
        <v>1400</v>
      </c>
      <c r="R3" s="2019" t="s">
        <v>1230</v>
      </c>
      <c r="S3" s="2019" t="s">
        <v>1401</v>
      </c>
      <c r="T3" s="1743" t="s">
        <v>1402</v>
      </c>
      <c r="U3" s="1996"/>
      <c r="V3" s="1996"/>
    </row>
    <row r="4" spans="1:22" ht="23.25" customHeight="1">
      <c r="A4" s="2086"/>
      <c r="B4" s="2087"/>
      <c r="C4" s="2089"/>
      <c r="D4" s="2008"/>
      <c r="E4" s="2008"/>
      <c r="F4" s="2007"/>
      <c r="G4" s="2007"/>
      <c r="H4" s="2007"/>
      <c r="I4" s="1107">
        <v>2.5000000000000001E-3</v>
      </c>
      <c r="J4" s="2007"/>
      <c r="K4" s="2007"/>
      <c r="L4" s="2007"/>
      <c r="M4" s="2008"/>
      <c r="N4" s="1999"/>
      <c r="O4" s="1741"/>
      <c r="P4" s="1108">
        <v>2.5000000000000001E-3</v>
      </c>
      <c r="Q4" s="1999"/>
      <c r="R4" s="1999"/>
      <c r="S4" s="1999"/>
      <c r="T4" s="1741"/>
      <c r="U4" s="1997"/>
      <c r="V4" s="1997"/>
    </row>
    <row r="5" spans="1:22" ht="14.25" customHeight="1">
      <c r="A5" s="978"/>
      <c r="B5" s="979"/>
      <c r="C5" s="980">
        <v>1</v>
      </c>
      <c r="D5" s="980">
        <f t="shared" ref="D5" si="0">C5+1</f>
        <v>2</v>
      </c>
      <c r="E5" s="980">
        <f>D5+1</f>
        <v>3</v>
      </c>
      <c r="F5" s="980">
        <f t="shared" ref="F5:V5" si="1">E5+1</f>
        <v>4</v>
      </c>
      <c r="G5" s="980">
        <f t="shared" si="1"/>
        <v>5</v>
      </c>
      <c r="H5" s="980">
        <f t="shared" si="1"/>
        <v>6</v>
      </c>
      <c r="I5" s="980">
        <f t="shared" si="1"/>
        <v>7</v>
      </c>
      <c r="J5" s="980">
        <f t="shared" si="1"/>
        <v>8</v>
      </c>
      <c r="K5" s="980">
        <f t="shared" si="1"/>
        <v>9</v>
      </c>
      <c r="L5" s="980">
        <f t="shared" si="1"/>
        <v>10</v>
      </c>
      <c r="M5" s="980">
        <f t="shared" si="1"/>
        <v>11</v>
      </c>
      <c r="N5" s="980">
        <f t="shared" si="1"/>
        <v>12</v>
      </c>
      <c r="O5" s="980">
        <f t="shared" si="1"/>
        <v>13</v>
      </c>
      <c r="P5" s="980">
        <f t="shared" si="1"/>
        <v>14</v>
      </c>
      <c r="Q5" s="980">
        <f t="shared" si="1"/>
        <v>15</v>
      </c>
      <c r="R5" s="980">
        <f t="shared" si="1"/>
        <v>16</v>
      </c>
      <c r="S5" s="980">
        <f t="shared" si="1"/>
        <v>17</v>
      </c>
      <c r="T5" s="980">
        <f t="shared" si="1"/>
        <v>18</v>
      </c>
      <c r="U5" s="980">
        <f t="shared" si="1"/>
        <v>19</v>
      </c>
      <c r="V5" s="980">
        <f t="shared" si="1"/>
        <v>20</v>
      </c>
    </row>
    <row r="6" spans="1:22" ht="27" customHeight="1">
      <c r="A6" s="1041"/>
      <c r="B6" s="1042"/>
      <c r="C6" s="1042"/>
      <c r="D6" s="1042"/>
      <c r="E6" s="1042"/>
      <c r="F6" s="1042"/>
      <c r="G6" s="1042"/>
      <c r="H6" s="1042"/>
      <c r="I6" s="1042"/>
      <c r="J6" s="1042"/>
      <c r="K6" s="1042"/>
      <c r="L6" s="1042"/>
      <c r="M6" s="1042"/>
      <c r="N6" s="1042"/>
      <c r="O6" s="1042"/>
      <c r="P6" s="1042"/>
      <c r="Q6" s="1042"/>
      <c r="R6" s="1042"/>
      <c r="S6" s="1042"/>
      <c r="T6" s="1042"/>
      <c r="U6" s="1042"/>
      <c r="V6" s="1042"/>
    </row>
    <row r="7" spans="1:22">
      <c r="A7" s="987">
        <v>1</v>
      </c>
      <c r="B7" s="988" t="s">
        <v>95</v>
      </c>
      <c r="C7" s="989">
        <v>0</v>
      </c>
      <c r="D7" s="990">
        <f>'Table 3 Levels 1&amp;2'!BN9+'Table 3 Levels 1&amp;2'!BV9</f>
        <v>4565.2108060165392</v>
      </c>
      <c r="E7" s="1099">
        <f>C7*D7</f>
        <v>0</v>
      </c>
      <c r="F7" s="1099">
        <f>'Table 4 Level 3'!N6</f>
        <v>777.48</v>
      </c>
      <c r="G7" s="1099">
        <f>C7*F7</f>
        <v>0</v>
      </c>
      <c r="H7" s="991">
        <f>E7+G7</f>
        <v>0</v>
      </c>
      <c r="I7" s="1109">
        <f>-(0.25%*H7)</f>
        <v>0</v>
      </c>
      <c r="J7" s="991">
        <f>SUM(H7:I7)</f>
        <v>0</v>
      </c>
      <c r="K7" s="991">
        <v>0</v>
      </c>
      <c r="L7" s="991">
        <f>SUM(J7:K7)</f>
        <v>0</v>
      </c>
      <c r="M7" s="991">
        <f>L7/12</f>
        <v>0</v>
      </c>
      <c r="N7" s="1051">
        <f>'[18]FY2012-13 Final'!K8</f>
        <v>2112</v>
      </c>
      <c r="O7" s="992">
        <f>C7*N7</f>
        <v>0</v>
      </c>
      <c r="P7" s="1117">
        <f>-(0.25%*O7)</f>
        <v>0</v>
      </c>
      <c r="Q7" s="992">
        <f>SUM(O7:P7)</f>
        <v>0</v>
      </c>
      <c r="R7" s="992">
        <v>0</v>
      </c>
      <c r="S7" s="992">
        <f>SUM(Q7:R7)</f>
        <v>0</v>
      </c>
      <c r="T7" s="992">
        <f>S7/12</f>
        <v>0</v>
      </c>
      <c r="U7" s="993">
        <f>L7+S7</f>
        <v>0</v>
      </c>
      <c r="V7" s="993">
        <f>M7+T7</f>
        <v>0</v>
      </c>
    </row>
    <row r="8" spans="1:22">
      <c r="A8" s="994">
        <v>2</v>
      </c>
      <c r="B8" s="995" t="s">
        <v>96</v>
      </c>
      <c r="C8" s="1193">
        <v>0</v>
      </c>
      <c r="D8" s="997">
        <f>'Table 3 Levels 1&amp;2'!BN10+'Table 3 Levels 1&amp;2'!BV10</f>
        <v>6132.0480322513831</v>
      </c>
      <c r="E8" s="1100">
        <f t="shared" ref="E8:E71" si="2">C8*D8</f>
        <v>0</v>
      </c>
      <c r="F8" s="1100">
        <f>'Table 4 Level 3'!N7</f>
        <v>842.32</v>
      </c>
      <c r="G8" s="1100">
        <f t="shared" ref="G8:G71" si="3">C8*F8</f>
        <v>0</v>
      </c>
      <c r="H8" s="1052">
        <f t="shared" ref="H8:H71" si="4">E8+G8</f>
        <v>0</v>
      </c>
      <c r="I8" s="1110">
        <f t="shared" ref="I8:I71" si="5">-(0.25%*H8)</f>
        <v>0</v>
      </c>
      <c r="J8" s="1052">
        <f t="shared" ref="J8:J71" si="6">SUM(H8:I8)</f>
        <v>0</v>
      </c>
      <c r="K8" s="1052">
        <v>0</v>
      </c>
      <c r="L8" s="1052">
        <f t="shared" ref="L8:L71" si="7">SUM(J8:K8)</f>
        <v>0</v>
      </c>
      <c r="M8" s="1052">
        <f t="shared" ref="M8:M71" si="8">L8/12</f>
        <v>0</v>
      </c>
      <c r="N8" s="1051">
        <f>'[18]FY2012-13 Final'!K9</f>
        <v>2584</v>
      </c>
      <c r="O8" s="1053">
        <f t="shared" ref="O8:O71" si="9">C8*N8</f>
        <v>0</v>
      </c>
      <c r="P8" s="1118">
        <f t="shared" ref="P8:P71" si="10">-(0.25%*O8)</f>
        <v>0</v>
      </c>
      <c r="Q8" s="1053">
        <f t="shared" ref="Q8:Q71" si="11">SUM(O8:P8)</f>
        <v>0</v>
      </c>
      <c r="R8" s="1053">
        <v>0</v>
      </c>
      <c r="S8" s="1053">
        <f t="shared" ref="S8:S71" si="12">SUM(Q8:R8)</f>
        <v>0</v>
      </c>
      <c r="T8" s="1053">
        <f t="shared" ref="T8:T71" si="13">S8/12</f>
        <v>0</v>
      </c>
      <c r="U8" s="1054">
        <f t="shared" ref="U8:V71" si="14">L8+S8</f>
        <v>0</v>
      </c>
      <c r="V8" s="1054">
        <f t="shared" si="14"/>
        <v>0</v>
      </c>
    </row>
    <row r="9" spans="1:22">
      <c r="A9" s="994">
        <v>3</v>
      </c>
      <c r="B9" s="995" t="s">
        <v>97</v>
      </c>
      <c r="C9" s="1193">
        <v>0</v>
      </c>
      <c r="D9" s="997">
        <f>'Table 3 Levels 1&amp;2'!BN11+'Table 3 Levels 1&amp;2'!BV11</f>
        <v>4186.9626187036429</v>
      </c>
      <c r="E9" s="1100">
        <f t="shared" si="2"/>
        <v>0</v>
      </c>
      <c r="F9" s="1100">
        <f>'Table 4 Level 3'!N8</f>
        <v>596.84</v>
      </c>
      <c r="G9" s="1100">
        <f t="shared" si="3"/>
        <v>0</v>
      </c>
      <c r="H9" s="1052">
        <f t="shared" si="4"/>
        <v>0</v>
      </c>
      <c r="I9" s="1110">
        <f t="shared" si="5"/>
        <v>0</v>
      </c>
      <c r="J9" s="1052">
        <f t="shared" si="6"/>
        <v>0</v>
      </c>
      <c r="K9" s="1052">
        <v>0</v>
      </c>
      <c r="L9" s="1052">
        <f t="shared" si="7"/>
        <v>0</v>
      </c>
      <c r="M9" s="1052">
        <f t="shared" si="8"/>
        <v>0</v>
      </c>
      <c r="N9" s="1051">
        <f>'[18]FY2012-13 Final'!K10</f>
        <v>4966</v>
      </c>
      <c r="O9" s="1053">
        <f t="shared" si="9"/>
        <v>0</v>
      </c>
      <c r="P9" s="1118">
        <f t="shared" si="10"/>
        <v>0</v>
      </c>
      <c r="Q9" s="1053">
        <f t="shared" si="11"/>
        <v>0</v>
      </c>
      <c r="R9" s="1053">
        <v>0</v>
      </c>
      <c r="S9" s="1053">
        <f t="shared" si="12"/>
        <v>0</v>
      </c>
      <c r="T9" s="1053">
        <f t="shared" si="13"/>
        <v>0</v>
      </c>
      <c r="U9" s="1054">
        <f t="shared" si="14"/>
        <v>0</v>
      </c>
      <c r="V9" s="1054">
        <f t="shared" si="14"/>
        <v>0</v>
      </c>
    </row>
    <row r="10" spans="1:22">
      <c r="A10" s="994">
        <v>4</v>
      </c>
      <c r="B10" s="995" t="s">
        <v>98</v>
      </c>
      <c r="C10" s="1193">
        <v>0</v>
      </c>
      <c r="D10" s="997">
        <f>'Table 3 Levels 1&amp;2'!BN12+'Table 3 Levels 1&amp;2'!BV12</f>
        <v>5918.8798759182582</v>
      </c>
      <c r="E10" s="1100">
        <f t="shared" si="2"/>
        <v>0</v>
      </c>
      <c r="F10" s="1100">
        <f>'Table 4 Level 3'!N9</f>
        <v>585.76</v>
      </c>
      <c r="G10" s="1100">
        <f t="shared" si="3"/>
        <v>0</v>
      </c>
      <c r="H10" s="1052">
        <f t="shared" si="4"/>
        <v>0</v>
      </c>
      <c r="I10" s="1110">
        <f t="shared" si="5"/>
        <v>0</v>
      </c>
      <c r="J10" s="1052">
        <f t="shared" si="6"/>
        <v>0</v>
      </c>
      <c r="K10" s="1052">
        <v>0</v>
      </c>
      <c r="L10" s="1052">
        <f t="shared" si="7"/>
        <v>0</v>
      </c>
      <c r="M10" s="1052">
        <f t="shared" si="8"/>
        <v>0</v>
      </c>
      <c r="N10" s="1051">
        <f>'[18]FY2012-13 Final'!K11</f>
        <v>3445</v>
      </c>
      <c r="O10" s="1053">
        <f t="shared" si="9"/>
        <v>0</v>
      </c>
      <c r="P10" s="1118">
        <f t="shared" si="10"/>
        <v>0</v>
      </c>
      <c r="Q10" s="1053">
        <f t="shared" si="11"/>
        <v>0</v>
      </c>
      <c r="R10" s="1053">
        <v>0</v>
      </c>
      <c r="S10" s="1053">
        <f t="shared" si="12"/>
        <v>0</v>
      </c>
      <c r="T10" s="1053">
        <f t="shared" si="13"/>
        <v>0</v>
      </c>
      <c r="U10" s="1054">
        <f t="shared" si="14"/>
        <v>0</v>
      </c>
      <c r="V10" s="1054">
        <f t="shared" si="14"/>
        <v>0</v>
      </c>
    </row>
    <row r="11" spans="1:22">
      <c r="A11" s="998">
        <v>5</v>
      </c>
      <c r="B11" s="999" t="s">
        <v>99</v>
      </c>
      <c r="C11" s="1194">
        <v>0</v>
      </c>
      <c r="D11" s="1001">
        <f>'Table 3 Levels 1&amp;2'!BN13+'Table 3 Levels 1&amp;2'!BV13</f>
        <v>4880.3484353147733</v>
      </c>
      <c r="E11" s="1101">
        <f t="shared" si="2"/>
        <v>0</v>
      </c>
      <c r="F11" s="1101">
        <f>'Table 4 Level 3'!N10</f>
        <v>555.91</v>
      </c>
      <c r="G11" s="1101">
        <f t="shared" si="3"/>
        <v>0</v>
      </c>
      <c r="H11" s="1055">
        <f t="shared" si="4"/>
        <v>0</v>
      </c>
      <c r="I11" s="1111">
        <f t="shared" si="5"/>
        <v>0</v>
      </c>
      <c r="J11" s="1055">
        <f t="shared" si="6"/>
        <v>0</v>
      </c>
      <c r="K11" s="1055">
        <v>0</v>
      </c>
      <c r="L11" s="1055">
        <f t="shared" si="7"/>
        <v>0</v>
      </c>
      <c r="M11" s="1055">
        <f t="shared" si="8"/>
        <v>0</v>
      </c>
      <c r="N11" s="1056">
        <f>'[18]FY2012-13 Final'!K12</f>
        <v>1353</v>
      </c>
      <c r="O11" s="1057">
        <f t="shared" si="9"/>
        <v>0</v>
      </c>
      <c r="P11" s="1119">
        <f t="shared" si="10"/>
        <v>0</v>
      </c>
      <c r="Q11" s="1057">
        <f t="shared" si="11"/>
        <v>0</v>
      </c>
      <c r="R11" s="1057">
        <v>0</v>
      </c>
      <c r="S11" s="1057">
        <f t="shared" si="12"/>
        <v>0</v>
      </c>
      <c r="T11" s="1057">
        <f t="shared" si="13"/>
        <v>0</v>
      </c>
      <c r="U11" s="1058">
        <f t="shared" si="14"/>
        <v>0</v>
      </c>
      <c r="V11" s="1058">
        <f t="shared" si="14"/>
        <v>0</v>
      </c>
    </row>
    <row r="12" spans="1:22">
      <c r="A12" s="987">
        <v>6</v>
      </c>
      <c r="B12" s="988" t="s">
        <v>100</v>
      </c>
      <c r="C12" s="1195">
        <v>0</v>
      </c>
      <c r="D12" s="990">
        <f>'Table 3 Levels 1&amp;2'!BN14+'Table 3 Levels 1&amp;2'!BV14</f>
        <v>5379.7759718479856</v>
      </c>
      <c r="E12" s="1099">
        <f t="shared" si="2"/>
        <v>0</v>
      </c>
      <c r="F12" s="1099">
        <f>'Table 4 Level 3'!N11</f>
        <v>545.4799999999999</v>
      </c>
      <c r="G12" s="1099">
        <f t="shared" si="3"/>
        <v>0</v>
      </c>
      <c r="H12" s="991">
        <f t="shared" si="4"/>
        <v>0</v>
      </c>
      <c r="I12" s="1109">
        <f t="shared" si="5"/>
        <v>0</v>
      </c>
      <c r="J12" s="991">
        <f t="shared" si="6"/>
        <v>0</v>
      </c>
      <c r="K12" s="991">
        <v>0</v>
      </c>
      <c r="L12" s="991">
        <f t="shared" si="7"/>
        <v>0</v>
      </c>
      <c r="M12" s="991">
        <f t="shared" si="8"/>
        <v>0</v>
      </c>
      <c r="N12" s="1051">
        <f>'[18]FY2012-13 Final'!K13</f>
        <v>3576</v>
      </c>
      <c r="O12" s="992">
        <f t="shared" si="9"/>
        <v>0</v>
      </c>
      <c r="P12" s="1117">
        <f t="shared" si="10"/>
        <v>0</v>
      </c>
      <c r="Q12" s="992">
        <f t="shared" si="11"/>
        <v>0</v>
      </c>
      <c r="R12" s="992">
        <v>0</v>
      </c>
      <c r="S12" s="992">
        <f t="shared" si="12"/>
        <v>0</v>
      </c>
      <c r="T12" s="992">
        <f t="shared" si="13"/>
        <v>0</v>
      </c>
      <c r="U12" s="993">
        <f t="shared" si="14"/>
        <v>0</v>
      </c>
      <c r="V12" s="993">
        <f t="shared" si="14"/>
        <v>0</v>
      </c>
    </row>
    <row r="13" spans="1:22">
      <c r="A13" s="994">
        <v>7</v>
      </c>
      <c r="B13" s="995" t="s">
        <v>101</v>
      </c>
      <c r="C13" s="1193">
        <v>0</v>
      </c>
      <c r="D13" s="997">
        <f>'Table 3 Levels 1&amp;2'!BN15+'Table 3 Levels 1&amp;2'!BV15</f>
        <v>1698.1351763907733</v>
      </c>
      <c r="E13" s="1100">
        <f t="shared" si="2"/>
        <v>0</v>
      </c>
      <c r="F13" s="1100">
        <f>'Table 4 Level 3'!N12</f>
        <v>756.91999999999985</v>
      </c>
      <c r="G13" s="1100">
        <f t="shared" si="3"/>
        <v>0</v>
      </c>
      <c r="H13" s="1052">
        <f t="shared" si="4"/>
        <v>0</v>
      </c>
      <c r="I13" s="1110">
        <f t="shared" si="5"/>
        <v>0</v>
      </c>
      <c r="J13" s="1052">
        <f t="shared" si="6"/>
        <v>0</v>
      </c>
      <c r="K13" s="1052">
        <v>0</v>
      </c>
      <c r="L13" s="1052">
        <f t="shared" si="7"/>
        <v>0</v>
      </c>
      <c r="M13" s="1052">
        <f t="shared" si="8"/>
        <v>0</v>
      </c>
      <c r="N13" s="1051">
        <f>'[18]FY2012-13 Final'!K14</f>
        <v>12465</v>
      </c>
      <c r="O13" s="1053">
        <f t="shared" si="9"/>
        <v>0</v>
      </c>
      <c r="P13" s="1118">
        <f t="shared" si="10"/>
        <v>0</v>
      </c>
      <c r="Q13" s="1053">
        <f t="shared" si="11"/>
        <v>0</v>
      </c>
      <c r="R13" s="1053">
        <v>0</v>
      </c>
      <c r="S13" s="1053">
        <f t="shared" si="12"/>
        <v>0</v>
      </c>
      <c r="T13" s="1053">
        <f t="shared" si="13"/>
        <v>0</v>
      </c>
      <c r="U13" s="1054">
        <f t="shared" si="14"/>
        <v>0</v>
      </c>
      <c r="V13" s="1054">
        <f t="shared" si="14"/>
        <v>0</v>
      </c>
    </row>
    <row r="14" spans="1:22">
      <c r="A14" s="994">
        <v>8</v>
      </c>
      <c r="B14" s="995" t="s">
        <v>102</v>
      </c>
      <c r="C14" s="1193">
        <v>0</v>
      </c>
      <c r="D14" s="997">
        <f>'Table 3 Levels 1&amp;2'!BN16+'Table 3 Levels 1&amp;2'!BV16</f>
        <v>4239.8578920718974</v>
      </c>
      <c r="E14" s="1100">
        <f t="shared" si="2"/>
        <v>0</v>
      </c>
      <c r="F14" s="1100">
        <f>'Table 4 Level 3'!N13</f>
        <v>725.76</v>
      </c>
      <c r="G14" s="1100">
        <f t="shared" si="3"/>
        <v>0</v>
      </c>
      <c r="H14" s="1052">
        <f t="shared" si="4"/>
        <v>0</v>
      </c>
      <c r="I14" s="1110">
        <f t="shared" si="5"/>
        <v>0</v>
      </c>
      <c r="J14" s="1052">
        <f t="shared" si="6"/>
        <v>0</v>
      </c>
      <c r="K14" s="1052">
        <v>0</v>
      </c>
      <c r="L14" s="1052">
        <f t="shared" si="7"/>
        <v>0</v>
      </c>
      <c r="M14" s="1052">
        <f t="shared" si="8"/>
        <v>0</v>
      </c>
      <c r="N14" s="1051">
        <f>'[18]FY2012-13 Final'!K15</f>
        <v>4184</v>
      </c>
      <c r="O14" s="1053">
        <f t="shared" si="9"/>
        <v>0</v>
      </c>
      <c r="P14" s="1118">
        <f t="shared" si="10"/>
        <v>0</v>
      </c>
      <c r="Q14" s="1053">
        <f t="shared" si="11"/>
        <v>0</v>
      </c>
      <c r="R14" s="1053">
        <v>0</v>
      </c>
      <c r="S14" s="1053">
        <f t="shared" si="12"/>
        <v>0</v>
      </c>
      <c r="T14" s="1053">
        <f t="shared" si="13"/>
        <v>0</v>
      </c>
      <c r="U14" s="1054">
        <f t="shared" si="14"/>
        <v>0</v>
      </c>
      <c r="V14" s="1054">
        <f t="shared" si="14"/>
        <v>0</v>
      </c>
    </row>
    <row r="15" spans="1:22">
      <c r="A15" s="994">
        <v>9</v>
      </c>
      <c r="B15" s="995" t="s">
        <v>103</v>
      </c>
      <c r="C15" s="1193">
        <v>0</v>
      </c>
      <c r="D15" s="997">
        <f>'Table 3 Levels 1&amp;2'!BN17+'Table 3 Levels 1&amp;2'!BV17</f>
        <v>4361.2752875373017</v>
      </c>
      <c r="E15" s="1100">
        <f t="shared" si="2"/>
        <v>0</v>
      </c>
      <c r="F15" s="1100">
        <f>'Table 4 Level 3'!N14</f>
        <v>744.76</v>
      </c>
      <c r="G15" s="1100">
        <f t="shared" si="3"/>
        <v>0</v>
      </c>
      <c r="H15" s="1052">
        <f t="shared" si="4"/>
        <v>0</v>
      </c>
      <c r="I15" s="1110">
        <f t="shared" si="5"/>
        <v>0</v>
      </c>
      <c r="J15" s="1052">
        <f t="shared" si="6"/>
        <v>0</v>
      </c>
      <c r="K15" s="1052">
        <v>0</v>
      </c>
      <c r="L15" s="1052">
        <f t="shared" si="7"/>
        <v>0</v>
      </c>
      <c r="M15" s="1052">
        <f t="shared" si="8"/>
        <v>0</v>
      </c>
      <c r="N15" s="1051">
        <f>'[18]FY2012-13 Final'!K16</f>
        <v>4640</v>
      </c>
      <c r="O15" s="1053">
        <f t="shared" si="9"/>
        <v>0</v>
      </c>
      <c r="P15" s="1118">
        <f t="shared" si="10"/>
        <v>0</v>
      </c>
      <c r="Q15" s="1053">
        <f t="shared" si="11"/>
        <v>0</v>
      </c>
      <c r="R15" s="1053">
        <v>0</v>
      </c>
      <c r="S15" s="1053">
        <f t="shared" si="12"/>
        <v>0</v>
      </c>
      <c r="T15" s="1053">
        <f t="shared" si="13"/>
        <v>0</v>
      </c>
      <c r="U15" s="1054">
        <f t="shared" si="14"/>
        <v>0</v>
      </c>
      <c r="V15" s="1054">
        <f t="shared" si="14"/>
        <v>0</v>
      </c>
    </row>
    <row r="16" spans="1:22">
      <c r="A16" s="998">
        <v>10</v>
      </c>
      <c r="B16" s="999" t="s">
        <v>104</v>
      </c>
      <c r="C16" s="1194">
        <v>0</v>
      </c>
      <c r="D16" s="1001">
        <f>'Table 3 Levels 1&amp;2'!BN18+'Table 3 Levels 1&amp;2'!BV18</f>
        <v>4179.4641652904756</v>
      </c>
      <c r="E16" s="1101">
        <f t="shared" si="2"/>
        <v>0</v>
      </c>
      <c r="F16" s="1101">
        <f>'Table 4 Level 3'!N15</f>
        <v>608.04000000000008</v>
      </c>
      <c r="G16" s="1101">
        <f t="shared" si="3"/>
        <v>0</v>
      </c>
      <c r="H16" s="1055">
        <f t="shared" si="4"/>
        <v>0</v>
      </c>
      <c r="I16" s="1111">
        <f t="shared" si="5"/>
        <v>0</v>
      </c>
      <c r="J16" s="1055">
        <f t="shared" si="6"/>
        <v>0</v>
      </c>
      <c r="K16" s="1055">
        <v>0</v>
      </c>
      <c r="L16" s="1055">
        <f t="shared" si="7"/>
        <v>0</v>
      </c>
      <c r="M16" s="1055">
        <f t="shared" si="8"/>
        <v>0</v>
      </c>
      <c r="N16" s="1056">
        <f>'[18]FY2012-13 Final'!K17</f>
        <v>4391</v>
      </c>
      <c r="O16" s="1057">
        <f t="shared" si="9"/>
        <v>0</v>
      </c>
      <c r="P16" s="1119">
        <f t="shared" si="10"/>
        <v>0</v>
      </c>
      <c r="Q16" s="1057">
        <f t="shared" si="11"/>
        <v>0</v>
      </c>
      <c r="R16" s="1057">
        <v>0</v>
      </c>
      <c r="S16" s="1057">
        <f t="shared" si="12"/>
        <v>0</v>
      </c>
      <c r="T16" s="1057">
        <f t="shared" si="13"/>
        <v>0</v>
      </c>
      <c r="U16" s="1058">
        <f t="shared" si="14"/>
        <v>0</v>
      </c>
      <c r="V16" s="1058">
        <f t="shared" si="14"/>
        <v>0</v>
      </c>
    </row>
    <row r="17" spans="1:22">
      <c r="A17" s="987">
        <v>11</v>
      </c>
      <c r="B17" s="988" t="s">
        <v>105</v>
      </c>
      <c r="C17" s="1195">
        <v>0</v>
      </c>
      <c r="D17" s="990">
        <f>'Table 3 Levels 1&amp;2'!BN19+'Table 3 Levels 1&amp;2'!BV19</f>
        <v>6825.0221851487568</v>
      </c>
      <c r="E17" s="1099">
        <f t="shared" si="2"/>
        <v>0</v>
      </c>
      <c r="F17" s="1099">
        <f>'Table 4 Level 3'!N16</f>
        <v>706.55</v>
      </c>
      <c r="G17" s="1099">
        <f t="shared" si="3"/>
        <v>0</v>
      </c>
      <c r="H17" s="991">
        <f t="shared" si="4"/>
        <v>0</v>
      </c>
      <c r="I17" s="1109">
        <f t="shared" si="5"/>
        <v>0</v>
      </c>
      <c r="J17" s="991">
        <f t="shared" si="6"/>
        <v>0</v>
      </c>
      <c r="K17" s="991">
        <v>0</v>
      </c>
      <c r="L17" s="991">
        <f t="shared" si="7"/>
        <v>0</v>
      </c>
      <c r="M17" s="991">
        <f t="shared" si="8"/>
        <v>0</v>
      </c>
      <c r="N17" s="1051">
        <f>'[18]FY2012-13 Final'!K18</f>
        <v>3430</v>
      </c>
      <c r="O17" s="992">
        <f t="shared" si="9"/>
        <v>0</v>
      </c>
      <c r="P17" s="1117">
        <f t="shared" si="10"/>
        <v>0</v>
      </c>
      <c r="Q17" s="992">
        <f t="shared" si="11"/>
        <v>0</v>
      </c>
      <c r="R17" s="992">
        <v>0</v>
      </c>
      <c r="S17" s="992">
        <f t="shared" si="12"/>
        <v>0</v>
      </c>
      <c r="T17" s="992">
        <f t="shared" si="13"/>
        <v>0</v>
      </c>
      <c r="U17" s="993">
        <f t="shared" si="14"/>
        <v>0</v>
      </c>
      <c r="V17" s="993">
        <f t="shared" si="14"/>
        <v>0</v>
      </c>
    </row>
    <row r="18" spans="1:22">
      <c r="A18" s="994">
        <v>12</v>
      </c>
      <c r="B18" s="995" t="s">
        <v>106</v>
      </c>
      <c r="C18" s="1193">
        <v>0</v>
      </c>
      <c r="D18" s="997">
        <f>'Table 3 Levels 1&amp;2'!BN20+'Table 3 Levels 1&amp;2'!BV20</f>
        <v>1688.0492586490939</v>
      </c>
      <c r="E18" s="1100">
        <f t="shared" si="2"/>
        <v>0</v>
      </c>
      <c r="F18" s="1100">
        <f>'Table 4 Level 3'!N17</f>
        <v>1063.31</v>
      </c>
      <c r="G18" s="1100">
        <f t="shared" si="3"/>
        <v>0</v>
      </c>
      <c r="H18" s="1052">
        <f t="shared" si="4"/>
        <v>0</v>
      </c>
      <c r="I18" s="1110">
        <f t="shared" si="5"/>
        <v>0</v>
      </c>
      <c r="J18" s="1052">
        <f t="shared" si="6"/>
        <v>0</v>
      </c>
      <c r="K18" s="1052">
        <v>0</v>
      </c>
      <c r="L18" s="1052">
        <f t="shared" si="7"/>
        <v>0</v>
      </c>
      <c r="M18" s="1052">
        <f t="shared" si="8"/>
        <v>0</v>
      </c>
      <c r="N18" s="1051">
        <f>'[18]FY2012-13 Final'!K19</f>
        <v>12558</v>
      </c>
      <c r="O18" s="1053">
        <f t="shared" si="9"/>
        <v>0</v>
      </c>
      <c r="P18" s="1118">
        <f t="shared" si="10"/>
        <v>0</v>
      </c>
      <c r="Q18" s="1053">
        <f t="shared" si="11"/>
        <v>0</v>
      </c>
      <c r="R18" s="1053">
        <v>0</v>
      </c>
      <c r="S18" s="1053">
        <f t="shared" si="12"/>
        <v>0</v>
      </c>
      <c r="T18" s="1053">
        <f t="shared" si="13"/>
        <v>0</v>
      </c>
      <c r="U18" s="1054">
        <f t="shared" si="14"/>
        <v>0</v>
      </c>
      <c r="V18" s="1054">
        <f t="shared" si="14"/>
        <v>0</v>
      </c>
    </row>
    <row r="19" spans="1:22">
      <c r="A19" s="994">
        <v>13</v>
      </c>
      <c r="B19" s="995" t="s">
        <v>107</v>
      </c>
      <c r="C19" s="1193">
        <v>0</v>
      </c>
      <c r="D19" s="997">
        <f>'Table 3 Levels 1&amp;2'!BN21+'Table 3 Levels 1&amp;2'!BV21</f>
        <v>6187.1651272387344</v>
      </c>
      <c r="E19" s="1100">
        <f t="shared" si="2"/>
        <v>0</v>
      </c>
      <c r="F19" s="1100">
        <f>'Table 4 Level 3'!N18</f>
        <v>749.43000000000006</v>
      </c>
      <c r="G19" s="1100">
        <f t="shared" si="3"/>
        <v>0</v>
      </c>
      <c r="H19" s="1052">
        <f t="shared" si="4"/>
        <v>0</v>
      </c>
      <c r="I19" s="1110">
        <f t="shared" si="5"/>
        <v>0</v>
      </c>
      <c r="J19" s="1052">
        <f t="shared" si="6"/>
        <v>0</v>
      </c>
      <c r="K19" s="1052">
        <v>0</v>
      </c>
      <c r="L19" s="1052">
        <f t="shared" si="7"/>
        <v>0</v>
      </c>
      <c r="M19" s="1052">
        <f t="shared" si="8"/>
        <v>0</v>
      </c>
      <c r="N19" s="1051">
        <f>'[18]FY2012-13 Final'!K20</f>
        <v>2536</v>
      </c>
      <c r="O19" s="1053">
        <f t="shared" si="9"/>
        <v>0</v>
      </c>
      <c r="P19" s="1118">
        <f t="shared" si="10"/>
        <v>0</v>
      </c>
      <c r="Q19" s="1053">
        <f t="shared" si="11"/>
        <v>0</v>
      </c>
      <c r="R19" s="1053">
        <v>0</v>
      </c>
      <c r="S19" s="1053">
        <f t="shared" si="12"/>
        <v>0</v>
      </c>
      <c r="T19" s="1053">
        <f t="shared" si="13"/>
        <v>0</v>
      </c>
      <c r="U19" s="1054">
        <f t="shared" si="14"/>
        <v>0</v>
      </c>
      <c r="V19" s="1054">
        <f t="shared" si="14"/>
        <v>0</v>
      </c>
    </row>
    <row r="20" spans="1:22">
      <c r="A20" s="994">
        <v>14</v>
      </c>
      <c r="B20" s="995" t="s">
        <v>108</v>
      </c>
      <c r="C20" s="1193">
        <v>0</v>
      </c>
      <c r="D20" s="997">
        <f>'Table 3 Levels 1&amp;2'!BN22+'Table 3 Levels 1&amp;2'!BV22</f>
        <v>5339.1887414618923</v>
      </c>
      <c r="E20" s="1100">
        <f t="shared" si="2"/>
        <v>0</v>
      </c>
      <c r="F20" s="1100">
        <f>'Table 4 Level 3'!N19</f>
        <v>809.9799999999999</v>
      </c>
      <c r="G20" s="1100">
        <f t="shared" si="3"/>
        <v>0</v>
      </c>
      <c r="H20" s="1052">
        <f t="shared" si="4"/>
        <v>0</v>
      </c>
      <c r="I20" s="1110">
        <f t="shared" si="5"/>
        <v>0</v>
      </c>
      <c r="J20" s="1052">
        <f t="shared" si="6"/>
        <v>0</v>
      </c>
      <c r="K20" s="1052">
        <v>0</v>
      </c>
      <c r="L20" s="1052">
        <f t="shared" si="7"/>
        <v>0</v>
      </c>
      <c r="M20" s="1052">
        <f t="shared" si="8"/>
        <v>0</v>
      </c>
      <c r="N20" s="1051">
        <f>'[18]FY2012-13 Final'!K21</f>
        <v>3888</v>
      </c>
      <c r="O20" s="1053">
        <f t="shared" si="9"/>
        <v>0</v>
      </c>
      <c r="P20" s="1118">
        <f t="shared" si="10"/>
        <v>0</v>
      </c>
      <c r="Q20" s="1053">
        <f t="shared" si="11"/>
        <v>0</v>
      </c>
      <c r="R20" s="1053">
        <v>0</v>
      </c>
      <c r="S20" s="1053">
        <f t="shared" si="12"/>
        <v>0</v>
      </c>
      <c r="T20" s="1053">
        <f t="shared" si="13"/>
        <v>0</v>
      </c>
      <c r="U20" s="1054">
        <f t="shared" si="14"/>
        <v>0</v>
      </c>
      <c r="V20" s="1054">
        <f t="shared" si="14"/>
        <v>0</v>
      </c>
    </row>
    <row r="21" spans="1:22">
      <c r="A21" s="998">
        <v>15</v>
      </c>
      <c r="B21" s="999" t="s">
        <v>109</v>
      </c>
      <c r="C21" s="1194">
        <v>0</v>
      </c>
      <c r="D21" s="1001">
        <f>'Table 3 Levels 1&amp;2'!BN23+'Table 3 Levels 1&amp;2'!BV23</f>
        <v>5492.5789412344011</v>
      </c>
      <c r="E21" s="1101">
        <f t="shared" si="2"/>
        <v>0</v>
      </c>
      <c r="F21" s="1101">
        <f>'Table 4 Level 3'!N20</f>
        <v>553.79999999999995</v>
      </c>
      <c r="G21" s="1101">
        <f t="shared" si="3"/>
        <v>0</v>
      </c>
      <c r="H21" s="1055">
        <f t="shared" si="4"/>
        <v>0</v>
      </c>
      <c r="I21" s="1111">
        <f t="shared" si="5"/>
        <v>0</v>
      </c>
      <c r="J21" s="1055">
        <f t="shared" si="6"/>
        <v>0</v>
      </c>
      <c r="K21" s="1055">
        <v>0</v>
      </c>
      <c r="L21" s="1055">
        <f t="shared" si="7"/>
        <v>0</v>
      </c>
      <c r="M21" s="1055">
        <f t="shared" si="8"/>
        <v>0</v>
      </c>
      <c r="N21" s="1056">
        <f>'[18]FY2012-13 Final'!K22</f>
        <v>2752</v>
      </c>
      <c r="O21" s="1057">
        <f t="shared" si="9"/>
        <v>0</v>
      </c>
      <c r="P21" s="1119">
        <f t="shared" si="10"/>
        <v>0</v>
      </c>
      <c r="Q21" s="1057">
        <f t="shared" si="11"/>
        <v>0</v>
      </c>
      <c r="R21" s="1057">
        <v>0</v>
      </c>
      <c r="S21" s="1057">
        <f t="shared" si="12"/>
        <v>0</v>
      </c>
      <c r="T21" s="1057">
        <f t="shared" si="13"/>
        <v>0</v>
      </c>
      <c r="U21" s="1058">
        <f t="shared" si="14"/>
        <v>0</v>
      </c>
      <c r="V21" s="1058">
        <f t="shared" si="14"/>
        <v>0</v>
      </c>
    </row>
    <row r="22" spans="1:22">
      <c r="A22" s="987">
        <v>16</v>
      </c>
      <c r="B22" s="988" t="s">
        <v>110</v>
      </c>
      <c r="C22" s="1195">
        <v>0</v>
      </c>
      <c r="D22" s="990">
        <f>'Table 3 Levels 1&amp;2'!BN24+'Table 3 Levels 1&amp;2'!BV24</f>
        <v>1506.1153407945151</v>
      </c>
      <c r="E22" s="1099">
        <f t="shared" si="2"/>
        <v>0</v>
      </c>
      <c r="F22" s="1099">
        <f>'Table 4 Level 3'!N21</f>
        <v>686.73</v>
      </c>
      <c r="G22" s="1099">
        <f t="shared" si="3"/>
        <v>0</v>
      </c>
      <c r="H22" s="991">
        <f t="shared" si="4"/>
        <v>0</v>
      </c>
      <c r="I22" s="1109">
        <f t="shared" si="5"/>
        <v>0</v>
      </c>
      <c r="J22" s="991">
        <f t="shared" si="6"/>
        <v>0</v>
      </c>
      <c r="K22" s="991">
        <v>0</v>
      </c>
      <c r="L22" s="991">
        <f t="shared" si="7"/>
        <v>0</v>
      </c>
      <c r="M22" s="991">
        <f t="shared" si="8"/>
        <v>0</v>
      </c>
      <c r="N22" s="1051">
        <f>'[18]FY2012-13 Final'!K23</f>
        <v>15092</v>
      </c>
      <c r="O22" s="992">
        <f t="shared" si="9"/>
        <v>0</v>
      </c>
      <c r="P22" s="1117">
        <f t="shared" si="10"/>
        <v>0</v>
      </c>
      <c r="Q22" s="992">
        <f t="shared" si="11"/>
        <v>0</v>
      </c>
      <c r="R22" s="992">
        <v>0</v>
      </c>
      <c r="S22" s="992">
        <f t="shared" si="12"/>
        <v>0</v>
      </c>
      <c r="T22" s="992">
        <f t="shared" si="13"/>
        <v>0</v>
      </c>
      <c r="U22" s="993">
        <f t="shared" si="14"/>
        <v>0</v>
      </c>
      <c r="V22" s="993">
        <f t="shared" si="14"/>
        <v>0</v>
      </c>
    </row>
    <row r="23" spans="1:22">
      <c r="A23" s="994">
        <v>17</v>
      </c>
      <c r="B23" s="995" t="s">
        <v>111</v>
      </c>
      <c r="C23" s="1193">
        <v>0</v>
      </c>
      <c r="D23" s="997">
        <f>'Table 3 Levels 1&amp;2'!BN25+'Table 3 Levels 1&amp;2'!BV25</f>
        <v>3311.610845996096</v>
      </c>
      <c r="E23" s="1100">
        <f t="shared" si="2"/>
        <v>0</v>
      </c>
      <c r="F23" s="1100">
        <f>'Table 4 Level 3'!N22</f>
        <v>801.47762416806802</v>
      </c>
      <c r="G23" s="1100">
        <f t="shared" si="3"/>
        <v>0</v>
      </c>
      <c r="H23" s="1052">
        <f t="shared" si="4"/>
        <v>0</v>
      </c>
      <c r="I23" s="1110">
        <f t="shared" si="5"/>
        <v>0</v>
      </c>
      <c r="J23" s="1052">
        <f t="shared" si="6"/>
        <v>0</v>
      </c>
      <c r="K23" s="1052">
        <v>0</v>
      </c>
      <c r="L23" s="1052">
        <f t="shared" si="7"/>
        <v>0</v>
      </c>
      <c r="M23" s="1052">
        <f t="shared" si="8"/>
        <v>0</v>
      </c>
      <c r="N23" s="1051">
        <f>'[18]FY2012-13 Final'!K24</f>
        <v>6551</v>
      </c>
      <c r="O23" s="1053">
        <f t="shared" si="9"/>
        <v>0</v>
      </c>
      <c r="P23" s="1118">
        <f t="shared" si="10"/>
        <v>0</v>
      </c>
      <c r="Q23" s="1053">
        <f t="shared" si="11"/>
        <v>0</v>
      </c>
      <c r="R23" s="1053">
        <v>0</v>
      </c>
      <c r="S23" s="1053">
        <f t="shared" si="12"/>
        <v>0</v>
      </c>
      <c r="T23" s="1053">
        <f t="shared" si="13"/>
        <v>0</v>
      </c>
      <c r="U23" s="1054">
        <f t="shared" si="14"/>
        <v>0</v>
      </c>
      <c r="V23" s="1054">
        <f t="shared" si="14"/>
        <v>0</v>
      </c>
    </row>
    <row r="24" spans="1:22">
      <c r="A24" s="994">
        <v>18</v>
      </c>
      <c r="B24" s="995" t="s">
        <v>112</v>
      </c>
      <c r="C24" s="1193">
        <v>0</v>
      </c>
      <c r="D24" s="997">
        <f>'Table 3 Levels 1&amp;2'!BN26+'Table 3 Levels 1&amp;2'!BV26</f>
        <v>5964.3490202032081</v>
      </c>
      <c r="E24" s="1100">
        <f t="shared" si="2"/>
        <v>0</v>
      </c>
      <c r="F24" s="1100">
        <f>'Table 4 Level 3'!N23</f>
        <v>845.94999999999993</v>
      </c>
      <c r="G24" s="1100">
        <f t="shared" si="3"/>
        <v>0</v>
      </c>
      <c r="H24" s="1052">
        <f t="shared" si="4"/>
        <v>0</v>
      </c>
      <c r="I24" s="1110">
        <f t="shared" si="5"/>
        <v>0</v>
      </c>
      <c r="J24" s="1052">
        <f t="shared" si="6"/>
        <v>0</v>
      </c>
      <c r="K24" s="1052">
        <v>0</v>
      </c>
      <c r="L24" s="1052">
        <f t="shared" si="7"/>
        <v>0</v>
      </c>
      <c r="M24" s="1052">
        <f t="shared" si="8"/>
        <v>0</v>
      </c>
      <c r="N24" s="1051">
        <f>'[18]FY2012-13 Final'!K25</f>
        <v>2165</v>
      </c>
      <c r="O24" s="1053">
        <f t="shared" si="9"/>
        <v>0</v>
      </c>
      <c r="P24" s="1118">
        <f t="shared" si="10"/>
        <v>0</v>
      </c>
      <c r="Q24" s="1053">
        <f t="shared" si="11"/>
        <v>0</v>
      </c>
      <c r="R24" s="1053">
        <v>0</v>
      </c>
      <c r="S24" s="1053">
        <f t="shared" si="12"/>
        <v>0</v>
      </c>
      <c r="T24" s="1053">
        <f t="shared" si="13"/>
        <v>0</v>
      </c>
      <c r="U24" s="1054">
        <f t="shared" si="14"/>
        <v>0</v>
      </c>
      <c r="V24" s="1054">
        <f t="shared" si="14"/>
        <v>0</v>
      </c>
    </row>
    <row r="25" spans="1:22">
      <c r="A25" s="994">
        <v>19</v>
      </c>
      <c r="B25" s="995" t="s">
        <v>113</v>
      </c>
      <c r="C25" s="1193">
        <v>0</v>
      </c>
      <c r="D25" s="997">
        <f>'Table 3 Levels 1&amp;2'!BN27+'Table 3 Levels 1&amp;2'!BV27</f>
        <v>5283.1088158476596</v>
      </c>
      <c r="E25" s="1100">
        <f t="shared" si="2"/>
        <v>0</v>
      </c>
      <c r="F25" s="1100">
        <f>'Table 4 Level 3'!N24</f>
        <v>905.43</v>
      </c>
      <c r="G25" s="1100">
        <f t="shared" si="3"/>
        <v>0</v>
      </c>
      <c r="H25" s="1052">
        <f t="shared" si="4"/>
        <v>0</v>
      </c>
      <c r="I25" s="1110">
        <f t="shared" si="5"/>
        <v>0</v>
      </c>
      <c r="J25" s="1052">
        <f t="shared" si="6"/>
        <v>0</v>
      </c>
      <c r="K25" s="1052">
        <v>0</v>
      </c>
      <c r="L25" s="1052">
        <f t="shared" si="7"/>
        <v>0</v>
      </c>
      <c r="M25" s="1052">
        <f t="shared" si="8"/>
        <v>0</v>
      </c>
      <c r="N25" s="1051">
        <f>'[18]FY2012-13 Final'!K26</f>
        <v>2729</v>
      </c>
      <c r="O25" s="1053">
        <f t="shared" si="9"/>
        <v>0</v>
      </c>
      <c r="P25" s="1118">
        <f t="shared" si="10"/>
        <v>0</v>
      </c>
      <c r="Q25" s="1053">
        <f t="shared" si="11"/>
        <v>0</v>
      </c>
      <c r="R25" s="1053">
        <v>0</v>
      </c>
      <c r="S25" s="1053">
        <f t="shared" si="12"/>
        <v>0</v>
      </c>
      <c r="T25" s="1053">
        <f t="shared" si="13"/>
        <v>0</v>
      </c>
      <c r="U25" s="1054">
        <f t="shared" si="14"/>
        <v>0</v>
      </c>
      <c r="V25" s="1054">
        <f t="shared" si="14"/>
        <v>0</v>
      </c>
    </row>
    <row r="26" spans="1:22">
      <c r="A26" s="998">
        <v>20</v>
      </c>
      <c r="B26" s="999" t="s">
        <v>114</v>
      </c>
      <c r="C26" s="1194">
        <v>0</v>
      </c>
      <c r="D26" s="1001">
        <f>'Table 3 Levels 1&amp;2'!BN28+'Table 3 Levels 1&amp;2'!BV28</f>
        <v>5389.6047094824808</v>
      </c>
      <c r="E26" s="1101">
        <f t="shared" si="2"/>
        <v>0</v>
      </c>
      <c r="F26" s="1101">
        <f>'Table 4 Level 3'!N25</f>
        <v>586.16999999999996</v>
      </c>
      <c r="G26" s="1101">
        <f t="shared" si="3"/>
        <v>0</v>
      </c>
      <c r="H26" s="1055">
        <f t="shared" si="4"/>
        <v>0</v>
      </c>
      <c r="I26" s="1111">
        <f t="shared" si="5"/>
        <v>0</v>
      </c>
      <c r="J26" s="1055">
        <f t="shared" si="6"/>
        <v>0</v>
      </c>
      <c r="K26" s="1055">
        <v>0</v>
      </c>
      <c r="L26" s="1055">
        <f t="shared" si="7"/>
        <v>0</v>
      </c>
      <c r="M26" s="1055">
        <f t="shared" si="8"/>
        <v>0</v>
      </c>
      <c r="N26" s="1056">
        <f>'[18]FY2012-13 Final'!K27</f>
        <v>2334</v>
      </c>
      <c r="O26" s="1057">
        <f t="shared" si="9"/>
        <v>0</v>
      </c>
      <c r="P26" s="1119">
        <f t="shared" si="10"/>
        <v>0</v>
      </c>
      <c r="Q26" s="1057">
        <f t="shared" si="11"/>
        <v>0</v>
      </c>
      <c r="R26" s="1057">
        <v>0</v>
      </c>
      <c r="S26" s="1057">
        <f t="shared" si="12"/>
        <v>0</v>
      </c>
      <c r="T26" s="1057">
        <f t="shared" si="13"/>
        <v>0</v>
      </c>
      <c r="U26" s="1058">
        <f t="shared" si="14"/>
        <v>0</v>
      </c>
      <c r="V26" s="1058">
        <f t="shared" si="14"/>
        <v>0</v>
      </c>
    </row>
    <row r="27" spans="1:22">
      <c r="A27" s="987">
        <v>21</v>
      </c>
      <c r="B27" s="988" t="s">
        <v>115</v>
      </c>
      <c r="C27" s="1195">
        <v>0</v>
      </c>
      <c r="D27" s="990">
        <f>'Table 3 Levels 1&amp;2'!BN29+'Table 3 Levels 1&amp;2'!BV29</f>
        <v>5659.8229810652783</v>
      </c>
      <c r="E27" s="1099">
        <f t="shared" si="2"/>
        <v>0</v>
      </c>
      <c r="F27" s="1099">
        <f>'Table 4 Level 3'!N26</f>
        <v>610.35</v>
      </c>
      <c r="G27" s="1099">
        <f t="shared" si="3"/>
        <v>0</v>
      </c>
      <c r="H27" s="991">
        <f t="shared" si="4"/>
        <v>0</v>
      </c>
      <c r="I27" s="1109">
        <f t="shared" si="5"/>
        <v>0</v>
      </c>
      <c r="J27" s="991">
        <f t="shared" si="6"/>
        <v>0</v>
      </c>
      <c r="K27" s="991">
        <v>0</v>
      </c>
      <c r="L27" s="991">
        <f t="shared" si="7"/>
        <v>0</v>
      </c>
      <c r="M27" s="991">
        <f t="shared" si="8"/>
        <v>0</v>
      </c>
      <c r="N27" s="1051">
        <f>'[18]FY2012-13 Final'!K28</f>
        <v>2233</v>
      </c>
      <c r="O27" s="992">
        <f t="shared" si="9"/>
        <v>0</v>
      </c>
      <c r="P27" s="1117">
        <f t="shared" si="10"/>
        <v>0</v>
      </c>
      <c r="Q27" s="992">
        <f t="shared" si="11"/>
        <v>0</v>
      </c>
      <c r="R27" s="992">
        <v>0</v>
      </c>
      <c r="S27" s="992">
        <f t="shared" si="12"/>
        <v>0</v>
      </c>
      <c r="T27" s="992">
        <f t="shared" si="13"/>
        <v>0</v>
      </c>
      <c r="U27" s="993">
        <f t="shared" si="14"/>
        <v>0</v>
      </c>
      <c r="V27" s="993">
        <f t="shared" si="14"/>
        <v>0</v>
      </c>
    </row>
    <row r="28" spans="1:22">
      <c r="A28" s="994">
        <v>22</v>
      </c>
      <c r="B28" s="995" t="s">
        <v>116</v>
      </c>
      <c r="C28" s="1193">
        <v>0</v>
      </c>
      <c r="D28" s="997">
        <f>'Table 3 Levels 1&amp;2'!BN30+'Table 3 Levels 1&amp;2'!BV30</f>
        <v>6191.1997628958306</v>
      </c>
      <c r="E28" s="1100">
        <f t="shared" si="2"/>
        <v>0</v>
      </c>
      <c r="F28" s="1100">
        <f>'Table 4 Level 3'!N27</f>
        <v>496.36</v>
      </c>
      <c r="G28" s="1100">
        <f t="shared" si="3"/>
        <v>0</v>
      </c>
      <c r="H28" s="1052">
        <f t="shared" si="4"/>
        <v>0</v>
      </c>
      <c r="I28" s="1110">
        <f t="shared" si="5"/>
        <v>0</v>
      </c>
      <c r="J28" s="1052">
        <f t="shared" si="6"/>
        <v>0</v>
      </c>
      <c r="K28" s="1052">
        <v>0</v>
      </c>
      <c r="L28" s="1052">
        <f t="shared" si="7"/>
        <v>0</v>
      </c>
      <c r="M28" s="1052">
        <f t="shared" si="8"/>
        <v>0</v>
      </c>
      <c r="N28" s="1051">
        <f>'[18]FY2012-13 Final'!K29</f>
        <v>1410</v>
      </c>
      <c r="O28" s="1053">
        <f t="shared" si="9"/>
        <v>0</v>
      </c>
      <c r="P28" s="1118">
        <f t="shared" si="10"/>
        <v>0</v>
      </c>
      <c r="Q28" s="1053">
        <f t="shared" si="11"/>
        <v>0</v>
      </c>
      <c r="R28" s="1053">
        <v>0</v>
      </c>
      <c r="S28" s="1053">
        <f t="shared" si="12"/>
        <v>0</v>
      </c>
      <c r="T28" s="1053">
        <f t="shared" si="13"/>
        <v>0</v>
      </c>
      <c r="U28" s="1054">
        <f t="shared" si="14"/>
        <v>0</v>
      </c>
      <c r="V28" s="1054">
        <f t="shared" si="14"/>
        <v>0</v>
      </c>
    </row>
    <row r="29" spans="1:22">
      <c r="A29" s="994">
        <v>23</v>
      </c>
      <c r="B29" s="995" t="s">
        <v>117</v>
      </c>
      <c r="C29" s="1193">
        <v>0</v>
      </c>
      <c r="D29" s="997">
        <f>'Table 3 Levels 1&amp;2'!BN31+'Table 3 Levels 1&amp;2'!BV31</f>
        <v>4788.2881021645453</v>
      </c>
      <c r="E29" s="1100">
        <f t="shared" si="2"/>
        <v>0</v>
      </c>
      <c r="F29" s="1100">
        <f>'Table 4 Level 3'!N28</f>
        <v>688.58</v>
      </c>
      <c r="G29" s="1100">
        <f t="shared" si="3"/>
        <v>0</v>
      </c>
      <c r="H29" s="1052">
        <f t="shared" si="4"/>
        <v>0</v>
      </c>
      <c r="I29" s="1110">
        <f t="shared" si="5"/>
        <v>0</v>
      </c>
      <c r="J29" s="1052">
        <f t="shared" si="6"/>
        <v>0</v>
      </c>
      <c r="K29" s="1052">
        <v>0</v>
      </c>
      <c r="L29" s="1052">
        <f t="shared" si="7"/>
        <v>0</v>
      </c>
      <c r="M29" s="1052">
        <f t="shared" si="8"/>
        <v>0</v>
      </c>
      <c r="N29" s="1051">
        <f>'[18]FY2012-13 Final'!K30</f>
        <v>3258</v>
      </c>
      <c r="O29" s="1053">
        <f t="shared" si="9"/>
        <v>0</v>
      </c>
      <c r="P29" s="1118">
        <f t="shared" si="10"/>
        <v>0</v>
      </c>
      <c r="Q29" s="1053">
        <f t="shared" si="11"/>
        <v>0</v>
      </c>
      <c r="R29" s="1053">
        <v>0</v>
      </c>
      <c r="S29" s="1053">
        <f t="shared" si="12"/>
        <v>0</v>
      </c>
      <c r="T29" s="1053">
        <f t="shared" si="13"/>
        <v>0</v>
      </c>
      <c r="U29" s="1054">
        <f t="shared" si="14"/>
        <v>0</v>
      </c>
      <c r="V29" s="1054">
        <f t="shared" si="14"/>
        <v>0</v>
      </c>
    </row>
    <row r="30" spans="1:22">
      <c r="A30" s="994">
        <v>24</v>
      </c>
      <c r="B30" s="995" t="s">
        <v>118</v>
      </c>
      <c r="C30" s="1193">
        <v>0</v>
      </c>
      <c r="D30" s="997">
        <f>'Table 3 Levels 1&amp;2'!BN32+'Table 3 Levels 1&amp;2'!BV32</f>
        <v>2743.328175824176</v>
      </c>
      <c r="E30" s="1100">
        <f t="shared" si="2"/>
        <v>0</v>
      </c>
      <c r="F30" s="1100">
        <f>'Table 4 Level 3'!N29</f>
        <v>854.24999999999989</v>
      </c>
      <c r="G30" s="1100">
        <f t="shared" si="3"/>
        <v>0</v>
      </c>
      <c r="H30" s="1052">
        <f t="shared" si="4"/>
        <v>0</v>
      </c>
      <c r="I30" s="1110">
        <f t="shared" si="5"/>
        <v>0</v>
      </c>
      <c r="J30" s="1052">
        <f t="shared" si="6"/>
        <v>0</v>
      </c>
      <c r="K30" s="1052">
        <v>0</v>
      </c>
      <c r="L30" s="1052">
        <f t="shared" si="7"/>
        <v>0</v>
      </c>
      <c r="M30" s="1052">
        <f t="shared" si="8"/>
        <v>0</v>
      </c>
      <c r="N30" s="1051">
        <f>'[18]FY2012-13 Final'!K31</f>
        <v>9280</v>
      </c>
      <c r="O30" s="1053">
        <f t="shared" si="9"/>
        <v>0</v>
      </c>
      <c r="P30" s="1118">
        <f t="shared" si="10"/>
        <v>0</v>
      </c>
      <c r="Q30" s="1053">
        <f t="shared" si="11"/>
        <v>0</v>
      </c>
      <c r="R30" s="1053">
        <v>0</v>
      </c>
      <c r="S30" s="1053">
        <f t="shared" si="12"/>
        <v>0</v>
      </c>
      <c r="T30" s="1053">
        <f t="shared" si="13"/>
        <v>0</v>
      </c>
      <c r="U30" s="1054">
        <f t="shared" si="14"/>
        <v>0</v>
      </c>
      <c r="V30" s="1054">
        <f t="shared" si="14"/>
        <v>0</v>
      </c>
    </row>
    <row r="31" spans="1:22">
      <c r="A31" s="998">
        <v>25</v>
      </c>
      <c r="B31" s="999" t="s">
        <v>119</v>
      </c>
      <c r="C31" s="1194">
        <v>0</v>
      </c>
      <c r="D31" s="1001">
        <f>'Table 3 Levels 1&amp;2'!BN33+'Table 3 Levels 1&amp;2'!BV33</f>
        <v>3799.3890273447178</v>
      </c>
      <c r="E31" s="1101">
        <f t="shared" si="2"/>
        <v>0</v>
      </c>
      <c r="F31" s="1101">
        <f>'Table 4 Level 3'!N30</f>
        <v>653.73</v>
      </c>
      <c r="G31" s="1101">
        <f t="shared" si="3"/>
        <v>0</v>
      </c>
      <c r="H31" s="1055">
        <f t="shared" si="4"/>
        <v>0</v>
      </c>
      <c r="I31" s="1111">
        <f t="shared" si="5"/>
        <v>0</v>
      </c>
      <c r="J31" s="1055">
        <f t="shared" si="6"/>
        <v>0</v>
      </c>
      <c r="K31" s="1055">
        <v>0</v>
      </c>
      <c r="L31" s="1055">
        <f t="shared" si="7"/>
        <v>0</v>
      </c>
      <c r="M31" s="1055">
        <f t="shared" si="8"/>
        <v>0</v>
      </c>
      <c r="N31" s="1056">
        <f>'[18]FY2012-13 Final'!K32</f>
        <v>5351</v>
      </c>
      <c r="O31" s="1057">
        <f t="shared" si="9"/>
        <v>0</v>
      </c>
      <c r="P31" s="1119">
        <f t="shared" si="10"/>
        <v>0</v>
      </c>
      <c r="Q31" s="1057">
        <f t="shared" si="11"/>
        <v>0</v>
      </c>
      <c r="R31" s="1057">
        <v>0</v>
      </c>
      <c r="S31" s="1057">
        <f t="shared" si="12"/>
        <v>0</v>
      </c>
      <c r="T31" s="1057">
        <f t="shared" si="13"/>
        <v>0</v>
      </c>
      <c r="U31" s="1058">
        <f t="shared" si="14"/>
        <v>0</v>
      </c>
      <c r="V31" s="1058">
        <f t="shared" si="14"/>
        <v>0</v>
      </c>
    </row>
    <row r="32" spans="1:22">
      <c r="A32" s="987">
        <v>26</v>
      </c>
      <c r="B32" s="988" t="s">
        <v>120</v>
      </c>
      <c r="C32" s="1195">
        <v>102</v>
      </c>
      <c r="D32" s="990">
        <f>'Table 3 Levels 1&amp;2'!BN34+'Table 3 Levels 1&amp;2'!BV34</f>
        <v>3320.7842100822745</v>
      </c>
      <c r="E32" s="1099">
        <f t="shared" si="2"/>
        <v>338719.98942839203</v>
      </c>
      <c r="F32" s="1099">
        <f>'Table 4 Level 3'!N31</f>
        <v>836.83</v>
      </c>
      <c r="G32" s="1099">
        <f t="shared" si="3"/>
        <v>85356.66</v>
      </c>
      <c r="H32" s="991">
        <f t="shared" si="4"/>
        <v>424076.64942839206</v>
      </c>
      <c r="I32" s="1109">
        <f t="shared" si="5"/>
        <v>-1060.1916235709803</v>
      </c>
      <c r="J32" s="991">
        <f t="shared" si="6"/>
        <v>423016.45780482108</v>
      </c>
      <c r="K32" s="991">
        <v>0</v>
      </c>
      <c r="L32" s="991">
        <f t="shared" si="7"/>
        <v>423016.45780482108</v>
      </c>
      <c r="M32" s="991">
        <f t="shared" si="8"/>
        <v>35251.371483735093</v>
      </c>
      <c r="N32" s="1051">
        <f>'[18]FY2012-13 Final'!K33</f>
        <v>5100</v>
      </c>
      <c r="O32" s="992">
        <f t="shared" si="9"/>
        <v>520200</v>
      </c>
      <c r="P32" s="1117">
        <f t="shared" si="10"/>
        <v>-1300.5</v>
      </c>
      <c r="Q32" s="992">
        <f t="shared" si="11"/>
        <v>518899.5</v>
      </c>
      <c r="R32" s="992">
        <v>0</v>
      </c>
      <c r="S32" s="992">
        <f t="shared" si="12"/>
        <v>518899.5</v>
      </c>
      <c r="T32" s="992">
        <f t="shared" si="13"/>
        <v>43241.625</v>
      </c>
      <c r="U32" s="993">
        <f t="shared" si="14"/>
        <v>941915.95780482108</v>
      </c>
      <c r="V32" s="993">
        <f t="shared" si="14"/>
        <v>78492.9964837351</v>
      </c>
    </row>
    <row r="33" spans="1:22">
      <c r="A33" s="994">
        <v>27</v>
      </c>
      <c r="B33" s="995" t="s">
        <v>121</v>
      </c>
      <c r="C33" s="1196">
        <v>0</v>
      </c>
      <c r="D33" s="1003">
        <f>'Table 3 Levels 1&amp;2'!BN35+'Table 3 Levels 1&amp;2'!BV35</f>
        <v>5636.5919457972805</v>
      </c>
      <c r="E33" s="1102">
        <f t="shared" si="2"/>
        <v>0</v>
      </c>
      <c r="F33" s="1102">
        <f>'Table 4 Level 3'!N32</f>
        <v>693.06</v>
      </c>
      <c r="G33" s="1102">
        <f t="shared" si="3"/>
        <v>0</v>
      </c>
      <c r="H33" s="1059">
        <f t="shared" si="4"/>
        <v>0</v>
      </c>
      <c r="I33" s="1112">
        <f t="shared" si="5"/>
        <v>0</v>
      </c>
      <c r="J33" s="1059">
        <f t="shared" si="6"/>
        <v>0</v>
      </c>
      <c r="K33" s="1059">
        <v>0</v>
      </c>
      <c r="L33" s="1059">
        <f t="shared" si="7"/>
        <v>0</v>
      </c>
      <c r="M33" s="1059">
        <f t="shared" si="8"/>
        <v>0</v>
      </c>
      <c r="N33" s="1051">
        <f>'[18]FY2012-13 Final'!K34</f>
        <v>3091</v>
      </c>
      <c r="O33" s="1053">
        <f t="shared" si="9"/>
        <v>0</v>
      </c>
      <c r="P33" s="1118">
        <f t="shared" si="10"/>
        <v>0</v>
      </c>
      <c r="Q33" s="1053">
        <f t="shared" si="11"/>
        <v>0</v>
      </c>
      <c r="R33" s="1053">
        <v>0</v>
      </c>
      <c r="S33" s="1053">
        <f t="shared" si="12"/>
        <v>0</v>
      </c>
      <c r="T33" s="1053">
        <f t="shared" si="13"/>
        <v>0</v>
      </c>
      <c r="U33" s="1054">
        <f t="shared" si="14"/>
        <v>0</v>
      </c>
      <c r="V33" s="1054">
        <f t="shared" si="14"/>
        <v>0</v>
      </c>
    </row>
    <row r="34" spans="1:22">
      <c r="A34" s="994">
        <v>28</v>
      </c>
      <c r="B34" s="995" t="s">
        <v>122</v>
      </c>
      <c r="C34" s="1196">
        <v>0</v>
      </c>
      <c r="D34" s="1003">
        <f>'Table 3 Levels 1&amp;2'!BN36+'Table 3 Levels 1&amp;2'!BV36</f>
        <v>3106.8056522508969</v>
      </c>
      <c r="E34" s="1102">
        <f t="shared" si="2"/>
        <v>0</v>
      </c>
      <c r="F34" s="1102">
        <f>'Table 4 Level 3'!N33</f>
        <v>694.4</v>
      </c>
      <c r="G34" s="1102">
        <f t="shared" si="3"/>
        <v>0</v>
      </c>
      <c r="H34" s="1059">
        <f t="shared" si="4"/>
        <v>0</v>
      </c>
      <c r="I34" s="1112">
        <f t="shared" si="5"/>
        <v>0</v>
      </c>
      <c r="J34" s="1059">
        <f t="shared" si="6"/>
        <v>0</v>
      </c>
      <c r="K34" s="1059">
        <v>0</v>
      </c>
      <c r="L34" s="1059">
        <f t="shared" si="7"/>
        <v>0</v>
      </c>
      <c r="M34" s="1059">
        <f t="shared" si="8"/>
        <v>0</v>
      </c>
      <c r="N34" s="1051">
        <f>'[18]FY2012-13 Final'!K35</f>
        <v>5323</v>
      </c>
      <c r="O34" s="1053">
        <f t="shared" si="9"/>
        <v>0</v>
      </c>
      <c r="P34" s="1118">
        <f t="shared" si="10"/>
        <v>0</v>
      </c>
      <c r="Q34" s="1053">
        <f t="shared" si="11"/>
        <v>0</v>
      </c>
      <c r="R34" s="1053">
        <v>0</v>
      </c>
      <c r="S34" s="1053">
        <f t="shared" si="12"/>
        <v>0</v>
      </c>
      <c r="T34" s="1053">
        <f t="shared" si="13"/>
        <v>0</v>
      </c>
      <c r="U34" s="1054">
        <f t="shared" si="14"/>
        <v>0</v>
      </c>
      <c r="V34" s="1054">
        <f t="shared" si="14"/>
        <v>0</v>
      </c>
    </row>
    <row r="35" spans="1:22">
      <c r="A35" s="994">
        <v>29</v>
      </c>
      <c r="B35" s="995" t="s">
        <v>123</v>
      </c>
      <c r="C35" s="1196">
        <v>0</v>
      </c>
      <c r="D35" s="1003">
        <f>'Table 3 Levels 1&amp;2'!BN37+'Table 3 Levels 1&amp;2'!BV37</f>
        <v>3912.1846976122315</v>
      </c>
      <c r="E35" s="1102">
        <f t="shared" si="2"/>
        <v>0</v>
      </c>
      <c r="F35" s="1102">
        <f>'Table 4 Level 3'!N34</f>
        <v>754.94999999999993</v>
      </c>
      <c r="G35" s="1102">
        <f t="shared" si="3"/>
        <v>0</v>
      </c>
      <c r="H35" s="1059">
        <f t="shared" si="4"/>
        <v>0</v>
      </c>
      <c r="I35" s="1112">
        <f t="shared" si="5"/>
        <v>0</v>
      </c>
      <c r="J35" s="1059">
        <f t="shared" si="6"/>
        <v>0</v>
      </c>
      <c r="K35" s="1059">
        <v>0</v>
      </c>
      <c r="L35" s="1059">
        <f t="shared" si="7"/>
        <v>0</v>
      </c>
      <c r="M35" s="1059">
        <f t="shared" si="8"/>
        <v>0</v>
      </c>
      <c r="N35" s="1051">
        <f>'[18]FY2012-13 Final'!K36</f>
        <v>4388</v>
      </c>
      <c r="O35" s="1053">
        <f t="shared" si="9"/>
        <v>0</v>
      </c>
      <c r="P35" s="1118">
        <f t="shared" si="10"/>
        <v>0</v>
      </c>
      <c r="Q35" s="1053">
        <f t="shared" si="11"/>
        <v>0</v>
      </c>
      <c r="R35" s="1053">
        <v>0</v>
      </c>
      <c r="S35" s="1053">
        <f t="shared" si="12"/>
        <v>0</v>
      </c>
      <c r="T35" s="1053">
        <f t="shared" si="13"/>
        <v>0</v>
      </c>
      <c r="U35" s="1054">
        <f t="shared" si="14"/>
        <v>0</v>
      </c>
      <c r="V35" s="1054">
        <f t="shared" si="14"/>
        <v>0</v>
      </c>
    </row>
    <row r="36" spans="1:22">
      <c r="A36" s="998">
        <v>30</v>
      </c>
      <c r="B36" s="999" t="s">
        <v>124</v>
      </c>
      <c r="C36" s="1197">
        <v>0</v>
      </c>
      <c r="D36" s="1005">
        <f>'Table 3 Levels 1&amp;2'!BN38+'Table 3 Levels 1&amp;2'!BV38</f>
        <v>5594.0091640611508</v>
      </c>
      <c r="E36" s="1103">
        <f t="shared" si="2"/>
        <v>0</v>
      </c>
      <c r="F36" s="1103">
        <f>'Table 4 Level 3'!N35</f>
        <v>727.17</v>
      </c>
      <c r="G36" s="1103">
        <f t="shared" si="3"/>
        <v>0</v>
      </c>
      <c r="H36" s="1060">
        <f t="shared" si="4"/>
        <v>0</v>
      </c>
      <c r="I36" s="1113">
        <f t="shared" si="5"/>
        <v>0</v>
      </c>
      <c r="J36" s="1060">
        <f t="shared" si="6"/>
        <v>0</v>
      </c>
      <c r="K36" s="1060">
        <v>0</v>
      </c>
      <c r="L36" s="1060">
        <f t="shared" si="7"/>
        <v>0</v>
      </c>
      <c r="M36" s="1060">
        <f t="shared" si="8"/>
        <v>0</v>
      </c>
      <c r="N36" s="1056">
        <f>'[18]FY2012-13 Final'!K37</f>
        <v>3702</v>
      </c>
      <c r="O36" s="1057">
        <f t="shared" si="9"/>
        <v>0</v>
      </c>
      <c r="P36" s="1119">
        <f t="shared" si="10"/>
        <v>0</v>
      </c>
      <c r="Q36" s="1057">
        <f t="shared" si="11"/>
        <v>0</v>
      </c>
      <c r="R36" s="1057">
        <v>0</v>
      </c>
      <c r="S36" s="1057">
        <f t="shared" si="12"/>
        <v>0</v>
      </c>
      <c r="T36" s="1057">
        <f t="shared" si="13"/>
        <v>0</v>
      </c>
      <c r="U36" s="1058">
        <f t="shared" si="14"/>
        <v>0</v>
      </c>
      <c r="V36" s="1058">
        <f t="shared" si="14"/>
        <v>0</v>
      </c>
    </row>
    <row r="37" spans="1:22">
      <c r="A37" s="987">
        <v>31</v>
      </c>
      <c r="B37" s="988" t="s">
        <v>125</v>
      </c>
      <c r="C37" s="1198">
        <v>0</v>
      </c>
      <c r="D37" s="1007">
        <f>'Table 3 Levels 1&amp;2'!BN39+'Table 3 Levels 1&amp;2'!BV39</f>
        <v>4320.114188911979</v>
      </c>
      <c r="E37" s="1104">
        <f t="shared" si="2"/>
        <v>0</v>
      </c>
      <c r="F37" s="1104">
        <f>'Table 4 Level 3'!N36</f>
        <v>620.83000000000004</v>
      </c>
      <c r="G37" s="1104">
        <f t="shared" si="3"/>
        <v>0</v>
      </c>
      <c r="H37" s="1061">
        <f t="shared" si="4"/>
        <v>0</v>
      </c>
      <c r="I37" s="1114">
        <f t="shared" si="5"/>
        <v>0</v>
      </c>
      <c r="J37" s="1061">
        <f t="shared" si="6"/>
        <v>0</v>
      </c>
      <c r="K37" s="1061">
        <v>0</v>
      </c>
      <c r="L37" s="1061">
        <f t="shared" si="7"/>
        <v>0</v>
      </c>
      <c r="M37" s="1061">
        <f t="shared" si="8"/>
        <v>0</v>
      </c>
      <c r="N37" s="1051">
        <f>'[18]FY2012-13 Final'!K38</f>
        <v>4669</v>
      </c>
      <c r="O37" s="992">
        <f t="shared" si="9"/>
        <v>0</v>
      </c>
      <c r="P37" s="1117">
        <f t="shared" si="10"/>
        <v>0</v>
      </c>
      <c r="Q37" s="992">
        <f t="shared" si="11"/>
        <v>0</v>
      </c>
      <c r="R37" s="992">
        <v>0</v>
      </c>
      <c r="S37" s="992">
        <f t="shared" si="12"/>
        <v>0</v>
      </c>
      <c r="T37" s="992">
        <f t="shared" si="13"/>
        <v>0</v>
      </c>
      <c r="U37" s="993">
        <f t="shared" si="14"/>
        <v>0</v>
      </c>
      <c r="V37" s="993">
        <f t="shared" si="14"/>
        <v>0</v>
      </c>
    </row>
    <row r="38" spans="1:22">
      <c r="A38" s="994">
        <v>32</v>
      </c>
      <c r="B38" s="995" t="s">
        <v>126</v>
      </c>
      <c r="C38" s="1196">
        <v>0</v>
      </c>
      <c r="D38" s="1003">
        <f>'Table 3 Levels 1&amp;2'!BN40+'Table 3 Levels 1&amp;2'!BV40</f>
        <v>5504.4479209353676</v>
      </c>
      <c r="E38" s="1102">
        <f t="shared" si="2"/>
        <v>0</v>
      </c>
      <c r="F38" s="1102">
        <f>'Table 4 Level 3'!N37</f>
        <v>559.77</v>
      </c>
      <c r="G38" s="1102">
        <f t="shared" si="3"/>
        <v>0</v>
      </c>
      <c r="H38" s="1059">
        <f t="shared" si="4"/>
        <v>0</v>
      </c>
      <c r="I38" s="1112">
        <f t="shared" si="5"/>
        <v>0</v>
      </c>
      <c r="J38" s="1059">
        <f t="shared" si="6"/>
        <v>0</v>
      </c>
      <c r="K38" s="1059">
        <v>0</v>
      </c>
      <c r="L38" s="1059">
        <f t="shared" si="7"/>
        <v>0</v>
      </c>
      <c r="M38" s="1059">
        <f t="shared" si="8"/>
        <v>0</v>
      </c>
      <c r="N38" s="1051">
        <f>'[18]FY2012-13 Final'!K39</f>
        <v>1965</v>
      </c>
      <c r="O38" s="1053">
        <f t="shared" si="9"/>
        <v>0</v>
      </c>
      <c r="P38" s="1118">
        <f t="shared" si="10"/>
        <v>0</v>
      </c>
      <c r="Q38" s="1053">
        <f t="shared" si="11"/>
        <v>0</v>
      </c>
      <c r="R38" s="1053">
        <v>0</v>
      </c>
      <c r="S38" s="1053">
        <f t="shared" si="12"/>
        <v>0</v>
      </c>
      <c r="T38" s="1053">
        <f t="shared" si="13"/>
        <v>0</v>
      </c>
      <c r="U38" s="1054">
        <f t="shared" si="14"/>
        <v>0</v>
      </c>
      <c r="V38" s="1054">
        <f t="shared" si="14"/>
        <v>0</v>
      </c>
    </row>
    <row r="39" spans="1:22">
      <c r="A39" s="994">
        <v>33</v>
      </c>
      <c r="B39" s="995" t="s">
        <v>127</v>
      </c>
      <c r="C39" s="1196">
        <v>0</v>
      </c>
      <c r="D39" s="1003">
        <f>'Table 3 Levels 1&amp;2'!BN41+'Table 3 Levels 1&amp;2'!BV41</f>
        <v>5322.07272511876</v>
      </c>
      <c r="E39" s="1102">
        <f t="shared" si="2"/>
        <v>0</v>
      </c>
      <c r="F39" s="1102">
        <f>'Table 4 Level 3'!N38</f>
        <v>655.31000000000006</v>
      </c>
      <c r="G39" s="1102">
        <f t="shared" si="3"/>
        <v>0</v>
      </c>
      <c r="H39" s="1059">
        <f t="shared" si="4"/>
        <v>0</v>
      </c>
      <c r="I39" s="1112">
        <f t="shared" si="5"/>
        <v>0</v>
      </c>
      <c r="J39" s="1059">
        <f t="shared" si="6"/>
        <v>0</v>
      </c>
      <c r="K39" s="1059">
        <v>0</v>
      </c>
      <c r="L39" s="1059">
        <f t="shared" si="7"/>
        <v>0</v>
      </c>
      <c r="M39" s="1059">
        <f t="shared" si="8"/>
        <v>0</v>
      </c>
      <c r="N39" s="1051">
        <f>'[18]FY2012-13 Final'!K40</f>
        <v>2771</v>
      </c>
      <c r="O39" s="1053">
        <f t="shared" si="9"/>
        <v>0</v>
      </c>
      <c r="P39" s="1118">
        <f t="shared" si="10"/>
        <v>0</v>
      </c>
      <c r="Q39" s="1053">
        <f t="shared" si="11"/>
        <v>0</v>
      </c>
      <c r="R39" s="1053">
        <v>0</v>
      </c>
      <c r="S39" s="1053">
        <f t="shared" si="12"/>
        <v>0</v>
      </c>
      <c r="T39" s="1053">
        <f t="shared" si="13"/>
        <v>0</v>
      </c>
      <c r="U39" s="1054">
        <f t="shared" si="14"/>
        <v>0</v>
      </c>
      <c r="V39" s="1054">
        <f t="shared" si="14"/>
        <v>0</v>
      </c>
    </row>
    <row r="40" spans="1:22">
      <c r="A40" s="994">
        <v>34</v>
      </c>
      <c r="B40" s="995" t="s">
        <v>128</v>
      </c>
      <c r="C40" s="1196">
        <v>0</v>
      </c>
      <c r="D40" s="1003">
        <f>'Table 3 Levels 1&amp;2'!BN42+'Table 3 Levels 1&amp;2'!BV42</f>
        <v>5959.062840731639</v>
      </c>
      <c r="E40" s="1102">
        <f t="shared" si="2"/>
        <v>0</v>
      </c>
      <c r="F40" s="1102">
        <f>'Table 4 Level 3'!N39</f>
        <v>644.11000000000013</v>
      </c>
      <c r="G40" s="1102">
        <f t="shared" si="3"/>
        <v>0</v>
      </c>
      <c r="H40" s="1059">
        <f t="shared" si="4"/>
        <v>0</v>
      </c>
      <c r="I40" s="1112">
        <f t="shared" si="5"/>
        <v>0</v>
      </c>
      <c r="J40" s="1059">
        <f t="shared" si="6"/>
        <v>0</v>
      </c>
      <c r="K40" s="1059">
        <v>0</v>
      </c>
      <c r="L40" s="1059">
        <f t="shared" si="7"/>
        <v>0</v>
      </c>
      <c r="M40" s="1059">
        <f t="shared" si="8"/>
        <v>0</v>
      </c>
      <c r="N40" s="1051">
        <f>'[18]FY2012-13 Final'!K41</f>
        <v>2758</v>
      </c>
      <c r="O40" s="1053">
        <f t="shared" si="9"/>
        <v>0</v>
      </c>
      <c r="P40" s="1118">
        <f t="shared" si="10"/>
        <v>0</v>
      </c>
      <c r="Q40" s="1053">
        <f t="shared" si="11"/>
        <v>0</v>
      </c>
      <c r="R40" s="1053">
        <v>0</v>
      </c>
      <c r="S40" s="1053">
        <f t="shared" si="12"/>
        <v>0</v>
      </c>
      <c r="T40" s="1053">
        <f t="shared" si="13"/>
        <v>0</v>
      </c>
      <c r="U40" s="1054">
        <f t="shared" si="14"/>
        <v>0</v>
      </c>
      <c r="V40" s="1054">
        <f t="shared" si="14"/>
        <v>0</v>
      </c>
    </row>
    <row r="41" spans="1:22">
      <c r="A41" s="998">
        <v>35</v>
      </c>
      <c r="B41" s="999" t="s">
        <v>129</v>
      </c>
      <c r="C41" s="1197">
        <v>0</v>
      </c>
      <c r="D41" s="1005">
        <f>'Table 3 Levels 1&amp;2'!BN43+'Table 3 Levels 1&amp;2'!BV43</f>
        <v>4571.947611490059</v>
      </c>
      <c r="E41" s="1103">
        <f t="shared" si="2"/>
        <v>0</v>
      </c>
      <c r="F41" s="1103">
        <f>'Table 4 Level 3'!N40</f>
        <v>537.96</v>
      </c>
      <c r="G41" s="1103">
        <f t="shared" si="3"/>
        <v>0</v>
      </c>
      <c r="H41" s="1060">
        <f t="shared" si="4"/>
        <v>0</v>
      </c>
      <c r="I41" s="1113">
        <f t="shared" si="5"/>
        <v>0</v>
      </c>
      <c r="J41" s="1060">
        <f t="shared" si="6"/>
        <v>0</v>
      </c>
      <c r="K41" s="1060">
        <v>0</v>
      </c>
      <c r="L41" s="1060">
        <f t="shared" si="7"/>
        <v>0</v>
      </c>
      <c r="M41" s="1060">
        <f t="shared" si="8"/>
        <v>0</v>
      </c>
      <c r="N41" s="1056">
        <f>'[18]FY2012-13 Final'!K42</f>
        <v>3603</v>
      </c>
      <c r="O41" s="1057">
        <f t="shared" si="9"/>
        <v>0</v>
      </c>
      <c r="P41" s="1119">
        <f t="shared" si="10"/>
        <v>0</v>
      </c>
      <c r="Q41" s="1057">
        <f t="shared" si="11"/>
        <v>0</v>
      </c>
      <c r="R41" s="1057">
        <v>0</v>
      </c>
      <c r="S41" s="1057">
        <f t="shared" si="12"/>
        <v>0</v>
      </c>
      <c r="T41" s="1057">
        <f t="shared" si="13"/>
        <v>0</v>
      </c>
      <c r="U41" s="1058">
        <f t="shared" si="14"/>
        <v>0</v>
      </c>
      <c r="V41" s="1058">
        <f t="shared" si="14"/>
        <v>0</v>
      </c>
    </row>
    <row r="42" spans="1:22">
      <c r="A42" s="987">
        <v>36</v>
      </c>
      <c r="B42" s="988" t="s">
        <v>130</v>
      </c>
      <c r="C42" s="1198">
        <v>6</v>
      </c>
      <c r="D42" s="1007">
        <f>'Table 3 Levels 1&amp;2'!BN44+'Table 3 Levels 1&amp;2'!BV44</f>
        <v>3666.4136012725312</v>
      </c>
      <c r="E42" s="1104">
        <f t="shared" si="2"/>
        <v>21998.481607635185</v>
      </c>
      <c r="F42" s="1104">
        <f>'Table 4 Level 3'!N41</f>
        <v>727.23177743956114</v>
      </c>
      <c r="G42" s="1104">
        <f t="shared" si="3"/>
        <v>4363.3906646373671</v>
      </c>
      <c r="H42" s="1061">
        <f t="shared" si="4"/>
        <v>26361.872272272551</v>
      </c>
      <c r="I42" s="1114">
        <f t="shared" si="5"/>
        <v>-65.904680680681381</v>
      </c>
      <c r="J42" s="1061">
        <f t="shared" si="6"/>
        <v>26295.967591591871</v>
      </c>
      <c r="K42" s="1061">
        <v>0</v>
      </c>
      <c r="L42" s="1061">
        <f t="shared" si="7"/>
        <v>26295.967591591871</v>
      </c>
      <c r="M42" s="1061">
        <f t="shared" si="8"/>
        <v>2191.330632632656</v>
      </c>
      <c r="N42" s="1051">
        <f>'[18]FY2012-13 Final'!K43</f>
        <v>4601</v>
      </c>
      <c r="O42" s="992">
        <f t="shared" si="9"/>
        <v>27606</v>
      </c>
      <c r="P42" s="1117">
        <f t="shared" si="10"/>
        <v>-69.015000000000001</v>
      </c>
      <c r="Q42" s="992">
        <f t="shared" si="11"/>
        <v>27536.985000000001</v>
      </c>
      <c r="R42" s="992">
        <v>0</v>
      </c>
      <c r="S42" s="992">
        <f t="shared" si="12"/>
        <v>27536.985000000001</v>
      </c>
      <c r="T42" s="992">
        <f t="shared" si="13"/>
        <v>2294.7487500000002</v>
      </c>
      <c r="U42" s="993">
        <f t="shared" si="14"/>
        <v>53832.952591591871</v>
      </c>
      <c r="V42" s="993">
        <f t="shared" si="14"/>
        <v>4486.0793826326562</v>
      </c>
    </row>
    <row r="43" spans="1:22">
      <c r="A43" s="994">
        <v>37</v>
      </c>
      <c r="B43" s="995" t="s">
        <v>131</v>
      </c>
      <c r="C43" s="1196">
        <v>0</v>
      </c>
      <c r="D43" s="1003">
        <f>'Table 3 Levels 1&amp;2'!BN45+'Table 3 Levels 1&amp;2'!BV45</f>
        <v>5484.8089042263191</v>
      </c>
      <c r="E43" s="1102">
        <f t="shared" si="2"/>
        <v>0</v>
      </c>
      <c r="F43" s="1102">
        <f>'Table 4 Level 3'!N42</f>
        <v>653.61</v>
      </c>
      <c r="G43" s="1102">
        <f t="shared" si="3"/>
        <v>0</v>
      </c>
      <c r="H43" s="1059">
        <f t="shared" si="4"/>
        <v>0</v>
      </c>
      <c r="I43" s="1112">
        <f t="shared" si="5"/>
        <v>0</v>
      </c>
      <c r="J43" s="1059">
        <f t="shared" si="6"/>
        <v>0</v>
      </c>
      <c r="K43" s="1059">
        <v>0</v>
      </c>
      <c r="L43" s="1059">
        <f t="shared" si="7"/>
        <v>0</v>
      </c>
      <c r="M43" s="1059">
        <f t="shared" si="8"/>
        <v>0</v>
      </c>
      <c r="N43" s="1051">
        <f>'[18]FY2012-13 Final'!K44</f>
        <v>3099</v>
      </c>
      <c r="O43" s="1053">
        <f t="shared" si="9"/>
        <v>0</v>
      </c>
      <c r="P43" s="1118">
        <f t="shared" si="10"/>
        <v>0</v>
      </c>
      <c r="Q43" s="1053">
        <f t="shared" si="11"/>
        <v>0</v>
      </c>
      <c r="R43" s="1053">
        <v>0</v>
      </c>
      <c r="S43" s="1053">
        <f t="shared" si="12"/>
        <v>0</v>
      </c>
      <c r="T43" s="1053">
        <f t="shared" si="13"/>
        <v>0</v>
      </c>
      <c r="U43" s="1054">
        <f t="shared" si="14"/>
        <v>0</v>
      </c>
      <c r="V43" s="1054">
        <f t="shared" si="14"/>
        <v>0</v>
      </c>
    </row>
    <row r="44" spans="1:22">
      <c r="A44" s="994">
        <v>38</v>
      </c>
      <c r="B44" s="995" t="s">
        <v>132</v>
      </c>
      <c r="C44" s="1196">
        <v>0</v>
      </c>
      <c r="D44" s="1003">
        <f>'Table 3 Levels 1&amp;2'!BN46+'Table 3 Levels 1&amp;2'!BV46</f>
        <v>2078.5917829727841</v>
      </c>
      <c r="E44" s="1102">
        <f t="shared" si="2"/>
        <v>0</v>
      </c>
      <c r="F44" s="1102">
        <f>'Table 4 Level 3'!N43</f>
        <v>829.92000000000007</v>
      </c>
      <c r="G44" s="1102">
        <f t="shared" si="3"/>
        <v>0</v>
      </c>
      <c r="H44" s="1059">
        <f t="shared" si="4"/>
        <v>0</v>
      </c>
      <c r="I44" s="1112">
        <f t="shared" si="5"/>
        <v>0</v>
      </c>
      <c r="J44" s="1059">
        <f t="shared" si="6"/>
        <v>0</v>
      </c>
      <c r="K44" s="1059">
        <v>0</v>
      </c>
      <c r="L44" s="1059">
        <f t="shared" si="7"/>
        <v>0</v>
      </c>
      <c r="M44" s="1059">
        <f t="shared" si="8"/>
        <v>0</v>
      </c>
      <c r="N44" s="1051">
        <f>'[18]FY2012-13 Final'!K45</f>
        <v>9674</v>
      </c>
      <c r="O44" s="1053">
        <f t="shared" si="9"/>
        <v>0</v>
      </c>
      <c r="P44" s="1118">
        <f t="shared" si="10"/>
        <v>0</v>
      </c>
      <c r="Q44" s="1053">
        <f t="shared" si="11"/>
        <v>0</v>
      </c>
      <c r="R44" s="1053">
        <v>0</v>
      </c>
      <c r="S44" s="1053">
        <f t="shared" si="12"/>
        <v>0</v>
      </c>
      <c r="T44" s="1053">
        <f t="shared" si="13"/>
        <v>0</v>
      </c>
      <c r="U44" s="1054">
        <f t="shared" si="14"/>
        <v>0</v>
      </c>
      <c r="V44" s="1054">
        <f t="shared" si="14"/>
        <v>0</v>
      </c>
    </row>
    <row r="45" spans="1:22">
      <c r="A45" s="994">
        <v>39</v>
      </c>
      <c r="B45" s="995" t="s">
        <v>133</v>
      </c>
      <c r="C45" s="1196">
        <v>0</v>
      </c>
      <c r="D45" s="1003">
        <f>'Table 3 Levels 1&amp;2'!BN47+'Table 3 Levels 1&amp;2'!BV47</f>
        <v>3622.4878999042335</v>
      </c>
      <c r="E45" s="1102">
        <f t="shared" si="2"/>
        <v>0</v>
      </c>
      <c r="F45" s="1102">
        <f>'Table 4 Level 3'!N44</f>
        <v>779.65573042776441</v>
      </c>
      <c r="G45" s="1102">
        <f t="shared" si="3"/>
        <v>0</v>
      </c>
      <c r="H45" s="1059">
        <f t="shared" si="4"/>
        <v>0</v>
      </c>
      <c r="I45" s="1112">
        <f t="shared" si="5"/>
        <v>0</v>
      </c>
      <c r="J45" s="1059">
        <f t="shared" si="6"/>
        <v>0</v>
      </c>
      <c r="K45" s="1059">
        <v>0</v>
      </c>
      <c r="L45" s="1059">
        <f t="shared" si="7"/>
        <v>0</v>
      </c>
      <c r="M45" s="1059">
        <f t="shared" si="8"/>
        <v>0</v>
      </c>
      <c r="N45" s="1051">
        <f>'[18]FY2012-13 Final'!K46</f>
        <v>4277</v>
      </c>
      <c r="O45" s="1053">
        <f t="shared" si="9"/>
        <v>0</v>
      </c>
      <c r="P45" s="1118">
        <f t="shared" si="10"/>
        <v>0</v>
      </c>
      <c r="Q45" s="1053">
        <f t="shared" si="11"/>
        <v>0</v>
      </c>
      <c r="R45" s="1053">
        <v>0</v>
      </c>
      <c r="S45" s="1053">
        <f t="shared" si="12"/>
        <v>0</v>
      </c>
      <c r="T45" s="1053">
        <f t="shared" si="13"/>
        <v>0</v>
      </c>
      <c r="U45" s="1054">
        <f t="shared" si="14"/>
        <v>0</v>
      </c>
      <c r="V45" s="1054">
        <f t="shared" si="14"/>
        <v>0</v>
      </c>
    </row>
    <row r="46" spans="1:22">
      <c r="A46" s="998">
        <v>40</v>
      </c>
      <c r="B46" s="999" t="s">
        <v>134</v>
      </c>
      <c r="C46" s="1197">
        <v>0</v>
      </c>
      <c r="D46" s="1005">
        <f>'Table 3 Levels 1&amp;2'!BN48+'Table 3 Levels 1&amp;2'!BV48</f>
        <v>4885.6387343180086</v>
      </c>
      <c r="E46" s="1103">
        <f t="shared" si="2"/>
        <v>0</v>
      </c>
      <c r="F46" s="1103">
        <f>'Table 4 Level 3'!N45</f>
        <v>700.2700000000001</v>
      </c>
      <c r="G46" s="1103">
        <f t="shared" si="3"/>
        <v>0</v>
      </c>
      <c r="H46" s="1060">
        <f t="shared" si="4"/>
        <v>0</v>
      </c>
      <c r="I46" s="1113">
        <f t="shared" si="5"/>
        <v>0</v>
      </c>
      <c r="J46" s="1060">
        <f t="shared" si="6"/>
        <v>0</v>
      </c>
      <c r="K46" s="1060">
        <v>0</v>
      </c>
      <c r="L46" s="1060">
        <f t="shared" si="7"/>
        <v>0</v>
      </c>
      <c r="M46" s="1060">
        <f t="shared" si="8"/>
        <v>0</v>
      </c>
      <c r="N46" s="1056">
        <f>'[18]FY2012-13 Final'!K47</f>
        <v>2921</v>
      </c>
      <c r="O46" s="1057">
        <f t="shared" si="9"/>
        <v>0</v>
      </c>
      <c r="P46" s="1119">
        <f t="shared" si="10"/>
        <v>0</v>
      </c>
      <c r="Q46" s="1057">
        <f t="shared" si="11"/>
        <v>0</v>
      </c>
      <c r="R46" s="1057">
        <v>0</v>
      </c>
      <c r="S46" s="1057">
        <f t="shared" si="12"/>
        <v>0</v>
      </c>
      <c r="T46" s="1057">
        <f t="shared" si="13"/>
        <v>0</v>
      </c>
      <c r="U46" s="1058">
        <f t="shared" si="14"/>
        <v>0</v>
      </c>
      <c r="V46" s="1058">
        <f t="shared" si="14"/>
        <v>0</v>
      </c>
    </row>
    <row r="47" spans="1:22">
      <c r="A47" s="987">
        <v>41</v>
      </c>
      <c r="B47" s="988" t="s">
        <v>135</v>
      </c>
      <c r="C47" s="1198">
        <v>0</v>
      </c>
      <c r="D47" s="1007">
        <f>'Table 3 Levels 1&amp;2'!BN49+'Table 3 Levels 1&amp;2'!BV49</f>
        <v>1602.0398121899364</v>
      </c>
      <c r="E47" s="1104">
        <f t="shared" si="2"/>
        <v>0</v>
      </c>
      <c r="F47" s="1104">
        <f>'Table 4 Level 3'!N46</f>
        <v>886.22</v>
      </c>
      <c r="G47" s="1104">
        <f t="shared" si="3"/>
        <v>0</v>
      </c>
      <c r="H47" s="1061">
        <f t="shared" si="4"/>
        <v>0</v>
      </c>
      <c r="I47" s="1114">
        <f t="shared" si="5"/>
        <v>0</v>
      </c>
      <c r="J47" s="1061">
        <f t="shared" si="6"/>
        <v>0</v>
      </c>
      <c r="K47" s="1061">
        <v>0</v>
      </c>
      <c r="L47" s="1061">
        <f t="shared" si="7"/>
        <v>0</v>
      </c>
      <c r="M47" s="1061">
        <f t="shared" si="8"/>
        <v>0</v>
      </c>
      <c r="N47" s="1051">
        <f>'[18]FY2012-13 Final'!K48</f>
        <v>12026</v>
      </c>
      <c r="O47" s="992">
        <f t="shared" si="9"/>
        <v>0</v>
      </c>
      <c r="P47" s="1117">
        <f t="shared" si="10"/>
        <v>0</v>
      </c>
      <c r="Q47" s="992">
        <f t="shared" si="11"/>
        <v>0</v>
      </c>
      <c r="R47" s="992">
        <v>0</v>
      </c>
      <c r="S47" s="992">
        <f t="shared" si="12"/>
        <v>0</v>
      </c>
      <c r="T47" s="992">
        <f t="shared" si="13"/>
        <v>0</v>
      </c>
      <c r="U47" s="993">
        <f t="shared" si="14"/>
        <v>0</v>
      </c>
      <c r="V47" s="993">
        <f t="shared" si="14"/>
        <v>0</v>
      </c>
    </row>
    <row r="48" spans="1:22">
      <c r="A48" s="994">
        <v>42</v>
      </c>
      <c r="B48" s="995" t="s">
        <v>136</v>
      </c>
      <c r="C48" s="1196">
        <v>0</v>
      </c>
      <c r="D48" s="1003">
        <f>'Table 3 Levels 1&amp;2'!BN50+'Table 3 Levels 1&amp;2'!BV50</f>
        <v>5098.6172346404755</v>
      </c>
      <c r="E48" s="1102">
        <f t="shared" si="2"/>
        <v>0</v>
      </c>
      <c r="F48" s="1102">
        <f>'Table 4 Level 3'!N47</f>
        <v>534.28</v>
      </c>
      <c r="G48" s="1102">
        <f t="shared" si="3"/>
        <v>0</v>
      </c>
      <c r="H48" s="1059">
        <f t="shared" si="4"/>
        <v>0</v>
      </c>
      <c r="I48" s="1112">
        <f t="shared" si="5"/>
        <v>0</v>
      </c>
      <c r="J48" s="1059">
        <f t="shared" si="6"/>
        <v>0</v>
      </c>
      <c r="K48" s="1059">
        <v>0</v>
      </c>
      <c r="L48" s="1059">
        <f t="shared" si="7"/>
        <v>0</v>
      </c>
      <c r="M48" s="1059">
        <f t="shared" si="8"/>
        <v>0</v>
      </c>
      <c r="N48" s="1051">
        <f>'[18]FY2012-13 Final'!K49</f>
        <v>2554</v>
      </c>
      <c r="O48" s="1053">
        <f t="shared" si="9"/>
        <v>0</v>
      </c>
      <c r="P48" s="1118">
        <f t="shared" si="10"/>
        <v>0</v>
      </c>
      <c r="Q48" s="1053">
        <f t="shared" si="11"/>
        <v>0</v>
      </c>
      <c r="R48" s="1053">
        <v>0</v>
      </c>
      <c r="S48" s="1053">
        <f t="shared" si="12"/>
        <v>0</v>
      </c>
      <c r="T48" s="1053">
        <f t="shared" si="13"/>
        <v>0</v>
      </c>
      <c r="U48" s="1054">
        <f t="shared" si="14"/>
        <v>0</v>
      </c>
      <c r="V48" s="1054">
        <f t="shared" si="14"/>
        <v>0</v>
      </c>
    </row>
    <row r="49" spans="1:22">
      <c r="A49" s="994">
        <v>43</v>
      </c>
      <c r="B49" s="995" t="s">
        <v>137</v>
      </c>
      <c r="C49" s="1196">
        <v>0</v>
      </c>
      <c r="D49" s="1003">
        <f>'Table 3 Levels 1&amp;2'!BN51+'Table 3 Levels 1&amp;2'!BV51</f>
        <v>4701.3362575004667</v>
      </c>
      <c r="E49" s="1102">
        <f t="shared" si="2"/>
        <v>0</v>
      </c>
      <c r="F49" s="1102">
        <f>'Table 4 Level 3'!N48</f>
        <v>574.6099999999999</v>
      </c>
      <c r="G49" s="1102">
        <f t="shared" si="3"/>
        <v>0</v>
      </c>
      <c r="H49" s="1059">
        <f t="shared" si="4"/>
        <v>0</v>
      </c>
      <c r="I49" s="1112">
        <f t="shared" si="5"/>
        <v>0</v>
      </c>
      <c r="J49" s="1059">
        <f t="shared" si="6"/>
        <v>0</v>
      </c>
      <c r="K49" s="1059">
        <v>0</v>
      </c>
      <c r="L49" s="1059">
        <f t="shared" si="7"/>
        <v>0</v>
      </c>
      <c r="M49" s="1059">
        <f t="shared" si="8"/>
        <v>0</v>
      </c>
      <c r="N49" s="1051">
        <f>'[18]FY2012-13 Final'!K50</f>
        <v>5265</v>
      </c>
      <c r="O49" s="1053">
        <f t="shared" si="9"/>
        <v>0</v>
      </c>
      <c r="P49" s="1118">
        <f t="shared" si="10"/>
        <v>0</v>
      </c>
      <c r="Q49" s="1053">
        <f t="shared" si="11"/>
        <v>0</v>
      </c>
      <c r="R49" s="1053">
        <v>0</v>
      </c>
      <c r="S49" s="1053">
        <f t="shared" si="12"/>
        <v>0</v>
      </c>
      <c r="T49" s="1053">
        <f t="shared" si="13"/>
        <v>0</v>
      </c>
      <c r="U49" s="1054">
        <f t="shared" si="14"/>
        <v>0</v>
      </c>
      <c r="V49" s="1054">
        <f t="shared" si="14"/>
        <v>0</v>
      </c>
    </row>
    <row r="50" spans="1:22">
      <c r="A50" s="994">
        <v>44</v>
      </c>
      <c r="B50" s="995" t="s">
        <v>138</v>
      </c>
      <c r="C50" s="1196">
        <v>6</v>
      </c>
      <c r="D50" s="1003">
        <f>'Table 3 Levels 1&amp;2'!BN52+'Table 3 Levels 1&amp;2'!BV52</f>
        <v>4649.5559521248724</v>
      </c>
      <c r="E50" s="1102">
        <f t="shared" si="2"/>
        <v>27897.335712749235</v>
      </c>
      <c r="F50" s="1102">
        <f>'Table 4 Level 3'!N49</f>
        <v>663.16000000000008</v>
      </c>
      <c r="G50" s="1102">
        <f t="shared" si="3"/>
        <v>3978.9600000000005</v>
      </c>
      <c r="H50" s="1059">
        <f t="shared" si="4"/>
        <v>31876.295712749234</v>
      </c>
      <c r="I50" s="1112">
        <f t="shared" si="5"/>
        <v>-79.690739281873093</v>
      </c>
      <c r="J50" s="1059">
        <f t="shared" si="6"/>
        <v>31796.604973467362</v>
      </c>
      <c r="K50" s="1059">
        <v>0</v>
      </c>
      <c r="L50" s="1059">
        <f t="shared" si="7"/>
        <v>31796.604973467362</v>
      </c>
      <c r="M50" s="1059">
        <f t="shared" si="8"/>
        <v>2649.71708112228</v>
      </c>
      <c r="N50" s="1051">
        <f>'[18]FY2012-13 Final'!K51</f>
        <v>4109</v>
      </c>
      <c r="O50" s="1053">
        <f t="shared" si="9"/>
        <v>24654</v>
      </c>
      <c r="P50" s="1118">
        <f t="shared" si="10"/>
        <v>-61.634999999999998</v>
      </c>
      <c r="Q50" s="1053">
        <f t="shared" si="11"/>
        <v>24592.365000000002</v>
      </c>
      <c r="R50" s="1053">
        <v>0</v>
      </c>
      <c r="S50" s="1053">
        <f t="shared" si="12"/>
        <v>24592.365000000002</v>
      </c>
      <c r="T50" s="1053">
        <f t="shared" si="13"/>
        <v>2049.36375</v>
      </c>
      <c r="U50" s="1054">
        <f t="shared" si="14"/>
        <v>56388.969973467363</v>
      </c>
      <c r="V50" s="1054">
        <f t="shared" si="14"/>
        <v>4699.08083112228</v>
      </c>
    </row>
    <row r="51" spans="1:22">
      <c r="A51" s="998">
        <v>45</v>
      </c>
      <c r="B51" s="999" t="s">
        <v>139</v>
      </c>
      <c r="C51" s="1197">
        <v>6</v>
      </c>
      <c r="D51" s="1005">
        <f>'Table 3 Levels 1&amp;2'!BN53+'Table 3 Levels 1&amp;2'!BV53</f>
        <v>2159.257884231537</v>
      </c>
      <c r="E51" s="1103">
        <f t="shared" si="2"/>
        <v>12955.547305389222</v>
      </c>
      <c r="F51" s="1103">
        <f>'Table 4 Level 3'!N50</f>
        <v>753.96000000000015</v>
      </c>
      <c r="G51" s="1103">
        <f t="shared" si="3"/>
        <v>4523.7600000000011</v>
      </c>
      <c r="H51" s="1060">
        <f t="shared" si="4"/>
        <v>17479.307305389222</v>
      </c>
      <c r="I51" s="1113">
        <f t="shared" si="5"/>
        <v>-43.698268263473054</v>
      </c>
      <c r="J51" s="1060">
        <f t="shared" si="6"/>
        <v>17435.609037125749</v>
      </c>
      <c r="K51" s="1060">
        <v>0</v>
      </c>
      <c r="L51" s="1060">
        <f t="shared" si="7"/>
        <v>17435.609037125749</v>
      </c>
      <c r="M51" s="1060">
        <f t="shared" si="8"/>
        <v>1452.9674197604791</v>
      </c>
      <c r="N51" s="1056">
        <f>'[18]FY2012-13 Final'!K52</f>
        <v>12427</v>
      </c>
      <c r="O51" s="1057">
        <f t="shared" si="9"/>
        <v>74562</v>
      </c>
      <c r="P51" s="1119">
        <f t="shared" si="10"/>
        <v>-186.405</v>
      </c>
      <c r="Q51" s="1057">
        <f t="shared" si="11"/>
        <v>74375.595000000001</v>
      </c>
      <c r="R51" s="1057">
        <v>0</v>
      </c>
      <c r="S51" s="1057">
        <f t="shared" si="12"/>
        <v>74375.595000000001</v>
      </c>
      <c r="T51" s="1057">
        <f t="shared" si="13"/>
        <v>6197.9662500000004</v>
      </c>
      <c r="U51" s="1058">
        <f t="shared" si="14"/>
        <v>91811.204037125746</v>
      </c>
      <c r="V51" s="1058">
        <f t="shared" si="14"/>
        <v>7650.9336697604795</v>
      </c>
    </row>
    <row r="52" spans="1:22">
      <c r="A52" s="987">
        <v>46</v>
      </c>
      <c r="B52" s="988" t="s">
        <v>140</v>
      </c>
      <c r="C52" s="1198">
        <v>0</v>
      </c>
      <c r="D52" s="1007">
        <f>'Table 3 Levels 1&amp;2'!BN54+'Table 3 Levels 1&amp;2'!BV54</f>
        <v>5578.7258135108641</v>
      </c>
      <c r="E52" s="1104">
        <f t="shared" si="2"/>
        <v>0</v>
      </c>
      <c r="F52" s="1104">
        <f>'Table 4 Level 3'!N51</f>
        <v>728.06</v>
      </c>
      <c r="G52" s="1104">
        <f t="shared" si="3"/>
        <v>0</v>
      </c>
      <c r="H52" s="1061">
        <f t="shared" si="4"/>
        <v>0</v>
      </c>
      <c r="I52" s="1114">
        <f t="shared" si="5"/>
        <v>0</v>
      </c>
      <c r="J52" s="1061">
        <f t="shared" si="6"/>
        <v>0</v>
      </c>
      <c r="K52" s="1061">
        <v>0</v>
      </c>
      <c r="L52" s="1061">
        <f t="shared" si="7"/>
        <v>0</v>
      </c>
      <c r="M52" s="1061">
        <f t="shared" si="8"/>
        <v>0</v>
      </c>
      <c r="N52" s="1051">
        <f>'[18]FY2012-13 Final'!K53</f>
        <v>1968</v>
      </c>
      <c r="O52" s="992">
        <f t="shared" si="9"/>
        <v>0</v>
      </c>
      <c r="P52" s="1117">
        <f t="shared" si="10"/>
        <v>0</v>
      </c>
      <c r="Q52" s="992">
        <f t="shared" si="11"/>
        <v>0</v>
      </c>
      <c r="R52" s="992">
        <v>0</v>
      </c>
      <c r="S52" s="992">
        <f t="shared" si="12"/>
        <v>0</v>
      </c>
      <c r="T52" s="992">
        <f t="shared" si="13"/>
        <v>0</v>
      </c>
      <c r="U52" s="993">
        <f t="shared" si="14"/>
        <v>0</v>
      </c>
      <c r="V52" s="993">
        <f t="shared" si="14"/>
        <v>0</v>
      </c>
    </row>
    <row r="53" spans="1:22">
      <c r="A53" s="994">
        <v>47</v>
      </c>
      <c r="B53" s="995" t="s">
        <v>141</v>
      </c>
      <c r="C53" s="1196">
        <v>0</v>
      </c>
      <c r="D53" s="1003">
        <f>'Table 3 Levels 1&amp;2'!BN55+'Table 3 Levels 1&amp;2'!BV55</f>
        <v>2709.058014721415</v>
      </c>
      <c r="E53" s="1102">
        <f t="shared" si="2"/>
        <v>0</v>
      </c>
      <c r="F53" s="1102">
        <f>'Table 4 Level 3'!N52</f>
        <v>910.76</v>
      </c>
      <c r="G53" s="1102">
        <f t="shared" si="3"/>
        <v>0</v>
      </c>
      <c r="H53" s="1059">
        <f t="shared" si="4"/>
        <v>0</v>
      </c>
      <c r="I53" s="1112">
        <f t="shared" si="5"/>
        <v>0</v>
      </c>
      <c r="J53" s="1059">
        <f t="shared" si="6"/>
        <v>0</v>
      </c>
      <c r="K53" s="1059">
        <v>0</v>
      </c>
      <c r="L53" s="1059">
        <f t="shared" si="7"/>
        <v>0</v>
      </c>
      <c r="M53" s="1059">
        <f t="shared" si="8"/>
        <v>0</v>
      </c>
      <c r="N53" s="1051">
        <f>'[18]FY2012-13 Final'!K54</f>
        <v>10049</v>
      </c>
      <c r="O53" s="1053">
        <f t="shared" si="9"/>
        <v>0</v>
      </c>
      <c r="P53" s="1118">
        <f t="shared" si="10"/>
        <v>0</v>
      </c>
      <c r="Q53" s="1053">
        <f t="shared" si="11"/>
        <v>0</v>
      </c>
      <c r="R53" s="1053">
        <v>0</v>
      </c>
      <c r="S53" s="1053">
        <f t="shared" si="12"/>
        <v>0</v>
      </c>
      <c r="T53" s="1053">
        <f t="shared" si="13"/>
        <v>0</v>
      </c>
      <c r="U53" s="1054">
        <f t="shared" si="14"/>
        <v>0</v>
      </c>
      <c r="V53" s="1054">
        <f t="shared" si="14"/>
        <v>0</v>
      </c>
    </row>
    <row r="54" spans="1:22">
      <c r="A54" s="994">
        <v>48</v>
      </c>
      <c r="B54" s="995" t="s">
        <v>202</v>
      </c>
      <c r="C54" s="1196">
        <v>0</v>
      </c>
      <c r="D54" s="1003">
        <f>'Table 3 Levels 1&amp;2'!BN56+'Table 3 Levels 1&amp;2'!BV56</f>
        <v>4259.4136153508553</v>
      </c>
      <c r="E54" s="1102">
        <f t="shared" si="2"/>
        <v>0</v>
      </c>
      <c r="F54" s="1102">
        <f>'Table 4 Level 3'!N53</f>
        <v>871.07</v>
      </c>
      <c r="G54" s="1102">
        <f t="shared" si="3"/>
        <v>0</v>
      </c>
      <c r="H54" s="1059">
        <f t="shared" si="4"/>
        <v>0</v>
      </c>
      <c r="I54" s="1112">
        <f t="shared" si="5"/>
        <v>0</v>
      </c>
      <c r="J54" s="1059">
        <f t="shared" si="6"/>
        <v>0</v>
      </c>
      <c r="K54" s="1059">
        <v>0</v>
      </c>
      <c r="L54" s="1059">
        <f t="shared" si="7"/>
        <v>0</v>
      </c>
      <c r="M54" s="1059">
        <f t="shared" si="8"/>
        <v>0</v>
      </c>
      <c r="N54" s="1051">
        <f>'[18]FY2012-13 Final'!K55</f>
        <v>5755</v>
      </c>
      <c r="O54" s="1053">
        <f t="shared" si="9"/>
        <v>0</v>
      </c>
      <c r="P54" s="1118">
        <f t="shared" si="10"/>
        <v>0</v>
      </c>
      <c r="Q54" s="1053">
        <f t="shared" si="11"/>
        <v>0</v>
      </c>
      <c r="R54" s="1053">
        <v>0</v>
      </c>
      <c r="S54" s="1053">
        <f t="shared" si="12"/>
        <v>0</v>
      </c>
      <c r="T54" s="1053">
        <f t="shared" si="13"/>
        <v>0</v>
      </c>
      <c r="U54" s="1054">
        <f t="shared" si="14"/>
        <v>0</v>
      </c>
      <c r="V54" s="1054">
        <f t="shared" si="14"/>
        <v>0</v>
      </c>
    </row>
    <row r="55" spans="1:22">
      <c r="A55" s="994">
        <v>49</v>
      </c>
      <c r="B55" s="995" t="s">
        <v>142</v>
      </c>
      <c r="C55" s="1196">
        <v>0</v>
      </c>
      <c r="D55" s="1003">
        <f>'Table 3 Levels 1&amp;2'!BN57+'Table 3 Levels 1&amp;2'!BV57</f>
        <v>4790.0513947378495</v>
      </c>
      <c r="E55" s="1102">
        <f t="shared" si="2"/>
        <v>0</v>
      </c>
      <c r="F55" s="1102">
        <f>'Table 4 Level 3'!N54</f>
        <v>574.43999999999994</v>
      </c>
      <c r="G55" s="1102">
        <f t="shared" si="3"/>
        <v>0</v>
      </c>
      <c r="H55" s="1059">
        <f t="shared" si="4"/>
        <v>0</v>
      </c>
      <c r="I55" s="1112">
        <f t="shared" si="5"/>
        <v>0</v>
      </c>
      <c r="J55" s="1059">
        <f t="shared" si="6"/>
        <v>0</v>
      </c>
      <c r="K55" s="1059">
        <v>0</v>
      </c>
      <c r="L55" s="1059">
        <f t="shared" si="7"/>
        <v>0</v>
      </c>
      <c r="M55" s="1059">
        <f t="shared" si="8"/>
        <v>0</v>
      </c>
      <c r="N55" s="1051">
        <f>'[18]FY2012-13 Final'!K56</f>
        <v>2335</v>
      </c>
      <c r="O55" s="1053">
        <f t="shared" si="9"/>
        <v>0</v>
      </c>
      <c r="P55" s="1118">
        <f t="shared" si="10"/>
        <v>0</v>
      </c>
      <c r="Q55" s="1053">
        <f t="shared" si="11"/>
        <v>0</v>
      </c>
      <c r="R55" s="1053">
        <v>0</v>
      </c>
      <c r="S55" s="1053">
        <f t="shared" si="12"/>
        <v>0</v>
      </c>
      <c r="T55" s="1053">
        <f t="shared" si="13"/>
        <v>0</v>
      </c>
      <c r="U55" s="1054">
        <f t="shared" si="14"/>
        <v>0</v>
      </c>
      <c r="V55" s="1054">
        <f t="shared" si="14"/>
        <v>0</v>
      </c>
    </row>
    <row r="56" spans="1:22">
      <c r="A56" s="998">
        <v>50</v>
      </c>
      <c r="B56" s="999" t="s">
        <v>143</v>
      </c>
      <c r="C56" s="1197">
        <v>0</v>
      </c>
      <c r="D56" s="1005">
        <f>'Table 3 Levels 1&amp;2'!BN58+'Table 3 Levels 1&amp;2'!BV58</f>
        <v>4954.3375045905796</v>
      </c>
      <c r="E56" s="1103">
        <f t="shared" si="2"/>
        <v>0</v>
      </c>
      <c r="F56" s="1103">
        <f>'Table 4 Level 3'!N55</f>
        <v>634.46</v>
      </c>
      <c r="G56" s="1103">
        <f t="shared" si="3"/>
        <v>0</v>
      </c>
      <c r="H56" s="1060">
        <f t="shared" si="4"/>
        <v>0</v>
      </c>
      <c r="I56" s="1113">
        <f t="shared" si="5"/>
        <v>0</v>
      </c>
      <c r="J56" s="1060">
        <f t="shared" si="6"/>
        <v>0</v>
      </c>
      <c r="K56" s="1060">
        <v>0</v>
      </c>
      <c r="L56" s="1060">
        <f t="shared" si="7"/>
        <v>0</v>
      </c>
      <c r="M56" s="1060">
        <f t="shared" si="8"/>
        <v>0</v>
      </c>
      <c r="N56" s="1056">
        <f>'[18]FY2012-13 Final'!K57</f>
        <v>2801</v>
      </c>
      <c r="O56" s="1057">
        <f t="shared" si="9"/>
        <v>0</v>
      </c>
      <c r="P56" s="1119">
        <f t="shared" si="10"/>
        <v>0</v>
      </c>
      <c r="Q56" s="1057">
        <f t="shared" si="11"/>
        <v>0</v>
      </c>
      <c r="R56" s="1057">
        <v>0</v>
      </c>
      <c r="S56" s="1057">
        <f t="shared" si="12"/>
        <v>0</v>
      </c>
      <c r="T56" s="1057">
        <f t="shared" si="13"/>
        <v>0</v>
      </c>
      <c r="U56" s="1058">
        <f t="shared" si="14"/>
        <v>0</v>
      </c>
      <c r="V56" s="1058">
        <f t="shared" si="14"/>
        <v>0</v>
      </c>
    </row>
    <row r="57" spans="1:22">
      <c r="A57" s="987">
        <v>51</v>
      </c>
      <c r="B57" s="988" t="s">
        <v>144</v>
      </c>
      <c r="C57" s="1198">
        <v>0</v>
      </c>
      <c r="D57" s="1007">
        <f>'Table 3 Levels 1&amp;2'!BN59+'Table 3 Levels 1&amp;2'!BV59</f>
        <v>4290.3461727150461</v>
      </c>
      <c r="E57" s="1104">
        <f t="shared" si="2"/>
        <v>0</v>
      </c>
      <c r="F57" s="1104">
        <f>'Table 4 Level 3'!N56</f>
        <v>706.66</v>
      </c>
      <c r="G57" s="1104">
        <f t="shared" si="3"/>
        <v>0</v>
      </c>
      <c r="H57" s="1061">
        <f t="shared" si="4"/>
        <v>0</v>
      </c>
      <c r="I57" s="1114">
        <f t="shared" si="5"/>
        <v>0</v>
      </c>
      <c r="J57" s="1061">
        <f t="shared" si="6"/>
        <v>0</v>
      </c>
      <c r="K57" s="1061">
        <v>0</v>
      </c>
      <c r="L57" s="1061">
        <f t="shared" si="7"/>
        <v>0</v>
      </c>
      <c r="M57" s="1061">
        <f t="shared" si="8"/>
        <v>0</v>
      </c>
      <c r="N57" s="1051">
        <f>'[18]FY2012-13 Final'!K58</f>
        <v>4053</v>
      </c>
      <c r="O57" s="992">
        <f t="shared" si="9"/>
        <v>0</v>
      </c>
      <c r="P57" s="1117">
        <f t="shared" si="10"/>
        <v>0</v>
      </c>
      <c r="Q57" s="992">
        <f t="shared" si="11"/>
        <v>0</v>
      </c>
      <c r="R57" s="992">
        <v>0</v>
      </c>
      <c r="S57" s="992">
        <f t="shared" si="12"/>
        <v>0</v>
      </c>
      <c r="T57" s="992">
        <f t="shared" si="13"/>
        <v>0</v>
      </c>
      <c r="U57" s="993">
        <f t="shared" si="14"/>
        <v>0</v>
      </c>
      <c r="V57" s="993">
        <f t="shared" si="14"/>
        <v>0</v>
      </c>
    </row>
    <row r="58" spans="1:22">
      <c r="A58" s="994">
        <v>52</v>
      </c>
      <c r="B58" s="995" t="s">
        <v>145</v>
      </c>
      <c r="C58" s="1196">
        <v>0</v>
      </c>
      <c r="D58" s="1003">
        <f>'Table 3 Levels 1&amp;2'!BN60+'Table 3 Levels 1&amp;2'!BV60</f>
        <v>4988.6415961118701</v>
      </c>
      <c r="E58" s="1102">
        <f t="shared" si="2"/>
        <v>0</v>
      </c>
      <c r="F58" s="1102">
        <f>'Table 4 Level 3'!N57</f>
        <v>658.37</v>
      </c>
      <c r="G58" s="1102">
        <f t="shared" si="3"/>
        <v>0</v>
      </c>
      <c r="H58" s="1059">
        <f t="shared" si="4"/>
        <v>0</v>
      </c>
      <c r="I58" s="1112">
        <f t="shared" si="5"/>
        <v>0</v>
      </c>
      <c r="J58" s="1059">
        <f t="shared" si="6"/>
        <v>0</v>
      </c>
      <c r="K58" s="1059">
        <v>0</v>
      </c>
      <c r="L58" s="1059">
        <f t="shared" si="7"/>
        <v>0</v>
      </c>
      <c r="M58" s="1059">
        <f t="shared" si="8"/>
        <v>0</v>
      </c>
      <c r="N58" s="1051">
        <f>'[18]FY2012-13 Final'!K59</f>
        <v>4886</v>
      </c>
      <c r="O58" s="1053">
        <f t="shared" si="9"/>
        <v>0</v>
      </c>
      <c r="P58" s="1118">
        <f t="shared" si="10"/>
        <v>0</v>
      </c>
      <c r="Q58" s="1053">
        <f t="shared" si="11"/>
        <v>0</v>
      </c>
      <c r="R58" s="1053">
        <v>0</v>
      </c>
      <c r="S58" s="1053">
        <f t="shared" si="12"/>
        <v>0</v>
      </c>
      <c r="T58" s="1053">
        <f t="shared" si="13"/>
        <v>0</v>
      </c>
      <c r="U58" s="1054">
        <f t="shared" si="14"/>
        <v>0</v>
      </c>
      <c r="V58" s="1054">
        <f t="shared" si="14"/>
        <v>0</v>
      </c>
    </row>
    <row r="59" spans="1:22">
      <c r="A59" s="994">
        <v>53</v>
      </c>
      <c r="B59" s="995" t="s">
        <v>146</v>
      </c>
      <c r="C59" s="1196">
        <v>0</v>
      </c>
      <c r="D59" s="1003">
        <f>'Table 3 Levels 1&amp;2'!BN61+'Table 3 Levels 1&amp;2'!BV61</f>
        <v>4739.7077057162423</v>
      </c>
      <c r="E59" s="1102">
        <f t="shared" si="2"/>
        <v>0</v>
      </c>
      <c r="F59" s="1102">
        <f>'Table 4 Level 3'!N58</f>
        <v>689.74</v>
      </c>
      <c r="G59" s="1102">
        <f t="shared" si="3"/>
        <v>0</v>
      </c>
      <c r="H59" s="1059">
        <f t="shared" si="4"/>
        <v>0</v>
      </c>
      <c r="I59" s="1112">
        <f t="shared" si="5"/>
        <v>0</v>
      </c>
      <c r="J59" s="1059">
        <f t="shared" si="6"/>
        <v>0</v>
      </c>
      <c r="K59" s="1059">
        <v>0</v>
      </c>
      <c r="L59" s="1059">
        <f t="shared" si="7"/>
        <v>0</v>
      </c>
      <c r="M59" s="1059">
        <f t="shared" si="8"/>
        <v>0</v>
      </c>
      <c r="N59" s="1051">
        <f>'[18]FY2012-13 Final'!K60</f>
        <v>1929</v>
      </c>
      <c r="O59" s="1053">
        <f t="shared" si="9"/>
        <v>0</v>
      </c>
      <c r="P59" s="1118">
        <f t="shared" si="10"/>
        <v>0</v>
      </c>
      <c r="Q59" s="1053">
        <f t="shared" si="11"/>
        <v>0</v>
      </c>
      <c r="R59" s="1053">
        <v>0</v>
      </c>
      <c r="S59" s="1053">
        <f t="shared" si="12"/>
        <v>0</v>
      </c>
      <c r="T59" s="1053">
        <f t="shared" si="13"/>
        <v>0</v>
      </c>
      <c r="U59" s="1054">
        <f t="shared" si="14"/>
        <v>0</v>
      </c>
      <c r="V59" s="1054">
        <f t="shared" si="14"/>
        <v>0</v>
      </c>
    </row>
    <row r="60" spans="1:22">
      <c r="A60" s="994">
        <v>54</v>
      </c>
      <c r="B60" s="995" t="s">
        <v>147</v>
      </c>
      <c r="C60" s="1196">
        <v>0</v>
      </c>
      <c r="D60" s="1003">
        <f>'Table 3 Levels 1&amp;2'!BN62+'Table 3 Levels 1&amp;2'!BV62</f>
        <v>5907.1276437932838</v>
      </c>
      <c r="E60" s="1102">
        <f t="shared" si="2"/>
        <v>0</v>
      </c>
      <c r="F60" s="1102">
        <f>'Table 4 Level 3'!N59</f>
        <v>951.45</v>
      </c>
      <c r="G60" s="1102">
        <f t="shared" si="3"/>
        <v>0</v>
      </c>
      <c r="H60" s="1059">
        <f t="shared" si="4"/>
        <v>0</v>
      </c>
      <c r="I60" s="1112">
        <f t="shared" si="5"/>
        <v>0</v>
      </c>
      <c r="J60" s="1059">
        <f t="shared" si="6"/>
        <v>0</v>
      </c>
      <c r="K60" s="1059">
        <v>0</v>
      </c>
      <c r="L60" s="1059">
        <f t="shared" si="7"/>
        <v>0</v>
      </c>
      <c r="M60" s="1059">
        <f t="shared" si="8"/>
        <v>0</v>
      </c>
      <c r="N60" s="1051">
        <f>'[18]FY2012-13 Final'!K61</f>
        <v>3382</v>
      </c>
      <c r="O60" s="1053">
        <f t="shared" si="9"/>
        <v>0</v>
      </c>
      <c r="P60" s="1118">
        <f t="shared" si="10"/>
        <v>0</v>
      </c>
      <c r="Q60" s="1053">
        <f t="shared" si="11"/>
        <v>0</v>
      </c>
      <c r="R60" s="1053">
        <v>0</v>
      </c>
      <c r="S60" s="1053">
        <f t="shared" si="12"/>
        <v>0</v>
      </c>
      <c r="T60" s="1053">
        <f t="shared" si="13"/>
        <v>0</v>
      </c>
      <c r="U60" s="1054">
        <f t="shared" si="14"/>
        <v>0</v>
      </c>
      <c r="V60" s="1054">
        <f t="shared" si="14"/>
        <v>0</v>
      </c>
    </row>
    <row r="61" spans="1:22">
      <c r="A61" s="998">
        <v>55</v>
      </c>
      <c r="B61" s="999" t="s">
        <v>148</v>
      </c>
      <c r="C61" s="1197">
        <v>0</v>
      </c>
      <c r="D61" s="1005">
        <f>'Table 3 Levels 1&amp;2'!BN63+'Table 3 Levels 1&amp;2'!BV63</f>
        <v>4115.0954812679902</v>
      </c>
      <c r="E61" s="1103">
        <f t="shared" si="2"/>
        <v>0</v>
      </c>
      <c r="F61" s="1103">
        <f>'Table 4 Level 3'!N60</f>
        <v>795.14</v>
      </c>
      <c r="G61" s="1103">
        <f t="shared" si="3"/>
        <v>0</v>
      </c>
      <c r="H61" s="1060">
        <f t="shared" si="4"/>
        <v>0</v>
      </c>
      <c r="I61" s="1113">
        <f t="shared" si="5"/>
        <v>0</v>
      </c>
      <c r="J61" s="1060">
        <f t="shared" si="6"/>
        <v>0</v>
      </c>
      <c r="K61" s="1060">
        <v>0</v>
      </c>
      <c r="L61" s="1060">
        <f t="shared" si="7"/>
        <v>0</v>
      </c>
      <c r="M61" s="1060">
        <f t="shared" si="8"/>
        <v>0</v>
      </c>
      <c r="N61" s="1056">
        <f>'[18]FY2012-13 Final'!K62</f>
        <v>3127</v>
      </c>
      <c r="O61" s="1057">
        <f t="shared" si="9"/>
        <v>0</v>
      </c>
      <c r="P61" s="1119">
        <f t="shared" si="10"/>
        <v>0</v>
      </c>
      <c r="Q61" s="1057">
        <f t="shared" si="11"/>
        <v>0</v>
      </c>
      <c r="R61" s="1057">
        <v>0</v>
      </c>
      <c r="S61" s="1057">
        <f t="shared" si="12"/>
        <v>0</v>
      </c>
      <c r="T61" s="1057">
        <f t="shared" si="13"/>
        <v>0</v>
      </c>
      <c r="U61" s="1058">
        <f t="shared" si="14"/>
        <v>0</v>
      </c>
      <c r="V61" s="1058">
        <f t="shared" si="14"/>
        <v>0</v>
      </c>
    </row>
    <row r="62" spans="1:22">
      <c r="A62" s="987">
        <v>56</v>
      </c>
      <c r="B62" s="988" t="s">
        <v>149</v>
      </c>
      <c r="C62" s="1198">
        <v>0</v>
      </c>
      <c r="D62" s="1007">
        <f>'Table 3 Levels 1&amp;2'!BN64+'Table 3 Levels 1&amp;2'!BV64</f>
        <v>4924.9032059941637</v>
      </c>
      <c r="E62" s="1104">
        <f t="shared" si="2"/>
        <v>0</v>
      </c>
      <c r="F62" s="1104">
        <f>'Table 4 Level 3'!N61</f>
        <v>614.66000000000008</v>
      </c>
      <c r="G62" s="1104">
        <f t="shared" si="3"/>
        <v>0</v>
      </c>
      <c r="H62" s="1061">
        <f t="shared" si="4"/>
        <v>0</v>
      </c>
      <c r="I62" s="1114">
        <f t="shared" si="5"/>
        <v>0</v>
      </c>
      <c r="J62" s="1061">
        <f t="shared" si="6"/>
        <v>0</v>
      </c>
      <c r="K62" s="1061">
        <v>0</v>
      </c>
      <c r="L62" s="1061">
        <f t="shared" si="7"/>
        <v>0</v>
      </c>
      <c r="M62" s="1061">
        <f t="shared" si="8"/>
        <v>0</v>
      </c>
      <c r="N62" s="1051">
        <f>'[18]FY2012-13 Final'!K63</f>
        <v>2768</v>
      </c>
      <c r="O62" s="992">
        <f t="shared" si="9"/>
        <v>0</v>
      </c>
      <c r="P62" s="1117">
        <f t="shared" si="10"/>
        <v>0</v>
      </c>
      <c r="Q62" s="992">
        <f t="shared" si="11"/>
        <v>0</v>
      </c>
      <c r="R62" s="992">
        <v>0</v>
      </c>
      <c r="S62" s="992">
        <f t="shared" si="12"/>
        <v>0</v>
      </c>
      <c r="T62" s="992">
        <f t="shared" si="13"/>
        <v>0</v>
      </c>
      <c r="U62" s="993">
        <f t="shared" si="14"/>
        <v>0</v>
      </c>
      <c r="V62" s="993">
        <f t="shared" si="14"/>
        <v>0</v>
      </c>
    </row>
    <row r="63" spans="1:22">
      <c r="A63" s="994">
        <v>57</v>
      </c>
      <c r="B63" s="995" t="s">
        <v>150</v>
      </c>
      <c r="C63" s="1196">
        <v>0</v>
      </c>
      <c r="D63" s="1003">
        <f>'Table 3 Levels 1&amp;2'!BN65+'Table 3 Levels 1&amp;2'!BV65</f>
        <v>4434.5516744018987</v>
      </c>
      <c r="E63" s="1102">
        <f t="shared" si="2"/>
        <v>0</v>
      </c>
      <c r="F63" s="1102">
        <f>'Table 4 Level 3'!N62</f>
        <v>764.51</v>
      </c>
      <c r="G63" s="1102">
        <f t="shared" si="3"/>
        <v>0</v>
      </c>
      <c r="H63" s="1059">
        <f t="shared" si="4"/>
        <v>0</v>
      </c>
      <c r="I63" s="1112">
        <f t="shared" si="5"/>
        <v>0</v>
      </c>
      <c r="J63" s="1059">
        <f t="shared" si="6"/>
        <v>0</v>
      </c>
      <c r="K63" s="1059">
        <v>0</v>
      </c>
      <c r="L63" s="1059">
        <f t="shared" si="7"/>
        <v>0</v>
      </c>
      <c r="M63" s="1059">
        <f t="shared" si="8"/>
        <v>0</v>
      </c>
      <c r="N63" s="1051">
        <f>'[18]FY2012-13 Final'!K64</f>
        <v>2987</v>
      </c>
      <c r="O63" s="1053">
        <f t="shared" si="9"/>
        <v>0</v>
      </c>
      <c r="P63" s="1118">
        <f t="shared" si="10"/>
        <v>0</v>
      </c>
      <c r="Q63" s="1053">
        <f t="shared" si="11"/>
        <v>0</v>
      </c>
      <c r="R63" s="1053">
        <v>0</v>
      </c>
      <c r="S63" s="1053">
        <f t="shared" si="12"/>
        <v>0</v>
      </c>
      <c r="T63" s="1053">
        <f t="shared" si="13"/>
        <v>0</v>
      </c>
      <c r="U63" s="1054">
        <f t="shared" si="14"/>
        <v>0</v>
      </c>
      <c r="V63" s="1054">
        <f t="shared" si="14"/>
        <v>0</v>
      </c>
    </row>
    <row r="64" spans="1:22">
      <c r="A64" s="994">
        <v>58</v>
      </c>
      <c r="B64" s="995" t="s">
        <v>151</v>
      </c>
      <c r="C64" s="1196">
        <v>0</v>
      </c>
      <c r="D64" s="1003">
        <f>'Table 3 Levels 1&amp;2'!BN66+'Table 3 Levels 1&amp;2'!BV66</f>
        <v>5434.7170435013286</v>
      </c>
      <c r="E64" s="1102">
        <f t="shared" si="2"/>
        <v>0</v>
      </c>
      <c r="F64" s="1102">
        <f>'Table 4 Level 3'!N63</f>
        <v>697.04</v>
      </c>
      <c r="G64" s="1102">
        <f t="shared" si="3"/>
        <v>0</v>
      </c>
      <c r="H64" s="1059">
        <f t="shared" si="4"/>
        <v>0</v>
      </c>
      <c r="I64" s="1112">
        <f t="shared" si="5"/>
        <v>0</v>
      </c>
      <c r="J64" s="1059">
        <f t="shared" si="6"/>
        <v>0</v>
      </c>
      <c r="K64" s="1059">
        <v>0</v>
      </c>
      <c r="L64" s="1059">
        <f t="shared" si="7"/>
        <v>0</v>
      </c>
      <c r="M64" s="1059">
        <f t="shared" si="8"/>
        <v>0</v>
      </c>
      <c r="N64" s="1051">
        <f>'[18]FY2012-13 Final'!K65</f>
        <v>2055</v>
      </c>
      <c r="O64" s="1053">
        <f t="shared" si="9"/>
        <v>0</v>
      </c>
      <c r="P64" s="1118">
        <f t="shared" si="10"/>
        <v>0</v>
      </c>
      <c r="Q64" s="1053">
        <f t="shared" si="11"/>
        <v>0</v>
      </c>
      <c r="R64" s="1053">
        <v>0</v>
      </c>
      <c r="S64" s="1053">
        <f t="shared" si="12"/>
        <v>0</v>
      </c>
      <c r="T64" s="1053">
        <f t="shared" si="13"/>
        <v>0</v>
      </c>
      <c r="U64" s="1054">
        <f t="shared" si="14"/>
        <v>0</v>
      </c>
      <c r="V64" s="1054">
        <f t="shared" si="14"/>
        <v>0</v>
      </c>
    </row>
    <row r="65" spans="1:22">
      <c r="A65" s="994">
        <v>59</v>
      </c>
      <c r="B65" s="995" t="s">
        <v>152</v>
      </c>
      <c r="C65" s="1196">
        <v>0</v>
      </c>
      <c r="D65" s="1003">
        <f>'Table 3 Levels 1&amp;2'!BN67+'Table 3 Levels 1&amp;2'!BV67</f>
        <v>6252.2385330184643</v>
      </c>
      <c r="E65" s="1102">
        <f t="shared" si="2"/>
        <v>0</v>
      </c>
      <c r="F65" s="1102">
        <f>'Table 4 Level 3'!N64</f>
        <v>689.52</v>
      </c>
      <c r="G65" s="1102">
        <f t="shared" si="3"/>
        <v>0</v>
      </c>
      <c r="H65" s="1059">
        <f t="shared" si="4"/>
        <v>0</v>
      </c>
      <c r="I65" s="1112">
        <f t="shared" si="5"/>
        <v>0</v>
      </c>
      <c r="J65" s="1059">
        <f t="shared" si="6"/>
        <v>0</v>
      </c>
      <c r="K65" s="1059">
        <v>0</v>
      </c>
      <c r="L65" s="1059">
        <f t="shared" si="7"/>
        <v>0</v>
      </c>
      <c r="M65" s="1059">
        <f t="shared" si="8"/>
        <v>0</v>
      </c>
      <c r="N65" s="1051">
        <f>'[18]FY2012-13 Final'!K66</f>
        <v>1528</v>
      </c>
      <c r="O65" s="1053">
        <f t="shared" si="9"/>
        <v>0</v>
      </c>
      <c r="P65" s="1118">
        <f t="shared" si="10"/>
        <v>0</v>
      </c>
      <c r="Q65" s="1053">
        <f t="shared" si="11"/>
        <v>0</v>
      </c>
      <c r="R65" s="1053">
        <v>0</v>
      </c>
      <c r="S65" s="1053">
        <f t="shared" si="12"/>
        <v>0</v>
      </c>
      <c r="T65" s="1053">
        <f t="shared" si="13"/>
        <v>0</v>
      </c>
      <c r="U65" s="1054">
        <f t="shared" si="14"/>
        <v>0</v>
      </c>
      <c r="V65" s="1054">
        <f t="shared" si="14"/>
        <v>0</v>
      </c>
    </row>
    <row r="66" spans="1:22">
      <c r="A66" s="998">
        <v>60</v>
      </c>
      <c r="B66" s="999" t="s">
        <v>153</v>
      </c>
      <c r="C66" s="1197">
        <v>0</v>
      </c>
      <c r="D66" s="1005">
        <f>'Table 3 Levels 1&amp;2'!BN68+'Table 3 Levels 1&amp;2'!BV68</f>
        <v>4902.6575100268701</v>
      </c>
      <c r="E66" s="1103">
        <f t="shared" si="2"/>
        <v>0</v>
      </c>
      <c r="F66" s="1103">
        <f>'Table 4 Level 3'!N65</f>
        <v>594.04</v>
      </c>
      <c r="G66" s="1103">
        <f t="shared" si="3"/>
        <v>0</v>
      </c>
      <c r="H66" s="1060">
        <f t="shared" si="4"/>
        <v>0</v>
      </c>
      <c r="I66" s="1113">
        <f t="shared" si="5"/>
        <v>0</v>
      </c>
      <c r="J66" s="1060">
        <f t="shared" si="6"/>
        <v>0</v>
      </c>
      <c r="K66" s="1060">
        <v>0</v>
      </c>
      <c r="L66" s="1060">
        <f t="shared" si="7"/>
        <v>0</v>
      </c>
      <c r="M66" s="1060">
        <f t="shared" si="8"/>
        <v>0</v>
      </c>
      <c r="N66" s="1056">
        <f>'[18]FY2012-13 Final'!K67</f>
        <v>3918</v>
      </c>
      <c r="O66" s="1057">
        <f t="shared" si="9"/>
        <v>0</v>
      </c>
      <c r="P66" s="1119">
        <f t="shared" si="10"/>
        <v>0</v>
      </c>
      <c r="Q66" s="1057">
        <f t="shared" si="11"/>
        <v>0</v>
      </c>
      <c r="R66" s="1057">
        <v>0</v>
      </c>
      <c r="S66" s="1057">
        <f t="shared" si="12"/>
        <v>0</v>
      </c>
      <c r="T66" s="1057">
        <f t="shared" si="13"/>
        <v>0</v>
      </c>
      <c r="U66" s="1058">
        <f t="shared" si="14"/>
        <v>0</v>
      </c>
      <c r="V66" s="1058">
        <f t="shared" si="14"/>
        <v>0</v>
      </c>
    </row>
    <row r="67" spans="1:22">
      <c r="A67" s="987">
        <v>61</v>
      </c>
      <c r="B67" s="988" t="s">
        <v>154</v>
      </c>
      <c r="C67" s="1198">
        <v>0</v>
      </c>
      <c r="D67" s="1007">
        <f>'Table 3 Levels 1&amp;2'!BN69+'Table 3 Levels 1&amp;2'!BV69</f>
        <v>2872.7719101339244</v>
      </c>
      <c r="E67" s="1104">
        <f t="shared" si="2"/>
        <v>0</v>
      </c>
      <c r="F67" s="1104">
        <f>'Table 4 Level 3'!N66</f>
        <v>833.70999999999992</v>
      </c>
      <c r="G67" s="1104">
        <f t="shared" si="3"/>
        <v>0</v>
      </c>
      <c r="H67" s="1061">
        <f t="shared" si="4"/>
        <v>0</v>
      </c>
      <c r="I67" s="1114">
        <f t="shared" si="5"/>
        <v>0</v>
      </c>
      <c r="J67" s="1061">
        <f t="shared" si="6"/>
        <v>0</v>
      </c>
      <c r="K67" s="1061">
        <v>0</v>
      </c>
      <c r="L67" s="1061">
        <f t="shared" si="7"/>
        <v>0</v>
      </c>
      <c r="M67" s="1061">
        <f t="shared" si="8"/>
        <v>0</v>
      </c>
      <c r="N67" s="1051">
        <f>'[18]FY2012-13 Final'!K68</f>
        <v>6680</v>
      </c>
      <c r="O67" s="992">
        <f t="shared" si="9"/>
        <v>0</v>
      </c>
      <c r="P67" s="1117">
        <f t="shared" si="10"/>
        <v>0</v>
      </c>
      <c r="Q67" s="992">
        <f t="shared" si="11"/>
        <v>0</v>
      </c>
      <c r="R67" s="992">
        <v>0</v>
      </c>
      <c r="S67" s="992">
        <f t="shared" si="12"/>
        <v>0</v>
      </c>
      <c r="T67" s="992">
        <f t="shared" si="13"/>
        <v>0</v>
      </c>
      <c r="U67" s="993">
        <f t="shared" si="14"/>
        <v>0</v>
      </c>
      <c r="V67" s="993">
        <f t="shared" si="14"/>
        <v>0</v>
      </c>
    </row>
    <row r="68" spans="1:22">
      <c r="A68" s="994">
        <v>62</v>
      </c>
      <c r="B68" s="995" t="s">
        <v>155</v>
      </c>
      <c r="C68" s="1196">
        <v>0</v>
      </c>
      <c r="D68" s="1003">
        <f>'Table 3 Levels 1&amp;2'!BN70+'Table 3 Levels 1&amp;2'!BV70</f>
        <v>5594.25143978908</v>
      </c>
      <c r="E68" s="1102">
        <f t="shared" si="2"/>
        <v>0</v>
      </c>
      <c r="F68" s="1102">
        <f>'Table 4 Level 3'!N67</f>
        <v>516.08000000000004</v>
      </c>
      <c r="G68" s="1102">
        <f t="shared" si="3"/>
        <v>0</v>
      </c>
      <c r="H68" s="1059">
        <f t="shared" si="4"/>
        <v>0</v>
      </c>
      <c r="I68" s="1112">
        <f t="shared" si="5"/>
        <v>0</v>
      </c>
      <c r="J68" s="1059">
        <f t="shared" si="6"/>
        <v>0</v>
      </c>
      <c r="K68" s="1059">
        <v>0</v>
      </c>
      <c r="L68" s="1059">
        <f t="shared" si="7"/>
        <v>0</v>
      </c>
      <c r="M68" s="1059">
        <f t="shared" si="8"/>
        <v>0</v>
      </c>
      <c r="N68" s="1051">
        <f>'[18]FY2012-13 Final'!K69</f>
        <v>1754</v>
      </c>
      <c r="O68" s="1053">
        <f t="shared" si="9"/>
        <v>0</v>
      </c>
      <c r="P68" s="1118">
        <f t="shared" si="10"/>
        <v>0</v>
      </c>
      <c r="Q68" s="1053">
        <f t="shared" si="11"/>
        <v>0</v>
      </c>
      <c r="R68" s="1053">
        <v>0</v>
      </c>
      <c r="S68" s="1053">
        <f t="shared" si="12"/>
        <v>0</v>
      </c>
      <c r="T68" s="1053">
        <f t="shared" si="13"/>
        <v>0</v>
      </c>
      <c r="U68" s="1054">
        <f t="shared" si="14"/>
        <v>0</v>
      </c>
      <c r="V68" s="1054">
        <f t="shared" si="14"/>
        <v>0</v>
      </c>
    </row>
    <row r="69" spans="1:22">
      <c r="A69" s="994">
        <v>63</v>
      </c>
      <c r="B69" s="995" t="s">
        <v>156</v>
      </c>
      <c r="C69" s="1196">
        <v>0</v>
      </c>
      <c r="D69" s="1003">
        <f>'Table 3 Levels 1&amp;2'!BN71+'Table 3 Levels 1&amp;2'!BV71</f>
        <v>4318.8609300898834</v>
      </c>
      <c r="E69" s="1102">
        <f t="shared" si="2"/>
        <v>0</v>
      </c>
      <c r="F69" s="1102">
        <f>'Table 4 Level 3'!N68</f>
        <v>756.79</v>
      </c>
      <c r="G69" s="1102">
        <f t="shared" si="3"/>
        <v>0</v>
      </c>
      <c r="H69" s="1059">
        <f t="shared" si="4"/>
        <v>0</v>
      </c>
      <c r="I69" s="1112">
        <f t="shared" si="5"/>
        <v>0</v>
      </c>
      <c r="J69" s="1059">
        <f t="shared" si="6"/>
        <v>0</v>
      </c>
      <c r="K69" s="1059">
        <v>0</v>
      </c>
      <c r="L69" s="1059">
        <f t="shared" si="7"/>
        <v>0</v>
      </c>
      <c r="M69" s="1059">
        <f t="shared" si="8"/>
        <v>0</v>
      </c>
      <c r="N69" s="1051">
        <f>'[18]FY2012-13 Final'!K70</f>
        <v>7182</v>
      </c>
      <c r="O69" s="1053">
        <f t="shared" si="9"/>
        <v>0</v>
      </c>
      <c r="P69" s="1118">
        <f t="shared" si="10"/>
        <v>0</v>
      </c>
      <c r="Q69" s="1053">
        <f t="shared" si="11"/>
        <v>0</v>
      </c>
      <c r="R69" s="1053">
        <v>0</v>
      </c>
      <c r="S69" s="1053">
        <f t="shared" si="12"/>
        <v>0</v>
      </c>
      <c r="T69" s="1053">
        <f t="shared" si="13"/>
        <v>0</v>
      </c>
      <c r="U69" s="1054">
        <f t="shared" si="14"/>
        <v>0</v>
      </c>
      <c r="V69" s="1054">
        <f t="shared" si="14"/>
        <v>0</v>
      </c>
    </row>
    <row r="70" spans="1:22">
      <c r="A70" s="994">
        <v>64</v>
      </c>
      <c r="B70" s="995" t="s">
        <v>157</v>
      </c>
      <c r="C70" s="1196">
        <v>0</v>
      </c>
      <c r="D70" s="1003">
        <f>'Table 3 Levels 1&amp;2'!BN72+'Table 3 Levels 1&amp;2'!BV72</f>
        <v>5921.7418933384488</v>
      </c>
      <c r="E70" s="1102">
        <f t="shared" si="2"/>
        <v>0</v>
      </c>
      <c r="F70" s="1102">
        <f>'Table 4 Level 3'!N69</f>
        <v>592.66</v>
      </c>
      <c r="G70" s="1102">
        <f t="shared" si="3"/>
        <v>0</v>
      </c>
      <c r="H70" s="1059">
        <f t="shared" si="4"/>
        <v>0</v>
      </c>
      <c r="I70" s="1112">
        <f t="shared" si="5"/>
        <v>0</v>
      </c>
      <c r="J70" s="1059">
        <f t="shared" si="6"/>
        <v>0</v>
      </c>
      <c r="K70" s="1059">
        <v>0</v>
      </c>
      <c r="L70" s="1059">
        <f t="shared" si="7"/>
        <v>0</v>
      </c>
      <c r="M70" s="1059">
        <f t="shared" si="8"/>
        <v>0</v>
      </c>
      <c r="N70" s="1051">
        <f>'[18]FY2012-13 Final'!K71</f>
        <v>2701</v>
      </c>
      <c r="O70" s="1053">
        <f t="shared" si="9"/>
        <v>0</v>
      </c>
      <c r="P70" s="1118">
        <f t="shared" si="10"/>
        <v>0</v>
      </c>
      <c r="Q70" s="1053">
        <f t="shared" si="11"/>
        <v>0</v>
      </c>
      <c r="R70" s="1053">
        <v>0</v>
      </c>
      <c r="S70" s="1053">
        <f t="shared" si="12"/>
        <v>0</v>
      </c>
      <c r="T70" s="1053">
        <f t="shared" si="13"/>
        <v>0</v>
      </c>
      <c r="U70" s="1054">
        <f t="shared" si="14"/>
        <v>0</v>
      </c>
      <c r="V70" s="1054">
        <f t="shared" si="14"/>
        <v>0</v>
      </c>
    </row>
    <row r="71" spans="1:22">
      <c r="A71" s="998">
        <v>65</v>
      </c>
      <c r="B71" s="999" t="s">
        <v>158</v>
      </c>
      <c r="C71" s="1197">
        <v>0</v>
      </c>
      <c r="D71" s="1005">
        <f>'Table 3 Levels 1&amp;2'!BN73+'Table 3 Levels 1&amp;2'!BV73</f>
        <v>4578.9201269671275</v>
      </c>
      <c r="E71" s="1103">
        <f t="shared" si="2"/>
        <v>0</v>
      </c>
      <c r="F71" s="1103">
        <f>'Table 4 Level 3'!N70</f>
        <v>829.12</v>
      </c>
      <c r="G71" s="1103">
        <f t="shared" si="3"/>
        <v>0</v>
      </c>
      <c r="H71" s="1060">
        <f t="shared" si="4"/>
        <v>0</v>
      </c>
      <c r="I71" s="1113">
        <f t="shared" si="5"/>
        <v>0</v>
      </c>
      <c r="J71" s="1060">
        <f t="shared" si="6"/>
        <v>0</v>
      </c>
      <c r="K71" s="1060">
        <v>0</v>
      </c>
      <c r="L71" s="1060">
        <f t="shared" si="7"/>
        <v>0</v>
      </c>
      <c r="M71" s="1060">
        <f t="shared" si="8"/>
        <v>0</v>
      </c>
      <c r="N71" s="1056">
        <f>'[18]FY2012-13 Final'!K72</f>
        <v>4813</v>
      </c>
      <c r="O71" s="1057">
        <f t="shared" si="9"/>
        <v>0</v>
      </c>
      <c r="P71" s="1119">
        <f t="shared" si="10"/>
        <v>0</v>
      </c>
      <c r="Q71" s="1057">
        <f t="shared" si="11"/>
        <v>0</v>
      </c>
      <c r="R71" s="1057">
        <v>0</v>
      </c>
      <c r="S71" s="1057">
        <f t="shared" si="12"/>
        <v>0</v>
      </c>
      <c r="T71" s="1057">
        <f t="shared" si="13"/>
        <v>0</v>
      </c>
      <c r="U71" s="1058">
        <f t="shared" si="14"/>
        <v>0</v>
      </c>
      <c r="V71" s="1058">
        <f t="shared" si="14"/>
        <v>0</v>
      </c>
    </row>
    <row r="72" spans="1:22">
      <c r="A72" s="987">
        <v>66</v>
      </c>
      <c r="B72" s="988" t="s">
        <v>159</v>
      </c>
      <c r="C72" s="1198">
        <v>0</v>
      </c>
      <c r="D72" s="1007">
        <f>'Table 3 Levels 1&amp;2'!BN74+'Table 3 Levels 1&amp;2'!BV74</f>
        <v>6340.8763293271122</v>
      </c>
      <c r="E72" s="1104">
        <f t="shared" ref="E72:E75" si="15">C72*D72</f>
        <v>0</v>
      </c>
      <c r="F72" s="1104">
        <f>'Table 4 Level 3'!N71</f>
        <v>730.06</v>
      </c>
      <c r="G72" s="1104">
        <f t="shared" ref="G72:G75" si="16">C72*F72</f>
        <v>0</v>
      </c>
      <c r="H72" s="1061">
        <f t="shared" ref="H72:H75" si="17">E72+G72</f>
        <v>0</v>
      </c>
      <c r="I72" s="1114">
        <f t="shared" ref="I72:I75" si="18">-(0.25%*H72)</f>
        <v>0</v>
      </c>
      <c r="J72" s="1061">
        <f t="shared" ref="J72:J75" si="19">SUM(H72:I72)</f>
        <v>0</v>
      </c>
      <c r="K72" s="1061">
        <v>0</v>
      </c>
      <c r="L72" s="1061">
        <f t="shared" ref="L72:L75" si="20">SUM(J72:K72)</f>
        <v>0</v>
      </c>
      <c r="M72" s="1061">
        <f t="shared" ref="M72:M75" si="21">L72/12</f>
        <v>0</v>
      </c>
      <c r="N72" s="1051">
        <f>'[18]FY2012-13 Final'!K73</f>
        <v>3516</v>
      </c>
      <c r="O72" s="992">
        <f t="shared" ref="O72:O75" si="22">C72*N72</f>
        <v>0</v>
      </c>
      <c r="P72" s="1117">
        <f t="shared" ref="P72:P75" si="23">-(0.25%*O72)</f>
        <v>0</v>
      </c>
      <c r="Q72" s="992">
        <f t="shared" ref="Q72:Q75" si="24">SUM(O72:P72)</f>
        <v>0</v>
      </c>
      <c r="R72" s="992">
        <v>0</v>
      </c>
      <c r="S72" s="992">
        <f t="shared" ref="S72:S75" si="25">SUM(Q72:R72)</f>
        <v>0</v>
      </c>
      <c r="T72" s="992">
        <f t="shared" ref="T72:T75" si="26">S72/12</f>
        <v>0</v>
      </c>
      <c r="U72" s="993">
        <f t="shared" ref="U72:V75" si="27">L72+S72</f>
        <v>0</v>
      </c>
      <c r="V72" s="993">
        <f t="shared" si="27"/>
        <v>0</v>
      </c>
    </row>
    <row r="73" spans="1:22">
      <c r="A73" s="994">
        <v>67</v>
      </c>
      <c r="B73" s="995" t="s">
        <v>32</v>
      </c>
      <c r="C73" s="1196">
        <v>0</v>
      </c>
      <c r="D73" s="1003">
        <f>'Table 3 Levels 1&amp;2'!BN75+'Table 3 Levels 1&amp;2'!BV75</f>
        <v>4984.1100297034172</v>
      </c>
      <c r="E73" s="1102">
        <f t="shared" si="15"/>
        <v>0</v>
      </c>
      <c r="F73" s="1102">
        <f>'Table 4 Level 3'!N72</f>
        <v>715.61</v>
      </c>
      <c r="G73" s="1102">
        <f t="shared" si="16"/>
        <v>0</v>
      </c>
      <c r="H73" s="1059">
        <f t="shared" si="17"/>
        <v>0</v>
      </c>
      <c r="I73" s="1112">
        <f t="shared" si="18"/>
        <v>0</v>
      </c>
      <c r="J73" s="1059">
        <f t="shared" si="19"/>
        <v>0</v>
      </c>
      <c r="K73" s="1059">
        <v>0</v>
      </c>
      <c r="L73" s="1059">
        <f t="shared" si="20"/>
        <v>0</v>
      </c>
      <c r="M73" s="1059">
        <f t="shared" si="21"/>
        <v>0</v>
      </c>
      <c r="N73" s="1051">
        <f>'[18]FY2012-13 Final'!K74</f>
        <v>5052</v>
      </c>
      <c r="O73" s="1053">
        <f t="shared" si="22"/>
        <v>0</v>
      </c>
      <c r="P73" s="1118">
        <f t="shared" si="23"/>
        <v>0</v>
      </c>
      <c r="Q73" s="1053">
        <f t="shared" si="24"/>
        <v>0</v>
      </c>
      <c r="R73" s="1053">
        <v>0</v>
      </c>
      <c r="S73" s="1053">
        <f t="shared" si="25"/>
        <v>0</v>
      </c>
      <c r="T73" s="1053">
        <f t="shared" si="26"/>
        <v>0</v>
      </c>
      <c r="U73" s="1054">
        <f t="shared" si="27"/>
        <v>0</v>
      </c>
      <c r="V73" s="1054">
        <f t="shared" si="27"/>
        <v>0</v>
      </c>
    </row>
    <row r="74" spans="1:22">
      <c r="A74" s="994">
        <v>68</v>
      </c>
      <c r="B74" s="995" t="s">
        <v>30</v>
      </c>
      <c r="C74" s="1196">
        <v>0</v>
      </c>
      <c r="D74" s="1003">
        <f>'Table 3 Levels 1&amp;2'!BN76+'Table 3 Levels 1&amp;2'!BV76</f>
        <v>6012.7854305239725</v>
      </c>
      <c r="E74" s="1102">
        <f t="shared" si="15"/>
        <v>0</v>
      </c>
      <c r="F74" s="1102">
        <f>'Table 4 Level 3'!N73</f>
        <v>798.7</v>
      </c>
      <c r="G74" s="1102">
        <f t="shared" si="16"/>
        <v>0</v>
      </c>
      <c r="H74" s="1059">
        <f t="shared" si="17"/>
        <v>0</v>
      </c>
      <c r="I74" s="1112">
        <f t="shared" si="18"/>
        <v>0</v>
      </c>
      <c r="J74" s="1059">
        <f t="shared" si="19"/>
        <v>0</v>
      </c>
      <c r="K74" s="1059">
        <v>0</v>
      </c>
      <c r="L74" s="1059">
        <f t="shared" si="20"/>
        <v>0</v>
      </c>
      <c r="M74" s="1059">
        <f t="shared" si="21"/>
        <v>0</v>
      </c>
      <c r="N74" s="1051">
        <f>'[18]FY2012-13 Final'!K75</f>
        <v>2763</v>
      </c>
      <c r="O74" s="1053">
        <f t="shared" si="22"/>
        <v>0</v>
      </c>
      <c r="P74" s="1118">
        <f t="shared" si="23"/>
        <v>0</v>
      </c>
      <c r="Q74" s="1053">
        <f t="shared" si="24"/>
        <v>0</v>
      </c>
      <c r="R74" s="1053">
        <v>0</v>
      </c>
      <c r="S74" s="1053">
        <f t="shared" si="25"/>
        <v>0</v>
      </c>
      <c r="T74" s="1053">
        <f t="shared" si="26"/>
        <v>0</v>
      </c>
      <c r="U74" s="1054">
        <f t="shared" si="27"/>
        <v>0</v>
      </c>
      <c r="V74" s="1054">
        <f t="shared" si="27"/>
        <v>0</v>
      </c>
    </row>
    <row r="75" spans="1:22">
      <c r="A75" s="1008">
        <v>69</v>
      </c>
      <c r="B75" s="1009" t="s">
        <v>213</v>
      </c>
      <c r="C75" s="1199">
        <v>0</v>
      </c>
      <c r="D75" s="1011">
        <f>'Table 3 Levels 1&amp;2'!BN77+'Table 3 Levels 1&amp;2'!BV77</f>
        <v>5559.7139008686299</v>
      </c>
      <c r="E75" s="1105">
        <f t="shared" si="15"/>
        <v>0</v>
      </c>
      <c r="F75" s="1105">
        <f>'Table 4 Level 3'!N74</f>
        <v>705.67</v>
      </c>
      <c r="G75" s="1105">
        <f t="shared" si="16"/>
        <v>0</v>
      </c>
      <c r="H75" s="1062">
        <f t="shared" si="17"/>
        <v>0</v>
      </c>
      <c r="I75" s="1115">
        <f t="shared" si="18"/>
        <v>0</v>
      </c>
      <c r="J75" s="1062">
        <f t="shared" si="19"/>
        <v>0</v>
      </c>
      <c r="K75" s="1062">
        <v>0</v>
      </c>
      <c r="L75" s="1062">
        <f t="shared" si="20"/>
        <v>0</v>
      </c>
      <c r="M75" s="1062">
        <f t="shared" si="21"/>
        <v>0</v>
      </c>
      <c r="N75" s="1051">
        <f>'[18]FY2012-13 Final'!K76</f>
        <v>3327</v>
      </c>
      <c r="O75" s="1063">
        <f t="shared" si="22"/>
        <v>0</v>
      </c>
      <c r="P75" s="1120">
        <f t="shared" si="23"/>
        <v>0</v>
      </c>
      <c r="Q75" s="1063">
        <f t="shared" si="24"/>
        <v>0</v>
      </c>
      <c r="R75" s="1063">
        <v>0</v>
      </c>
      <c r="S75" s="1063">
        <f t="shared" si="25"/>
        <v>0</v>
      </c>
      <c r="T75" s="1063">
        <f t="shared" si="26"/>
        <v>0</v>
      </c>
      <c r="U75" s="1064">
        <f t="shared" si="27"/>
        <v>0</v>
      </c>
      <c r="V75" s="1064">
        <f t="shared" si="27"/>
        <v>0</v>
      </c>
    </row>
    <row r="76" spans="1:22" ht="13.5" thickBot="1">
      <c r="A76" s="1012"/>
      <c r="B76" s="1013" t="s">
        <v>160</v>
      </c>
      <c r="C76" s="1014">
        <f>SUM(C7:C75)</f>
        <v>120</v>
      </c>
      <c r="D76" s="1015"/>
      <c r="E76" s="1106">
        <f>SUM(E7:E75)</f>
        <v>401571.35405416565</v>
      </c>
      <c r="F76" s="1106">
        <f>'[23]Table 4 Level 3'!P75</f>
        <v>703.90028204588873</v>
      </c>
      <c r="G76" s="1106">
        <f t="shared" ref="G76:L76" si="28">SUM(G7:G75)</f>
        <v>98222.77066463737</v>
      </c>
      <c r="H76" s="1016">
        <f t="shared" si="28"/>
        <v>499794.12471880304</v>
      </c>
      <c r="I76" s="1116">
        <f t="shared" si="28"/>
        <v>-1249.4853117970076</v>
      </c>
      <c r="J76" s="1016">
        <f t="shared" si="28"/>
        <v>498544.63940700609</v>
      </c>
      <c r="K76" s="1016">
        <f t="shared" si="28"/>
        <v>0</v>
      </c>
      <c r="L76" s="1016">
        <f t="shared" si="28"/>
        <v>498544.63940700609</v>
      </c>
      <c r="M76" s="1016">
        <f>SUM(M7:M75)</f>
        <v>41545.386617250508</v>
      </c>
      <c r="N76" s="1065"/>
      <c r="O76" s="1017">
        <f t="shared" ref="O76:V76" si="29">SUM(O7:O75)</f>
        <v>647022</v>
      </c>
      <c r="P76" s="1121">
        <f t="shared" si="29"/>
        <v>-1617.5550000000001</v>
      </c>
      <c r="Q76" s="1017">
        <f t="shared" si="29"/>
        <v>645404.44499999995</v>
      </c>
      <c r="R76" s="1017">
        <f t="shared" si="29"/>
        <v>0</v>
      </c>
      <c r="S76" s="1017">
        <f t="shared" si="29"/>
        <v>645404.44499999995</v>
      </c>
      <c r="T76" s="1017">
        <f t="shared" si="29"/>
        <v>53783.703749999993</v>
      </c>
      <c r="U76" s="1018">
        <f t="shared" si="29"/>
        <v>1143949.0844070059</v>
      </c>
      <c r="V76" s="1018">
        <f t="shared" si="29"/>
        <v>95329.090367250508</v>
      </c>
    </row>
    <row r="77" spans="1:22" ht="13.5" thickTop="1"/>
  </sheetData>
  <mergeCells count="19">
    <mergeCell ref="L3:L4"/>
    <mergeCell ref="M3:M4"/>
    <mergeCell ref="N3:N4"/>
    <mergeCell ref="A2:B4"/>
    <mergeCell ref="C2:M2"/>
    <mergeCell ref="N2:T2"/>
    <mergeCell ref="U2:U4"/>
    <mergeCell ref="V2:V4"/>
    <mergeCell ref="C3:C4"/>
    <mergeCell ref="D3:D4"/>
    <mergeCell ref="E3:E4"/>
    <mergeCell ref="F3:F4"/>
    <mergeCell ref="G3:G4"/>
    <mergeCell ref="Q3:Q4"/>
    <mergeCell ref="R3:R4"/>
    <mergeCell ref="S3:S4"/>
    <mergeCell ref="H3:H4"/>
    <mergeCell ref="J3:J4"/>
    <mergeCell ref="K3:K4"/>
  </mergeCells>
  <pageMargins left="0.34" right="0.46" top="0.75" bottom="0.75" header="0.3" footer="0.3"/>
  <pageSetup paperSize="5" scale="60" firstPageNumber="78" orientation="portrait" useFirstPageNumber="1" r:id="rId1"/>
  <headerFooter>
    <oddHeader>&amp;L&amp;"Arial,Bold"&amp;20Table 5C1-K: FY2013-14 MFP Budget Letter (Projection)
Jefferson Chamber Foundation</oddHeader>
    <oddFooter>&amp;R&amp;P</oddFooter>
  </headerFooter>
  <colBreaks count="1" manualBreakCount="1">
    <brk id="13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7"/>
  <sheetViews>
    <sheetView view="pageBreakPreview" zoomScale="90" zoomScaleNormal="100" zoomScaleSheetLayoutView="90" workbookViewId="0">
      <pane xSplit="2" ySplit="6" topLeftCell="C7" activePane="bottomRight" state="frozen"/>
      <selection activeCell="B1" sqref="B1:B2"/>
      <selection pane="topRight" activeCell="B1" sqref="B1:B2"/>
      <selection pane="bottomLeft" activeCell="B1" sqref="B1:B2"/>
      <selection pane="bottomRight" activeCell="A2" sqref="A2:B4"/>
    </sheetView>
  </sheetViews>
  <sheetFormatPr defaultRowHeight="12.75"/>
  <cols>
    <col min="1" max="1" width="4.28515625" style="1192" customWidth="1"/>
    <col min="2" max="2" width="17.85546875" style="1192" bestFit="1" customWidth="1"/>
    <col min="3" max="3" width="12.7109375" style="1192" customWidth="1"/>
    <col min="4" max="4" width="17" style="1192" customWidth="1"/>
    <col min="5" max="5" width="11" style="1192" bestFit="1" customWidth="1"/>
    <col min="6" max="6" width="12" style="1192" customWidth="1"/>
    <col min="7" max="7" width="13.28515625" style="1192" customWidth="1"/>
    <col min="8" max="8" width="14.5703125" style="1192" customWidth="1"/>
    <col min="9" max="9" width="12.28515625" style="1192" customWidth="1"/>
    <col min="10" max="10" width="12" style="1192" bestFit="1" customWidth="1"/>
    <col min="11" max="11" width="13.42578125" style="1192" bestFit="1" customWidth="1"/>
    <col min="12" max="12" width="14" style="1192" customWidth="1"/>
    <col min="13" max="13" width="9.28515625" style="1192" bestFit="1" customWidth="1"/>
    <col min="14" max="14" width="17.28515625" style="1192" customWidth="1"/>
    <col min="15" max="15" width="16.7109375" style="1192" customWidth="1"/>
    <col min="16" max="16" width="13.7109375" style="1192" customWidth="1"/>
    <col min="17" max="17" width="17" style="1192" customWidth="1"/>
    <col min="18" max="18" width="15.28515625" style="1192" customWidth="1"/>
    <col min="19" max="19" width="13.140625" style="1192" customWidth="1"/>
    <col min="20" max="20" width="12" style="1192" customWidth="1"/>
    <col min="21" max="21" width="11" style="1192" customWidth="1"/>
    <col min="22" max="22" width="12.140625" style="1192" customWidth="1"/>
    <col min="23" max="16384" width="9.140625" style="1192"/>
  </cols>
  <sheetData>
    <row r="1" spans="1:22">
      <c r="C1" s="1392"/>
      <c r="D1" s="1392"/>
      <c r="E1" s="1392"/>
      <c r="F1" s="1392"/>
      <c r="G1" s="1392"/>
      <c r="H1" s="1392"/>
      <c r="I1" s="1392"/>
      <c r="J1" s="1392"/>
      <c r="K1" s="1392"/>
      <c r="L1" s="1392"/>
      <c r="M1" s="1392"/>
    </row>
    <row r="2" spans="1:22" ht="45" customHeight="1">
      <c r="A2" s="2082" t="s">
        <v>1219</v>
      </c>
      <c r="B2" s="2083"/>
      <c r="C2" s="2065" t="s">
        <v>1394</v>
      </c>
      <c r="D2" s="2017"/>
      <c r="E2" s="2017"/>
      <c r="F2" s="2017"/>
      <c r="G2" s="2017"/>
      <c r="H2" s="2017"/>
      <c r="I2" s="2017"/>
      <c r="J2" s="2017"/>
      <c r="K2" s="2017"/>
      <c r="L2" s="2017"/>
      <c r="M2" s="2018"/>
      <c r="N2" s="1992" t="s">
        <v>1357</v>
      </c>
      <c r="O2" s="1993"/>
      <c r="P2" s="1993"/>
      <c r="Q2" s="1993"/>
      <c r="R2" s="1993"/>
      <c r="S2" s="1993"/>
      <c r="T2" s="1994"/>
      <c r="U2" s="1995" t="s">
        <v>1403</v>
      </c>
      <c r="V2" s="1995" t="s">
        <v>1355</v>
      </c>
    </row>
    <row r="3" spans="1:22" ht="113.25" customHeight="1">
      <c r="A3" s="2084"/>
      <c r="B3" s="2085"/>
      <c r="C3" s="2088" t="s">
        <v>1177</v>
      </c>
      <c r="D3" s="2008" t="s">
        <v>1393</v>
      </c>
      <c r="E3" s="2008" t="s">
        <v>1395</v>
      </c>
      <c r="F3" s="2006" t="s">
        <v>662</v>
      </c>
      <c r="G3" s="2006" t="s">
        <v>492</v>
      </c>
      <c r="H3" s="2006" t="s">
        <v>1396</v>
      </c>
      <c r="I3" s="1742" t="s">
        <v>510</v>
      </c>
      <c r="J3" s="2006" t="s">
        <v>1397</v>
      </c>
      <c r="K3" s="2006" t="s">
        <v>1230</v>
      </c>
      <c r="L3" s="2006" t="s">
        <v>1398</v>
      </c>
      <c r="M3" s="2008" t="s">
        <v>1356</v>
      </c>
      <c r="N3" s="2019" t="s">
        <v>694</v>
      </c>
      <c r="O3" s="1743" t="s">
        <v>1399</v>
      </c>
      <c r="P3" s="1743" t="s">
        <v>512</v>
      </c>
      <c r="Q3" s="2019" t="s">
        <v>1400</v>
      </c>
      <c r="R3" s="2019" t="s">
        <v>1230</v>
      </c>
      <c r="S3" s="2019" t="s">
        <v>1401</v>
      </c>
      <c r="T3" s="1743" t="s">
        <v>1402</v>
      </c>
      <c r="U3" s="1996"/>
      <c r="V3" s="1996"/>
    </row>
    <row r="4" spans="1:22" ht="23.25" customHeight="1">
      <c r="A4" s="2086"/>
      <c r="B4" s="2087"/>
      <c r="C4" s="2089"/>
      <c r="D4" s="2008"/>
      <c r="E4" s="2008"/>
      <c r="F4" s="2007"/>
      <c r="G4" s="2007"/>
      <c r="H4" s="2007"/>
      <c r="I4" s="1107">
        <v>2.5000000000000001E-3</v>
      </c>
      <c r="J4" s="2007"/>
      <c r="K4" s="2007"/>
      <c r="L4" s="2007"/>
      <c r="M4" s="2008"/>
      <c r="N4" s="1999"/>
      <c r="O4" s="1741"/>
      <c r="P4" s="1108">
        <v>2.5000000000000001E-3</v>
      </c>
      <c r="Q4" s="1999"/>
      <c r="R4" s="1999"/>
      <c r="S4" s="1999"/>
      <c r="T4" s="1741"/>
      <c r="U4" s="1997"/>
      <c r="V4" s="1997"/>
    </row>
    <row r="5" spans="1:22" ht="14.25" customHeight="1">
      <c r="A5" s="978"/>
      <c r="B5" s="979"/>
      <c r="C5" s="980">
        <v>1</v>
      </c>
      <c r="D5" s="980">
        <f t="shared" ref="D5" si="0">C5+1</f>
        <v>2</v>
      </c>
      <c r="E5" s="980">
        <f>D5+1</f>
        <v>3</v>
      </c>
      <c r="F5" s="980">
        <f t="shared" ref="F5:V5" si="1">E5+1</f>
        <v>4</v>
      </c>
      <c r="G5" s="980">
        <f t="shared" si="1"/>
        <v>5</v>
      </c>
      <c r="H5" s="980">
        <f t="shared" si="1"/>
        <v>6</v>
      </c>
      <c r="I5" s="980">
        <f t="shared" si="1"/>
        <v>7</v>
      </c>
      <c r="J5" s="980">
        <f t="shared" si="1"/>
        <v>8</v>
      </c>
      <c r="K5" s="980">
        <f t="shared" si="1"/>
        <v>9</v>
      </c>
      <c r="L5" s="980">
        <f t="shared" si="1"/>
        <v>10</v>
      </c>
      <c r="M5" s="980">
        <f t="shared" si="1"/>
        <v>11</v>
      </c>
      <c r="N5" s="980">
        <f t="shared" si="1"/>
        <v>12</v>
      </c>
      <c r="O5" s="980">
        <f t="shared" si="1"/>
        <v>13</v>
      </c>
      <c r="P5" s="980">
        <f t="shared" si="1"/>
        <v>14</v>
      </c>
      <c r="Q5" s="980">
        <f t="shared" si="1"/>
        <v>15</v>
      </c>
      <c r="R5" s="980">
        <f t="shared" si="1"/>
        <v>16</v>
      </c>
      <c r="S5" s="980">
        <f t="shared" si="1"/>
        <v>17</v>
      </c>
      <c r="T5" s="980">
        <f t="shared" si="1"/>
        <v>18</v>
      </c>
      <c r="U5" s="980">
        <f t="shared" si="1"/>
        <v>19</v>
      </c>
      <c r="V5" s="980">
        <f t="shared" si="1"/>
        <v>20</v>
      </c>
    </row>
    <row r="6" spans="1:22" ht="27" customHeight="1">
      <c r="A6" s="1041"/>
      <c r="B6" s="1042"/>
      <c r="C6" s="1042"/>
      <c r="D6" s="1042"/>
      <c r="E6" s="1042"/>
      <c r="F6" s="1042"/>
      <c r="G6" s="1042"/>
      <c r="H6" s="1042"/>
      <c r="I6" s="1042"/>
      <c r="J6" s="1042"/>
      <c r="K6" s="1042"/>
      <c r="L6" s="1042"/>
      <c r="M6" s="1042"/>
      <c r="N6" s="1042"/>
      <c r="O6" s="1042"/>
      <c r="P6" s="1042"/>
      <c r="Q6" s="1042"/>
      <c r="R6" s="1042"/>
      <c r="S6" s="1042"/>
      <c r="T6" s="1042"/>
      <c r="U6" s="1042"/>
      <c r="V6" s="1042"/>
    </row>
    <row r="7" spans="1:22">
      <c r="A7" s="987">
        <v>1</v>
      </c>
      <c r="B7" s="988" t="s">
        <v>95</v>
      </c>
      <c r="C7" s="989">
        <v>0</v>
      </c>
      <c r="D7" s="990">
        <f>'Table 3 Levels 1&amp;2'!BN9+'Table 3 Levels 1&amp;2'!BV9</f>
        <v>4565.2108060165392</v>
      </c>
      <c r="E7" s="1099">
        <f>C7*D7</f>
        <v>0</v>
      </c>
      <c r="F7" s="1099">
        <f>'Table 4 Level 3'!N6</f>
        <v>777.48</v>
      </c>
      <c r="G7" s="1099">
        <f>C7*F7</f>
        <v>0</v>
      </c>
      <c r="H7" s="991">
        <f>E7+G7</f>
        <v>0</v>
      </c>
      <c r="I7" s="1109">
        <f>-(0.25%*H7)</f>
        <v>0</v>
      </c>
      <c r="J7" s="991">
        <f>SUM(H7:I7)</f>
        <v>0</v>
      </c>
      <c r="K7" s="991">
        <v>0</v>
      </c>
      <c r="L7" s="991">
        <f>SUM(J7:K7)</f>
        <v>0</v>
      </c>
      <c r="M7" s="991">
        <f>L7/12</f>
        <v>0</v>
      </c>
      <c r="N7" s="1051">
        <f>'[18]FY2012-13 Final'!K8</f>
        <v>2112</v>
      </c>
      <c r="O7" s="992">
        <f>C7*N7</f>
        <v>0</v>
      </c>
      <c r="P7" s="1117">
        <f>-(0.25%*O7)</f>
        <v>0</v>
      </c>
      <c r="Q7" s="992">
        <f>SUM(O7:P7)</f>
        <v>0</v>
      </c>
      <c r="R7" s="992">
        <v>0</v>
      </c>
      <c r="S7" s="992">
        <f>SUM(Q7:R7)</f>
        <v>0</v>
      </c>
      <c r="T7" s="992">
        <f>S7/12</f>
        <v>0</v>
      </c>
      <c r="U7" s="993">
        <f>L7+S7</f>
        <v>0</v>
      </c>
      <c r="V7" s="993">
        <f>M7+T7</f>
        <v>0</v>
      </c>
    </row>
    <row r="8" spans="1:22">
      <c r="A8" s="994">
        <v>2</v>
      </c>
      <c r="B8" s="995" t="s">
        <v>96</v>
      </c>
      <c r="C8" s="1193">
        <v>0</v>
      </c>
      <c r="D8" s="997">
        <f>'Table 3 Levels 1&amp;2'!BN10+'Table 3 Levels 1&amp;2'!BV10</f>
        <v>6132.0480322513831</v>
      </c>
      <c r="E8" s="1100">
        <f t="shared" ref="E8:E71" si="2">C8*D8</f>
        <v>0</v>
      </c>
      <c r="F8" s="1100">
        <f>'Table 4 Level 3'!N7</f>
        <v>842.32</v>
      </c>
      <c r="G8" s="1100">
        <f t="shared" ref="G8:G71" si="3">C8*F8</f>
        <v>0</v>
      </c>
      <c r="H8" s="1052">
        <f t="shared" ref="H8:H71" si="4">E8+G8</f>
        <v>0</v>
      </c>
      <c r="I8" s="1110">
        <f t="shared" ref="I8:I71" si="5">-(0.25%*H8)</f>
        <v>0</v>
      </c>
      <c r="J8" s="1052">
        <f t="shared" ref="J8:J71" si="6">SUM(H8:I8)</f>
        <v>0</v>
      </c>
      <c r="K8" s="1052">
        <v>0</v>
      </c>
      <c r="L8" s="1052">
        <f t="shared" ref="L8:L71" si="7">SUM(J8:K8)</f>
        <v>0</v>
      </c>
      <c r="M8" s="1052">
        <f t="shared" ref="M8:M71" si="8">L8/12</f>
        <v>0</v>
      </c>
      <c r="N8" s="1051">
        <f>'[18]FY2012-13 Final'!K9</f>
        <v>2584</v>
      </c>
      <c r="O8" s="1053">
        <f t="shared" ref="O8:O71" si="9">C8*N8</f>
        <v>0</v>
      </c>
      <c r="P8" s="1118">
        <f t="shared" ref="P8:P71" si="10">-(0.25%*O8)</f>
        <v>0</v>
      </c>
      <c r="Q8" s="1053">
        <f t="shared" ref="Q8:Q71" si="11">SUM(O8:P8)</f>
        <v>0</v>
      </c>
      <c r="R8" s="1053">
        <v>0</v>
      </c>
      <c r="S8" s="1053">
        <f t="shared" ref="S8:S71" si="12">SUM(Q8:R8)</f>
        <v>0</v>
      </c>
      <c r="T8" s="1053">
        <f t="shared" ref="T8:T71" si="13">S8/12</f>
        <v>0</v>
      </c>
      <c r="U8" s="1054">
        <f t="shared" ref="U8:V71" si="14">L8+S8</f>
        <v>0</v>
      </c>
      <c r="V8" s="1054">
        <f t="shared" si="14"/>
        <v>0</v>
      </c>
    </row>
    <row r="9" spans="1:22">
      <c r="A9" s="994">
        <v>3</v>
      </c>
      <c r="B9" s="995" t="s">
        <v>97</v>
      </c>
      <c r="C9" s="1193">
        <v>0</v>
      </c>
      <c r="D9" s="997">
        <f>'Table 3 Levels 1&amp;2'!BN11+'Table 3 Levels 1&amp;2'!BV11</f>
        <v>4186.9626187036429</v>
      </c>
      <c r="E9" s="1100">
        <f t="shared" si="2"/>
        <v>0</v>
      </c>
      <c r="F9" s="1100">
        <f>'Table 4 Level 3'!N8</f>
        <v>596.84</v>
      </c>
      <c r="G9" s="1100">
        <f t="shared" si="3"/>
        <v>0</v>
      </c>
      <c r="H9" s="1052">
        <f t="shared" si="4"/>
        <v>0</v>
      </c>
      <c r="I9" s="1110">
        <f t="shared" si="5"/>
        <v>0</v>
      </c>
      <c r="J9" s="1052">
        <f t="shared" si="6"/>
        <v>0</v>
      </c>
      <c r="K9" s="1052">
        <v>0</v>
      </c>
      <c r="L9" s="1052">
        <f t="shared" si="7"/>
        <v>0</v>
      </c>
      <c r="M9" s="1052">
        <f t="shared" si="8"/>
        <v>0</v>
      </c>
      <c r="N9" s="1051">
        <f>'[18]FY2012-13 Final'!K10</f>
        <v>4966</v>
      </c>
      <c r="O9" s="1053">
        <f t="shared" si="9"/>
        <v>0</v>
      </c>
      <c r="P9" s="1118">
        <f t="shared" si="10"/>
        <v>0</v>
      </c>
      <c r="Q9" s="1053">
        <f t="shared" si="11"/>
        <v>0</v>
      </c>
      <c r="R9" s="1053">
        <v>0</v>
      </c>
      <c r="S9" s="1053">
        <f t="shared" si="12"/>
        <v>0</v>
      </c>
      <c r="T9" s="1053">
        <f t="shared" si="13"/>
        <v>0</v>
      </c>
      <c r="U9" s="1054">
        <f t="shared" si="14"/>
        <v>0</v>
      </c>
      <c r="V9" s="1054">
        <f t="shared" si="14"/>
        <v>0</v>
      </c>
    </row>
    <row r="10" spans="1:22">
      <c r="A10" s="994">
        <v>4</v>
      </c>
      <c r="B10" s="995" t="s">
        <v>98</v>
      </c>
      <c r="C10" s="1193">
        <v>0</v>
      </c>
      <c r="D10" s="997">
        <f>'Table 3 Levels 1&amp;2'!BN12+'Table 3 Levels 1&amp;2'!BV12</f>
        <v>5918.8798759182582</v>
      </c>
      <c r="E10" s="1100">
        <f t="shared" si="2"/>
        <v>0</v>
      </c>
      <c r="F10" s="1100">
        <f>'Table 4 Level 3'!N9</f>
        <v>585.76</v>
      </c>
      <c r="G10" s="1100">
        <f t="shared" si="3"/>
        <v>0</v>
      </c>
      <c r="H10" s="1052">
        <f t="shared" si="4"/>
        <v>0</v>
      </c>
      <c r="I10" s="1110">
        <f t="shared" si="5"/>
        <v>0</v>
      </c>
      <c r="J10" s="1052">
        <f t="shared" si="6"/>
        <v>0</v>
      </c>
      <c r="K10" s="1052">
        <v>0</v>
      </c>
      <c r="L10" s="1052">
        <f t="shared" si="7"/>
        <v>0</v>
      </c>
      <c r="M10" s="1052">
        <f t="shared" si="8"/>
        <v>0</v>
      </c>
      <c r="N10" s="1051">
        <f>'[18]FY2012-13 Final'!K11</f>
        <v>3445</v>
      </c>
      <c r="O10" s="1053">
        <f t="shared" si="9"/>
        <v>0</v>
      </c>
      <c r="P10" s="1118">
        <f t="shared" si="10"/>
        <v>0</v>
      </c>
      <c r="Q10" s="1053">
        <f t="shared" si="11"/>
        <v>0</v>
      </c>
      <c r="R10" s="1053">
        <v>0</v>
      </c>
      <c r="S10" s="1053">
        <f t="shared" si="12"/>
        <v>0</v>
      </c>
      <c r="T10" s="1053">
        <f t="shared" si="13"/>
        <v>0</v>
      </c>
      <c r="U10" s="1054">
        <f t="shared" si="14"/>
        <v>0</v>
      </c>
      <c r="V10" s="1054">
        <f t="shared" si="14"/>
        <v>0</v>
      </c>
    </row>
    <row r="11" spans="1:22">
      <c r="A11" s="998">
        <v>5</v>
      </c>
      <c r="B11" s="999" t="s">
        <v>99</v>
      </c>
      <c r="C11" s="1194">
        <v>0</v>
      </c>
      <c r="D11" s="1001">
        <f>'Table 3 Levels 1&amp;2'!BN13+'Table 3 Levels 1&amp;2'!BV13</f>
        <v>4880.3484353147733</v>
      </c>
      <c r="E11" s="1101">
        <f t="shared" si="2"/>
        <v>0</v>
      </c>
      <c r="F11" s="1101">
        <f>'Table 4 Level 3'!N10</f>
        <v>555.91</v>
      </c>
      <c r="G11" s="1101">
        <f t="shared" si="3"/>
        <v>0</v>
      </c>
      <c r="H11" s="1055">
        <f t="shared" si="4"/>
        <v>0</v>
      </c>
      <c r="I11" s="1111">
        <f t="shared" si="5"/>
        <v>0</v>
      </c>
      <c r="J11" s="1055">
        <f t="shared" si="6"/>
        <v>0</v>
      </c>
      <c r="K11" s="1055">
        <v>0</v>
      </c>
      <c r="L11" s="1055">
        <f t="shared" si="7"/>
        <v>0</v>
      </c>
      <c r="M11" s="1055">
        <f t="shared" si="8"/>
        <v>0</v>
      </c>
      <c r="N11" s="1056">
        <f>'[18]FY2012-13 Final'!K12</f>
        <v>1353</v>
      </c>
      <c r="O11" s="1057">
        <f t="shared" si="9"/>
        <v>0</v>
      </c>
      <c r="P11" s="1119">
        <f t="shared" si="10"/>
        <v>0</v>
      </c>
      <c r="Q11" s="1057">
        <f t="shared" si="11"/>
        <v>0</v>
      </c>
      <c r="R11" s="1057">
        <v>0</v>
      </c>
      <c r="S11" s="1057">
        <f t="shared" si="12"/>
        <v>0</v>
      </c>
      <c r="T11" s="1057">
        <f t="shared" si="13"/>
        <v>0</v>
      </c>
      <c r="U11" s="1058">
        <f t="shared" si="14"/>
        <v>0</v>
      </c>
      <c r="V11" s="1058">
        <f t="shared" si="14"/>
        <v>0</v>
      </c>
    </row>
    <row r="12" spans="1:22">
      <c r="A12" s="987">
        <v>6</v>
      </c>
      <c r="B12" s="988" t="s">
        <v>100</v>
      </c>
      <c r="C12" s="1195">
        <v>0</v>
      </c>
      <c r="D12" s="990">
        <f>'Table 3 Levels 1&amp;2'!BN14+'Table 3 Levels 1&amp;2'!BV14</f>
        <v>5379.7759718479856</v>
      </c>
      <c r="E12" s="1099">
        <f t="shared" si="2"/>
        <v>0</v>
      </c>
      <c r="F12" s="1099">
        <f>'Table 4 Level 3'!N11</f>
        <v>545.4799999999999</v>
      </c>
      <c r="G12" s="1099">
        <f t="shared" si="3"/>
        <v>0</v>
      </c>
      <c r="H12" s="991">
        <f t="shared" si="4"/>
        <v>0</v>
      </c>
      <c r="I12" s="1109">
        <f t="shared" si="5"/>
        <v>0</v>
      </c>
      <c r="J12" s="991">
        <f t="shared" si="6"/>
        <v>0</v>
      </c>
      <c r="K12" s="991">
        <v>0</v>
      </c>
      <c r="L12" s="991">
        <f t="shared" si="7"/>
        <v>0</v>
      </c>
      <c r="M12" s="991">
        <f t="shared" si="8"/>
        <v>0</v>
      </c>
      <c r="N12" s="1051">
        <f>'[18]FY2012-13 Final'!K13</f>
        <v>3576</v>
      </c>
      <c r="O12" s="992">
        <f t="shared" si="9"/>
        <v>0</v>
      </c>
      <c r="P12" s="1117">
        <f t="shared" si="10"/>
        <v>0</v>
      </c>
      <c r="Q12" s="992">
        <f t="shared" si="11"/>
        <v>0</v>
      </c>
      <c r="R12" s="992">
        <v>0</v>
      </c>
      <c r="S12" s="992">
        <f t="shared" si="12"/>
        <v>0</v>
      </c>
      <c r="T12" s="992">
        <f t="shared" si="13"/>
        <v>0</v>
      </c>
      <c r="U12" s="993">
        <f t="shared" si="14"/>
        <v>0</v>
      </c>
      <c r="V12" s="993">
        <f t="shared" si="14"/>
        <v>0</v>
      </c>
    </row>
    <row r="13" spans="1:22">
      <c r="A13" s="994">
        <v>7</v>
      </c>
      <c r="B13" s="995" t="s">
        <v>101</v>
      </c>
      <c r="C13" s="1193">
        <v>0</v>
      </c>
      <c r="D13" s="997">
        <f>'Table 3 Levels 1&amp;2'!BN15+'Table 3 Levels 1&amp;2'!BV15</f>
        <v>1698.1351763907733</v>
      </c>
      <c r="E13" s="1100">
        <f t="shared" si="2"/>
        <v>0</v>
      </c>
      <c r="F13" s="1100">
        <f>'Table 4 Level 3'!N12</f>
        <v>756.91999999999985</v>
      </c>
      <c r="G13" s="1100">
        <f t="shared" si="3"/>
        <v>0</v>
      </c>
      <c r="H13" s="1052">
        <f t="shared" si="4"/>
        <v>0</v>
      </c>
      <c r="I13" s="1110">
        <f t="shared" si="5"/>
        <v>0</v>
      </c>
      <c r="J13" s="1052">
        <f t="shared" si="6"/>
        <v>0</v>
      </c>
      <c r="K13" s="1052">
        <v>0</v>
      </c>
      <c r="L13" s="1052">
        <f t="shared" si="7"/>
        <v>0</v>
      </c>
      <c r="M13" s="1052">
        <f t="shared" si="8"/>
        <v>0</v>
      </c>
      <c r="N13" s="1051">
        <f>'[18]FY2012-13 Final'!K14</f>
        <v>12465</v>
      </c>
      <c r="O13" s="1053">
        <f t="shared" si="9"/>
        <v>0</v>
      </c>
      <c r="P13" s="1118">
        <f t="shared" si="10"/>
        <v>0</v>
      </c>
      <c r="Q13" s="1053">
        <f t="shared" si="11"/>
        <v>0</v>
      </c>
      <c r="R13" s="1053">
        <v>0</v>
      </c>
      <c r="S13" s="1053">
        <f t="shared" si="12"/>
        <v>0</v>
      </c>
      <c r="T13" s="1053">
        <f t="shared" si="13"/>
        <v>0</v>
      </c>
      <c r="U13" s="1054">
        <f t="shared" si="14"/>
        <v>0</v>
      </c>
      <c r="V13" s="1054">
        <f t="shared" si="14"/>
        <v>0</v>
      </c>
    </row>
    <row r="14" spans="1:22">
      <c r="A14" s="994">
        <v>8</v>
      </c>
      <c r="B14" s="995" t="s">
        <v>102</v>
      </c>
      <c r="C14" s="1193">
        <v>0</v>
      </c>
      <c r="D14" s="997">
        <f>'Table 3 Levels 1&amp;2'!BN16+'Table 3 Levels 1&amp;2'!BV16</f>
        <v>4239.8578920718974</v>
      </c>
      <c r="E14" s="1100">
        <f t="shared" si="2"/>
        <v>0</v>
      </c>
      <c r="F14" s="1100">
        <f>'Table 4 Level 3'!N13</f>
        <v>725.76</v>
      </c>
      <c r="G14" s="1100">
        <f t="shared" si="3"/>
        <v>0</v>
      </c>
      <c r="H14" s="1052">
        <f t="shared" si="4"/>
        <v>0</v>
      </c>
      <c r="I14" s="1110">
        <f t="shared" si="5"/>
        <v>0</v>
      </c>
      <c r="J14" s="1052">
        <f t="shared" si="6"/>
        <v>0</v>
      </c>
      <c r="K14" s="1052">
        <v>0</v>
      </c>
      <c r="L14" s="1052">
        <f t="shared" si="7"/>
        <v>0</v>
      </c>
      <c r="M14" s="1052">
        <f t="shared" si="8"/>
        <v>0</v>
      </c>
      <c r="N14" s="1051">
        <f>'[18]FY2012-13 Final'!K15</f>
        <v>4184</v>
      </c>
      <c r="O14" s="1053">
        <f t="shared" si="9"/>
        <v>0</v>
      </c>
      <c r="P14" s="1118">
        <f t="shared" si="10"/>
        <v>0</v>
      </c>
      <c r="Q14" s="1053">
        <f t="shared" si="11"/>
        <v>0</v>
      </c>
      <c r="R14" s="1053">
        <v>0</v>
      </c>
      <c r="S14" s="1053">
        <f t="shared" si="12"/>
        <v>0</v>
      </c>
      <c r="T14" s="1053">
        <f t="shared" si="13"/>
        <v>0</v>
      </c>
      <c r="U14" s="1054">
        <f t="shared" si="14"/>
        <v>0</v>
      </c>
      <c r="V14" s="1054">
        <f t="shared" si="14"/>
        <v>0</v>
      </c>
    </row>
    <row r="15" spans="1:22">
      <c r="A15" s="994">
        <v>9</v>
      </c>
      <c r="B15" s="995" t="s">
        <v>103</v>
      </c>
      <c r="C15" s="1193">
        <v>0</v>
      </c>
      <c r="D15" s="997">
        <f>'Table 3 Levels 1&amp;2'!BN17+'Table 3 Levels 1&amp;2'!BV17</f>
        <v>4361.2752875373017</v>
      </c>
      <c r="E15" s="1100">
        <f t="shared" si="2"/>
        <v>0</v>
      </c>
      <c r="F15" s="1100">
        <f>'Table 4 Level 3'!N14</f>
        <v>744.76</v>
      </c>
      <c r="G15" s="1100">
        <f t="shared" si="3"/>
        <v>0</v>
      </c>
      <c r="H15" s="1052">
        <f t="shared" si="4"/>
        <v>0</v>
      </c>
      <c r="I15" s="1110">
        <f t="shared" si="5"/>
        <v>0</v>
      </c>
      <c r="J15" s="1052">
        <f t="shared" si="6"/>
        <v>0</v>
      </c>
      <c r="K15" s="1052">
        <v>0</v>
      </c>
      <c r="L15" s="1052">
        <f t="shared" si="7"/>
        <v>0</v>
      </c>
      <c r="M15" s="1052">
        <f t="shared" si="8"/>
        <v>0</v>
      </c>
      <c r="N15" s="1051">
        <f>'[18]FY2012-13 Final'!K16</f>
        <v>4640</v>
      </c>
      <c r="O15" s="1053">
        <f t="shared" si="9"/>
        <v>0</v>
      </c>
      <c r="P15" s="1118">
        <f t="shared" si="10"/>
        <v>0</v>
      </c>
      <c r="Q15" s="1053">
        <f t="shared" si="11"/>
        <v>0</v>
      </c>
      <c r="R15" s="1053">
        <v>0</v>
      </c>
      <c r="S15" s="1053">
        <f t="shared" si="12"/>
        <v>0</v>
      </c>
      <c r="T15" s="1053">
        <f t="shared" si="13"/>
        <v>0</v>
      </c>
      <c r="U15" s="1054">
        <f t="shared" si="14"/>
        <v>0</v>
      </c>
      <c r="V15" s="1054">
        <f t="shared" si="14"/>
        <v>0</v>
      </c>
    </row>
    <row r="16" spans="1:22">
      <c r="A16" s="998">
        <v>10</v>
      </c>
      <c r="B16" s="999" t="s">
        <v>104</v>
      </c>
      <c r="C16" s="1194">
        <v>0</v>
      </c>
      <c r="D16" s="1001">
        <f>'Table 3 Levels 1&amp;2'!BN18+'Table 3 Levels 1&amp;2'!BV18</f>
        <v>4179.4641652904756</v>
      </c>
      <c r="E16" s="1101">
        <f t="shared" si="2"/>
        <v>0</v>
      </c>
      <c r="F16" s="1101">
        <f>'Table 4 Level 3'!N15</f>
        <v>608.04000000000008</v>
      </c>
      <c r="G16" s="1101">
        <f t="shared" si="3"/>
        <v>0</v>
      </c>
      <c r="H16" s="1055">
        <f t="shared" si="4"/>
        <v>0</v>
      </c>
      <c r="I16" s="1111">
        <f t="shared" si="5"/>
        <v>0</v>
      </c>
      <c r="J16" s="1055">
        <f t="shared" si="6"/>
        <v>0</v>
      </c>
      <c r="K16" s="1055">
        <v>0</v>
      </c>
      <c r="L16" s="1055">
        <f t="shared" si="7"/>
        <v>0</v>
      </c>
      <c r="M16" s="1055">
        <f t="shared" si="8"/>
        <v>0</v>
      </c>
      <c r="N16" s="1056">
        <f>'[18]FY2012-13 Final'!K17</f>
        <v>4391</v>
      </c>
      <c r="O16" s="1057">
        <f t="shared" si="9"/>
        <v>0</v>
      </c>
      <c r="P16" s="1119">
        <f t="shared" si="10"/>
        <v>0</v>
      </c>
      <c r="Q16" s="1057">
        <f t="shared" si="11"/>
        <v>0</v>
      </c>
      <c r="R16" s="1057">
        <v>0</v>
      </c>
      <c r="S16" s="1057">
        <f t="shared" si="12"/>
        <v>0</v>
      </c>
      <c r="T16" s="1057">
        <f t="shared" si="13"/>
        <v>0</v>
      </c>
      <c r="U16" s="1058">
        <f t="shared" si="14"/>
        <v>0</v>
      </c>
      <c r="V16" s="1058">
        <f t="shared" si="14"/>
        <v>0</v>
      </c>
    </row>
    <row r="17" spans="1:22">
      <c r="A17" s="987">
        <v>11</v>
      </c>
      <c r="B17" s="988" t="s">
        <v>105</v>
      </c>
      <c r="C17" s="1195">
        <v>0</v>
      </c>
      <c r="D17" s="990">
        <f>'Table 3 Levels 1&amp;2'!BN19+'Table 3 Levels 1&amp;2'!BV19</f>
        <v>6825.0221851487568</v>
      </c>
      <c r="E17" s="1099">
        <f t="shared" si="2"/>
        <v>0</v>
      </c>
      <c r="F17" s="1099">
        <f>'Table 4 Level 3'!N16</f>
        <v>706.55</v>
      </c>
      <c r="G17" s="1099">
        <f t="shared" si="3"/>
        <v>0</v>
      </c>
      <c r="H17" s="991">
        <f t="shared" si="4"/>
        <v>0</v>
      </c>
      <c r="I17" s="1109">
        <f t="shared" si="5"/>
        <v>0</v>
      </c>
      <c r="J17" s="991">
        <f t="shared" si="6"/>
        <v>0</v>
      </c>
      <c r="K17" s="991">
        <v>0</v>
      </c>
      <c r="L17" s="991">
        <f t="shared" si="7"/>
        <v>0</v>
      </c>
      <c r="M17" s="991">
        <f t="shared" si="8"/>
        <v>0</v>
      </c>
      <c r="N17" s="1051">
        <f>'[18]FY2012-13 Final'!K18</f>
        <v>3430</v>
      </c>
      <c r="O17" s="992">
        <f t="shared" si="9"/>
        <v>0</v>
      </c>
      <c r="P17" s="1117">
        <f t="shared" si="10"/>
        <v>0</v>
      </c>
      <c r="Q17" s="992">
        <f t="shared" si="11"/>
        <v>0</v>
      </c>
      <c r="R17" s="992">
        <v>0</v>
      </c>
      <c r="S17" s="992">
        <f t="shared" si="12"/>
        <v>0</v>
      </c>
      <c r="T17" s="992">
        <f t="shared" si="13"/>
        <v>0</v>
      </c>
      <c r="U17" s="993">
        <f t="shared" si="14"/>
        <v>0</v>
      </c>
      <c r="V17" s="993">
        <f t="shared" si="14"/>
        <v>0</v>
      </c>
    </row>
    <row r="18" spans="1:22">
      <c r="A18" s="994">
        <v>12</v>
      </c>
      <c r="B18" s="995" t="s">
        <v>106</v>
      </c>
      <c r="C18" s="1193">
        <v>0</v>
      </c>
      <c r="D18" s="997">
        <f>'Table 3 Levels 1&amp;2'!BN20+'Table 3 Levels 1&amp;2'!BV20</f>
        <v>1688.0492586490939</v>
      </c>
      <c r="E18" s="1100">
        <f t="shared" si="2"/>
        <v>0</v>
      </c>
      <c r="F18" s="1100">
        <f>'Table 4 Level 3'!N17</f>
        <v>1063.31</v>
      </c>
      <c r="G18" s="1100">
        <f t="shared" si="3"/>
        <v>0</v>
      </c>
      <c r="H18" s="1052">
        <f t="shared" si="4"/>
        <v>0</v>
      </c>
      <c r="I18" s="1110">
        <f t="shared" si="5"/>
        <v>0</v>
      </c>
      <c r="J18" s="1052">
        <f t="shared" si="6"/>
        <v>0</v>
      </c>
      <c r="K18" s="1052">
        <v>0</v>
      </c>
      <c r="L18" s="1052">
        <f t="shared" si="7"/>
        <v>0</v>
      </c>
      <c r="M18" s="1052">
        <f t="shared" si="8"/>
        <v>0</v>
      </c>
      <c r="N18" s="1051">
        <f>'[18]FY2012-13 Final'!K19</f>
        <v>12558</v>
      </c>
      <c r="O18" s="1053">
        <f t="shared" si="9"/>
        <v>0</v>
      </c>
      <c r="P18" s="1118">
        <f t="shared" si="10"/>
        <v>0</v>
      </c>
      <c r="Q18" s="1053">
        <f t="shared" si="11"/>
        <v>0</v>
      </c>
      <c r="R18" s="1053">
        <v>0</v>
      </c>
      <c r="S18" s="1053">
        <f t="shared" si="12"/>
        <v>0</v>
      </c>
      <c r="T18" s="1053">
        <f t="shared" si="13"/>
        <v>0</v>
      </c>
      <c r="U18" s="1054">
        <f t="shared" si="14"/>
        <v>0</v>
      </c>
      <c r="V18" s="1054">
        <f t="shared" si="14"/>
        <v>0</v>
      </c>
    </row>
    <row r="19" spans="1:22">
      <c r="A19" s="994">
        <v>13</v>
      </c>
      <c r="B19" s="995" t="s">
        <v>107</v>
      </c>
      <c r="C19" s="1193">
        <v>0</v>
      </c>
      <c r="D19" s="997">
        <f>'Table 3 Levels 1&amp;2'!BN21+'Table 3 Levels 1&amp;2'!BV21</f>
        <v>6187.1651272387344</v>
      </c>
      <c r="E19" s="1100">
        <f t="shared" si="2"/>
        <v>0</v>
      </c>
      <c r="F19" s="1100">
        <f>'Table 4 Level 3'!N18</f>
        <v>749.43000000000006</v>
      </c>
      <c r="G19" s="1100">
        <f t="shared" si="3"/>
        <v>0</v>
      </c>
      <c r="H19" s="1052">
        <f t="shared" si="4"/>
        <v>0</v>
      </c>
      <c r="I19" s="1110">
        <f t="shared" si="5"/>
        <v>0</v>
      </c>
      <c r="J19" s="1052">
        <f t="shared" si="6"/>
        <v>0</v>
      </c>
      <c r="K19" s="1052">
        <v>0</v>
      </c>
      <c r="L19" s="1052">
        <f t="shared" si="7"/>
        <v>0</v>
      </c>
      <c r="M19" s="1052">
        <f t="shared" si="8"/>
        <v>0</v>
      </c>
      <c r="N19" s="1051">
        <f>'[18]FY2012-13 Final'!K20</f>
        <v>2536</v>
      </c>
      <c r="O19" s="1053">
        <f t="shared" si="9"/>
        <v>0</v>
      </c>
      <c r="P19" s="1118">
        <f t="shared" si="10"/>
        <v>0</v>
      </c>
      <c r="Q19" s="1053">
        <f t="shared" si="11"/>
        <v>0</v>
      </c>
      <c r="R19" s="1053">
        <v>0</v>
      </c>
      <c r="S19" s="1053">
        <f t="shared" si="12"/>
        <v>0</v>
      </c>
      <c r="T19" s="1053">
        <f t="shared" si="13"/>
        <v>0</v>
      </c>
      <c r="U19" s="1054">
        <f t="shared" si="14"/>
        <v>0</v>
      </c>
      <c r="V19" s="1054">
        <f t="shared" si="14"/>
        <v>0</v>
      </c>
    </row>
    <row r="20" spans="1:22">
      <c r="A20" s="994">
        <v>14</v>
      </c>
      <c r="B20" s="995" t="s">
        <v>108</v>
      </c>
      <c r="C20" s="1193">
        <v>0</v>
      </c>
      <c r="D20" s="997">
        <f>'Table 3 Levels 1&amp;2'!BN22+'Table 3 Levels 1&amp;2'!BV22</f>
        <v>5339.1887414618923</v>
      </c>
      <c r="E20" s="1100">
        <f t="shared" si="2"/>
        <v>0</v>
      </c>
      <c r="F20" s="1100">
        <f>'Table 4 Level 3'!N19</f>
        <v>809.9799999999999</v>
      </c>
      <c r="G20" s="1100">
        <f t="shared" si="3"/>
        <v>0</v>
      </c>
      <c r="H20" s="1052">
        <f t="shared" si="4"/>
        <v>0</v>
      </c>
      <c r="I20" s="1110">
        <f t="shared" si="5"/>
        <v>0</v>
      </c>
      <c r="J20" s="1052">
        <f t="shared" si="6"/>
        <v>0</v>
      </c>
      <c r="K20" s="1052">
        <v>0</v>
      </c>
      <c r="L20" s="1052">
        <f t="shared" si="7"/>
        <v>0</v>
      </c>
      <c r="M20" s="1052">
        <f t="shared" si="8"/>
        <v>0</v>
      </c>
      <c r="N20" s="1051">
        <f>'[18]FY2012-13 Final'!K21</f>
        <v>3888</v>
      </c>
      <c r="O20" s="1053">
        <f t="shared" si="9"/>
        <v>0</v>
      </c>
      <c r="P20" s="1118">
        <f t="shared" si="10"/>
        <v>0</v>
      </c>
      <c r="Q20" s="1053">
        <f t="shared" si="11"/>
        <v>0</v>
      </c>
      <c r="R20" s="1053">
        <v>0</v>
      </c>
      <c r="S20" s="1053">
        <f t="shared" si="12"/>
        <v>0</v>
      </c>
      <c r="T20" s="1053">
        <f t="shared" si="13"/>
        <v>0</v>
      </c>
      <c r="U20" s="1054">
        <f t="shared" si="14"/>
        <v>0</v>
      </c>
      <c r="V20" s="1054">
        <f t="shared" si="14"/>
        <v>0</v>
      </c>
    </row>
    <row r="21" spans="1:22">
      <c r="A21" s="998">
        <v>15</v>
      </c>
      <c r="B21" s="999" t="s">
        <v>109</v>
      </c>
      <c r="C21" s="1194">
        <v>0</v>
      </c>
      <c r="D21" s="1001">
        <f>'Table 3 Levels 1&amp;2'!BN23+'Table 3 Levels 1&amp;2'!BV23</f>
        <v>5492.5789412344011</v>
      </c>
      <c r="E21" s="1101">
        <f t="shared" si="2"/>
        <v>0</v>
      </c>
      <c r="F21" s="1101">
        <f>'Table 4 Level 3'!N20</f>
        <v>553.79999999999995</v>
      </c>
      <c r="G21" s="1101">
        <f t="shared" si="3"/>
        <v>0</v>
      </c>
      <c r="H21" s="1055">
        <f t="shared" si="4"/>
        <v>0</v>
      </c>
      <c r="I21" s="1111">
        <f t="shared" si="5"/>
        <v>0</v>
      </c>
      <c r="J21" s="1055">
        <f t="shared" si="6"/>
        <v>0</v>
      </c>
      <c r="K21" s="1055">
        <v>0</v>
      </c>
      <c r="L21" s="1055">
        <f t="shared" si="7"/>
        <v>0</v>
      </c>
      <c r="M21" s="1055">
        <f t="shared" si="8"/>
        <v>0</v>
      </c>
      <c r="N21" s="1056">
        <f>'[18]FY2012-13 Final'!K22</f>
        <v>2752</v>
      </c>
      <c r="O21" s="1057">
        <f t="shared" si="9"/>
        <v>0</v>
      </c>
      <c r="P21" s="1119">
        <f t="shared" si="10"/>
        <v>0</v>
      </c>
      <c r="Q21" s="1057">
        <f t="shared" si="11"/>
        <v>0</v>
      </c>
      <c r="R21" s="1057">
        <v>0</v>
      </c>
      <c r="S21" s="1057">
        <f t="shared" si="12"/>
        <v>0</v>
      </c>
      <c r="T21" s="1057">
        <f t="shared" si="13"/>
        <v>0</v>
      </c>
      <c r="U21" s="1058">
        <f t="shared" si="14"/>
        <v>0</v>
      </c>
      <c r="V21" s="1058">
        <f t="shared" si="14"/>
        <v>0</v>
      </c>
    </row>
    <row r="22" spans="1:22">
      <c r="A22" s="987">
        <v>16</v>
      </c>
      <c r="B22" s="988" t="s">
        <v>110</v>
      </c>
      <c r="C22" s="1195">
        <v>0</v>
      </c>
      <c r="D22" s="990">
        <f>'Table 3 Levels 1&amp;2'!BN24+'Table 3 Levels 1&amp;2'!BV24</f>
        <v>1506.1153407945151</v>
      </c>
      <c r="E22" s="1099">
        <f t="shared" si="2"/>
        <v>0</v>
      </c>
      <c r="F22" s="1099">
        <f>'Table 4 Level 3'!N21</f>
        <v>686.73</v>
      </c>
      <c r="G22" s="1099">
        <f t="shared" si="3"/>
        <v>0</v>
      </c>
      <c r="H22" s="991">
        <f t="shared" si="4"/>
        <v>0</v>
      </c>
      <c r="I22" s="1109">
        <f t="shared" si="5"/>
        <v>0</v>
      </c>
      <c r="J22" s="991">
        <f t="shared" si="6"/>
        <v>0</v>
      </c>
      <c r="K22" s="991">
        <v>0</v>
      </c>
      <c r="L22" s="991">
        <f t="shared" si="7"/>
        <v>0</v>
      </c>
      <c r="M22" s="991">
        <f t="shared" si="8"/>
        <v>0</v>
      </c>
      <c r="N22" s="1051">
        <f>'[18]FY2012-13 Final'!K23</f>
        <v>15092</v>
      </c>
      <c r="O22" s="992">
        <f t="shared" si="9"/>
        <v>0</v>
      </c>
      <c r="P22" s="1117">
        <f t="shared" si="10"/>
        <v>0</v>
      </c>
      <c r="Q22" s="992">
        <f t="shared" si="11"/>
        <v>0</v>
      </c>
      <c r="R22" s="992">
        <v>0</v>
      </c>
      <c r="S22" s="992">
        <f t="shared" si="12"/>
        <v>0</v>
      </c>
      <c r="T22" s="992">
        <f t="shared" si="13"/>
        <v>0</v>
      </c>
      <c r="U22" s="993">
        <f t="shared" si="14"/>
        <v>0</v>
      </c>
      <c r="V22" s="993">
        <f t="shared" si="14"/>
        <v>0</v>
      </c>
    </row>
    <row r="23" spans="1:22">
      <c r="A23" s="994">
        <v>17</v>
      </c>
      <c r="B23" s="995" t="s">
        <v>111</v>
      </c>
      <c r="C23" s="1193">
        <v>0</v>
      </c>
      <c r="D23" s="997">
        <f>'Table 3 Levels 1&amp;2'!BN25+'Table 3 Levels 1&amp;2'!BV25</f>
        <v>3311.610845996096</v>
      </c>
      <c r="E23" s="1100">
        <f t="shared" si="2"/>
        <v>0</v>
      </c>
      <c r="F23" s="1100">
        <f>'Table 4 Level 3'!N22</f>
        <v>801.47762416806802</v>
      </c>
      <c r="G23" s="1100">
        <f t="shared" si="3"/>
        <v>0</v>
      </c>
      <c r="H23" s="1052">
        <f t="shared" si="4"/>
        <v>0</v>
      </c>
      <c r="I23" s="1110">
        <f t="shared" si="5"/>
        <v>0</v>
      </c>
      <c r="J23" s="1052">
        <f t="shared" si="6"/>
        <v>0</v>
      </c>
      <c r="K23" s="1052">
        <v>0</v>
      </c>
      <c r="L23" s="1052">
        <f t="shared" si="7"/>
        <v>0</v>
      </c>
      <c r="M23" s="1052">
        <f t="shared" si="8"/>
        <v>0</v>
      </c>
      <c r="N23" s="1051">
        <f>'[18]FY2012-13 Final'!K24</f>
        <v>6551</v>
      </c>
      <c r="O23" s="1053">
        <f t="shared" si="9"/>
        <v>0</v>
      </c>
      <c r="P23" s="1118">
        <f t="shared" si="10"/>
        <v>0</v>
      </c>
      <c r="Q23" s="1053">
        <f t="shared" si="11"/>
        <v>0</v>
      </c>
      <c r="R23" s="1053">
        <v>0</v>
      </c>
      <c r="S23" s="1053">
        <f t="shared" si="12"/>
        <v>0</v>
      </c>
      <c r="T23" s="1053">
        <f t="shared" si="13"/>
        <v>0</v>
      </c>
      <c r="U23" s="1054">
        <f t="shared" si="14"/>
        <v>0</v>
      </c>
      <c r="V23" s="1054">
        <f t="shared" si="14"/>
        <v>0</v>
      </c>
    </row>
    <row r="24" spans="1:22">
      <c r="A24" s="994">
        <v>18</v>
      </c>
      <c r="B24" s="995" t="s">
        <v>112</v>
      </c>
      <c r="C24" s="1193">
        <v>8</v>
      </c>
      <c r="D24" s="997">
        <f>'Table 3 Levels 1&amp;2'!BN26+'Table 3 Levels 1&amp;2'!BV26</f>
        <v>5964.3490202032081</v>
      </c>
      <c r="E24" s="1100">
        <f t="shared" si="2"/>
        <v>47714.792161625664</v>
      </c>
      <c r="F24" s="1100">
        <f>'Table 4 Level 3'!N23</f>
        <v>845.94999999999993</v>
      </c>
      <c r="G24" s="1100">
        <f t="shared" si="3"/>
        <v>6767.5999999999995</v>
      </c>
      <c r="H24" s="1052">
        <f t="shared" si="4"/>
        <v>54482.392161625663</v>
      </c>
      <c r="I24" s="1110">
        <f t="shared" si="5"/>
        <v>-136.20598040406415</v>
      </c>
      <c r="J24" s="1052">
        <f t="shared" si="6"/>
        <v>54346.186181221601</v>
      </c>
      <c r="K24" s="1052">
        <v>0</v>
      </c>
      <c r="L24" s="1052">
        <f t="shared" si="7"/>
        <v>54346.186181221601</v>
      </c>
      <c r="M24" s="1052">
        <f t="shared" si="8"/>
        <v>4528.8488484351337</v>
      </c>
      <c r="N24" s="1051">
        <f>'[18]FY2012-13 Final'!K25</f>
        <v>2165</v>
      </c>
      <c r="O24" s="1053">
        <f t="shared" si="9"/>
        <v>17320</v>
      </c>
      <c r="P24" s="1118">
        <f t="shared" si="10"/>
        <v>-43.300000000000004</v>
      </c>
      <c r="Q24" s="1053">
        <f t="shared" si="11"/>
        <v>17276.7</v>
      </c>
      <c r="R24" s="1053">
        <v>0</v>
      </c>
      <c r="S24" s="1053">
        <f t="shared" si="12"/>
        <v>17276.7</v>
      </c>
      <c r="T24" s="1053">
        <f t="shared" si="13"/>
        <v>1439.7250000000001</v>
      </c>
      <c r="U24" s="1054">
        <f t="shared" si="14"/>
        <v>71622.886181221606</v>
      </c>
      <c r="V24" s="1054">
        <f t="shared" si="14"/>
        <v>5968.5738484351341</v>
      </c>
    </row>
    <row r="25" spans="1:22">
      <c r="A25" s="994">
        <v>19</v>
      </c>
      <c r="B25" s="995" t="s">
        <v>113</v>
      </c>
      <c r="C25" s="1193">
        <v>0</v>
      </c>
      <c r="D25" s="997">
        <f>'Table 3 Levels 1&amp;2'!BN27+'Table 3 Levels 1&amp;2'!BV27</f>
        <v>5283.1088158476596</v>
      </c>
      <c r="E25" s="1100">
        <f t="shared" si="2"/>
        <v>0</v>
      </c>
      <c r="F25" s="1100">
        <f>'Table 4 Level 3'!N24</f>
        <v>905.43</v>
      </c>
      <c r="G25" s="1100">
        <f t="shared" si="3"/>
        <v>0</v>
      </c>
      <c r="H25" s="1052">
        <f t="shared" si="4"/>
        <v>0</v>
      </c>
      <c r="I25" s="1110">
        <f t="shared" si="5"/>
        <v>0</v>
      </c>
      <c r="J25" s="1052">
        <f t="shared" si="6"/>
        <v>0</v>
      </c>
      <c r="K25" s="1052">
        <v>0</v>
      </c>
      <c r="L25" s="1052">
        <f t="shared" si="7"/>
        <v>0</v>
      </c>
      <c r="M25" s="1052">
        <f t="shared" si="8"/>
        <v>0</v>
      </c>
      <c r="N25" s="1051">
        <f>'[18]FY2012-13 Final'!K26</f>
        <v>2729</v>
      </c>
      <c r="O25" s="1053">
        <f t="shared" si="9"/>
        <v>0</v>
      </c>
      <c r="P25" s="1118">
        <f t="shared" si="10"/>
        <v>0</v>
      </c>
      <c r="Q25" s="1053">
        <f t="shared" si="11"/>
        <v>0</v>
      </c>
      <c r="R25" s="1053">
        <v>0</v>
      </c>
      <c r="S25" s="1053">
        <f t="shared" si="12"/>
        <v>0</v>
      </c>
      <c r="T25" s="1053">
        <f t="shared" si="13"/>
        <v>0</v>
      </c>
      <c r="U25" s="1054">
        <f t="shared" si="14"/>
        <v>0</v>
      </c>
      <c r="V25" s="1054">
        <f t="shared" si="14"/>
        <v>0</v>
      </c>
    </row>
    <row r="26" spans="1:22">
      <c r="A26" s="998">
        <v>20</v>
      </c>
      <c r="B26" s="999" t="s">
        <v>114</v>
      </c>
      <c r="C26" s="1194">
        <v>0</v>
      </c>
      <c r="D26" s="1001">
        <f>'Table 3 Levels 1&amp;2'!BN28+'Table 3 Levels 1&amp;2'!BV28</f>
        <v>5389.6047094824808</v>
      </c>
      <c r="E26" s="1101">
        <f t="shared" si="2"/>
        <v>0</v>
      </c>
      <c r="F26" s="1101">
        <f>'Table 4 Level 3'!N25</f>
        <v>586.16999999999996</v>
      </c>
      <c r="G26" s="1101">
        <f t="shared" si="3"/>
        <v>0</v>
      </c>
      <c r="H26" s="1055">
        <f t="shared" si="4"/>
        <v>0</v>
      </c>
      <c r="I26" s="1111">
        <f t="shared" si="5"/>
        <v>0</v>
      </c>
      <c r="J26" s="1055">
        <f t="shared" si="6"/>
        <v>0</v>
      </c>
      <c r="K26" s="1055">
        <v>0</v>
      </c>
      <c r="L26" s="1055">
        <f t="shared" si="7"/>
        <v>0</v>
      </c>
      <c r="M26" s="1055">
        <f t="shared" si="8"/>
        <v>0</v>
      </c>
      <c r="N26" s="1056">
        <f>'[18]FY2012-13 Final'!K27</f>
        <v>2334</v>
      </c>
      <c r="O26" s="1057">
        <f t="shared" si="9"/>
        <v>0</v>
      </c>
      <c r="P26" s="1119">
        <f t="shared" si="10"/>
        <v>0</v>
      </c>
      <c r="Q26" s="1057">
        <f t="shared" si="11"/>
        <v>0</v>
      </c>
      <c r="R26" s="1057">
        <v>0</v>
      </c>
      <c r="S26" s="1057">
        <f t="shared" si="12"/>
        <v>0</v>
      </c>
      <c r="T26" s="1057">
        <f t="shared" si="13"/>
        <v>0</v>
      </c>
      <c r="U26" s="1058">
        <f t="shared" si="14"/>
        <v>0</v>
      </c>
      <c r="V26" s="1058">
        <f t="shared" si="14"/>
        <v>0</v>
      </c>
    </row>
    <row r="27" spans="1:22">
      <c r="A27" s="987">
        <v>21</v>
      </c>
      <c r="B27" s="988" t="s">
        <v>115</v>
      </c>
      <c r="C27" s="1195">
        <v>0</v>
      </c>
      <c r="D27" s="990">
        <f>'Table 3 Levels 1&amp;2'!BN29+'Table 3 Levels 1&amp;2'!BV29</f>
        <v>5659.8229810652783</v>
      </c>
      <c r="E27" s="1099">
        <f t="shared" si="2"/>
        <v>0</v>
      </c>
      <c r="F27" s="1099">
        <f>'Table 4 Level 3'!N26</f>
        <v>610.35</v>
      </c>
      <c r="G27" s="1099">
        <f t="shared" si="3"/>
        <v>0</v>
      </c>
      <c r="H27" s="991">
        <f t="shared" si="4"/>
        <v>0</v>
      </c>
      <c r="I27" s="1109">
        <f t="shared" si="5"/>
        <v>0</v>
      </c>
      <c r="J27" s="991">
        <f t="shared" si="6"/>
        <v>0</v>
      </c>
      <c r="K27" s="991">
        <v>0</v>
      </c>
      <c r="L27" s="991">
        <f t="shared" si="7"/>
        <v>0</v>
      </c>
      <c r="M27" s="991">
        <f t="shared" si="8"/>
        <v>0</v>
      </c>
      <c r="N27" s="1051">
        <f>'[18]FY2012-13 Final'!K28</f>
        <v>2233</v>
      </c>
      <c r="O27" s="992">
        <f t="shared" si="9"/>
        <v>0</v>
      </c>
      <c r="P27" s="1117">
        <f t="shared" si="10"/>
        <v>0</v>
      </c>
      <c r="Q27" s="992">
        <f t="shared" si="11"/>
        <v>0</v>
      </c>
      <c r="R27" s="992">
        <v>0</v>
      </c>
      <c r="S27" s="992">
        <f t="shared" si="12"/>
        <v>0</v>
      </c>
      <c r="T27" s="992">
        <f t="shared" si="13"/>
        <v>0</v>
      </c>
      <c r="U27" s="993">
        <f t="shared" si="14"/>
        <v>0</v>
      </c>
      <c r="V27" s="993">
        <f t="shared" si="14"/>
        <v>0</v>
      </c>
    </row>
    <row r="28" spans="1:22">
      <c r="A28" s="994">
        <v>22</v>
      </c>
      <c r="B28" s="995" t="s">
        <v>116</v>
      </c>
      <c r="C28" s="1193">
        <v>0</v>
      </c>
      <c r="D28" s="997">
        <f>'Table 3 Levels 1&amp;2'!BN30+'Table 3 Levels 1&amp;2'!BV30</f>
        <v>6191.1997628958306</v>
      </c>
      <c r="E28" s="1100">
        <f t="shared" si="2"/>
        <v>0</v>
      </c>
      <c r="F28" s="1100">
        <f>'Table 4 Level 3'!N27</f>
        <v>496.36</v>
      </c>
      <c r="G28" s="1100">
        <f t="shared" si="3"/>
        <v>0</v>
      </c>
      <c r="H28" s="1052">
        <f t="shared" si="4"/>
        <v>0</v>
      </c>
      <c r="I28" s="1110">
        <f t="shared" si="5"/>
        <v>0</v>
      </c>
      <c r="J28" s="1052">
        <f t="shared" si="6"/>
        <v>0</v>
      </c>
      <c r="K28" s="1052">
        <v>0</v>
      </c>
      <c r="L28" s="1052">
        <f t="shared" si="7"/>
        <v>0</v>
      </c>
      <c r="M28" s="1052">
        <f t="shared" si="8"/>
        <v>0</v>
      </c>
      <c r="N28" s="1051">
        <f>'[18]FY2012-13 Final'!K29</f>
        <v>1410</v>
      </c>
      <c r="O28" s="1053">
        <f t="shared" si="9"/>
        <v>0</v>
      </c>
      <c r="P28" s="1118">
        <f t="shared" si="10"/>
        <v>0</v>
      </c>
      <c r="Q28" s="1053">
        <f t="shared" si="11"/>
        <v>0</v>
      </c>
      <c r="R28" s="1053">
        <v>0</v>
      </c>
      <c r="S28" s="1053">
        <f t="shared" si="12"/>
        <v>0</v>
      </c>
      <c r="T28" s="1053">
        <f t="shared" si="13"/>
        <v>0</v>
      </c>
      <c r="U28" s="1054">
        <f t="shared" si="14"/>
        <v>0</v>
      </c>
      <c r="V28" s="1054">
        <f t="shared" si="14"/>
        <v>0</v>
      </c>
    </row>
    <row r="29" spans="1:22">
      <c r="A29" s="994">
        <v>23</v>
      </c>
      <c r="B29" s="995" t="s">
        <v>117</v>
      </c>
      <c r="C29" s="1193">
        <v>0</v>
      </c>
      <c r="D29" s="997">
        <f>'Table 3 Levels 1&amp;2'!BN31+'Table 3 Levels 1&amp;2'!BV31</f>
        <v>4788.2881021645453</v>
      </c>
      <c r="E29" s="1100">
        <f t="shared" si="2"/>
        <v>0</v>
      </c>
      <c r="F29" s="1100">
        <f>'Table 4 Level 3'!N28</f>
        <v>688.58</v>
      </c>
      <c r="G29" s="1100">
        <f t="shared" si="3"/>
        <v>0</v>
      </c>
      <c r="H29" s="1052">
        <f t="shared" si="4"/>
        <v>0</v>
      </c>
      <c r="I29" s="1110">
        <f t="shared" si="5"/>
        <v>0</v>
      </c>
      <c r="J29" s="1052">
        <f t="shared" si="6"/>
        <v>0</v>
      </c>
      <c r="K29" s="1052">
        <v>0</v>
      </c>
      <c r="L29" s="1052">
        <f t="shared" si="7"/>
        <v>0</v>
      </c>
      <c r="M29" s="1052">
        <f t="shared" si="8"/>
        <v>0</v>
      </c>
      <c r="N29" s="1051">
        <f>'[18]FY2012-13 Final'!K30</f>
        <v>3258</v>
      </c>
      <c r="O29" s="1053">
        <f t="shared" si="9"/>
        <v>0</v>
      </c>
      <c r="P29" s="1118">
        <f t="shared" si="10"/>
        <v>0</v>
      </c>
      <c r="Q29" s="1053">
        <f t="shared" si="11"/>
        <v>0</v>
      </c>
      <c r="R29" s="1053">
        <v>0</v>
      </c>
      <c r="S29" s="1053">
        <f t="shared" si="12"/>
        <v>0</v>
      </c>
      <c r="T29" s="1053">
        <f t="shared" si="13"/>
        <v>0</v>
      </c>
      <c r="U29" s="1054">
        <f t="shared" si="14"/>
        <v>0</v>
      </c>
      <c r="V29" s="1054">
        <f t="shared" si="14"/>
        <v>0</v>
      </c>
    </row>
    <row r="30" spans="1:22">
      <c r="A30" s="994">
        <v>24</v>
      </c>
      <c r="B30" s="995" t="s">
        <v>118</v>
      </c>
      <c r="C30" s="1193">
        <v>0</v>
      </c>
      <c r="D30" s="997">
        <f>'Table 3 Levels 1&amp;2'!BN32+'Table 3 Levels 1&amp;2'!BV32</f>
        <v>2743.328175824176</v>
      </c>
      <c r="E30" s="1100">
        <f t="shared" si="2"/>
        <v>0</v>
      </c>
      <c r="F30" s="1100">
        <f>'Table 4 Level 3'!N29</f>
        <v>854.24999999999989</v>
      </c>
      <c r="G30" s="1100">
        <f t="shared" si="3"/>
        <v>0</v>
      </c>
      <c r="H30" s="1052">
        <f t="shared" si="4"/>
        <v>0</v>
      </c>
      <c r="I30" s="1110">
        <f t="shared" si="5"/>
        <v>0</v>
      </c>
      <c r="J30" s="1052">
        <f t="shared" si="6"/>
        <v>0</v>
      </c>
      <c r="K30" s="1052">
        <v>0</v>
      </c>
      <c r="L30" s="1052">
        <f t="shared" si="7"/>
        <v>0</v>
      </c>
      <c r="M30" s="1052">
        <f t="shared" si="8"/>
        <v>0</v>
      </c>
      <c r="N30" s="1051">
        <f>'[18]FY2012-13 Final'!K31</f>
        <v>9280</v>
      </c>
      <c r="O30" s="1053">
        <f t="shared" si="9"/>
        <v>0</v>
      </c>
      <c r="P30" s="1118">
        <f t="shared" si="10"/>
        <v>0</v>
      </c>
      <c r="Q30" s="1053">
        <f t="shared" si="11"/>
        <v>0</v>
      </c>
      <c r="R30" s="1053">
        <v>0</v>
      </c>
      <c r="S30" s="1053">
        <f t="shared" si="12"/>
        <v>0</v>
      </c>
      <c r="T30" s="1053">
        <f t="shared" si="13"/>
        <v>0</v>
      </c>
      <c r="U30" s="1054">
        <f t="shared" si="14"/>
        <v>0</v>
      </c>
      <c r="V30" s="1054">
        <f t="shared" si="14"/>
        <v>0</v>
      </c>
    </row>
    <row r="31" spans="1:22">
      <c r="A31" s="998">
        <v>25</v>
      </c>
      <c r="B31" s="999" t="s">
        <v>119</v>
      </c>
      <c r="C31" s="1194">
        <v>0</v>
      </c>
      <c r="D31" s="1001">
        <f>'Table 3 Levels 1&amp;2'!BN33+'Table 3 Levels 1&amp;2'!BV33</f>
        <v>3799.3890273447178</v>
      </c>
      <c r="E31" s="1101">
        <f t="shared" si="2"/>
        <v>0</v>
      </c>
      <c r="F31" s="1101">
        <f>'Table 4 Level 3'!N30</f>
        <v>653.73</v>
      </c>
      <c r="G31" s="1101">
        <f t="shared" si="3"/>
        <v>0</v>
      </c>
      <c r="H31" s="1055">
        <f t="shared" si="4"/>
        <v>0</v>
      </c>
      <c r="I31" s="1111">
        <f t="shared" si="5"/>
        <v>0</v>
      </c>
      <c r="J31" s="1055">
        <f t="shared" si="6"/>
        <v>0</v>
      </c>
      <c r="K31" s="1055">
        <v>0</v>
      </c>
      <c r="L31" s="1055">
        <f t="shared" si="7"/>
        <v>0</v>
      </c>
      <c r="M31" s="1055">
        <f t="shared" si="8"/>
        <v>0</v>
      </c>
      <c r="N31" s="1056">
        <f>'[18]FY2012-13 Final'!K32</f>
        <v>5351</v>
      </c>
      <c r="O31" s="1057">
        <f t="shared" si="9"/>
        <v>0</v>
      </c>
      <c r="P31" s="1119">
        <f t="shared" si="10"/>
        <v>0</v>
      </c>
      <c r="Q31" s="1057">
        <f t="shared" si="11"/>
        <v>0</v>
      </c>
      <c r="R31" s="1057">
        <v>0</v>
      </c>
      <c r="S31" s="1057">
        <f t="shared" si="12"/>
        <v>0</v>
      </c>
      <c r="T31" s="1057">
        <f t="shared" si="13"/>
        <v>0</v>
      </c>
      <c r="U31" s="1058">
        <f t="shared" si="14"/>
        <v>0</v>
      </c>
      <c r="V31" s="1058">
        <f t="shared" si="14"/>
        <v>0</v>
      </c>
    </row>
    <row r="32" spans="1:22">
      <c r="A32" s="987">
        <v>26</v>
      </c>
      <c r="B32" s="988" t="s">
        <v>120</v>
      </c>
      <c r="C32" s="1195">
        <v>0</v>
      </c>
      <c r="D32" s="990">
        <f>'Table 3 Levels 1&amp;2'!BN34+'Table 3 Levels 1&amp;2'!BV34</f>
        <v>3320.7842100822745</v>
      </c>
      <c r="E32" s="1099">
        <f t="shared" si="2"/>
        <v>0</v>
      </c>
      <c r="F32" s="1099">
        <f>'Table 4 Level 3'!N31</f>
        <v>836.83</v>
      </c>
      <c r="G32" s="1099">
        <f t="shared" si="3"/>
        <v>0</v>
      </c>
      <c r="H32" s="991">
        <f t="shared" si="4"/>
        <v>0</v>
      </c>
      <c r="I32" s="1109">
        <f t="shared" si="5"/>
        <v>0</v>
      </c>
      <c r="J32" s="991">
        <f t="shared" si="6"/>
        <v>0</v>
      </c>
      <c r="K32" s="991">
        <v>0</v>
      </c>
      <c r="L32" s="991">
        <f t="shared" si="7"/>
        <v>0</v>
      </c>
      <c r="M32" s="991">
        <f t="shared" si="8"/>
        <v>0</v>
      </c>
      <c r="N32" s="1051">
        <f>'[18]FY2012-13 Final'!K33</f>
        <v>5100</v>
      </c>
      <c r="O32" s="992">
        <f t="shared" si="9"/>
        <v>0</v>
      </c>
      <c r="P32" s="1117">
        <f t="shared" si="10"/>
        <v>0</v>
      </c>
      <c r="Q32" s="992">
        <f t="shared" si="11"/>
        <v>0</v>
      </c>
      <c r="R32" s="992">
        <v>0</v>
      </c>
      <c r="S32" s="992">
        <f t="shared" si="12"/>
        <v>0</v>
      </c>
      <c r="T32" s="992">
        <f t="shared" si="13"/>
        <v>0</v>
      </c>
      <c r="U32" s="993">
        <f t="shared" si="14"/>
        <v>0</v>
      </c>
      <c r="V32" s="993">
        <f t="shared" si="14"/>
        <v>0</v>
      </c>
    </row>
    <row r="33" spans="1:22">
      <c r="A33" s="994">
        <v>27</v>
      </c>
      <c r="B33" s="995" t="s">
        <v>121</v>
      </c>
      <c r="C33" s="1196">
        <v>0</v>
      </c>
      <c r="D33" s="1003">
        <f>'Table 3 Levels 1&amp;2'!BN35+'Table 3 Levels 1&amp;2'!BV35</f>
        <v>5636.5919457972805</v>
      </c>
      <c r="E33" s="1102">
        <f t="shared" si="2"/>
        <v>0</v>
      </c>
      <c r="F33" s="1102">
        <f>'Table 4 Level 3'!N32</f>
        <v>693.06</v>
      </c>
      <c r="G33" s="1102">
        <f t="shared" si="3"/>
        <v>0</v>
      </c>
      <c r="H33" s="1059">
        <f t="shared" si="4"/>
        <v>0</v>
      </c>
      <c r="I33" s="1112">
        <f t="shared" si="5"/>
        <v>0</v>
      </c>
      <c r="J33" s="1059">
        <f t="shared" si="6"/>
        <v>0</v>
      </c>
      <c r="K33" s="1059">
        <v>0</v>
      </c>
      <c r="L33" s="1059">
        <f t="shared" si="7"/>
        <v>0</v>
      </c>
      <c r="M33" s="1059">
        <f t="shared" si="8"/>
        <v>0</v>
      </c>
      <c r="N33" s="1051">
        <f>'[18]FY2012-13 Final'!K34</f>
        <v>3091</v>
      </c>
      <c r="O33" s="1053">
        <f t="shared" si="9"/>
        <v>0</v>
      </c>
      <c r="P33" s="1118">
        <f t="shared" si="10"/>
        <v>0</v>
      </c>
      <c r="Q33" s="1053">
        <f t="shared" si="11"/>
        <v>0</v>
      </c>
      <c r="R33" s="1053">
        <v>0</v>
      </c>
      <c r="S33" s="1053">
        <f t="shared" si="12"/>
        <v>0</v>
      </c>
      <c r="T33" s="1053">
        <f t="shared" si="13"/>
        <v>0</v>
      </c>
      <c r="U33" s="1054">
        <f t="shared" si="14"/>
        <v>0</v>
      </c>
      <c r="V33" s="1054">
        <f t="shared" si="14"/>
        <v>0</v>
      </c>
    </row>
    <row r="34" spans="1:22">
      <c r="A34" s="994">
        <v>28</v>
      </c>
      <c r="B34" s="995" t="s">
        <v>122</v>
      </c>
      <c r="C34" s="1196">
        <v>0</v>
      </c>
      <c r="D34" s="1003">
        <f>'Table 3 Levels 1&amp;2'!BN36+'Table 3 Levels 1&amp;2'!BV36</f>
        <v>3106.8056522508969</v>
      </c>
      <c r="E34" s="1102">
        <f t="shared" si="2"/>
        <v>0</v>
      </c>
      <c r="F34" s="1102">
        <f>'Table 4 Level 3'!N33</f>
        <v>694.4</v>
      </c>
      <c r="G34" s="1102">
        <f t="shared" si="3"/>
        <v>0</v>
      </c>
      <c r="H34" s="1059">
        <f t="shared" si="4"/>
        <v>0</v>
      </c>
      <c r="I34" s="1112">
        <f t="shared" si="5"/>
        <v>0</v>
      </c>
      <c r="J34" s="1059">
        <f t="shared" si="6"/>
        <v>0</v>
      </c>
      <c r="K34" s="1059">
        <v>0</v>
      </c>
      <c r="L34" s="1059">
        <f t="shared" si="7"/>
        <v>0</v>
      </c>
      <c r="M34" s="1059">
        <f t="shared" si="8"/>
        <v>0</v>
      </c>
      <c r="N34" s="1051">
        <f>'[18]FY2012-13 Final'!K35</f>
        <v>5323</v>
      </c>
      <c r="O34" s="1053">
        <f t="shared" si="9"/>
        <v>0</v>
      </c>
      <c r="P34" s="1118">
        <f t="shared" si="10"/>
        <v>0</v>
      </c>
      <c r="Q34" s="1053">
        <f t="shared" si="11"/>
        <v>0</v>
      </c>
      <c r="R34" s="1053">
        <v>0</v>
      </c>
      <c r="S34" s="1053">
        <f t="shared" si="12"/>
        <v>0</v>
      </c>
      <c r="T34" s="1053">
        <f t="shared" si="13"/>
        <v>0</v>
      </c>
      <c r="U34" s="1054">
        <f t="shared" si="14"/>
        <v>0</v>
      </c>
      <c r="V34" s="1054">
        <f t="shared" si="14"/>
        <v>0</v>
      </c>
    </row>
    <row r="35" spans="1:22">
      <c r="A35" s="994">
        <v>29</v>
      </c>
      <c r="B35" s="995" t="s">
        <v>123</v>
      </c>
      <c r="C35" s="1196">
        <v>0</v>
      </c>
      <c r="D35" s="1003">
        <f>'Table 3 Levels 1&amp;2'!BN37+'Table 3 Levels 1&amp;2'!BV37</f>
        <v>3912.1846976122315</v>
      </c>
      <c r="E35" s="1102">
        <f t="shared" si="2"/>
        <v>0</v>
      </c>
      <c r="F35" s="1102">
        <f>'Table 4 Level 3'!N34</f>
        <v>754.94999999999993</v>
      </c>
      <c r="G35" s="1102">
        <f t="shared" si="3"/>
        <v>0</v>
      </c>
      <c r="H35" s="1059">
        <f t="shared" si="4"/>
        <v>0</v>
      </c>
      <c r="I35" s="1112">
        <f t="shared" si="5"/>
        <v>0</v>
      </c>
      <c r="J35" s="1059">
        <f t="shared" si="6"/>
        <v>0</v>
      </c>
      <c r="K35" s="1059">
        <v>0</v>
      </c>
      <c r="L35" s="1059">
        <f t="shared" si="7"/>
        <v>0</v>
      </c>
      <c r="M35" s="1059">
        <f t="shared" si="8"/>
        <v>0</v>
      </c>
      <c r="N35" s="1051">
        <f>'[18]FY2012-13 Final'!K36</f>
        <v>4388</v>
      </c>
      <c r="O35" s="1053">
        <f t="shared" si="9"/>
        <v>0</v>
      </c>
      <c r="P35" s="1118">
        <f t="shared" si="10"/>
        <v>0</v>
      </c>
      <c r="Q35" s="1053">
        <f t="shared" si="11"/>
        <v>0</v>
      </c>
      <c r="R35" s="1053">
        <v>0</v>
      </c>
      <c r="S35" s="1053">
        <f t="shared" si="12"/>
        <v>0</v>
      </c>
      <c r="T35" s="1053">
        <f t="shared" si="13"/>
        <v>0</v>
      </c>
      <c r="U35" s="1054">
        <f t="shared" si="14"/>
        <v>0</v>
      </c>
      <c r="V35" s="1054">
        <f t="shared" si="14"/>
        <v>0</v>
      </c>
    </row>
    <row r="36" spans="1:22">
      <c r="A36" s="998">
        <v>30</v>
      </c>
      <c r="B36" s="999" t="s">
        <v>124</v>
      </c>
      <c r="C36" s="1197">
        <v>0</v>
      </c>
      <c r="D36" s="1005">
        <f>'Table 3 Levels 1&amp;2'!BN38+'Table 3 Levels 1&amp;2'!BV38</f>
        <v>5594.0091640611508</v>
      </c>
      <c r="E36" s="1103">
        <f t="shared" si="2"/>
        <v>0</v>
      </c>
      <c r="F36" s="1103">
        <f>'Table 4 Level 3'!N35</f>
        <v>727.17</v>
      </c>
      <c r="G36" s="1103">
        <f t="shared" si="3"/>
        <v>0</v>
      </c>
      <c r="H36" s="1060">
        <f t="shared" si="4"/>
        <v>0</v>
      </c>
      <c r="I36" s="1113">
        <f t="shared" si="5"/>
        <v>0</v>
      </c>
      <c r="J36" s="1060">
        <f t="shared" si="6"/>
        <v>0</v>
      </c>
      <c r="K36" s="1060">
        <v>0</v>
      </c>
      <c r="L36" s="1060">
        <f t="shared" si="7"/>
        <v>0</v>
      </c>
      <c r="M36" s="1060">
        <f t="shared" si="8"/>
        <v>0</v>
      </c>
      <c r="N36" s="1056">
        <f>'[18]FY2012-13 Final'!K37</f>
        <v>3702</v>
      </c>
      <c r="O36" s="1057">
        <f t="shared" si="9"/>
        <v>0</v>
      </c>
      <c r="P36" s="1119">
        <f t="shared" si="10"/>
        <v>0</v>
      </c>
      <c r="Q36" s="1057">
        <f t="shared" si="11"/>
        <v>0</v>
      </c>
      <c r="R36" s="1057">
        <v>0</v>
      </c>
      <c r="S36" s="1057">
        <f t="shared" si="12"/>
        <v>0</v>
      </c>
      <c r="T36" s="1057">
        <f t="shared" si="13"/>
        <v>0</v>
      </c>
      <c r="U36" s="1058">
        <f t="shared" si="14"/>
        <v>0</v>
      </c>
      <c r="V36" s="1058">
        <f t="shared" si="14"/>
        <v>0</v>
      </c>
    </row>
    <row r="37" spans="1:22">
      <c r="A37" s="987">
        <v>31</v>
      </c>
      <c r="B37" s="988" t="s">
        <v>125</v>
      </c>
      <c r="C37" s="1198">
        <v>0</v>
      </c>
      <c r="D37" s="1007">
        <f>'Table 3 Levels 1&amp;2'!BN39+'Table 3 Levels 1&amp;2'!BV39</f>
        <v>4320.114188911979</v>
      </c>
      <c r="E37" s="1104">
        <f t="shared" si="2"/>
        <v>0</v>
      </c>
      <c r="F37" s="1104">
        <f>'Table 4 Level 3'!N36</f>
        <v>620.83000000000004</v>
      </c>
      <c r="G37" s="1104">
        <f t="shared" si="3"/>
        <v>0</v>
      </c>
      <c r="H37" s="1061">
        <f t="shared" si="4"/>
        <v>0</v>
      </c>
      <c r="I37" s="1114">
        <f t="shared" si="5"/>
        <v>0</v>
      </c>
      <c r="J37" s="1061">
        <f t="shared" si="6"/>
        <v>0</v>
      </c>
      <c r="K37" s="1061">
        <v>0</v>
      </c>
      <c r="L37" s="1061">
        <f t="shared" si="7"/>
        <v>0</v>
      </c>
      <c r="M37" s="1061">
        <f t="shared" si="8"/>
        <v>0</v>
      </c>
      <c r="N37" s="1051">
        <f>'[18]FY2012-13 Final'!K38</f>
        <v>4669</v>
      </c>
      <c r="O37" s="992">
        <f t="shared" si="9"/>
        <v>0</v>
      </c>
      <c r="P37" s="1117">
        <f t="shared" si="10"/>
        <v>0</v>
      </c>
      <c r="Q37" s="992">
        <f t="shared" si="11"/>
        <v>0</v>
      </c>
      <c r="R37" s="992">
        <v>0</v>
      </c>
      <c r="S37" s="992">
        <f t="shared" si="12"/>
        <v>0</v>
      </c>
      <c r="T37" s="992">
        <f t="shared" si="13"/>
        <v>0</v>
      </c>
      <c r="U37" s="993">
        <f t="shared" si="14"/>
        <v>0</v>
      </c>
      <c r="V37" s="993">
        <f t="shared" si="14"/>
        <v>0</v>
      </c>
    </row>
    <row r="38" spans="1:22">
      <c r="A38" s="994">
        <v>32</v>
      </c>
      <c r="B38" s="995" t="s">
        <v>126</v>
      </c>
      <c r="C38" s="1196">
        <v>0</v>
      </c>
      <c r="D38" s="1003">
        <f>'Table 3 Levels 1&amp;2'!BN40+'Table 3 Levels 1&amp;2'!BV40</f>
        <v>5504.4479209353676</v>
      </c>
      <c r="E38" s="1102">
        <f t="shared" si="2"/>
        <v>0</v>
      </c>
      <c r="F38" s="1102">
        <f>'Table 4 Level 3'!N37</f>
        <v>559.77</v>
      </c>
      <c r="G38" s="1102">
        <f t="shared" si="3"/>
        <v>0</v>
      </c>
      <c r="H38" s="1059">
        <f t="shared" si="4"/>
        <v>0</v>
      </c>
      <c r="I38" s="1112">
        <f t="shared" si="5"/>
        <v>0</v>
      </c>
      <c r="J38" s="1059">
        <f t="shared" si="6"/>
        <v>0</v>
      </c>
      <c r="K38" s="1059">
        <v>0</v>
      </c>
      <c r="L38" s="1059">
        <f t="shared" si="7"/>
        <v>0</v>
      </c>
      <c r="M38" s="1059">
        <f t="shared" si="8"/>
        <v>0</v>
      </c>
      <c r="N38" s="1051">
        <f>'[18]FY2012-13 Final'!K39</f>
        <v>1965</v>
      </c>
      <c r="O38" s="1053">
        <f t="shared" si="9"/>
        <v>0</v>
      </c>
      <c r="P38" s="1118">
        <f t="shared" si="10"/>
        <v>0</v>
      </c>
      <c r="Q38" s="1053">
        <f t="shared" si="11"/>
        <v>0</v>
      </c>
      <c r="R38" s="1053">
        <v>0</v>
      </c>
      <c r="S38" s="1053">
        <f t="shared" si="12"/>
        <v>0</v>
      </c>
      <c r="T38" s="1053">
        <f t="shared" si="13"/>
        <v>0</v>
      </c>
      <c r="U38" s="1054">
        <f t="shared" si="14"/>
        <v>0</v>
      </c>
      <c r="V38" s="1054">
        <f t="shared" si="14"/>
        <v>0</v>
      </c>
    </row>
    <row r="39" spans="1:22">
      <c r="A39" s="994">
        <v>33</v>
      </c>
      <c r="B39" s="995" t="s">
        <v>127</v>
      </c>
      <c r="C39" s="1196">
        <v>264</v>
      </c>
      <c r="D39" s="1003">
        <f>'Table 3 Levels 1&amp;2'!BN41+'Table 3 Levels 1&amp;2'!BV41</f>
        <v>5322.07272511876</v>
      </c>
      <c r="E39" s="1102">
        <f t="shared" si="2"/>
        <v>1405027.1994313526</v>
      </c>
      <c r="F39" s="1102">
        <f>'Table 4 Level 3'!N38</f>
        <v>655.31000000000006</v>
      </c>
      <c r="G39" s="1102">
        <f t="shared" si="3"/>
        <v>173001.84000000003</v>
      </c>
      <c r="H39" s="1059">
        <f t="shared" si="4"/>
        <v>1578029.0394313526</v>
      </c>
      <c r="I39" s="1112">
        <f t="shared" si="5"/>
        <v>-3945.0725985783815</v>
      </c>
      <c r="J39" s="1059">
        <f t="shared" si="6"/>
        <v>1574083.9668327742</v>
      </c>
      <c r="K39" s="1059">
        <v>0</v>
      </c>
      <c r="L39" s="1059">
        <f t="shared" si="7"/>
        <v>1574083.9668327742</v>
      </c>
      <c r="M39" s="1059">
        <f t="shared" si="8"/>
        <v>131173.66390273118</v>
      </c>
      <c r="N39" s="1051">
        <f>'[18]FY2012-13 Final'!K40</f>
        <v>2771</v>
      </c>
      <c r="O39" s="1053">
        <f t="shared" si="9"/>
        <v>731544</v>
      </c>
      <c r="P39" s="1118">
        <f t="shared" si="10"/>
        <v>-1828.8600000000001</v>
      </c>
      <c r="Q39" s="1053">
        <f t="shared" si="11"/>
        <v>729715.14</v>
      </c>
      <c r="R39" s="1053">
        <v>0</v>
      </c>
      <c r="S39" s="1053">
        <f t="shared" si="12"/>
        <v>729715.14</v>
      </c>
      <c r="T39" s="1053">
        <f t="shared" si="13"/>
        <v>60809.595000000001</v>
      </c>
      <c r="U39" s="1054">
        <f t="shared" si="14"/>
        <v>2303799.1068327744</v>
      </c>
      <c r="V39" s="1054">
        <f t="shared" si="14"/>
        <v>191983.25890273118</v>
      </c>
    </row>
    <row r="40" spans="1:22">
      <c r="A40" s="994">
        <v>34</v>
      </c>
      <c r="B40" s="995" t="s">
        <v>128</v>
      </c>
      <c r="C40" s="1196">
        <v>0</v>
      </c>
      <c r="D40" s="1003">
        <f>'Table 3 Levels 1&amp;2'!BN42+'Table 3 Levels 1&amp;2'!BV42</f>
        <v>5959.062840731639</v>
      </c>
      <c r="E40" s="1102">
        <f t="shared" si="2"/>
        <v>0</v>
      </c>
      <c r="F40" s="1102">
        <f>'Table 4 Level 3'!N39</f>
        <v>644.11000000000013</v>
      </c>
      <c r="G40" s="1102">
        <f t="shared" si="3"/>
        <v>0</v>
      </c>
      <c r="H40" s="1059">
        <f t="shared" si="4"/>
        <v>0</v>
      </c>
      <c r="I40" s="1112">
        <f t="shared" si="5"/>
        <v>0</v>
      </c>
      <c r="J40" s="1059">
        <f t="shared" si="6"/>
        <v>0</v>
      </c>
      <c r="K40" s="1059">
        <v>0</v>
      </c>
      <c r="L40" s="1059">
        <f t="shared" si="7"/>
        <v>0</v>
      </c>
      <c r="M40" s="1059">
        <f t="shared" si="8"/>
        <v>0</v>
      </c>
      <c r="N40" s="1051">
        <f>'[18]FY2012-13 Final'!K41</f>
        <v>2758</v>
      </c>
      <c r="O40" s="1053">
        <f t="shared" si="9"/>
        <v>0</v>
      </c>
      <c r="P40" s="1118">
        <f t="shared" si="10"/>
        <v>0</v>
      </c>
      <c r="Q40" s="1053">
        <f t="shared" si="11"/>
        <v>0</v>
      </c>
      <c r="R40" s="1053">
        <v>0</v>
      </c>
      <c r="S40" s="1053">
        <f t="shared" si="12"/>
        <v>0</v>
      </c>
      <c r="T40" s="1053">
        <f t="shared" si="13"/>
        <v>0</v>
      </c>
      <c r="U40" s="1054">
        <f t="shared" si="14"/>
        <v>0</v>
      </c>
      <c r="V40" s="1054">
        <f t="shared" si="14"/>
        <v>0</v>
      </c>
    </row>
    <row r="41" spans="1:22">
      <c r="A41" s="998">
        <v>35</v>
      </c>
      <c r="B41" s="999" t="s">
        <v>129</v>
      </c>
      <c r="C41" s="1197">
        <v>0</v>
      </c>
      <c r="D41" s="1005">
        <f>'Table 3 Levels 1&amp;2'!BN43+'Table 3 Levels 1&amp;2'!BV43</f>
        <v>4571.947611490059</v>
      </c>
      <c r="E41" s="1103">
        <f t="shared" si="2"/>
        <v>0</v>
      </c>
      <c r="F41" s="1103">
        <f>'Table 4 Level 3'!N40</f>
        <v>537.96</v>
      </c>
      <c r="G41" s="1103">
        <f t="shared" si="3"/>
        <v>0</v>
      </c>
      <c r="H41" s="1060">
        <f t="shared" si="4"/>
        <v>0</v>
      </c>
      <c r="I41" s="1113">
        <f t="shared" si="5"/>
        <v>0</v>
      </c>
      <c r="J41" s="1060">
        <f t="shared" si="6"/>
        <v>0</v>
      </c>
      <c r="K41" s="1060">
        <v>0</v>
      </c>
      <c r="L41" s="1060">
        <f t="shared" si="7"/>
        <v>0</v>
      </c>
      <c r="M41" s="1060">
        <f t="shared" si="8"/>
        <v>0</v>
      </c>
      <c r="N41" s="1056">
        <f>'[18]FY2012-13 Final'!K42</f>
        <v>3603</v>
      </c>
      <c r="O41" s="1057">
        <f t="shared" si="9"/>
        <v>0</v>
      </c>
      <c r="P41" s="1119">
        <f t="shared" si="10"/>
        <v>0</v>
      </c>
      <c r="Q41" s="1057">
        <f t="shared" si="11"/>
        <v>0</v>
      </c>
      <c r="R41" s="1057">
        <v>0</v>
      </c>
      <c r="S41" s="1057">
        <f t="shared" si="12"/>
        <v>0</v>
      </c>
      <c r="T41" s="1057">
        <f t="shared" si="13"/>
        <v>0</v>
      </c>
      <c r="U41" s="1058">
        <f t="shared" si="14"/>
        <v>0</v>
      </c>
      <c r="V41" s="1058">
        <f t="shared" si="14"/>
        <v>0</v>
      </c>
    </row>
    <row r="42" spans="1:22">
      <c r="A42" s="987">
        <v>36</v>
      </c>
      <c r="B42" s="988" t="s">
        <v>130</v>
      </c>
      <c r="C42" s="1198">
        <v>0</v>
      </c>
      <c r="D42" s="1007">
        <f>'Table 3 Levels 1&amp;2'!BN44+'Table 3 Levels 1&amp;2'!BV44</f>
        <v>3666.4136012725312</v>
      </c>
      <c r="E42" s="1104">
        <f t="shared" si="2"/>
        <v>0</v>
      </c>
      <c r="F42" s="1104">
        <f>'Table 4 Level 3'!N41</f>
        <v>727.23177743956114</v>
      </c>
      <c r="G42" s="1104">
        <f t="shared" si="3"/>
        <v>0</v>
      </c>
      <c r="H42" s="1061">
        <f t="shared" si="4"/>
        <v>0</v>
      </c>
      <c r="I42" s="1114">
        <f t="shared" si="5"/>
        <v>0</v>
      </c>
      <c r="J42" s="1061">
        <f t="shared" si="6"/>
        <v>0</v>
      </c>
      <c r="K42" s="1061">
        <v>0</v>
      </c>
      <c r="L42" s="1061">
        <f t="shared" si="7"/>
        <v>0</v>
      </c>
      <c r="M42" s="1061">
        <f t="shared" si="8"/>
        <v>0</v>
      </c>
      <c r="N42" s="1051">
        <f>'[18]FY2012-13 Final'!K43</f>
        <v>4601</v>
      </c>
      <c r="O42" s="992">
        <f t="shared" si="9"/>
        <v>0</v>
      </c>
      <c r="P42" s="1117">
        <f t="shared" si="10"/>
        <v>0</v>
      </c>
      <c r="Q42" s="992">
        <f t="shared" si="11"/>
        <v>0</v>
      </c>
      <c r="R42" s="992">
        <v>0</v>
      </c>
      <c r="S42" s="992">
        <f t="shared" si="12"/>
        <v>0</v>
      </c>
      <c r="T42" s="992">
        <f t="shared" si="13"/>
        <v>0</v>
      </c>
      <c r="U42" s="993">
        <f t="shared" si="14"/>
        <v>0</v>
      </c>
      <c r="V42" s="993">
        <f t="shared" si="14"/>
        <v>0</v>
      </c>
    </row>
    <row r="43" spans="1:22">
      <c r="A43" s="994">
        <v>37</v>
      </c>
      <c r="B43" s="995" t="s">
        <v>131</v>
      </c>
      <c r="C43" s="1196">
        <v>0</v>
      </c>
      <c r="D43" s="1003">
        <f>'Table 3 Levels 1&amp;2'!BN45+'Table 3 Levels 1&amp;2'!BV45</f>
        <v>5484.8089042263191</v>
      </c>
      <c r="E43" s="1102">
        <f t="shared" si="2"/>
        <v>0</v>
      </c>
      <c r="F43" s="1102">
        <f>'Table 4 Level 3'!N42</f>
        <v>653.61</v>
      </c>
      <c r="G43" s="1102">
        <f t="shared" si="3"/>
        <v>0</v>
      </c>
      <c r="H43" s="1059">
        <f t="shared" si="4"/>
        <v>0</v>
      </c>
      <c r="I43" s="1112">
        <f t="shared" si="5"/>
        <v>0</v>
      </c>
      <c r="J43" s="1059">
        <f t="shared" si="6"/>
        <v>0</v>
      </c>
      <c r="K43" s="1059">
        <v>0</v>
      </c>
      <c r="L43" s="1059">
        <f t="shared" si="7"/>
        <v>0</v>
      </c>
      <c r="M43" s="1059">
        <f t="shared" si="8"/>
        <v>0</v>
      </c>
      <c r="N43" s="1051">
        <f>'[18]FY2012-13 Final'!K44</f>
        <v>3099</v>
      </c>
      <c r="O43" s="1053">
        <f t="shared" si="9"/>
        <v>0</v>
      </c>
      <c r="P43" s="1118">
        <f t="shared" si="10"/>
        <v>0</v>
      </c>
      <c r="Q43" s="1053">
        <f t="shared" si="11"/>
        <v>0</v>
      </c>
      <c r="R43" s="1053">
        <v>0</v>
      </c>
      <c r="S43" s="1053">
        <f t="shared" si="12"/>
        <v>0</v>
      </c>
      <c r="T43" s="1053">
        <f t="shared" si="13"/>
        <v>0</v>
      </c>
      <c r="U43" s="1054">
        <f t="shared" si="14"/>
        <v>0</v>
      </c>
      <c r="V43" s="1054">
        <f t="shared" si="14"/>
        <v>0</v>
      </c>
    </row>
    <row r="44" spans="1:22">
      <c r="A44" s="994">
        <v>38</v>
      </c>
      <c r="B44" s="995" t="s">
        <v>132</v>
      </c>
      <c r="C44" s="1196">
        <v>0</v>
      </c>
      <c r="D44" s="1003">
        <f>'Table 3 Levels 1&amp;2'!BN46+'Table 3 Levels 1&amp;2'!BV46</f>
        <v>2078.5917829727841</v>
      </c>
      <c r="E44" s="1102">
        <f t="shared" si="2"/>
        <v>0</v>
      </c>
      <c r="F44" s="1102">
        <f>'Table 4 Level 3'!N43</f>
        <v>829.92000000000007</v>
      </c>
      <c r="G44" s="1102">
        <f t="shared" si="3"/>
        <v>0</v>
      </c>
      <c r="H44" s="1059">
        <f t="shared" si="4"/>
        <v>0</v>
      </c>
      <c r="I44" s="1112">
        <f t="shared" si="5"/>
        <v>0</v>
      </c>
      <c r="J44" s="1059">
        <f t="shared" si="6"/>
        <v>0</v>
      </c>
      <c r="K44" s="1059">
        <v>0</v>
      </c>
      <c r="L44" s="1059">
        <f t="shared" si="7"/>
        <v>0</v>
      </c>
      <c r="M44" s="1059">
        <f t="shared" si="8"/>
        <v>0</v>
      </c>
      <c r="N44" s="1051">
        <f>'[18]FY2012-13 Final'!K45</f>
        <v>9674</v>
      </c>
      <c r="O44" s="1053">
        <f t="shared" si="9"/>
        <v>0</v>
      </c>
      <c r="P44" s="1118">
        <f t="shared" si="10"/>
        <v>0</v>
      </c>
      <c r="Q44" s="1053">
        <f t="shared" si="11"/>
        <v>0</v>
      </c>
      <c r="R44" s="1053">
        <v>0</v>
      </c>
      <c r="S44" s="1053">
        <f t="shared" si="12"/>
        <v>0</v>
      </c>
      <c r="T44" s="1053">
        <f t="shared" si="13"/>
        <v>0</v>
      </c>
      <c r="U44" s="1054">
        <f t="shared" si="14"/>
        <v>0</v>
      </c>
      <c r="V44" s="1054">
        <f t="shared" si="14"/>
        <v>0</v>
      </c>
    </row>
    <row r="45" spans="1:22">
      <c r="A45" s="994">
        <v>39</v>
      </c>
      <c r="B45" s="995" t="s">
        <v>133</v>
      </c>
      <c r="C45" s="1196">
        <v>0</v>
      </c>
      <c r="D45" s="1003">
        <f>'Table 3 Levels 1&amp;2'!BN47+'Table 3 Levels 1&amp;2'!BV47</f>
        <v>3622.4878999042335</v>
      </c>
      <c r="E45" s="1102">
        <f t="shared" si="2"/>
        <v>0</v>
      </c>
      <c r="F45" s="1102">
        <f>'Table 4 Level 3'!N44</f>
        <v>779.65573042776441</v>
      </c>
      <c r="G45" s="1102">
        <f t="shared" si="3"/>
        <v>0</v>
      </c>
      <c r="H45" s="1059">
        <f t="shared" si="4"/>
        <v>0</v>
      </c>
      <c r="I45" s="1112">
        <f t="shared" si="5"/>
        <v>0</v>
      </c>
      <c r="J45" s="1059">
        <f t="shared" si="6"/>
        <v>0</v>
      </c>
      <c r="K45" s="1059">
        <v>0</v>
      </c>
      <c r="L45" s="1059">
        <f t="shared" si="7"/>
        <v>0</v>
      </c>
      <c r="M45" s="1059">
        <f t="shared" si="8"/>
        <v>0</v>
      </c>
      <c r="N45" s="1051">
        <f>'[18]FY2012-13 Final'!K46</f>
        <v>4277</v>
      </c>
      <c r="O45" s="1053">
        <f t="shared" si="9"/>
        <v>0</v>
      </c>
      <c r="P45" s="1118">
        <f t="shared" si="10"/>
        <v>0</v>
      </c>
      <c r="Q45" s="1053">
        <f t="shared" si="11"/>
        <v>0</v>
      </c>
      <c r="R45" s="1053">
        <v>0</v>
      </c>
      <c r="S45" s="1053">
        <f t="shared" si="12"/>
        <v>0</v>
      </c>
      <c r="T45" s="1053">
        <f t="shared" si="13"/>
        <v>0</v>
      </c>
      <c r="U45" s="1054">
        <f t="shared" si="14"/>
        <v>0</v>
      </c>
      <c r="V45" s="1054">
        <f t="shared" si="14"/>
        <v>0</v>
      </c>
    </row>
    <row r="46" spans="1:22">
      <c r="A46" s="998">
        <v>40</v>
      </c>
      <c r="B46" s="999" t="s">
        <v>134</v>
      </c>
      <c r="C46" s="1197">
        <v>0</v>
      </c>
      <c r="D46" s="1005">
        <f>'Table 3 Levels 1&amp;2'!BN48+'Table 3 Levels 1&amp;2'!BV48</f>
        <v>4885.6387343180086</v>
      </c>
      <c r="E46" s="1103">
        <f t="shared" si="2"/>
        <v>0</v>
      </c>
      <c r="F46" s="1103">
        <f>'Table 4 Level 3'!N45</f>
        <v>700.2700000000001</v>
      </c>
      <c r="G46" s="1103">
        <f t="shared" si="3"/>
        <v>0</v>
      </c>
      <c r="H46" s="1060">
        <f t="shared" si="4"/>
        <v>0</v>
      </c>
      <c r="I46" s="1113">
        <f t="shared" si="5"/>
        <v>0</v>
      </c>
      <c r="J46" s="1060">
        <f t="shared" si="6"/>
        <v>0</v>
      </c>
      <c r="K46" s="1060">
        <v>0</v>
      </c>
      <c r="L46" s="1060">
        <f t="shared" si="7"/>
        <v>0</v>
      </c>
      <c r="M46" s="1060">
        <f t="shared" si="8"/>
        <v>0</v>
      </c>
      <c r="N46" s="1056">
        <f>'[18]FY2012-13 Final'!K47</f>
        <v>2921</v>
      </c>
      <c r="O46" s="1057">
        <f t="shared" si="9"/>
        <v>0</v>
      </c>
      <c r="P46" s="1119">
        <f t="shared" si="10"/>
        <v>0</v>
      </c>
      <c r="Q46" s="1057">
        <f t="shared" si="11"/>
        <v>0</v>
      </c>
      <c r="R46" s="1057">
        <v>0</v>
      </c>
      <c r="S46" s="1057">
        <f t="shared" si="12"/>
        <v>0</v>
      </c>
      <c r="T46" s="1057">
        <f t="shared" si="13"/>
        <v>0</v>
      </c>
      <c r="U46" s="1058">
        <f t="shared" si="14"/>
        <v>0</v>
      </c>
      <c r="V46" s="1058">
        <f t="shared" si="14"/>
        <v>0</v>
      </c>
    </row>
    <row r="47" spans="1:22">
      <c r="A47" s="987">
        <v>41</v>
      </c>
      <c r="B47" s="988" t="s">
        <v>135</v>
      </c>
      <c r="C47" s="1198">
        <v>0</v>
      </c>
      <c r="D47" s="1007">
        <f>'Table 3 Levels 1&amp;2'!BN49+'Table 3 Levels 1&amp;2'!BV49</f>
        <v>1602.0398121899364</v>
      </c>
      <c r="E47" s="1104">
        <f t="shared" si="2"/>
        <v>0</v>
      </c>
      <c r="F47" s="1104">
        <f>'Table 4 Level 3'!N46</f>
        <v>886.22</v>
      </c>
      <c r="G47" s="1104">
        <f t="shared" si="3"/>
        <v>0</v>
      </c>
      <c r="H47" s="1061">
        <f t="shared" si="4"/>
        <v>0</v>
      </c>
      <c r="I47" s="1114">
        <f t="shared" si="5"/>
        <v>0</v>
      </c>
      <c r="J47" s="1061">
        <f t="shared" si="6"/>
        <v>0</v>
      </c>
      <c r="K47" s="1061">
        <v>0</v>
      </c>
      <c r="L47" s="1061">
        <f t="shared" si="7"/>
        <v>0</v>
      </c>
      <c r="M47" s="1061">
        <f t="shared" si="8"/>
        <v>0</v>
      </c>
      <c r="N47" s="1051">
        <f>'[18]FY2012-13 Final'!K48</f>
        <v>12026</v>
      </c>
      <c r="O47" s="992">
        <f t="shared" si="9"/>
        <v>0</v>
      </c>
      <c r="P47" s="1117">
        <f t="shared" si="10"/>
        <v>0</v>
      </c>
      <c r="Q47" s="992">
        <f t="shared" si="11"/>
        <v>0</v>
      </c>
      <c r="R47" s="992">
        <v>0</v>
      </c>
      <c r="S47" s="992">
        <f t="shared" si="12"/>
        <v>0</v>
      </c>
      <c r="T47" s="992">
        <f t="shared" si="13"/>
        <v>0</v>
      </c>
      <c r="U47" s="993">
        <f t="shared" si="14"/>
        <v>0</v>
      </c>
      <c r="V47" s="993">
        <f t="shared" si="14"/>
        <v>0</v>
      </c>
    </row>
    <row r="48" spans="1:22">
      <c r="A48" s="994">
        <v>42</v>
      </c>
      <c r="B48" s="995" t="s">
        <v>136</v>
      </c>
      <c r="C48" s="1196">
        <v>0</v>
      </c>
      <c r="D48" s="1003">
        <f>'Table 3 Levels 1&amp;2'!BN50+'Table 3 Levels 1&amp;2'!BV50</f>
        <v>5098.6172346404755</v>
      </c>
      <c r="E48" s="1102">
        <f t="shared" si="2"/>
        <v>0</v>
      </c>
      <c r="F48" s="1102">
        <f>'Table 4 Level 3'!N47</f>
        <v>534.28</v>
      </c>
      <c r="G48" s="1102">
        <f t="shared" si="3"/>
        <v>0</v>
      </c>
      <c r="H48" s="1059">
        <f t="shared" si="4"/>
        <v>0</v>
      </c>
      <c r="I48" s="1112">
        <f t="shared" si="5"/>
        <v>0</v>
      </c>
      <c r="J48" s="1059">
        <f t="shared" si="6"/>
        <v>0</v>
      </c>
      <c r="K48" s="1059">
        <v>0</v>
      </c>
      <c r="L48" s="1059">
        <f t="shared" si="7"/>
        <v>0</v>
      </c>
      <c r="M48" s="1059">
        <f t="shared" si="8"/>
        <v>0</v>
      </c>
      <c r="N48" s="1051">
        <f>'[18]FY2012-13 Final'!K49</f>
        <v>2554</v>
      </c>
      <c r="O48" s="1053">
        <f t="shared" si="9"/>
        <v>0</v>
      </c>
      <c r="P48" s="1118">
        <f t="shared" si="10"/>
        <v>0</v>
      </c>
      <c r="Q48" s="1053">
        <f t="shared" si="11"/>
        <v>0</v>
      </c>
      <c r="R48" s="1053">
        <v>0</v>
      </c>
      <c r="S48" s="1053">
        <f t="shared" si="12"/>
        <v>0</v>
      </c>
      <c r="T48" s="1053">
        <f t="shared" si="13"/>
        <v>0</v>
      </c>
      <c r="U48" s="1054">
        <f t="shared" si="14"/>
        <v>0</v>
      </c>
      <c r="V48" s="1054">
        <f t="shared" si="14"/>
        <v>0</v>
      </c>
    </row>
    <row r="49" spans="1:22">
      <c r="A49" s="994">
        <v>43</v>
      </c>
      <c r="B49" s="995" t="s">
        <v>137</v>
      </c>
      <c r="C49" s="1196">
        <v>0</v>
      </c>
      <c r="D49" s="1003">
        <f>'Table 3 Levels 1&amp;2'!BN51+'Table 3 Levels 1&amp;2'!BV51</f>
        <v>4701.3362575004667</v>
      </c>
      <c r="E49" s="1102">
        <f t="shared" si="2"/>
        <v>0</v>
      </c>
      <c r="F49" s="1102">
        <f>'Table 4 Level 3'!N48</f>
        <v>574.6099999999999</v>
      </c>
      <c r="G49" s="1102">
        <f t="shared" si="3"/>
        <v>0</v>
      </c>
      <c r="H49" s="1059">
        <f t="shared" si="4"/>
        <v>0</v>
      </c>
      <c r="I49" s="1112">
        <f t="shared" si="5"/>
        <v>0</v>
      </c>
      <c r="J49" s="1059">
        <f t="shared" si="6"/>
        <v>0</v>
      </c>
      <c r="K49" s="1059">
        <v>0</v>
      </c>
      <c r="L49" s="1059">
        <f t="shared" si="7"/>
        <v>0</v>
      </c>
      <c r="M49" s="1059">
        <f t="shared" si="8"/>
        <v>0</v>
      </c>
      <c r="N49" s="1051">
        <f>'[18]FY2012-13 Final'!K50</f>
        <v>5265</v>
      </c>
      <c r="O49" s="1053">
        <f t="shared" si="9"/>
        <v>0</v>
      </c>
      <c r="P49" s="1118">
        <f t="shared" si="10"/>
        <v>0</v>
      </c>
      <c r="Q49" s="1053">
        <f t="shared" si="11"/>
        <v>0</v>
      </c>
      <c r="R49" s="1053">
        <v>0</v>
      </c>
      <c r="S49" s="1053">
        <f t="shared" si="12"/>
        <v>0</v>
      </c>
      <c r="T49" s="1053">
        <f t="shared" si="13"/>
        <v>0</v>
      </c>
      <c r="U49" s="1054">
        <f t="shared" si="14"/>
        <v>0</v>
      </c>
      <c r="V49" s="1054">
        <f t="shared" si="14"/>
        <v>0</v>
      </c>
    </row>
    <row r="50" spans="1:22">
      <c r="A50" s="994">
        <v>44</v>
      </c>
      <c r="B50" s="995" t="s">
        <v>138</v>
      </c>
      <c r="C50" s="1196">
        <v>0</v>
      </c>
      <c r="D50" s="1003">
        <f>'Table 3 Levels 1&amp;2'!BN52+'Table 3 Levels 1&amp;2'!BV52</f>
        <v>4649.5559521248724</v>
      </c>
      <c r="E50" s="1102">
        <f t="shared" si="2"/>
        <v>0</v>
      </c>
      <c r="F50" s="1102">
        <f>'Table 4 Level 3'!N49</f>
        <v>663.16000000000008</v>
      </c>
      <c r="G50" s="1102">
        <f t="shared" si="3"/>
        <v>0</v>
      </c>
      <c r="H50" s="1059">
        <f t="shared" si="4"/>
        <v>0</v>
      </c>
      <c r="I50" s="1112">
        <f t="shared" si="5"/>
        <v>0</v>
      </c>
      <c r="J50" s="1059">
        <f t="shared" si="6"/>
        <v>0</v>
      </c>
      <c r="K50" s="1059">
        <v>0</v>
      </c>
      <c r="L50" s="1059">
        <f t="shared" si="7"/>
        <v>0</v>
      </c>
      <c r="M50" s="1059">
        <f t="shared" si="8"/>
        <v>0</v>
      </c>
      <c r="N50" s="1051">
        <f>'[18]FY2012-13 Final'!K51</f>
        <v>4109</v>
      </c>
      <c r="O50" s="1053">
        <f t="shared" si="9"/>
        <v>0</v>
      </c>
      <c r="P50" s="1118">
        <f t="shared" si="10"/>
        <v>0</v>
      </c>
      <c r="Q50" s="1053">
        <f t="shared" si="11"/>
        <v>0</v>
      </c>
      <c r="R50" s="1053">
        <v>0</v>
      </c>
      <c r="S50" s="1053">
        <f t="shared" si="12"/>
        <v>0</v>
      </c>
      <c r="T50" s="1053">
        <f t="shared" si="13"/>
        <v>0</v>
      </c>
      <c r="U50" s="1054">
        <f t="shared" si="14"/>
        <v>0</v>
      </c>
      <c r="V50" s="1054">
        <f t="shared" si="14"/>
        <v>0</v>
      </c>
    </row>
    <row r="51" spans="1:22">
      <c r="A51" s="998">
        <v>45</v>
      </c>
      <c r="B51" s="999" t="s">
        <v>139</v>
      </c>
      <c r="C51" s="1197">
        <v>0</v>
      </c>
      <c r="D51" s="1005">
        <f>'Table 3 Levels 1&amp;2'!BN53+'Table 3 Levels 1&amp;2'!BV53</f>
        <v>2159.257884231537</v>
      </c>
      <c r="E51" s="1103">
        <f t="shared" si="2"/>
        <v>0</v>
      </c>
      <c r="F51" s="1103">
        <f>'Table 4 Level 3'!N50</f>
        <v>753.96000000000015</v>
      </c>
      <c r="G51" s="1103">
        <f t="shared" si="3"/>
        <v>0</v>
      </c>
      <c r="H51" s="1060">
        <f t="shared" si="4"/>
        <v>0</v>
      </c>
      <c r="I51" s="1113">
        <f t="shared" si="5"/>
        <v>0</v>
      </c>
      <c r="J51" s="1060">
        <f t="shared" si="6"/>
        <v>0</v>
      </c>
      <c r="K51" s="1060">
        <v>0</v>
      </c>
      <c r="L51" s="1060">
        <f t="shared" si="7"/>
        <v>0</v>
      </c>
      <c r="M51" s="1060">
        <f t="shared" si="8"/>
        <v>0</v>
      </c>
      <c r="N51" s="1056">
        <f>'[18]FY2012-13 Final'!K52</f>
        <v>12427</v>
      </c>
      <c r="O51" s="1057">
        <f t="shared" si="9"/>
        <v>0</v>
      </c>
      <c r="P51" s="1119">
        <f t="shared" si="10"/>
        <v>0</v>
      </c>
      <c r="Q51" s="1057">
        <f t="shared" si="11"/>
        <v>0</v>
      </c>
      <c r="R51" s="1057">
        <v>0</v>
      </c>
      <c r="S51" s="1057">
        <f t="shared" si="12"/>
        <v>0</v>
      </c>
      <c r="T51" s="1057">
        <f t="shared" si="13"/>
        <v>0</v>
      </c>
      <c r="U51" s="1058">
        <f t="shared" si="14"/>
        <v>0</v>
      </c>
      <c r="V51" s="1058">
        <f t="shared" si="14"/>
        <v>0</v>
      </c>
    </row>
    <row r="52" spans="1:22">
      <c r="A52" s="987">
        <v>46</v>
      </c>
      <c r="B52" s="988" t="s">
        <v>140</v>
      </c>
      <c r="C52" s="1198">
        <v>0</v>
      </c>
      <c r="D52" s="1007">
        <f>'Table 3 Levels 1&amp;2'!BN54+'Table 3 Levels 1&amp;2'!BV54</f>
        <v>5578.7258135108641</v>
      </c>
      <c r="E52" s="1104">
        <f t="shared" si="2"/>
        <v>0</v>
      </c>
      <c r="F52" s="1104">
        <f>'Table 4 Level 3'!N51</f>
        <v>728.06</v>
      </c>
      <c r="G52" s="1104">
        <f t="shared" si="3"/>
        <v>0</v>
      </c>
      <c r="H52" s="1061">
        <f t="shared" si="4"/>
        <v>0</v>
      </c>
      <c r="I52" s="1114">
        <f t="shared" si="5"/>
        <v>0</v>
      </c>
      <c r="J52" s="1061">
        <f t="shared" si="6"/>
        <v>0</v>
      </c>
      <c r="K52" s="1061">
        <v>0</v>
      </c>
      <c r="L52" s="1061">
        <f t="shared" si="7"/>
        <v>0</v>
      </c>
      <c r="M52" s="1061">
        <f t="shared" si="8"/>
        <v>0</v>
      </c>
      <c r="N52" s="1051">
        <f>'[18]FY2012-13 Final'!K53</f>
        <v>1968</v>
      </c>
      <c r="O52" s="992">
        <f t="shared" si="9"/>
        <v>0</v>
      </c>
      <c r="P52" s="1117">
        <f t="shared" si="10"/>
        <v>0</v>
      </c>
      <c r="Q52" s="992">
        <f t="shared" si="11"/>
        <v>0</v>
      </c>
      <c r="R52" s="992">
        <v>0</v>
      </c>
      <c r="S52" s="992">
        <f t="shared" si="12"/>
        <v>0</v>
      </c>
      <c r="T52" s="992">
        <f t="shared" si="13"/>
        <v>0</v>
      </c>
      <c r="U52" s="993">
        <f t="shared" si="14"/>
        <v>0</v>
      </c>
      <c r="V52" s="993">
        <f t="shared" si="14"/>
        <v>0</v>
      </c>
    </row>
    <row r="53" spans="1:22">
      <c r="A53" s="994">
        <v>47</v>
      </c>
      <c r="B53" s="995" t="s">
        <v>141</v>
      </c>
      <c r="C53" s="1196">
        <v>0</v>
      </c>
      <c r="D53" s="1003">
        <f>'Table 3 Levels 1&amp;2'!BN55+'Table 3 Levels 1&amp;2'!BV55</f>
        <v>2709.058014721415</v>
      </c>
      <c r="E53" s="1102">
        <f t="shared" si="2"/>
        <v>0</v>
      </c>
      <c r="F53" s="1102">
        <f>'Table 4 Level 3'!N52</f>
        <v>910.76</v>
      </c>
      <c r="G53" s="1102">
        <f t="shared" si="3"/>
        <v>0</v>
      </c>
      <c r="H53" s="1059">
        <f t="shared" si="4"/>
        <v>0</v>
      </c>
      <c r="I53" s="1112">
        <f t="shared" si="5"/>
        <v>0</v>
      </c>
      <c r="J53" s="1059">
        <f t="shared" si="6"/>
        <v>0</v>
      </c>
      <c r="K53" s="1059">
        <v>0</v>
      </c>
      <c r="L53" s="1059">
        <f t="shared" si="7"/>
        <v>0</v>
      </c>
      <c r="M53" s="1059">
        <f t="shared" si="8"/>
        <v>0</v>
      </c>
      <c r="N53" s="1051">
        <f>'[18]FY2012-13 Final'!K54</f>
        <v>10049</v>
      </c>
      <c r="O53" s="1053">
        <f t="shared" si="9"/>
        <v>0</v>
      </c>
      <c r="P53" s="1118">
        <f t="shared" si="10"/>
        <v>0</v>
      </c>
      <c r="Q53" s="1053">
        <f t="shared" si="11"/>
        <v>0</v>
      </c>
      <c r="R53" s="1053">
        <v>0</v>
      </c>
      <c r="S53" s="1053">
        <f t="shared" si="12"/>
        <v>0</v>
      </c>
      <c r="T53" s="1053">
        <f t="shared" si="13"/>
        <v>0</v>
      </c>
      <c r="U53" s="1054">
        <f t="shared" si="14"/>
        <v>0</v>
      </c>
      <c r="V53" s="1054">
        <f t="shared" si="14"/>
        <v>0</v>
      </c>
    </row>
    <row r="54" spans="1:22">
      <c r="A54" s="994">
        <v>48</v>
      </c>
      <c r="B54" s="995" t="s">
        <v>202</v>
      </c>
      <c r="C54" s="1196">
        <v>0</v>
      </c>
      <c r="D54" s="1003">
        <f>'Table 3 Levels 1&amp;2'!BN56+'Table 3 Levels 1&amp;2'!BV56</f>
        <v>4259.4136153508553</v>
      </c>
      <c r="E54" s="1102">
        <f t="shared" si="2"/>
        <v>0</v>
      </c>
      <c r="F54" s="1102">
        <f>'Table 4 Level 3'!N53</f>
        <v>871.07</v>
      </c>
      <c r="G54" s="1102">
        <f t="shared" si="3"/>
        <v>0</v>
      </c>
      <c r="H54" s="1059">
        <f t="shared" si="4"/>
        <v>0</v>
      </c>
      <c r="I54" s="1112">
        <f t="shared" si="5"/>
        <v>0</v>
      </c>
      <c r="J54" s="1059">
        <f t="shared" si="6"/>
        <v>0</v>
      </c>
      <c r="K54" s="1059">
        <v>0</v>
      </c>
      <c r="L54" s="1059">
        <f t="shared" si="7"/>
        <v>0</v>
      </c>
      <c r="M54" s="1059">
        <f t="shared" si="8"/>
        <v>0</v>
      </c>
      <c r="N54" s="1051">
        <f>'[18]FY2012-13 Final'!K55</f>
        <v>5755</v>
      </c>
      <c r="O54" s="1053">
        <f t="shared" si="9"/>
        <v>0</v>
      </c>
      <c r="P54" s="1118">
        <f t="shared" si="10"/>
        <v>0</v>
      </c>
      <c r="Q54" s="1053">
        <f t="shared" si="11"/>
        <v>0</v>
      </c>
      <c r="R54" s="1053">
        <v>0</v>
      </c>
      <c r="S54" s="1053">
        <f t="shared" si="12"/>
        <v>0</v>
      </c>
      <c r="T54" s="1053">
        <f t="shared" si="13"/>
        <v>0</v>
      </c>
      <c r="U54" s="1054">
        <f t="shared" si="14"/>
        <v>0</v>
      </c>
      <c r="V54" s="1054">
        <f t="shared" si="14"/>
        <v>0</v>
      </c>
    </row>
    <row r="55" spans="1:22">
      <c r="A55" s="994">
        <v>49</v>
      </c>
      <c r="B55" s="995" t="s">
        <v>142</v>
      </c>
      <c r="C55" s="1196">
        <v>0</v>
      </c>
      <c r="D55" s="1003">
        <f>'Table 3 Levels 1&amp;2'!BN57+'Table 3 Levels 1&amp;2'!BV57</f>
        <v>4790.0513947378495</v>
      </c>
      <c r="E55" s="1102">
        <f t="shared" si="2"/>
        <v>0</v>
      </c>
      <c r="F55" s="1102">
        <f>'Table 4 Level 3'!N54</f>
        <v>574.43999999999994</v>
      </c>
      <c r="G55" s="1102">
        <f t="shared" si="3"/>
        <v>0</v>
      </c>
      <c r="H55" s="1059">
        <f t="shared" si="4"/>
        <v>0</v>
      </c>
      <c r="I55" s="1112">
        <f t="shared" si="5"/>
        <v>0</v>
      </c>
      <c r="J55" s="1059">
        <f t="shared" si="6"/>
        <v>0</v>
      </c>
      <c r="K55" s="1059">
        <v>0</v>
      </c>
      <c r="L55" s="1059">
        <f t="shared" si="7"/>
        <v>0</v>
      </c>
      <c r="M55" s="1059">
        <f t="shared" si="8"/>
        <v>0</v>
      </c>
      <c r="N55" s="1051">
        <f>'[18]FY2012-13 Final'!K56</f>
        <v>2335</v>
      </c>
      <c r="O55" s="1053">
        <f t="shared" si="9"/>
        <v>0</v>
      </c>
      <c r="P55" s="1118">
        <f t="shared" si="10"/>
        <v>0</v>
      </c>
      <c r="Q55" s="1053">
        <f t="shared" si="11"/>
        <v>0</v>
      </c>
      <c r="R55" s="1053">
        <v>0</v>
      </c>
      <c r="S55" s="1053">
        <f t="shared" si="12"/>
        <v>0</v>
      </c>
      <c r="T55" s="1053">
        <f t="shared" si="13"/>
        <v>0</v>
      </c>
      <c r="U55" s="1054">
        <f t="shared" si="14"/>
        <v>0</v>
      </c>
      <c r="V55" s="1054">
        <f t="shared" si="14"/>
        <v>0</v>
      </c>
    </row>
    <row r="56" spans="1:22">
      <c r="A56" s="998">
        <v>50</v>
      </c>
      <c r="B56" s="999" t="s">
        <v>143</v>
      </c>
      <c r="C56" s="1197">
        <v>0</v>
      </c>
      <c r="D56" s="1005">
        <f>'Table 3 Levels 1&amp;2'!BN58+'Table 3 Levels 1&amp;2'!BV58</f>
        <v>4954.3375045905796</v>
      </c>
      <c r="E56" s="1103">
        <f t="shared" si="2"/>
        <v>0</v>
      </c>
      <c r="F56" s="1103">
        <f>'Table 4 Level 3'!N55</f>
        <v>634.46</v>
      </c>
      <c r="G56" s="1103">
        <f t="shared" si="3"/>
        <v>0</v>
      </c>
      <c r="H56" s="1060">
        <f t="shared" si="4"/>
        <v>0</v>
      </c>
      <c r="I56" s="1113">
        <f t="shared" si="5"/>
        <v>0</v>
      </c>
      <c r="J56" s="1060">
        <f t="shared" si="6"/>
        <v>0</v>
      </c>
      <c r="K56" s="1060">
        <v>0</v>
      </c>
      <c r="L56" s="1060">
        <f t="shared" si="7"/>
        <v>0</v>
      </c>
      <c r="M56" s="1060">
        <f t="shared" si="8"/>
        <v>0</v>
      </c>
      <c r="N56" s="1056">
        <f>'[18]FY2012-13 Final'!K57</f>
        <v>2801</v>
      </c>
      <c r="O56" s="1057">
        <f t="shared" si="9"/>
        <v>0</v>
      </c>
      <c r="P56" s="1119">
        <f t="shared" si="10"/>
        <v>0</v>
      </c>
      <c r="Q56" s="1057">
        <f t="shared" si="11"/>
        <v>0</v>
      </c>
      <c r="R56" s="1057">
        <v>0</v>
      </c>
      <c r="S56" s="1057">
        <f t="shared" si="12"/>
        <v>0</v>
      </c>
      <c r="T56" s="1057">
        <f t="shared" si="13"/>
        <v>0</v>
      </c>
      <c r="U56" s="1058">
        <f t="shared" si="14"/>
        <v>0</v>
      </c>
      <c r="V56" s="1058">
        <f t="shared" si="14"/>
        <v>0</v>
      </c>
    </row>
    <row r="57" spans="1:22">
      <c r="A57" s="987">
        <v>51</v>
      </c>
      <c r="B57" s="988" t="s">
        <v>144</v>
      </c>
      <c r="C57" s="1198">
        <v>0</v>
      </c>
      <c r="D57" s="1007">
        <f>'Table 3 Levels 1&amp;2'!BN59+'Table 3 Levels 1&amp;2'!BV59</f>
        <v>4290.3461727150461</v>
      </c>
      <c r="E57" s="1104">
        <f t="shared" si="2"/>
        <v>0</v>
      </c>
      <c r="F57" s="1104">
        <f>'Table 4 Level 3'!N56</f>
        <v>706.66</v>
      </c>
      <c r="G57" s="1104">
        <f t="shared" si="3"/>
        <v>0</v>
      </c>
      <c r="H57" s="1061">
        <f t="shared" si="4"/>
        <v>0</v>
      </c>
      <c r="I57" s="1114">
        <f t="shared" si="5"/>
        <v>0</v>
      </c>
      <c r="J57" s="1061">
        <f t="shared" si="6"/>
        <v>0</v>
      </c>
      <c r="K57" s="1061">
        <v>0</v>
      </c>
      <c r="L57" s="1061">
        <f t="shared" si="7"/>
        <v>0</v>
      </c>
      <c r="M57" s="1061">
        <f t="shared" si="8"/>
        <v>0</v>
      </c>
      <c r="N57" s="1051">
        <f>'[18]FY2012-13 Final'!K58</f>
        <v>4053</v>
      </c>
      <c r="O57" s="992">
        <f t="shared" si="9"/>
        <v>0</v>
      </c>
      <c r="P57" s="1117">
        <f t="shared" si="10"/>
        <v>0</v>
      </c>
      <c r="Q57" s="992">
        <f t="shared" si="11"/>
        <v>0</v>
      </c>
      <c r="R57" s="992">
        <v>0</v>
      </c>
      <c r="S57" s="992">
        <f t="shared" si="12"/>
        <v>0</v>
      </c>
      <c r="T57" s="992">
        <f t="shared" si="13"/>
        <v>0</v>
      </c>
      <c r="U57" s="993">
        <f t="shared" si="14"/>
        <v>0</v>
      </c>
      <c r="V57" s="993">
        <f t="shared" si="14"/>
        <v>0</v>
      </c>
    </row>
    <row r="58" spans="1:22">
      <c r="A58" s="994">
        <v>52</v>
      </c>
      <c r="B58" s="995" t="s">
        <v>145</v>
      </c>
      <c r="C58" s="1196">
        <v>0</v>
      </c>
      <c r="D58" s="1003">
        <f>'Table 3 Levels 1&amp;2'!BN60+'Table 3 Levels 1&amp;2'!BV60</f>
        <v>4988.6415961118701</v>
      </c>
      <c r="E58" s="1102">
        <f t="shared" si="2"/>
        <v>0</v>
      </c>
      <c r="F58" s="1102">
        <f>'Table 4 Level 3'!N57</f>
        <v>658.37</v>
      </c>
      <c r="G58" s="1102">
        <f t="shared" si="3"/>
        <v>0</v>
      </c>
      <c r="H58" s="1059">
        <f t="shared" si="4"/>
        <v>0</v>
      </c>
      <c r="I58" s="1112">
        <f t="shared" si="5"/>
        <v>0</v>
      </c>
      <c r="J58" s="1059">
        <f t="shared" si="6"/>
        <v>0</v>
      </c>
      <c r="K58" s="1059">
        <v>0</v>
      </c>
      <c r="L58" s="1059">
        <f t="shared" si="7"/>
        <v>0</v>
      </c>
      <c r="M58" s="1059">
        <f t="shared" si="8"/>
        <v>0</v>
      </c>
      <c r="N58" s="1051">
        <f>'[18]FY2012-13 Final'!K59</f>
        <v>4886</v>
      </c>
      <c r="O58" s="1053">
        <f t="shared" si="9"/>
        <v>0</v>
      </c>
      <c r="P58" s="1118">
        <f t="shared" si="10"/>
        <v>0</v>
      </c>
      <c r="Q58" s="1053">
        <f t="shared" si="11"/>
        <v>0</v>
      </c>
      <c r="R58" s="1053">
        <v>0</v>
      </c>
      <c r="S58" s="1053">
        <f t="shared" si="12"/>
        <v>0</v>
      </c>
      <c r="T58" s="1053">
        <f t="shared" si="13"/>
        <v>0</v>
      </c>
      <c r="U58" s="1054">
        <f t="shared" si="14"/>
        <v>0</v>
      </c>
      <c r="V58" s="1054">
        <f t="shared" si="14"/>
        <v>0</v>
      </c>
    </row>
    <row r="59" spans="1:22">
      <c r="A59" s="994">
        <v>53</v>
      </c>
      <c r="B59" s="995" t="s">
        <v>146</v>
      </c>
      <c r="C59" s="1196">
        <v>0</v>
      </c>
      <c r="D59" s="1003">
        <f>'Table 3 Levels 1&amp;2'!BN61+'Table 3 Levels 1&amp;2'!BV61</f>
        <v>4739.7077057162423</v>
      </c>
      <c r="E59" s="1102">
        <f t="shared" si="2"/>
        <v>0</v>
      </c>
      <c r="F59" s="1102">
        <f>'Table 4 Level 3'!N58</f>
        <v>689.74</v>
      </c>
      <c r="G59" s="1102">
        <f t="shared" si="3"/>
        <v>0</v>
      </c>
      <c r="H59" s="1059">
        <f t="shared" si="4"/>
        <v>0</v>
      </c>
      <c r="I59" s="1112">
        <f t="shared" si="5"/>
        <v>0</v>
      </c>
      <c r="J59" s="1059">
        <f t="shared" si="6"/>
        <v>0</v>
      </c>
      <c r="K59" s="1059">
        <v>0</v>
      </c>
      <c r="L59" s="1059">
        <f t="shared" si="7"/>
        <v>0</v>
      </c>
      <c r="M59" s="1059">
        <f t="shared" si="8"/>
        <v>0</v>
      </c>
      <c r="N59" s="1051">
        <f>'[18]FY2012-13 Final'!K60</f>
        <v>1929</v>
      </c>
      <c r="O59" s="1053">
        <f t="shared" si="9"/>
        <v>0</v>
      </c>
      <c r="P59" s="1118">
        <f t="shared" si="10"/>
        <v>0</v>
      </c>
      <c r="Q59" s="1053">
        <f t="shared" si="11"/>
        <v>0</v>
      </c>
      <c r="R59" s="1053">
        <v>0</v>
      </c>
      <c r="S59" s="1053">
        <f t="shared" si="12"/>
        <v>0</v>
      </c>
      <c r="T59" s="1053">
        <f t="shared" si="13"/>
        <v>0</v>
      </c>
      <c r="U59" s="1054">
        <f t="shared" si="14"/>
        <v>0</v>
      </c>
      <c r="V59" s="1054">
        <f t="shared" si="14"/>
        <v>0</v>
      </c>
    </row>
    <row r="60" spans="1:22">
      <c r="A60" s="994">
        <v>54</v>
      </c>
      <c r="B60" s="995" t="s">
        <v>147</v>
      </c>
      <c r="C60" s="1196">
        <v>0</v>
      </c>
      <c r="D60" s="1003">
        <f>'Table 3 Levels 1&amp;2'!BN62+'Table 3 Levels 1&amp;2'!BV62</f>
        <v>5907.1276437932838</v>
      </c>
      <c r="E60" s="1102">
        <f t="shared" si="2"/>
        <v>0</v>
      </c>
      <c r="F60" s="1102">
        <f>'Table 4 Level 3'!N59</f>
        <v>951.45</v>
      </c>
      <c r="G60" s="1102">
        <f t="shared" si="3"/>
        <v>0</v>
      </c>
      <c r="H60" s="1059">
        <f t="shared" si="4"/>
        <v>0</v>
      </c>
      <c r="I60" s="1112">
        <f t="shared" si="5"/>
        <v>0</v>
      </c>
      <c r="J60" s="1059">
        <f t="shared" si="6"/>
        <v>0</v>
      </c>
      <c r="K60" s="1059">
        <v>0</v>
      </c>
      <c r="L60" s="1059">
        <f t="shared" si="7"/>
        <v>0</v>
      </c>
      <c r="M60" s="1059">
        <f t="shared" si="8"/>
        <v>0</v>
      </c>
      <c r="N60" s="1051">
        <f>'[18]FY2012-13 Final'!K61</f>
        <v>3382</v>
      </c>
      <c r="O60" s="1053">
        <f t="shared" si="9"/>
        <v>0</v>
      </c>
      <c r="P60" s="1118">
        <f t="shared" si="10"/>
        <v>0</v>
      </c>
      <c r="Q60" s="1053">
        <f t="shared" si="11"/>
        <v>0</v>
      </c>
      <c r="R60" s="1053">
        <v>0</v>
      </c>
      <c r="S60" s="1053">
        <f t="shared" si="12"/>
        <v>0</v>
      </c>
      <c r="T60" s="1053">
        <f t="shared" si="13"/>
        <v>0</v>
      </c>
      <c r="U60" s="1054">
        <f t="shared" si="14"/>
        <v>0</v>
      </c>
      <c r="V60" s="1054">
        <f t="shared" si="14"/>
        <v>0</v>
      </c>
    </row>
    <row r="61" spans="1:22">
      <c r="A61" s="998">
        <v>55</v>
      </c>
      <c r="B61" s="999" t="s">
        <v>148</v>
      </c>
      <c r="C61" s="1197">
        <v>0</v>
      </c>
      <c r="D61" s="1005">
        <f>'Table 3 Levels 1&amp;2'!BN63+'Table 3 Levels 1&amp;2'!BV63</f>
        <v>4115.0954812679902</v>
      </c>
      <c r="E61" s="1103">
        <f t="shared" si="2"/>
        <v>0</v>
      </c>
      <c r="F61" s="1103">
        <f>'Table 4 Level 3'!N60</f>
        <v>795.14</v>
      </c>
      <c r="G61" s="1103">
        <f t="shared" si="3"/>
        <v>0</v>
      </c>
      <c r="H61" s="1060">
        <f t="shared" si="4"/>
        <v>0</v>
      </c>
      <c r="I61" s="1113">
        <f t="shared" si="5"/>
        <v>0</v>
      </c>
      <c r="J61" s="1060">
        <f t="shared" si="6"/>
        <v>0</v>
      </c>
      <c r="K61" s="1060">
        <v>0</v>
      </c>
      <c r="L61" s="1060">
        <f t="shared" si="7"/>
        <v>0</v>
      </c>
      <c r="M61" s="1060">
        <f t="shared" si="8"/>
        <v>0</v>
      </c>
      <c r="N61" s="1056">
        <f>'[18]FY2012-13 Final'!K62</f>
        <v>3127</v>
      </c>
      <c r="O61" s="1057">
        <f t="shared" si="9"/>
        <v>0</v>
      </c>
      <c r="P61" s="1119">
        <f t="shared" si="10"/>
        <v>0</v>
      </c>
      <c r="Q61" s="1057">
        <f t="shared" si="11"/>
        <v>0</v>
      </c>
      <c r="R61" s="1057">
        <v>0</v>
      </c>
      <c r="S61" s="1057">
        <f t="shared" si="12"/>
        <v>0</v>
      </c>
      <c r="T61" s="1057">
        <f t="shared" si="13"/>
        <v>0</v>
      </c>
      <c r="U61" s="1058">
        <f t="shared" si="14"/>
        <v>0</v>
      </c>
      <c r="V61" s="1058">
        <f t="shared" si="14"/>
        <v>0</v>
      </c>
    </row>
    <row r="62" spans="1:22">
      <c r="A62" s="987">
        <v>56</v>
      </c>
      <c r="B62" s="988" t="s">
        <v>149</v>
      </c>
      <c r="C62" s="1198">
        <v>0</v>
      </c>
      <c r="D62" s="1007">
        <f>'Table 3 Levels 1&amp;2'!BN64+'Table 3 Levels 1&amp;2'!BV64</f>
        <v>4924.9032059941637</v>
      </c>
      <c r="E62" s="1104">
        <f t="shared" si="2"/>
        <v>0</v>
      </c>
      <c r="F62" s="1104">
        <f>'Table 4 Level 3'!N61</f>
        <v>614.66000000000008</v>
      </c>
      <c r="G62" s="1104">
        <f t="shared" si="3"/>
        <v>0</v>
      </c>
      <c r="H62" s="1061">
        <f t="shared" si="4"/>
        <v>0</v>
      </c>
      <c r="I62" s="1114">
        <f t="shared" si="5"/>
        <v>0</v>
      </c>
      <c r="J62" s="1061">
        <f t="shared" si="6"/>
        <v>0</v>
      </c>
      <c r="K62" s="1061">
        <v>0</v>
      </c>
      <c r="L62" s="1061">
        <f t="shared" si="7"/>
        <v>0</v>
      </c>
      <c r="M62" s="1061">
        <f t="shared" si="8"/>
        <v>0</v>
      </c>
      <c r="N62" s="1051">
        <f>'[18]FY2012-13 Final'!K63</f>
        <v>2768</v>
      </c>
      <c r="O62" s="992">
        <f t="shared" si="9"/>
        <v>0</v>
      </c>
      <c r="P62" s="1117">
        <f t="shared" si="10"/>
        <v>0</v>
      </c>
      <c r="Q62" s="992">
        <f t="shared" si="11"/>
        <v>0</v>
      </c>
      <c r="R62" s="992">
        <v>0</v>
      </c>
      <c r="S62" s="992">
        <f t="shared" si="12"/>
        <v>0</v>
      </c>
      <c r="T62" s="992">
        <f t="shared" si="13"/>
        <v>0</v>
      </c>
      <c r="U62" s="993">
        <f t="shared" si="14"/>
        <v>0</v>
      </c>
      <c r="V62" s="993">
        <f t="shared" si="14"/>
        <v>0</v>
      </c>
    </row>
    <row r="63" spans="1:22">
      <c r="A63" s="994">
        <v>57</v>
      </c>
      <c r="B63" s="995" t="s">
        <v>150</v>
      </c>
      <c r="C63" s="1196">
        <v>0</v>
      </c>
      <c r="D63" s="1003">
        <f>'Table 3 Levels 1&amp;2'!BN65+'Table 3 Levels 1&amp;2'!BV65</f>
        <v>4434.5516744018987</v>
      </c>
      <c r="E63" s="1102">
        <f t="shared" si="2"/>
        <v>0</v>
      </c>
      <c r="F63" s="1102">
        <f>'Table 4 Level 3'!N62</f>
        <v>764.51</v>
      </c>
      <c r="G63" s="1102">
        <f t="shared" si="3"/>
        <v>0</v>
      </c>
      <c r="H63" s="1059">
        <f t="shared" si="4"/>
        <v>0</v>
      </c>
      <c r="I63" s="1112">
        <f t="shared" si="5"/>
        <v>0</v>
      </c>
      <c r="J63" s="1059">
        <f t="shared" si="6"/>
        <v>0</v>
      </c>
      <c r="K63" s="1059">
        <v>0</v>
      </c>
      <c r="L63" s="1059">
        <f t="shared" si="7"/>
        <v>0</v>
      </c>
      <c r="M63" s="1059">
        <f t="shared" si="8"/>
        <v>0</v>
      </c>
      <c r="N63" s="1051">
        <f>'[18]FY2012-13 Final'!K64</f>
        <v>2987</v>
      </c>
      <c r="O63" s="1053">
        <f t="shared" si="9"/>
        <v>0</v>
      </c>
      <c r="P63" s="1118">
        <f t="shared" si="10"/>
        <v>0</v>
      </c>
      <c r="Q63" s="1053">
        <f t="shared" si="11"/>
        <v>0</v>
      </c>
      <c r="R63" s="1053">
        <v>0</v>
      </c>
      <c r="S63" s="1053">
        <f t="shared" si="12"/>
        <v>0</v>
      </c>
      <c r="T63" s="1053">
        <f t="shared" si="13"/>
        <v>0</v>
      </c>
      <c r="U63" s="1054">
        <f t="shared" si="14"/>
        <v>0</v>
      </c>
      <c r="V63" s="1054">
        <f t="shared" si="14"/>
        <v>0</v>
      </c>
    </row>
    <row r="64" spans="1:22">
      <c r="A64" s="994">
        <v>58</v>
      </c>
      <c r="B64" s="995" t="s">
        <v>151</v>
      </c>
      <c r="C64" s="1196">
        <v>0</v>
      </c>
      <c r="D64" s="1003">
        <f>'Table 3 Levels 1&amp;2'!BN66+'Table 3 Levels 1&amp;2'!BV66</f>
        <v>5434.7170435013286</v>
      </c>
      <c r="E64" s="1102">
        <f t="shared" si="2"/>
        <v>0</v>
      </c>
      <c r="F64" s="1102">
        <f>'Table 4 Level 3'!N63</f>
        <v>697.04</v>
      </c>
      <c r="G64" s="1102">
        <f t="shared" si="3"/>
        <v>0</v>
      </c>
      <c r="H64" s="1059">
        <f t="shared" si="4"/>
        <v>0</v>
      </c>
      <c r="I64" s="1112">
        <f t="shared" si="5"/>
        <v>0</v>
      </c>
      <c r="J64" s="1059">
        <f t="shared" si="6"/>
        <v>0</v>
      </c>
      <c r="K64" s="1059">
        <v>0</v>
      </c>
      <c r="L64" s="1059">
        <f t="shared" si="7"/>
        <v>0</v>
      </c>
      <c r="M64" s="1059">
        <f t="shared" si="8"/>
        <v>0</v>
      </c>
      <c r="N64" s="1051">
        <f>'[18]FY2012-13 Final'!K65</f>
        <v>2055</v>
      </c>
      <c r="O64" s="1053">
        <f t="shared" si="9"/>
        <v>0</v>
      </c>
      <c r="P64" s="1118">
        <f t="shared" si="10"/>
        <v>0</v>
      </c>
      <c r="Q64" s="1053">
        <f t="shared" si="11"/>
        <v>0</v>
      </c>
      <c r="R64" s="1053">
        <v>0</v>
      </c>
      <c r="S64" s="1053">
        <f t="shared" si="12"/>
        <v>0</v>
      </c>
      <c r="T64" s="1053">
        <f t="shared" si="13"/>
        <v>0</v>
      </c>
      <c r="U64" s="1054">
        <f t="shared" si="14"/>
        <v>0</v>
      </c>
      <c r="V64" s="1054">
        <f t="shared" si="14"/>
        <v>0</v>
      </c>
    </row>
    <row r="65" spans="1:22">
      <c r="A65" s="994">
        <v>59</v>
      </c>
      <c r="B65" s="995" t="s">
        <v>152</v>
      </c>
      <c r="C65" s="1196">
        <v>0</v>
      </c>
      <c r="D65" s="1003">
        <f>'Table 3 Levels 1&amp;2'!BN67+'Table 3 Levels 1&amp;2'!BV67</f>
        <v>6252.2385330184643</v>
      </c>
      <c r="E65" s="1102">
        <f t="shared" si="2"/>
        <v>0</v>
      </c>
      <c r="F65" s="1102">
        <f>'Table 4 Level 3'!N64</f>
        <v>689.52</v>
      </c>
      <c r="G65" s="1102">
        <f t="shared" si="3"/>
        <v>0</v>
      </c>
      <c r="H65" s="1059">
        <f t="shared" si="4"/>
        <v>0</v>
      </c>
      <c r="I65" s="1112">
        <f t="shared" si="5"/>
        <v>0</v>
      </c>
      <c r="J65" s="1059">
        <f t="shared" si="6"/>
        <v>0</v>
      </c>
      <c r="K65" s="1059">
        <v>0</v>
      </c>
      <c r="L65" s="1059">
        <f t="shared" si="7"/>
        <v>0</v>
      </c>
      <c r="M65" s="1059">
        <f t="shared" si="8"/>
        <v>0</v>
      </c>
      <c r="N65" s="1051">
        <f>'[18]FY2012-13 Final'!K66</f>
        <v>1528</v>
      </c>
      <c r="O65" s="1053">
        <f t="shared" si="9"/>
        <v>0</v>
      </c>
      <c r="P65" s="1118">
        <f t="shared" si="10"/>
        <v>0</v>
      </c>
      <c r="Q65" s="1053">
        <f t="shared" si="11"/>
        <v>0</v>
      </c>
      <c r="R65" s="1053">
        <v>0</v>
      </c>
      <c r="S65" s="1053">
        <f t="shared" si="12"/>
        <v>0</v>
      </c>
      <c r="T65" s="1053">
        <f t="shared" si="13"/>
        <v>0</v>
      </c>
      <c r="U65" s="1054">
        <f t="shared" si="14"/>
        <v>0</v>
      </c>
      <c r="V65" s="1054">
        <f t="shared" si="14"/>
        <v>0</v>
      </c>
    </row>
    <row r="66" spans="1:22">
      <c r="A66" s="998">
        <v>60</v>
      </c>
      <c r="B66" s="999" t="s">
        <v>153</v>
      </c>
      <c r="C66" s="1197">
        <v>0</v>
      </c>
      <c r="D66" s="1005">
        <f>'Table 3 Levels 1&amp;2'!BN68+'Table 3 Levels 1&amp;2'!BV68</f>
        <v>4902.6575100268701</v>
      </c>
      <c r="E66" s="1103">
        <f t="shared" si="2"/>
        <v>0</v>
      </c>
      <c r="F66" s="1103">
        <f>'Table 4 Level 3'!N65</f>
        <v>594.04</v>
      </c>
      <c r="G66" s="1103">
        <f t="shared" si="3"/>
        <v>0</v>
      </c>
      <c r="H66" s="1060">
        <f t="shared" si="4"/>
        <v>0</v>
      </c>
      <c r="I66" s="1113">
        <f t="shared" si="5"/>
        <v>0</v>
      </c>
      <c r="J66" s="1060">
        <f t="shared" si="6"/>
        <v>0</v>
      </c>
      <c r="K66" s="1060">
        <v>0</v>
      </c>
      <c r="L66" s="1060">
        <f t="shared" si="7"/>
        <v>0</v>
      </c>
      <c r="M66" s="1060">
        <f t="shared" si="8"/>
        <v>0</v>
      </c>
      <c r="N66" s="1056">
        <f>'[18]FY2012-13 Final'!K67</f>
        <v>3918</v>
      </c>
      <c r="O66" s="1057">
        <f t="shared" si="9"/>
        <v>0</v>
      </c>
      <c r="P66" s="1119">
        <f t="shared" si="10"/>
        <v>0</v>
      </c>
      <c r="Q66" s="1057">
        <f t="shared" si="11"/>
        <v>0</v>
      </c>
      <c r="R66" s="1057">
        <v>0</v>
      </c>
      <c r="S66" s="1057">
        <f t="shared" si="12"/>
        <v>0</v>
      </c>
      <c r="T66" s="1057">
        <f t="shared" si="13"/>
        <v>0</v>
      </c>
      <c r="U66" s="1058">
        <f t="shared" si="14"/>
        <v>0</v>
      </c>
      <c r="V66" s="1058">
        <f t="shared" si="14"/>
        <v>0</v>
      </c>
    </row>
    <row r="67" spans="1:22">
      <c r="A67" s="987">
        <v>61</v>
      </c>
      <c r="B67" s="988" t="s">
        <v>154</v>
      </c>
      <c r="C67" s="1198">
        <v>0</v>
      </c>
      <c r="D67" s="1007">
        <f>'Table 3 Levels 1&amp;2'!BN69+'Table 3 Levels 1&amp;2'!BV69</f>
        <v>2872.7719101339244</v>
      </c>
      <c r="E67" s="1104">
        <f t="shared" si="2"/>
        <v>0</v>
      </c>
      <c r="F67" s="1104">
        <f>'Table 4 Level 3'!N66</f>
        <v>833.70999999999992</v>
      </c>
      <c r="G67" s="1104">
        <f t="shared" si="3"/>
        <v>0</v>
      </c>
      <c r="H67" s="1061">
        <f t="shared" si="4"/>
        <v>0</v>
      </c>
      <c r="I67" s="1114">
        <f t="shared" si="5"/>
        <v>0</v>
      </c>
      <c r="J67" s="1061">
        <f t="shared" si="6"/>
        <v>0</v>
      </c>
      <c r="K67" s="1061">
        <v>0</v>
      </c>
      <c r="L67" s="1061">
        <f t="shared" si="7"/>
        <v>0</v>
      </c>
      <c r="M67" s="1061">
        <f t="shared" si="8"/>
        <v>0</v>
      </c>
      <c r="N67" s="1051">
        <f>'[18]FY2012-13 Final'!K68</f>
        <v>6680</v>
      </c>
      <c r="O67" s="992">
        <f t="shared" si="9"/>
        <v>0</v>
      </c>
      <c r="P67" s="1117">
        <f t="shared" si="10"/>
        <v>0</v>
      </c>
      <c r="Q67" s="992">
        <f t="shared" si="11"/>
        <v>0</v>
      </c>
      <c r="R67" s="992">
        <v>0</v>
      </c>
      <c r="S67" s="992">
        <f t="shared" si="12"/>
        <v>0</v>
      </c>
      <c r="T67" s="992">
        <f t="shared" si="13"/>
        <v>0</v>
      </c>
      <c r="U67" s="993">
        <f t="shared" si="14"/>
        <v>0</v>
      </c>
      <c r="V67" s="993">
        <f t="shared" si="14"/>
        <v>0</v>
      </c>
    </row>
    <row r="68" spans="1:22">
      <c r="A68" s="994">
        <v>62</v>
      </c>
      <c r="B68" s="995" t="s">
        <v>155</v>
      </c>
      <c r="C68" s="1196">
        <v>0</v>
      </c>
      <c r="D68" s="1003">
        <f>'Table 3 Levels 1&amp;2'!BN70+'Table 3 Levels 1&amp;2'!BV70</f>
        <v>5594.25143978908</v>
      </c>
      <c r="E68" s="1102">
        <f t="shared" si="2"/>
        <v>0</v>
      </c>
      <c r="F68" s="1102">
        <f>'Table 4 Level 3'!N67</f>
        <v>516.08000000000004</v>
      </c>
      <c r="G68" s="1102">
        <f t="shared" si="3"/>
        <v>0</v>
      </c>
      <c r="H68" s="1059">
        <f t="shared" si="4"/>
        <v>0</v>
      </c>
      <c r="I68" s="1112">
        <f t="shared" si="5"/>
        <v>0</v>
      </c>
      <c r="J68" s="1059">
        <f t="shared" si="6"/>
        <v>0</v>
      </c>
      <c r="K68" s="1059">
        <v>0</v>
      </c>
      <c r="L68" s="1059">
        <f t="shared" si="7"/>
        <v>0</v>
      </c>
      <c r="M68" s="1059">
        <f t="shared" si="8"/>
        <v>0</v>
      </c>
      <c r="N68" s="1051">
        <f>'[18]FY2012-13 Final'!K69</f>
        <v>1754</v>
      </c>
      <c r="O68" s="1053">
        <f t="shared" si="9"/>
        <v>0</v>
      </c>
      <c r="P68" s="1118">
        <f t="shared" si="10"/>
        <v>0</v>
      </c>
      <c r="Q68" s="1053">
        <f t="shared" si="11"/>
        <v>0</v>
      </c>
      <c r="R68" s="1053">
        <v>0</v>
      </c>
      <c r="S68" s="1053">
        <f t="shared" si="12"/>
        <v>0</v>
      </c>
      <c r="T68" s="1053">
        <f t="shared" si="13"/>
        <v>0</v>
      </c>
      <c r="U68" s="1054">
        <f t="shared" si="14"/>
        <v>0</v>
      </c>
      <c r="V68" s="1054">
        <f t="shared" si="14"/>
        <v>0</v>
      </c>
    </row>
    <row r="69" spans="1:22">
      <c r="A69" s="994">
        <v>63</v>
      </c>
      <c r="B69" s="995" t="s">
        <v>156</v>
      </c>
      <c r="C69" s="1196">
        <v>0</v>
      </c>
      <c r="D69" s="1003">
        <f>'Table 3 Levels 1&amp;2'!BN71+'Table 3 Levels 1&amp;2'!BV71</f>
        <v>4318.8609300898834</v>
      </c>
      <c r="E69" s="1102">
        <f t="shared" si="2"/>
        <v>0</v>
      </c>
      <c r="F69" s="1102">
        <f>'Table 4 Level 3'!N68</f>
        <v>756.79</v>
      </c>
      <c r="G69" s="1102">
        <f t="shared" si="3"/>
        <v>0</v>
      </c>
      <c r="H69" s="1059">
        <f t="shared" si="4"/>
        <v>0</v>
      </c>
      <c r="I69" s="1112">
        <f t="shared" si="5"/>
        <v>0</v>
      </c>
      <c r="J69" s="1059">
        <f t="shared" si="6"/>
        <v>0</v>
      </c>
      <c r="K69" s="1059">
        <v>0</v>
      </c>
      <c r="L69" s="1059">
        <f t="shared" si="7"/>
        <v>0</v>
      </c>
      <c r="M69" s="1059">
        <f t="shared" si="8"/>
        <v>0</v>
      </c>
      <c r="N69" s="1051">
        <f>'[18]FY2012-13 Final'!K70</f>
        <v>7182</v>
      </c>
      <c r="O69" s="1053">
        <f t="shared" si="9"/>
        <v>0</v>
      </c>
      <c r="P69" s="1118">
        <f t="shared" si="10"/>
        <v>0</v>
      </c>
      <c r="Q69" s="1053">
        <f t="shared" si="11"/>
        <v>0</v>
      </c>
      <c r="R69" s="1053">
        <v>0</v>
      </c>
      <c r="S69" s="1053">
        <f t="shared" si="12"/>
        <v>0</v>
      </c>
      <c r="T69" s="1053">
        <f t="shared" si="13"/>
        <v>0</v>
      </c>
      <c r="U69" s="1054">
        <f t="shared" si="14"/>
        <v>0</v>
      </c>
      <c r="V69" s="1054">
        <f t="shared" si="14"/>
        <v>0</v>
      </c>
    </row>
    <row r="70" spans="1:22">
      <c r="A70" s="994">
        <v>64</v>
      </c>
      <c r="B70" s="995" t="s">
        <v>157</v>
      </c>
      <c r="C70" s="1196">
        <v>0</v>
      </c>
      <c r="D70" s="1003">
        <f>'Table 3 Levels 1&amp;2'!BN72+'Table 3 Levels 1&amp;2'!BV72</f>
        <v>5921.7418933384488</v>
      </c>
      <c r="E70" s="1102">
        <f t="shared" si="2"/>
        <v>0</v>
      </c>
      <c r="F70" s="1102">
        <f>'Table 4 Level 3'!N69</f>
        <v>592.66</v>
      </c>
      <c r="G70" s="1102">
        <f t="shared" si="3"/>
        <v>0</v>
      </c>
      <c r="H70" s="1059">
        <f t="shared" si="4"/>
        <v>0</v>
      </c>
      <c r="I70" s="1112">
        <f t="shared" si="5"/>
        <v>0</v>
      </c>
      <c r="J70" s="1059">
        <f t="shared" si="6"/>
        <v>0</v>
      </c>
      <c r="K70" s="1059">
        <v>0</v>
      </c>
      <c r="L70" s="1059">
        <f t="shared" si="7"/>
        <v>0</v>
      </c>
      <c r="M70" s="1059">
        <f t="shared" si="8"/>
        <v>0</v>
      </c>
      <c r="N70" s="1051">
        <f>'[18]FY2012-13 Final'!K71</f>
        <v>2701</v>
      </c>
      <c r="O70" s="1053">
        <f t="shared" si="9"/>
        <v>0</v>
      </c>
      <c r="P70" s="1118">
        <f t="shared" si="10"/>
        <v>0</v>
      </c>
      <c r="Q70" s="1053">
        <f t="shared" si="11"/>
        <v>0</v>
      </c>
      <c r="R70" s="1053">
        <v>0</v>
      </c>
      <c r="S70" s="1053">
        <f t="shared" si="12"/>
        <v>0</v>
      </c>
      <c r="T70" s="1053">
        <f t="shared" si="13"/>
        <v>0</v>
      </c>
      <c r="U70" s="1054">
        <f t="shared" si="14"/>
        <v>0</v>
      </c>
      <c r="V70" s="1054">
        <f t="shared" si="14"/>
        <v>0</v>
      </c>
    </row>
    <row r="71" spans="1:22">
      <c r="A71" s="998">
        <v>65</v>
      </c>
      <c r="B71" s="999" t="s">
        <v>158</v>
      </c>
      <c r="C71" s="1197">
        <v>0</v>
      </c>
      <c r="D71" s="1005">
        <f>'Table 3 Levels 1&amp;2'!BN73+'Table 3 Levels 1&amp;2'!BV73</f>
        <v>4578.9201269671275</v>
      </c>
      <c r="E71" s="1103">
        <f t="shared" si="2"/>
        <v>0</v>
      </c>
      <c r="F71" s="1103">
        <f>'Table 4 Level 3'!N70</f>
        <v>829.12</v>
      </c>
      <c r="G71" s="1103">
        <f t="shared" si="3"/>
        <v>0</v>
      </c>
      <c r="H71" s="1060">
        <f t="shared" si="4"/>
        <v>0</v>
      </c>
      <c r="I71" s="1113">
        <f t="shared" si="5"/>
        <v>0</v>
      </c>
      <c r="J71" s="1060">
        <f t="shared" si="6"/>
        <v>0</v>
      </c>
      <c r="K71" s="1060">
        <v>0</v>
      </c>
      <c r="L71" s="1060">
        <f t="shared" si="7"/>
        <v>0</v>
      </c>
      <c r="M71" s="1060">
        <f t="shared" si="8"/>
        <v>0</v>
      </c>
      <c r="N71" s="1056">
        <f>'[18]FY2012-13 Final'!K72</f>
        <v>4813</v>
      </c>
      <c r="O71" s="1057">
        <f t="shared" si="9"/>
        <v>0</v>
      </c>
      <c r="P71" s="1119">
        <f t="shared" si="10"/>
        <v>0</v>
      </c>
      <c r="Q71" s="1057">
        <f t="shared" si="11"/>
        <v>0</v>
      </c>
      <c r="R71" s="1057">
        <v>0</v>
      </c>
      <c r="S71" s="1057">
        <f t="shared" si="12"/>
        <v>0</v>
      </c>
      <c r="T71" s="1057">
        <f t="shared" si="13"/>
        <v>0</v>
      </c>
      <c r="U71" s="1058">
        <f t="shared" si="14"/>
        <v>0</v>
      </c>
      <c r="V71" s="1058">
        <f t="shared" si="14"/>
        <v>0</v>
      </c>
    </row>
    <row r="72" spans="1:22">
      <c r="A72" s="987">
        <v>66</v>
      </c>
      <c r="B72" s="988" t="s">
        <v>159</v>
      </c>
      <c r="C72" s="1198">
        <v>0</v>
      </c>
      <c r="D72" s="1007">
        <f>'Table 3 Levels 1&amp;2'!BN74+'Table 3 Levels 1&amp;2'!BV74</f>
        <v>6340.8763293271122</v>
      </c>
      <c r="E72" s="1104">
        <f t="shared" ref="E72:E75" si="15">C72*D72</f>
        <v>0</v>
      </c>
      <c r="F72" s="1104">
        <f>'Table 4 Level 3'!N71</f>
        <v>730.06</v>
      </c>
      <c r="G72" s="1104">
        <f t="shared" ref="G72:G75" si="16">C72*F72</f>
        <v>0</v>
      </c>
      <c r="H72" s="1061">
        <f t="shared" ref="H72:H75" si="17">E72+G72</f>
        <v>0</v>
      </c>
      <c r="I72" s="1114">
        <f t="shared" ref="I72:I75" si="18">-(0.25%*H72)</f>
        <v>0</v>
      </c>
      <c r="J72" s="1061">
        <f t="shared" ref="J72:J75" si="19">SUM(H72:I72)</f>
        <v>0</v>
      </c>
      <c r="K72" s="1061">
        <v>0</v>
      </c>
      <c r="L72" s="1061">
        <f t="shared" ref="L72:L75" si="20">SUM(J72:K72)</f>
        <v>0</v>
      </c>
      <c r="M72" s="1061">
        <f t="shared" ref="M72:M75" si="21">L72/12</f>
        <v>0</v>
      </c>
      <c r="N72" s="1051">
        <f>'[18]FY2012-13 Final'!K73</f>
        <v>3516</v>
      </c>
      <c r="O72" s="992">
        <f t="shared" ref="O72:O75" si="22">C72*N72</f>
        <v>0</v>
      </c>
      <c r="P72" s="1117">
        <f t="shared" ref="P72:P75" si="23">-(0.25%*O72)</f>
        <v>0</v>
      </c>
      <c r="Q72" s="992">
        <f t="shared" ref="Q72:Q75" si="24">SUM(O72:P72)</f>
        <v>0</v>
      </c>
      <c r="R72" s="992">
        <v>0</v>
      </c>
      <c r="S72" s="992">
        <f t="shared" ref="S72:S75" si="25">SUM(Q72:R72)</f>
        <v>0</v>
      </c>
      <c r="T72" s="992">
        <f t="shared" ref="T72:T75" si="26">S72/12</f>
        <v>0</v>
      </c>
      <c r="U72" s="993">
        <f t="shared" ref="U72:V75" si="27">L72+S72</f>
        <v>0</v>
      </c>
      <c r="V72" s="993">
        <f t="shared" si="27"/>
        <v>0</v>
      </c>
    </row>
    <row r="73" spans="1:22">
      <c r="A73" s="994">
        <v>67</v>
      </c>
      <c r="B73" s="995" t="s">
        <v>32</v>
      </c>
      <c r="C73" s="1196">
        <v>0</v>
      </c>
      <c r="D73" s="1003">
        <f>'Table 3 Levels 1&amp;2'!BN75+'Table 3 Levels 1&amp;2'!BV75</f>
        <v>4984.1100297034172</v>
      </c>
      <c r="E73" s="1102">
        <f t="shared" si="15"/>
        <v>0</v>
      </c>
      <c r="F73" s="1102">
        <f>'Table 4 Level 3'!N72</f>
        <v>715.61</v>
      </c>
      <c r="G73" s="1102">
        <f t="shared" si="16"/>
        <v>0</v>
      </c>
      <c r="H73" s="1059">
        <f t="shared" si="17"/>
        <v>0</v>
      </c>
      <c r="I73" s="1112">
        <f t="shared" si="18"/>
        <v>0</v>
      </c>
      <c r="J73" s="1059">
        <f t="shared" si="19"/>
        <v>0</v>
      </c>
      <c r="K73" s="1059">
        <v>0</v>
      </c>
      <c r="L73" s="1059">
        <f t="shared" si="20"/>
        <v>0</v>
      </c>
      <c r="M73" s="1059">
        <f t="shared" si="21"/>
        <v>0</v>
      </c>
      <c r="N73" s="1051">
        <f>'[18]FY2012-13 Final'!K74</f>
        <v>5052</v>
      </c>
      <c r="O73" s="1053">
        <f t="shared" si="22"/>
        <v>0</v>
      </c>
      <c r="P73" s="1118">
        <f t="shared" si="23"/>
        <v>0</v>
      </c>
      <c r="Q73" s="1053">
        <f t="shared" si="24"/>
        <v>0</v>
      </c>
      <c r="R73" s="1053">
        <v>0</v>
      </c>
      <c r="S73" s="1053">
        <f t="shared" si="25"/>
        <v>0</v>
      </c>
      <c r="T73" s="1053">
        <f t="shared" si="26"/>
        <v>0</v>
      </c>
      <c r="U73" s="1054">
        <f t="shared" si="27"/>
        <v>0</v>
      </c>
      <c r="V73" s="1054">
        <f t="shared" si="27"/>
        <v>0</v>
      </c>
    </row>
    <row r="74" spans="1:22">
      <c r="A74" s="994">
        <v>68</v>
      </c>
      <c r="B74" s="995" t="s">
        <v>30</v>
      </c>
      <c r="C74" s="1196">
        <v>0</v>
      </c>
      <c r="D74" s="1003">
        <f>'Table 3 Levels 1&amp;2'!BN76+'Table 3 Levels 1&amp;2'!BV76</f>
        <v>6012.7854305239725</v>
      </c>
      <c r="E74" s="1102">
        <f t="shared" si="15"/>
        <v>0</v>
      </c>
      <c r="F74" s="1102">
        <f>'Table 4 Level 3'!N73</f>
        <v>798.7</v>
      </c>
      <c r="G74" s="1102">
        <f t="shared" si="16"/>
        <v>0</v>
      </c>
      <c r="H74" s="1059">
        <f t="shared" si="17"/>
        <v>0</v>
      </c>
      <c r="I74" s="1112">
        <f t="shared" si="18"/>
        <v>0</v>
      </c>
      <c r="J74" s="1059">
        <f t="shared" si="19"/>
        <v>0</v>
      </c>
      <c r="K74" s="1059">
        <v>0</v>
      </c>
      <c r="L74" s="1059">
        <f t="shared" si="20"/>
        <v>0</v>
      </c>
      <c r="M74" s="1059">
        <f t="shared" si="21"/>
        <v>0</v>
      </c>
      <c r="N74" s="1051">
        <f>'[18]FY2012-13 Final'!K75</f>
        <v>2763</v>
      </c>
      <c r="O74" s="1053">
        <f t="shared" si="22"/>
        <v>0</v>
      </c>
      <c r="P74" s="1118">
        <f t="shared" si="23"/>
        <v>0</v>
      </c>
      <c r="Q74" s="1053">
        <f t="shared" si="24"/>
        <v>0</v>
      </c>
      <c r="R74" s="1053">
        <v>0</v>
      </c>
      <c r="S74" s="1053">
        <f t="shared" si="25"/>
        <v>0</v>
      </c>
      <c r="T74" s="1053">
        <f t="shared" si="26"/>
        <v>0</v>
      </c>
      <c r="U74" s="1054">
        <f t="shared" si="27"/>
        <v>0</v>
      </c>
      <c r="V74" s="1054">
        <f t="shared" si="27"/>
        <v>0</v>
      </c>
    </row>
    <row r="75" spans="1:22">
      <c r="A75" s="1008">
        <v>69</v>
      </c>
      <c r="B75" s="1009" t="s">
        <v>213</v>
      </c>
      <c r="C75" s="1199">
        <v>0</v>
      </c>
      <c r="D75" s="1011">
        <f>'Table 3 Levels 1&amp;2'!BN77+'Table 3 Levels 1&amp;2'!BV77</f>
        <v>5559.7139008686299</v>
      </c>
      <c r="E75" s="1105">
        <f t="shared" si="15"/>
        <v>0</v>
      </c>
      <c r="F75" s="1105">
        <f>'Table 4 Level 3'!N74</f>
        <v>705.67</v>
      </c>
      <c r="G75" s="1105">
        <f t="shared" si="16"/>
        <v>0</v>
      </c>
      <c r="H75" s="1062">
        <f t="shared" si="17"/>
        <v>0</v>
      </c>
      <c r="I75" s="1115">
        <f t="shared" si="18"/>
        <v>0</v>
      </c>
      <c r="J75" s="1062">
        <f t="shared" si="19"/>
        <v>0</v>
      </c>
      <c r="K75" s="1062">
        <v>0</v>
      </c>
      <c r="L75" s="1062">
        <f t="shared" si="20"/>
        <v>0</v>
      </c>
      <c r="M75" s="1062">
        <f t="shared" si="21"/>
        <v>0</v>
      </c>
      <c r="N75" s="1051">
        <f>'[18]FY2012-13 Final'!K76</f>
        <v>3327</v>
      </c>
      <c r="O75" s="1063">
        <f t="shared" si="22"/>
        <v>0</v>
      </c>
      <c r="P75" s="1120">
        <f t="shared" si="23"/>
        <v>0</v>
      </c>
      <c r="Q75" s="1063">
        <f t="shared" si="24"/>
        <v>0</v>
      </c>
      <c r="R75" s="1063">
        <v>0</v>
      </c>
      <c r="S75" s="1063">
        <f t="shared" si="25"/>
        <v>0</v>
      </c>
      <c r="T75" s="1063">
        <f t="shared" si="26"/>
        <v>0</v>
      </c>
      <c r="U75" s="1064">
        <f t="shared" si="27"/>
        <v>0</v>
      </c>
      <c r="V75" s="1064">
        <f t="shared" si="27"/>
        <v>0</v>
      </c>
    </row>
    <row r="76" spans="1:22" ht="13.5" thickBot="1">
      <c r="A76" s="1012"/>
      <c r="B76" s="1013" t="s">
        <v>160</v>
      </c>
      <c r="C76" s="1014">
        <f>SUM(C7:C75)</f>
        <v>272</v>
      </c>
      <c r="D76" s="1015"/>
      <c r="E76" s="1106">
        <f>SUM(E7:E75)</f>
        <v>1452741.9915929781</v>
      </c>
      <c r="F76" s="1106">
        <f>'[23]Table 4 Level 3'!P75</f>
        <v>703.90028204588873</v>
      </c>
      <c r="G76" s="1106">
        <f t="shared" ref="G76:L76" si="28">SUM(G7:G75)</f>
        <v>179769.44000000003</v>
      </c>
      <c r="H76" s="1016">
        <f t="shared" si="28"/>
        <v>1632511.4315929783</v>
      </c>
      <c r="I76" s="1116">
        <f t="shared" si="28"/>
        <v>-4081.2785789824457</v>
      </c>
      <c r="J76" s="1016">
        <f t="shared" si="28"/>
        <v>1628430.1530139958</v>
      </c>
      <c r="K76" s="1016">
        <f t="shared" si="28"/>
        <v>0</v>
      </c>
      <c r="L76" s="1016">
        <f t="shared" si="28"/>
        <v>1628430.1530139958</v>
      </c>
      <c r="M76" s="1016">
        <f>SUM(M7:M75)</f>
        <v>135702.5127511663</v>
      </c>
      <c r="N76" s="1065"/>
      <c r="O76" s="1017">
        <f t="shared" ref="O76:V76" si="29">SUM(O7:O75)</f>
        <v>748864</v>
      </c>
      <c r="P76" s="1121">
        <f t="shared" si="29"/>
        <v>-1872.16</v>
      </c>
      <c r="Q76" s="1017">
        <f t="shared" si="29"/>
        <v>746991.84</v>
      </c>
      <c r="R76" s="1017">
        <f t="shared" si="29"/>
        <v>0</v>
      </c>
      <c r="S76" s="1017">
        <f t="shared" si="29"/>
        <v>746991.84</v>
      </c>
      <c r="T76" s="1017">
        <f t="shared" si="29"/>
        <v>62249.32</v>
      </c>
      <c r="U76" s="1018">
        <f t="shared" si="29"/>
        <v>2375421.9930139962</v>
      </c>
      <c r="V76" s="1018">
        <f t="shared" si="29"/>
        <v>197951.83275116631</v>
      </c>
    </row>
    <row r="77" spans="1:22" ht="13.5" thickTop="1"/>
  </sheetData>
  <mergeCells count="19">
    <mergeCell ref="L3:L4"/>
    <mergeCell ref="M3:M4"/>
    <mergeCell ref="N3:N4"/>
    <mergeCell ref="A2:B4"/>
    <mergeCell ref="C2:M2"/>
    <mergeCell ref="N2:T2"/>
    <mergeCell ref="U2:U4"/>
    <mergeCell ref="V2:V4"/>
    <mergeCell ref="C3:C4"/>
    <mergeCell ref="D3:D4"/>
    <mergeCell ref="E3:E4"/>
    <mergeCell ref="F3:F4"/>
    <mergeCell ref="G3:G4"/>
    <mergeCell ref="Q3:Q4"/>
    <mergeCell ref="R3:R4"/>
    <mergeCell ref="S3:S4"/>
    <mergeCell ref="H3:H4"/>
    <mergeCell ref="J3:J4"/>
    <mergeCell ref="K3:K4"/>
  </mergeCells>
  <pageMargins left="0.34" right="0.46" top="0.75" bottom="0.75" header="0.3" footer="0.3"/>
  <pageSetup paperSize="5" scale="60" firstPageNumber="80" orientation="portrait" useFirstPageNumber="1" r:id="rId1"/>
  <headerFooter>
    <oddHeader>&amp;L&amp;"Arial,Bold"&amp;20Table 5C1-L: FY2013-14 MFP Budget Letter (Projection)
Tallulah Charter School</oddHeader>
    <oddFooter>&amp;R&amp;P</oddFooter>
  </headerFooter>
  <colBreaks count="1" manualBreakCount="1">
    <brk id="13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7"/>
  <sheetViews>
    <sheetView view="pageBreakPreview" zoomScale="90" zoomScaleNormal="100" zoomScaleSheetLayoutView="90" workbookViewId="0">
      <pane xSplit="2" ySplit="6" topLeftCell="C7" activePane="bottomRight" state="frozen"/>
      <selection activeCell="B1" sqref="B1:B2"/>
      <selection pane="topRight" activeCell="B1" sqref="B1:B2"/>
      <selection pane="bottomLeft" activeCell="B1" sqref="B1:B2"/>
      <selection pane="bottomRight" activeCell="A2" sqref="A2:B4"/>
    </sheetView>
  </sheetViews>
  <sheetFormatPr defaultRowHeight="12.75"/>
  <cols>
    <col min="1" max="1" width="4.28515625" style="1192" customWidth="1"/>
    <col min="2" max="2" width="17.85546875" style="1192" bestFit="1" customWidth="1"/>
    <col min="3" max="3" width="12.7109375" style="1192" customWidth="1"/>
    <col min="4" max="4" width="17" style="1192" customWidth="1"/>
    <col min="5" max="5" width="11" style="1192" bestFit="1" customWidth="1"/>
    <col min="6" max="6" width="12" style="1192" customWidth="1"/>
    <col min="7" max="7" width="13.28515625" style="1192" customWidth="1"/>
    <col min="8" max="8" width="14.5703125" style="1192" customWidth="1"/>
    <col min="9" max="9" width="12.28515625" style="1192" customWidth="1"/>
    <col min="10" max="10" width="12" style="1192" bestFit="1" customWidth="1"/>
    <col min="11" max="11" width="13.42578125" style="1192" bestFit="1" customWidth="1"/>
    <col min="12" max="12" width="14" style="1192" customWidth="1"/>
    <col min="13" max="13" width="9.28515625" style="1192" bestFit="1" customWidth="1"/>
    <col min="14" max="14" width="17.28515625" style="1192" customWidth="1"/>
    <col min="15" max="15" width="16.7109375" style="1192" customWidth="1"/>
    <col min="16" max="16" width="13.7109375" style="1192" customWidth="1"/>
    <col min="17" max="17" width="17" style="1192" customWidth="1"/>
    <col min="18" max="18" width="15.28515625" style="1192" customWidth="1"/>
    <col min="19" max="19" width="13.140625" style="1192" customWidth="1"/>
    <col min="20" max="20" width="12" style="1192" customWidth="1"/>
    <col min="21" max="21" width="11" style="1192" customWidth="1"/>
    <col min="22" max="22" width="12.140625" style="1192" customWidth="1"/>
    <col min="23" max="16384" width="9.140625" style="1192"/>
  </cols>
  <sheetData>
    <row r="1" spans="1:22">
      <c r="C1" s="1392"/>
      <c r="D1" s="1392"/>
      <c r="E1" s="1392"/>
      <c r="F1" s="1392"/>
      <c r="G1" s="1392"/>
      <c r="H1" s="1392"/>
      <c r="I1" s="1392"/>
      <c r="J1" s="1392"/>
      <c r="K1" s="1392"/>
      <c r="L1" s="1392"/>
      <c r="M1" s="1392"/>
    </row>
    <row r="2" spans="1:22" ht="45" customHeight="1">
      <c r="A2" s="2082" t="s">
        <v>1220</v>
      </c>
      <c r="B2" s="2083"/>
      <c r="C2" s="2065" t="s">
        <v>1394</v>
      </c>
      <c r="D2" s="2017"/>
      <c r="E2" s="2017"/>
      <c r="F2" s="2017"/>
      <c r="G2" s="2017"/>
      <c r="H2" s="2017"/>
      <c r="I2" s="2017"/>
      <c r="J2" s="2017"/>
      <c r="K2" s="2017"/>
      <c r="L2" s="2017"/>
      <c r="M2" s="2018"/>
      <c r="N2" s="1992" t="s">
        <v>1357</v>
      </c>
      <c r="O2" s="1993"/>
      <c r="P2" s="1993"/>
      <c r="Q2" s="1993"/>
      <c r="R2" s="1993"/>
      <c r="S2" s="1993"/>
      <c r="T2" s="1994"/>
      <c r="U2" s="1995" t="s">
        <v>1403</v>
      </c>
      <c r="V2" s="1995" t="s">
        <v>1355</v>
      </c>
    </row>
    <row r="3" spans="1:22" ht="112.5" customHeight="1">
      <c r="A3" s="2084"/>
      <c r="B3" s="2085"/>
      <c r="C3" s="2088" t="s">
        <v>1177</v>
      </c>
      <c r="D3" s="2008" t="s">
        <v>1393</v>
      </c>
      <c r="E3" s="2008" t="s">
        <v>1395</v>
      </c>
      <c r="F3" s="2006" t="s">
        <v>662</v>
      </c>
      <c r="G3" s="2006" t="s">
        <v>492</v>
      </c>
      <c r="H3" s="2006" t="s">
        <v>1396</v>
      </c>
      <c r="I3" s="1742" t="s">
        <v>510</v>
      </c>
      <c r="J3" s="2006" t="s">
        <v>1397</v>
      </c>
      <c r="K3" s="2006" t="s">
        <v>1230</v>
      </c>
      <c r="L3" s="2006" t="s">
        <v>1398</v>
      </c>
      <c r="M3" s="2008" t="s">
        <v>1356</v>
      </c>
      <c r="N3" s="2019" t="s">
        <v>694</v>
      </c>
      <c r="O3" s="1743" t="s">
        <v>1399</v>
      </c>
      <c r="P3" s="1743" t="s">
        <v>512</v>
      </c>
      <c r="Q3" s="2019" t="s">
        <v>1400</v>
      </c>
      <c r="R3" s="2019" t="s">
        <v>1230</v>
      </c>
      <c r="S3" s="2019" t="s">
        <v>1401</v>
      </c>
      <c r="T3" s="1743" t="s">
        <v>1402</v>
      </c>
      <c r="U3" s="1996"/>
      <c r="V3" s="1996"/>
    </row>
    <row r="4" spans="1:22" ht="23.25" customHeight="1">
      <c r="A4" s="2086"/>
      <c r="B4" s="2087"/>
      <c r="C4" s="2089"/>
      <c r="D4" s="2008"/>
      <c r="E4" s="2008"/>
      <c r="F4" s="2007"/>
      <c r="G4" s="2007"/>
      <c r="H4" s="2007"/>
      <c r="I4" s="1107">
        <v>2.5000000000000001E-3</v>
      </c>
      <c r="J4" s="2007"/>
      <c r="K4" s="2007"/>
      <c r="L4" s="2007"/>
      <c r="M4" s="2008"/>
      <c r="N4" s="1999"/>
      <c r="O4" s="1741"/>
      <c r="P4" s="1108">
        <v>2.5000000000000001E-3</v>
      </c>
      <c r="Q4" s="1999"/>
      <c r="R4" s="1999"/>
      <c r="S4" s="1999"/>
      <c r="T4" s="1741"/>
      <c r="U4" s="1997"/>
      <c r="V4" s="1997"/>
    </row>
    <row r="5" spans="1:22" ht="14.25" customHeight="1">
      <c r="A5" s="978"/>
      <c r="B5" s="979"/>
      <c r="C5" s="980">
        <v>1</v>
      </c>
      <c r="D5" s="980">
        <f t="shared" ref="D5" si="0">C5+1</f>
        <v>2</v>
      </c>
      <c r="E5" s="980">
        <f>D5+1</f>
        <v>3</v>
      </c>
      <c r="F5" s="980">
        <f t="shared" ref="F5:V5" si="1">E5+1</f>
        <v>4</v>
      </c>
      <c r="G5" s="980">
        <f t="shared" si="1"/>
        <v>5</v>
      </c>
      <c r="H5" s="980">
        <f t="shared" si="1"/>
        <v>6</v>
      </c>
      <c r="I5" s="980">
        <f t="shared" si="1"/>
        <v>7</v>
      </c>
      <c r="J5" s="980">
        <f t="shared" si="1"/>
        <v>8</v>
      </c>
      <c r="K5" s="980">
        <f t="shared" si="1"/>
        <v>9</v>
      </c>
      <c r="L5" s="980">
        <f t="shared" si="1"/>
        <v>10</v>
      </c>
      <c r="M5" s="980">
        <f t="shared" si="1"/>
        <v>11</v>
      </c>
      <c r="N5" s="980">
        <f t="shared" si="1"/>
        <v>12</v>
      </c>
      <c r="O5" s="980">
        <f t="shared" si="1"/>
        <v>13</v>
      </c>
      <c r="P5" s="980">
        <f t="shared" si="1"/>
        <v>14</v>
      </c>
      <c r="Q5" s="980">
        <f t="shared" si="1"/>
        <v>15</v>
      </c>
      <c r="R5" s="980">
        <f t="shared" si="1"/>
        <v>16</v>
      </c>
      <c r="S5" s="980">
        <f t="shared" si="1"/>
        <v>17</v>
      </c>
      <c r="T5" s="980">
        <f t="shared" si="1"/>
        <v>18</v>
      </c>
      <c r="U5" s="980">
        <f t="shared" si="1"/>
        <v>19</v>
      </c>
      <c r="V5" s="980">
        <f t="shared" si="1"/>
        <v>20</v>
      </c>
    </row>
    <row r="6" spans="1:22" ht="27" customHeight="1">
      <c r="A6" s="1041"/>
      <c r="B6" s="1042"/>
      <c r="C6" s="1042"/>
      <c r="D6" s="1042"/>
      <c r="E6" s="1042"/>
      <c r="F6" s="1042"/>
      <c r="G6" s="1042"/>
      <c r="H6" s="1042"/>
      <c r="I6" s="1042"/>
      <c r="J6" s="1042"/>
      <c r="K6" s="1042"/>
      <c r="L6" s="1042"/>
      <c r="M6" s="1042"/>
      <c r="N6" s="1042"/>
      <c r="O6" s="1042"/>
      <c r="P6" s="1042"/>
      <c r="Q6" s="1042"/>
      <c r="R6" s="1042"/>
      <c r="S6" s="1042"/>
      <c r="T6" s="1042"/>
      <c r="U6" s="1042"/>
      <c r="V6" s="1042"/>
    </row>
    <row r="7" spans="1:22">
      <c r="A7" s="987">
        <v>1</v>
      </c>
      <c r="B7" s="988" t="s">
        <v>95</v>
      </c>
      <c r="C7" s="989"/>
      <c r="D7" s="990">
        <f>'Table 3 Levels 1&amp;2'!BN9+'Table 3 Levels 1&amp;2'!BV9</f>
        <v>4565.2108060165392</v>
      </c>
      <c r="E7" s="1099">
        <f>C7*D7</f>
        <v>0</v>
      </c>
      <c r="F7" s="1099">
        <f>'Table 4 Level 3'!N6</f>
        <v>777.48</v>
      </c>
      <c r="G7" s="1099">
        <f>C7*F7</f>
        <v>0</v>
      </c>
      <c r="H7" s="991">
        <f>E7+G7</f>
        <v>0</v>
      </c>
      <c r="I7" s="1109">
        <f>-(0.25%*H7)</f>
        <v>0</v>
      </c>
      <c r="J7" s="991">
        <f>SUM(H7:I7)</f>
        <v>0</v>
      </c>
      <c r="K7" s="991">
        <v>0</v>
      </c>
      <c r="L7" s="991">
        <f>SUM(J7:K7)</f>
        <v>0</v>
      </c>
      <c r="M7" s="991">
        <f>L7/12</f>
        <v>0</v>
      </c>
      <c r="N7" s="1051">
        <f>'[18]FY2012-13 Final'!K8</f>
        <v>2112</v>
      </c>
      <c r="O7" s="992">
        <f>C7*N7</f>
        <v>0</v>
      </c>
      <c r="P7" s="1117">
        <f>-(0.25%*O7)</f>
        <v>0</v>
      </c>
      <c r="Q7" s="992">
        <f>SUM(O7:P7)</f>
        <v>0</v>
      </c>
      <c r="R7" s="992">
        <v>0</v>
      </c>
      <c r="S7" s="992">
        <f>SUM(Q7:R7)</f>
        <v>0</v>
      </c>
      <c r="T7" s="992">
        <f>S7/12</f>
        <v>0</v>
      </c>
      <c r="U7" s="993">
        <f>L7+S7</f>
        <v>0</v>
      </c>
      <c r="V7" s="993">
        <f>M7+T7</f>
        <v>0</v>
      </c>
    </row>
    <row r="8" spans="1:22">
      <c r="A8" s="994">
        <v>2</v>
      </c>
      <c r="B8" s="995" t="s">
        <v>96</v>
      </c>
      <c r="C8" s="1193"/>
      <c r="D8" s="997">
        <f>'Table 3 Levels 1&amp;2'!BN10+'Table 3 Levels 1&amp;2'!BV10</f>
        <v>6132.0480322513831</v>
      </c>
      <c r="E8" s="1100">
        <f t="shared" ref="E8:E71" si="2">C8*D8</f>
        <v>0</v>
      </c>
      <c r="F8" s="1100">
        <f>'Table 4 Level 3'!N7</f>
        <v>842.32</v>
      </c>
      <c r="G8" s="1100">
        <f t="shared" ref="G8:G71" si="3">C8*F8</f>
        <v>0</v>
      </c>
      <c r="H8" s="1052">
        <f t="shared" ref="H8:H71" si="4">E8+G8</f>
        <v>0</v>
      </c>
      <c r="I8" s="1110">
        <f t="shared" ref="I8:I71" si="5">-(0.25%*H8)</f>
        <v>0</v>
      </c>
      <c r="J8" s="1052">
        <f t="shared" ref="J8:J71" si="6">SUM(H8:I8)</f>
        <v>0</v>
      </c>
      <c r="K8" s="1052">
        <v>0</v>
      </c>
      <c r="L8" s="1052">
        <f t="shared" ref="L8:L71" si="7">SUM(J8:K8)</f>
        <v>0</v>
      </c>
      <c r="M8" s="1052">
        <f t="shared" ref="M8:M71" si="8">L8/12</f>
        <v>0</v>
      </c>
      <c r="N8" s="1051">
        <f>'[18]FY2012-13 Final'!K9</f>
        <v>2584</v>
      </c>
      <c r="O8" s="1053">
        <f t="shared" ref="O8:O71" si="9">C8*N8</f>
        <v>0</v>
      </c>
      <c r="P8" s="1118">
        <f t="shared" ref="P8:P71" si="10">-(0.25%*O8)</f>
        <v>0</v>
      </c>
      <c r="Q8" s="1053">
        <f t="shared" ref="Q8:Q71" si="11">SUM(O8:P8)</f>
        <v>0</v>
      </c>
      <c r="R8" s="1053">
        <v>0</v>
      </c>
      <c r="S8" s="1053">
        <f t="shared" ref="S8:S71" si="12">SUM(Q8:R8)</f>
        <v>0</v>
      </c>
      <c r="T8" s="1053">
        <f t="shared" ref="T8:T71" si="13">S8/12</f>
        <v>0</v>
      </c>
      <c r="U8" s="1054">
        <f t="shared" ref="U8:V71" si="14">L8+S8</f>
        <v>0</v>
      </c>
      <c r="V8" s="1054">
        <f t="shared" si="14"/>
        <v>0</v>
      </c>
    </row>
    <row r="9" spans="1:22">
      <c r="A9" s="994">
        <v>3</v>
      </c>
      <c r="B9" s="995" t="s">
        <v>97</v>
      </c>
      <c r="C9" s="1193"/>
      <c r="D9" s="997">
        <f>'Table 3 Levels 1&amp;2'!BN11+'Table 3 Levels 1&amp;2'!BV11</f>
        <v>4186.9626187036429</v>
      </c>
      <c r="E9" s="1100">
        <f t="shared" si="2"/>
        <v>0</v>
      </c>
      <c r="F9" s="1100">
        <f>'Table 4 Level 3'!N8</f>
        <v>596.84</v>
      </c>
      <c r="G9" s="1100">
        <f t="shared" si="3"/>
        <v>0</v>
      </c>
      <c r="H9" s="1052">
        <f t="shared" si="4"/>
        <v>0</v>
      </c>
      <c r="I9" s="1110">
        <f t="shared" si="5"/>
        <v>0</v>
      </c>
      <c r="J9" s="1052">
        <f t="shared" si="6"/>
        <v>0</v>
      </c>
      <c r="K9" s="1052">
        <v>0</v>
      </c>
      <c r="L9" s="1052">
        <f t="shared" si="7"/>
        <v>0</v>
      </c>
      <c r="M9" s="1052">
        <f t="shared" si="8"/>
        <v>0</v>
      </c>
      <c r="N9" s="1051">
        <f>'[18]FY2012-13 Final'!K10</f>
        <v>4966</v>
      </c>
      <c r="O9" s="1053">
        <f t="shared" si="9"/>
        <v>0</v>
      </c>
      <c r="P9" s="1118">
        <f t="shared" si="10"/>
        <v>0</v>
      </c>
      <c r="Q9" s="1053">
        <f t="shared" si="11"/>
        <v>0</v>
      </c>
      <c r="R9" s="1053">
        <v>0</v>
      </c>
      <c r="S9" s="1053">
        <f t="shared" si="12"/>
        <v>0</v>
      </c>
      <c r="T9" s="1053">
        <f t="shared" si="13"/>
        <v>0</v>
      </c>
      <c r="U9" s="1054">
        <f t="shared" si="14"/>
        <v>0</v>
      </c>
      <c r="V9" s="1054">
        <f t="shared" si="14"/>
        <v>0</v>
      </c>
    </row>
    <row r="10" spans="1:22">
      <c r="A10" s="994">
        <v>4</v>
      </c>
      <c r="B10" s="995" t="s">
        <v>98</v>
      </c>
      <c r="C10" s="1193"/>
      <c r="D10" s="997">
        <f>'Table 3 Levels 1&amp;2'!BN12+'Table 3 Levels 1&amp;2'!BV12</f>
        <v>5918.8798759182582</v>
      </c>
      <c r="E10" s="1100">
        <f t="shared" si="2"/>
        <v>0</v>
      </c>
      <c r="F10" s="1100">
        <f>'Table 4 Level 3'!N9</f>
        <v>585.76</v>
      </c>
      <c r="G10" s="1100">
        <f t="shared" si="3"/>
        <v>0</v>
      </c>
      <c r="H10" s="1052">
        <f t="shared" si="4"/>
        <v>0</v>
      </c>
      <c r="I10" s="1110">
        <f t="shared" si="5"/>
        <v>0</v>
      </c>
      <c r="J10" s="1052">
        <f t="shared" si="6"/>
        <v>0</v>
      </c>
      <c r="K10" s="1052">
        <v>0</v>
      </c>
      <c r="L10" s="1052">
        <f t="shared" si="7"/>
        <v>0</v>
      </c>
      <c r="M10" s="1052">
        <f t="shared" si="8"/>
        <v>0</v>
      </c>
      <c r="N10" s="1051">
        <f>'[18]FY2012-13 Final'!K11</f>
        <v>3445</v>
      </c>
      <c r="O10" s="1053">
        <f t="shared" si="9"/>
        <v>0</v>
      </c>
      <c r="P10" s="1118">
        <f t="shared" si="10"/>
        <v>0</v>
      </c>
      <c r="Q10" s="1053">
        <f t="shared" si="11"/>
        <v>0</v>
      </c>
      <c r="R10" s="1053">
        <v>0</v>
      </c>
      <c r="S10" s="1053">
        <f t="shared" si="12"/>
        <v>0</v>
      </c>
      <c r="T10" s="1053">
        <f t="shared" si="13"/>
        <v>0</v>
      </c>
      <c r="U10" s="1054">
        <f t="shared" si="14"/>
        <v>0</v>
      </c>
      <c r="V10" s="1054">
        <f t="shared" si="14"/>
        <v>0</v>
      </c>
    </row>
    <row r="11" spans="1:22">
      <c r="A11" s="998">
        <v>5</v>
      </c>
      <c r="B11" s="999" t="s">
        <v>99</v>
      </c>
      <c r="C11" s="1194"/>
      <c r="D11" s="1001">
        <f>'Table 3 Levels 1&amp;2'!BN13+'Table 3 Levels 1&amp;2'!BV13</f>
        <v>4880.3484353147733</v>
      </c>
      <c r="E11" s="1101">
        <f t="shared" si="2"/>
        <v>0</v>
      </c>
      <c r="F11" s="1101">
        <f>'Table 4 Level 3'!N10</f>
        <v>555.91</v>
      </c>
      <c r="G11" s="1101">
        <f t="shared" si="3"/>
        <v>0</v>
      </c>
      <c r="H11" s="1055">
        <f t="shared" si="4"/>
        <v>0</v>
      </c>
      <c r="I11" s="1111">
        <f t="shared" si="5"/>
        <v>0</v>
      </c>
      <c r="J11" s="1055">
        <f t="shared" si="6"/>
        <v>0</v>
      </c>
      <c r="K11" s="1055">
        <v>0</v>
      </c>
      <c r="L11" s="1055">
        <f t="shared" si="7"/>
        <v>0</v>
      </c>
      <c r="M11" s="1055">
        <f t="shared" si="8"/>
        <v>0</v>
      </c>
      <c r="N11" s="1056">
        <f>'[18]FY2012-13 Final'!K12</f>
        <v>1353</v>
      </c>
      <c r="O11" s="1057">
        <f t="shared" si="9"/>
        <v>0</v>
      </c>
      <c r="P11" s="1119">
        <f t="shared" si="10"/>
        <v>0</v>
      </c>
      <c r="Q11" s="1057">
        <f t="shared" si="11"/>
        <v>0</v>
      </c>
      <c r="R11" s="1057">
        <v>0</v>
      </c>
      <c r="S11" s="1057">
        <f t="shared" si="12"/>
        <v>0</v>
      </c>
      <c r="T11" s="1057">
        <f t="shared" si="13"/>
        <v>0</v>
      </c>
      <c r="U11" s="1058">
        <f t="shared" si="14"/>
        <v>0</v>
      </c>
      <c r="V11" s="1058">
        <f t="shared" si="14"/>
        <v>0</v>
      </c>
    </row>
    <row r="12" spans="1:22">
      <c r="A12" s="987">
        <v>6</v>
      </c>
      <c r="B12" s="988" t="s">
        <v>100</v>
      </c>
      <c r="C12" s="1195"/>
      <c r="D12" s="990">
        <f>'Table 3 Levels 1&amp;2'!BN14+'Table 3 Levels 1&amp;2'!BV14</f>
        <v>5379.7759718479856</v>
      </c>
      <c r="E12" s="1099">
        <f t="shared" si="2"/>
        <v>0</v>
      </c>
      <c r="F12" s="1099">
        <f>'Table 4 Level 3'!N11</f>
        <v>545.4799999999999</v>
      </c>
      <c r="G12" s="1099">
        <f t="shared" si="3"/>
        <v>0</v>
      </c>
      <c r="H12" s="991">
        <f t="shared" si="4"/>
        <v>0</v>
      </c>
      <c r="I12" s="1109">
        <f t="shared" si="5"/>
        <v>0</v>
      </c>
      <c r="J12" s="991">
        <f t="shared" si="6"/>
        <v>0</v>
      </c>
      <c r="K12" s="991">
        <v>0</v>
      </c>
      <c r="L12" s="991">
        <f t="shared" si="7"/>
        <v>0</v>
      </c>
      <c r="M12" s="991">
        <f t="shared" si="8"/>
        <v>0</v>
      </c>
      <c r="N12" s="1051">
        <f>'[18]FY2012-13 Final'!K13</f>
        <v>3576</v>
      </c>
      <c r="O12" s="992">
        <f t="shared" si="9"/>
        <v>0</v>
      </c>
      <c r="P12" s="1117">
        <f t="shared" si="10"/>
        <v>0</v>
      </c>
      <c r="Q12" s="992">
        <f t="shared" si="11"/>
        <v>0</v>
      </c>
      <c r="R12" s="992">
        <v>0</v>
      </c>
      <c r="S12" s="992">
        <f t="shared" si="12"/>
        <v>0</v>
      </c>
      <c r="T12" s="992">
        <f t="shared" si="13"/>
        <v>0</v>
      </c>
      <c r="U12" s="993">
        <f t="shared" si="14"/>
        <v>0</v>
      </c>
      <c r="V12" s="993">
        <f t="shared" si="14"/>
        <v>0</v>
      </c>
    </row>
    <row r="13" spans="1:22">
      <c r="A13" s="994">
        <v>7</v>
      </c>
      <c r="B13" s="995" t="s">
        <v>101</v>
      </c>
      <c r="C13" s="1193"/>
      <c r="D13" s="997">
        <f>'Table 3 Levels 1&amp;2'!BN15+'Table 3 Levels 1&amp;2'!BV15</f>
        <v>1698.1351763907733</v>
      </c>
      <c r="E13" s="1100">
        <f t="shared" si="2"/>
        <v>0</v>
      </c>
      <c r="F13" s="1100">
        <f>'Table 4 Level 3'!N12</f>
        <v>756.91999999999985</v>
      </c>
      <c r="G13" s="1100">
        <f t="shared" si="3"/>
        <v>0</v>
      </c>
      <c r="H13" s="1052">
        <f t="shared" si="4"/>
        <v>0</v>
      </c>
      <c r="I13" s="1110">
        <f t="shared" si="5"/>
        <v>0</v>
      </c>
      <c r="J13" s="1052">
        <f t="shared" si="6"/>
        <v>0</v>
      </c>
      <c r="K13" s="1052">
        <v>0</v>
      </c>
      <c r="L13" s="1052">
        <f t="shared" si="7"/>
        <v>0</v>
      </c>
      <c r="M13" s="1052">
        <f t="shared" si="8"/>
        <v>0</v>
      </c>
      <c r="N13" s="1051">
        <f>'[18]FY2012-13 Final'!K14</f>
        <v>12465</v>
      </c>
      <c r="O13" s="1053">
        <f t="shared" si="9"/>
        <v>0</v>
      </c>
      <c r="P13" s="1118">
        <f t="shared" si="10"/>
        <v>0</v>
      </c>
      <c r="Q13" s="1053">
        <f t="shared" si="11"/>
        <v>0</v>
      </c>
      <c r="R13" s="1053">
        <v>0</v>
      </c>
      <c r="S13" s="1053">
        <f t="shared" si="12"/>
        <v>0</v>
      </c>
      <c r="T13" s="1053">
        <f t="shared" si="13"/>
        <v>0</v>
      </c>
      <c r="U13" s="1054">
        <f t="shared" si="14"/>
        <v>0</v>
      </c>
      <c r="V13" s="1054">
        <f t="shared" si="14"/>
        <v>0</v>
      </c>
    </row>
    <row r="14" spans="1:22">
      <c r="A14" s="994">
        <v>8</v>
      </c>
      <c r="B14" s="995" t="s">
        <v>102</v>
      </c>
      <c r="C14" s="1193"/>
      <c r="D14" s="997">
        <f>'Table 3 Levels 1&amp;2'!BN16+'Table 3 Levels 1&amp;2'!BV16</f>
        <v>4239.8578920718974</v>
      </c>
      <c r="E14" s="1100">
        <f t="shared" si="2"/>
        <v>0</v>
      </c>
      <c r="F14" s="1100">
        <f>'Table 4 Level 3'!N13</f>
        <v>725.76</v>
      </c>
      <c r="G14" s="1100">
        <f t="shared" si="3"/>
        <v>0</v>
      </c>
      <c r="H14" s="1052">
        <f t="shared" si="4"/>
        <v>0</v>
      </c>
      <c r="I14" s="1110">
        <f t="shared" si="5"/>
        <v>0</v>
      </c>
      <c r="J14" s="1052">
        <f t="shared" si="6"/>
        <v>0</v>
      </c>
      <c r="K14" s="1052">
        <v>0</v>
      </c>
      <c r="L14" s="1052">
        <f t="shared" si="7"/>
        <v>0</v>
      </c>
      <c r="M14" s="1052">
        <f t="shared" si="8"/>
        <v>0</v>
      </c>
      <c r="N14" s="1051">
        <f>'[18]FY2012-13 Final'!K15</f>
        <v>4184</v>
      </c>
      <c r="O14" s="1053">
        <f t="shared" si="9"/>
        <v>0</v>
      </c>
      <c r="P14" s="1118">
        <f t="shared" si="10"/>
        <v>0</v>
      </c>
      <c r="Q14" s="1053">
        <f t="shared" si="11"/>
        <v>0</v>
      </c>
      <c r="R14" s="1053">
        <v>0</v>
      </c>
      <c r="S14" s="1053">
        <f t="shared" si="12"/>
        <v>0</v>
      </c>
      <c r="T14" s="1053">
        <f t="shared" si="13"/>
        <v>0</v>
      </c>
      <c r="U14" s="1054">
        <f t="shared" si="14"/>
        <v>0</v>
      </c>
      <c r="V14" s="1054">
        <f t="shared" si="14"/>
        <v>0</v>
      </c>
    </row>
    <row r="15" spans="1:22">
      <c r="A15" s="994">
        <v>9</v>
      </c>
      <c r="B15" s="995" t="s">
        <v>103</v>
      </c>
      <c r="C15" s="1193"/>
      <c r="D15" s="997">
        <f>'Table 3 Levels 1&amp;2'!BN17+'Table 3 Levels 1&amp;2'!BV17</f>
        <v>4361.2752875373017</v>
      </c>
      <c r="E15" s="1100">
        <f t="shared" si="2"/>
        <v>0</v>
      </c>
      <c r="F15" s="1100">
        <f>'Table 4 Level 3'!N14</f>
        <v>744.76</v>
      </c>
      <c r="G15" s="1100">
        <f t="shared" si="3"/>
        <v>0</v>
      </c>
      <c r="H15" s="1052">
        <f t="shared" si="4"/>
        <v>0</v>
      </c>
      <c r="I15" s="1110">
        <f t="shared" si="5"/>
        <v>0</v>
      </c>
      <c r="J15" s="1052">
        <f t="shared" si="6"/>
        <v>0</v>
      </c>
      <c r="K15" s="1052">
        <v>0</v>
      </c>
      <c r="L15" s="1052">
        <f t="shared" si="7"/>
        <v>0</v>
      </c>
      <c r="M15" s="1052">
        <f t="shared" si="8"/>
        <v>0</v>
      </c>
      <c r="N15" s="1051">
        <f>'[18]FY2012-13 Final'!K16</f>
        <v>4640</v>
      </c>
      <c r="O15" s="1053">
        <f t="shared" si="9"/>
        <v>0</v>
      </c>
      <c r="P15" s="1118">
        <f t="shared" si="10"/>
        <v>0</v>
      </c>
      <c r="Q15" s="1053">
        <f t="shared" si="11"/>
        <v>0</v>
      </c>
      <c r="R15" s="1053">
        <v>0</v>
      </c>
      <c r="S15" s="1053">
        <f t="shared" si="12"/>
        <v>0</v>
      </c>
      <c r="T15" s="1053">
        <f t="shared" si="13"/>
        <v>0</v>
      </c>
      <c r="U15" s="1054">
        <f t="shared" si="14"/>
        <v>0</v>
      </c>
      <c r="V15" s="1054">
        <f t="shared" si="14"/>
        <v>0</v>
      </c>
    </row>
    <row r="16" spans="1:22">
      <c r="A16" s="998">
        <v>10</v>
      </c>
      <c r="B16" s="999" t="s">
        <v>104</v>
      </c>
      <c r="C16" s="1194"/>
      <c r="D16" s="1001">
        <f>'Table 3 Levels 1&amp;2'!BN18+'Table 3 Levels 1&amp;2'!BV18</f>
        <v>4179.4641652904756</v>
      </c>
      <c r="E16" s="1101">
        <f t="shared" si="2"/>
        <v>0</v>
      </c>
      <c r="F16" s="1101">
        <f>'Table 4 Level 3'!N15</f>
        <v>608.04000000000008</v>
      </c>
      <c r="G16" s="1101">
        <f t="shared" si="3"/>
        <v>0</v>
      </c>
      <c r="H16" s="1055">
        <f t="shared" si="4"/>
        <v>0</v>
      </c>
      <c r="I16" s="1111">
        <f t="shared" si="5"/>
        <v>0</v>
      </c>
      <c r="J16" s="1055">
        <f t="shared" si="6"/>
        <v>0</v>
      </c>
      <c r="K16" s="1055">
        <v>0</v>
      </c>
      <c r="L16" s="1055">
        <f t="shared" si="7"/>
        <v>0</v>
      </c>
      <c r="M16" s="1055">
        <f t="shared" si="8"/>
        <v>0</v>
      </c>
      <c r="N16" s="1056">
        <f>'[18]FY2012-13 Final'!K17</f>
        <v>4391</v>
      </c>
      <c r="O16" s="1057">
        <f t="shared" si="9"/>
        <v>0</v>
      </c>
      <c r="P16" s="1119">
        <f t="shared" si="10"/>
        <v>0</v>
      </c>
      <c r="Q16" s="1057">
        <f t="shared" si="11"/>
        <v>0</v>
      </c>
      <c r="R16" s="1057">
        <v>0</v>
      </c>
      <c r="S16" s="1057">
        <f t="shared" si="12"/>
        <v>0</v>
      </c>
      <c r="T16" s="1057">
        <f t="shared" si="13"/>
        <v>0</v>
      </c>
      <c r="U16" s="1058">
        <f t="shared" si="14"/>
        <v>0</v>
      </c>
      <c r="V16" s="1058">
        <f t="shared" si="14"/>
        <v>0</v>
      </c>
    </row>
    <row r="17" spans="1:22">
      <c r="A17" s="987">
        <v>11</v>
      </c>
      <c r="B17" s="988" t="s">
        <v>105</v>
      </c>
      <c r="C17" s="1195"/>
      <c r="D17" s="990">
        <f>'Table 3 Levels 1&amp;2'!BN19+'Table 3 Levels 1&amp;2'!BV19</f>
        <v>6825.0221851487568</v>
      </c>
      <c r="E17" s="1099">
        <f t="shared" si="2"/>
        <v>0</v>
      </c>
      <c r="F17" s="1099">
        <f>'Table 4 Level 3'!N16</f>
        <v>706.55</v>
      </c>
      <c r="G17" s="1099">
        <f t="shared" si="3"/>
        <v>0</v>
      </c>
      <c r="H17" s="991">
        <f t="shared" si="4"/>
        <v>0</v>
      </c>
      <c r="I17" s="1109">
        <f t="shared" si="5"/>
        <v>0</v>
      </c>
      <c r="J17" s="991">
        <f t="shared" si="6"/>
        <v>0</v>
      </c>
      <c r="K17" s="991">
        <v>0</v>
      </c>
      <c r="L17" s="991">
        <f t="shared" si="7"/>
        <v>0</v>
      </c>
      <c r="M17" s="991">
        <f t="shared" si="8"/>
        <v>0</v>
      </c>
      <c r="N17" s="1051">
        <f>'[18]FY2012-13 Final'!K18</f>
        <v>3430</v>
      </c>
      <c r="O17" s="992">
        <f t="shared" si="9"/>
        <v>0</v>
      </c>
      <c r="P17" s="1117">
        <f t="shared" si="10"/>
        <v>0</v>
      </c>
      <c r="Q17" s="992">
        <f t="shared" si="11"/>
        <v>0</v>
      </c>
      <c r="R17" s="992">
        <v>0</v>
      </c>
      <c r="S17" s="992">
        <f t="shared" si="12"/>
        <v>0</v>
      </c>
      <c r="T17" s="992">
        <f t="shared" si="13"/>
        <v>0</v>
      </c>
      <c r="U17" s="993">
        <f t="shared" si="14"/>
        <v>0</v>
      </c>
      <c r="V17" s="993">
        <f t="shared" si="14"/>
        <v>0</v>
      </c>
    </row>
    <row r="18" spans="1:22">
      <c r="A18" s="994">
        <v>12</v>
      </c>
      <c r="B18" s="995" t="s">
        <v>106</v>
      </c>
      <c r="C18" s="1193"/>
      <c r="D18" s="997">
        <f>'Table 3 Levels 1&amp;2'!BN20+'Table 3 Levels 1&amp;2'!BV20</f>
        <v>1688.0492586490939</v>
      </c>
      <c r="E18" s="1100">
        <f t="shared" si="2"/>
        <v>0</v>
      </c>
      <c r="F18" s="1100">
        <f>'Table 4 Level 3'!N17</f>
        <v>1063.31</v>
      </c>
      <c r="G18" s="1100">
        <f t="shared" si="3"/>
        <v>0</v>
      </c>
      <c r="H18" s="1052">
        <f t="shared" si="4"/>
        <v>0</v>
      </c>
      <c r="I18" s="1110">
        <f t="shared" si="5"/>
        <v>0</v>
      </c>
      <c r="J18" s="1052">
        <f t="shared" si="6"/>
        <v>0</v>
      </c>
      <c r="K18" s="1052">
        <v>0</v>
      </c>
      <c r="L18" s="1052">
        <f t="shared" si="7"/>
        <v>0</v>
      </c>
      <c r="M18" s="1052">
        <f t="shared" si="8"/>
        <v>0</v>
      </c>
      <c r="N18" s="1051">
        <f>'[18]FY2012-13 Final'!K19</f>
        <v>12558</v>
      </c>
      <c r="O18" s="1053">
        <f t="shared" si="9"/>
        <v>0</v>
      </c>
      <c r="P18" s="1118">
        <f t="shared" si="10"/>
        <v>0</v>
      </c>
      <c r="Q18" s="1053">
        <f t="shared" si="11"/>
        <v>0</v>
      </c>
      <c r="R18" s="1053">
        <v>0</v>
      </c>
      <c r="S18" s="1053">
        <f t="shared" si="12"/>
        <v>0</v>
      </c>
      <c r="T18" s="1053">
        <f t="shared" si="13"/>
        <v>0</v>
      </c>
      <c r="U18" s="1054">
        <f t="shared" si="14"/>
        <v>0</v>
      </c>
      <c r="V18" s="1054">
        <f t="shared" si="14"/>
        <v>0</v>
      </c>
    </row>
    <row r="19" spans="1:22">
      <c r="A19" s="994">
        <v>13</v>
      </c>
      <c r="B19" s="995" t="s">
        <v>107</v>
      </c>
      <c r="C19" s="1193"/>
      <c r="D19" s="997">
        <f>'Table 3 Levels 1&amp;2'!BN21+'Table 3 Levels 1&amp;2'!BV21</f>
        <v>6187.1651272387344</v>
      </c>
      <c r="E19" s="1100">
        <f t="shared" si="2"/>
        <v>0</v>
      </c>
      <c r="F19" s="1100">
        <f>'Table 4 Level 3'!N18</f>
        <v>749.43000000000006</v>
      </c>
      <c r="G19" s="1100">
        <f t="shared" si="3"/>
        <v>0</v>
      </c>
      <c r="H19" s="1052">
        <f t="shared" si="4"/>
        <v>0</v>
      </c>
      <c r="I19" s="1110">
        <f t="shared" si="5"/>
        <v>0</v>
      </c>
      <c r="J19" s="1052">
        <f t="shared" si="6"/>
        <v>0</v>
      </c>
      <c r="K19" s="1052">
        <v>0</v>
      </c>
      <c r="L19" s="1052">
        <f t="shared" si="7"/>
        <v>0</v>
      </c>
      <c r="M19" s="1052">
        <f t="shared" si="8"/>
        <v>0</v>
      </c>
      <c r="N19" s="1051">
        <f>'[18]FY2012-13 Final'!K20</f>
        <v>2536</v>
      </c>
      <c r="O19" s="1053">
        <f t="shared" si="9"/>
        <v>0</v>
      </c>
      <c r="P19" s="1118">
        <f t="shared" si="10"/>
        <v>0</v>
      </c>
      <c r="Q19" s="1053">
        <f t="shared" si="11"/>
        <v>0</v>
      </c>
      <c r="R19" s="1053">
        <v>0</v>
      </c>
      <c r="S19" s="1053">
        <f t="shared" si="12"/>
        <v>0</v>
      </c>
      <c r="T19" s="1053">
        <f t="shared" si="13"/>
        <v>0</v>
      </c>
      <c r="U19" s="1054">
        <f t="shared" si="14"/>
        <v>0</v>
      </c>
      <c r="V19" s="1054">
        <f t="shared" si="14"/>
        <v>0</v>
      </c>
    </row>
    <row r="20" spans="1:22">
      <c r="A20" s="994">
        <v>14</v>
      </c>
      <c r="B20" s="995" t="s">
        <v>108</v>
      </c>
      <c r="C20" s="1193"/>
      <c r="D20" s="997">
        <f>'Table 3 Levels 1&amp;2'!BN22+'Table 3 Levels 1&amp;2'!BV22</f>
        <v>5339.1887414618923</v>
      </c>
      <c r="E20" s="1100">
        <f t="shared" si="2"/>
        <v>0</v>
      </c>
      <c r="F20" s="1100">
        <f>'Table 4 Level 3'!N19</f>
        <v>809.9799999999999</v>
      </c>
      <c r="G20" s="1100">
        <f t="shared" si="3"/>
        <v>0</v>
      </c>
      <c r="H20" s="1052">
        <f t="shared" si="4"/>
        <v>0</v>
      </c>
      <c r="I20" s="1110">
        <f t="shared" si="5"/>
        <v>0</v>
      </c>
      <c r="J20" s="1052">
        <f t="shared" si="6"/>
        <v>0</v>
      </c>
      <c r="K20" s="1052">
        <v>0</v>
      </c>
      <c r="L20" s="1052">
        <f t="shared" si="7"/>
        <v>0</v>
      </c>
      <c r="M20" s="1052">
        <f t="shared" si="8"/>
        <v>0</v>
      </c>
      <c r="N20" s="1051">
        <f>'[18]FY2012-13 Final'!K21</f>
        <v>3888</v>
      </c>
      <c r="O20" s="1053">
        <f t="shared" si="9"/>
        <v>0</v>
      </c>
      <c r="P20" s="1118">
        <f t="shared" si="10"/>
        <v>0</v>
      </c>
      <c r="Q20" s="1053">
        <f t="shared" si="11"/>
        <v>0</v>
      </c>
      <c r="R20" s="1053">
        <v>0</v>
      </c>
      <c r="S20" s="1053">
        <f t="shared" si="12"/>
        <v>0</v>
      </c>
      <c r="T20" s="1053">
        <f t="shared" si="13"/>
        <v>0</v>
      </c>
      <c r="U20" s="1054">
        <f t="shared" si="14"/>
        <v>0</v>
      </c>
      <c r="V20" s="1054">
        <f t="shared" si="14"/>
        <v>0</v>
      </c>
    </row>
    <row r="21" spans="1:22">
      <c r="A21" s="998">
        <v>15</v>
      </c>
      <c r="B21" s="999" t="s">
        <v>109</v>
      </c>
      <c r="C21" s="1194"/>
      <c r="D21" s="1001">
        <f>'Table 3 Levels 1&amp;2'!BN23+'Table 3 Levels 1&amp;2'!BV23</f>
        <v>5492.5789412344011</v>
      </c>
      <c r="E21" s="1101">
        <f t="shared" si="2"/>
        <v>0</v>
      </c>
      <c r="F21" s="1101">
        <f>'Table 4 Level 3'!N20</f>
        <v>553.79999999999995</v>
      </c>
      <c r="G21" s="1101">
        <f t="shared" si="3"/>
        <v>0</v>
      </c>
      <c r="H21" s="1055">
        <f t="shared" si="4"/>
        <v>0</v>
      </c>
      <c r="I21" s="1111">
        <f t="shared" si="5"/>
        <v>0</v>
      </c>
      <c r="J21" s="1055">
        <f t="shared" si="6"/>
        <v>0</v>
      </c>
      <c r="K21" s="1055">
        <v>0</v>
      </c>
      <c r="L21" s="1055">
        <f t="shared" si="7"/>
        <v>0</v>
      </c>
      <c r="M21" s="1055">
        <f t="shared" si="8"/>
        <v>0</v>
      </c>
      <c r="N21" s="1056">
        <f>'[18]FY2012-13 Final'!K22</f>
        <v>2752</v>
      </c>
      <c r="O21" s="1057">
        <f t="shared" si="9"/>
        <v>0</v>
      </c>
      <c r="P21" s="1119">
        <f t="shared" si="10"/>
        <v>0</v>
      </c>
      <c r="Q21" s="1057">
        <f t="shared" si="11"/>
        <v>0</v>
      </c>
      <c r="R21" s="1057">
        <v>0</v>
      </c>
      <c r="S21" s="1057">
        <f t="shared" si="12"/>
        <v>0</v>
      </c>
      <c r="T21" s="1057">
        <f t="shared" si="13"/>
        <v>0</v>
      </c>
      <c r="U21" s="1058">
        <f t="shared" si="14"/>
        <v>0</v>
      </c>
      <c r="V21" s="1058">
        <f t="shared" si="14"/>
        <v>0</v>
      </c>
    </row>
    <row r="22" spans="1:22">
      <c r="A22" s="987">
        <v>16</v>
      </c>
      <c r="B22" s="988" t="s">
        <v>110</v>
      </c>
      <c r="C22" s="1195"/>
      <c r="D22" s="990">
        <f>'Table 3 Levels 1&amp;2'!BN24+'Table 3 Levels 1&amp;2'!BV24</f>
        <v>1506.1153407945151</v>
      </c>
      <c r="E22" s="1099">
        <f t="shared" si="2"/>
        <v>0</v>
      </c>
      <c r="F22" s="1099">
        <f>'Table 4 Level 3'!N21</f>
        <v>686.73</v>
      </c>
      <c r="G22" s="1099">
        <f t="shared" si="3"/>
        <v>0</v>
      </c>
      <c r="H22" s="991">
        <f t="shared" si="4"/>
        <v>0</v>
      </c>
      <c r="I22" s="1109">
        <f t="shared" si="5"/>
        <v>0</v>
      </c>
      <c r="J22" s="991">
        <f t="shared" si="6"/>
        <v>0</v>
      </c>
      <c r="K22" s="991">
        <v>0</v>
      </c>
      <c r="L22" s="991">
        <f t="shared" si="7"/>
        <v>0</v>
      </c>
      <c r="M22" s="991">
        <f t="shared" si="8"/>
        <v>0</v>
      </c>
      <c r="N22" s="1051">
        <f>'[18]FY2012-13 Final'!K23</f>
        <v>15092</v>
      </c>
      <c r="O22" s="992">
        <f t="shared" si="9"/>
        <v>0</v>
      </c>
      <c r="P22" s="1117">
        <f t="shared" si="10"/>
        <v>0</v>
      </c>
      <c r="Q22" s="992">
        <f t="shared" si="11"/>
        <v>0</v>
      </c>
      <c r="R22" s="992">
        <v>0</v>
      </c>
      <c r="S22" s="992">
        <f t="shared" si="12"/>
        <v>0</v>
      </c>
      <c r="T22" s="992">
        <f t="shared" si="13"/>
        <v>0</v>
      </c>
      <c r="U22" s="993">
        <f t="shared" si="14"/>
        <v>0</v>
      </c>
      <c r="V22" s="993">
        <f t="shared" si="14"/>
        <v>0</v>
      </c>
    </row>
    <row r="23" spans="1:22">
      <c r="A23" s="994">
        <v>17</v>
      </c>
      <c r="B23" s="995" t="s">
        <v>111</v>
      </c>
      <c r="C23" s="1193"/>
      <c r="D23" s="997">
        <f>'Table 3 Levels 1&amp;2'!BN25+'Table 3 Levels 1&amp;2'!BV25</f>
        <v>3311.610845996096</v>
      </c>
      <c r="E23" s="1100">
        <f t="shared" si="2"/>
        <v>0</v>
      </c>
      <c r="F23" s="1100">
        <f>'Table 4 Level 3'!N22</f>
        <v>801.47762416806802</v>
      </c>
      <c r="G23" s="1100">
        <f t="shared" si="3"/>
        <v>0</v>
      </c>
      <c r="H23" s="1052">
        <f t="shared" si="4"/>
        <v>0</v>
      </c>
      <c r="I23" s="1110">
        <f t="shared" si="5"/>
        <v>0</v>
      </c>
      <c r="J23" s="1052">
        <f t="shared" si="6"/>
        <v>0</v>
      </c>
      <c r="K23" s="1052">
        <v>0</v>
      </c>
      <c r="L23" s="1052">
        <f t="shared" si="7"/>
        <v>0</v>
      </c>
      <c r="M23" s="1052">
        <f t="shared" si="8"/>
        <v>0</v>
      </c>
      <c r="N23" s="1051">
        <f>'[18]FY2012-13 Final'!K24</f>
        <v>6551</v>
      </c>
      <c r="O23" s="1053">
        <f t="shared" si="9"/>
        <v>0</v>
      </c>
      <c r="P23" s="1118">
        <f t="shared" si="10"/>
        <v>0</v>
      </c>
      <c r="Q23" s="1053">
        <f t="shared" si="11"/>
        <v>0</v>
      </c>
      <c r="R23" s="1053">
        <v>0</v>
      </c>
      <c r="S23" s="1053">
        <f t="shared" si="12"/>
        <v>0</v>
      </c>
      <c r="T23" s="1053">
        <f t="shared" si="13"/>
        <v>0</v>
      </c>
      <c r="U23" s="1054">
        <f t="shared" si="14"/>
        <v>0</v>
      </c>
      <c r="V23" s="1054">
        <f t="shared" si="14"/>
        <v>0</v>
      </c>
    </row>
    <row r="24" spans="1:22">
      <c r="A24" s="994">
        <v>18</v>
      </c>
      <c r="B24" s="995" t="s">
        <v>112</v>
      </c>
      <c r="C24" s="1193"/>
      <c r="D24" s="997">
        <f>'Table 3 Levels 1&amp;2'!BN26+'Table 3 Levels 1&amp;2'!BV26</f>
        <v>5964.3490202032081</v>
      </c>
      <c r="E24" s="1100">
        <f t="shared" si="2"/>
        <v>0</v>
      </c>
      <c r="F24" s="1100">
        <f>'Table 4 Level 3'!N23</f>
        <v>845.94999999999993</v>
      </c>
      <c r="G24" s="1100">
        <f t="shared" si="3"/>
        <v>0</v>
      </c>
      <c r="H24" s="1052">
        <f t="shared" si="4"/>
        <v>0</v>
      </c>
      <c r="I24" s="1110">
        <f t="shared" si="5"/>
        <v>0</v>
      </c>
      <c r="J24" s="1052">
        <f t="shared" si="6"/>
        <v>0</v>
      </c>
      <c r="K24" s="1052">
        <v>0</v>
      </c>
      <c r="L24" s="1052">
        <f t="shared" si="7"/>
        <v>0</v>
      </c>
      <c r="M24" s="1052">
        <f t="shared" si="8"/>
        <v>0</v>
      </c>
      <c r="N24" s="1051">
        <f>'[18]FY2012-13 Final'!K25</f>
        <v>2165</v>
      </c>
      <c r="O24" s="1053">
        <f t="shared" si="9"/>
        <v>0</v>
      </c>
      <c r="P24" s="1118">
        <f t="shared" si="10"/>
        <v>0</v>
      </c>
      <c r="Q24" s="1053">
        <f t="shared" si="11"/>
        <v>0</v>
      </c>
      <c r="R24" s="1053">
        <v>0</v>
      </c>
      <c r="S24" s="1053">
        <f t="shared" si="12"/>
        <v>0</v>
      </c>
      <c r="T24" s="1053">
        <f t="shared" si="13"/>
        <v>0</v>
      </c>
      <c r="U24" s="1054">
        <f t="shared" si="14"/>
        <v>0</v>
      </c>
      <c r="V24" s="1054">
        <f t="shared" si="14"/>
        <v>0</v>
      </c>
    </row>
    <row r="25" spans="1:22">
      <c r="A25" s="994">
        <v>19</v>
      </c>
      <c r="B25" s="995" t="s">
        <v>113</v>
      </c>
      <c r="C25" s="1193"/>
      <c r="D25" s="997">
        <f>'Table 3 Levels 1&amp;2'!BN27+'Table 3 Levels 1&amp;2'!BV27</f>
        <v>5283.1088158476596</v>
      </c>
      <c r="E25" s="1100">
        <f t="shared" si="2"/>
        <v>0</v>
      </c>
      <c r="F25" s="1100">
        <f>'Table 4 Level 3'!N24</f>
        <v>905.43</v>
      </c>
      <c r="G25" s="1100">
        <f t="shared" si="3"/>
        <v>0</v>
      </c>
      <c r="H25" s="1052">
        <f t="shared" si="4"/>
        <v>0</v>
      </c>
      <c r="I25" s="1110">
        <f t="shared" si="5"/>
        <v>0</v>
      </c>
      <c r="J25" s="1052">
        <f t="shared" si="6"/>
        <v>0</v>
      </c>
      <c r="K25" s="1052">
        <v>0</v>
      </c>
      <c r="L25" s="1052">
        <f t="shared" si="7"/>
        <v>0</v>
      </c>
      <c r="M25" s="1052">
        <f t="shared" si="8"/>
        <v>0</v>
      </c>
      <c r="N25" s="1051">
        <f>'[18]FY2012-13 Final'!K26</f>
        <v>2729</v>
      </c>
      <c r="O25" s="1053">
        <f t="shared" si="9"/>
        <v>0</v>
      </c>
      <c r="P25" s="1118">
        <f t="shared" si="10"/>
        <v>0</v>
      </c>
      <c r="Q25" s="1053">
        <f t="shared" si="11"/>
        <v>0</v>
      </c>
      <c r="R25" s="1053">
        <v>0</v>
      </c>
      <c r="S25" s="1053">
        <f t="shared" si="12"/>
        <v>0</v>
      </c>
      <c r="T25" s="1053">
        <f t="shared" si="13"/>
        <v>0</v>
      </c>
      <c r="U25" s="1054">
        <f t="shared" si="14"/>
        <v>0</v>
      </c>
      <c r="V25" s="1054">
        <f t="shared" si="14"/>
        <v>0</v>
      </c>
    </row>
    <row r="26" spans="1:22">
      <c r="A26" s="998">
        <v>20</v>
      </c>
      <c r="B26" s="999" t="s">
        <v>114</v>
      </c>
      <c r="C26" s="1194"/>
      <c r="D26" s="1001">
        <f>'Table 3 Levels 1&amp;2'!BN28+'Table 3 Levels 1&amp;2'!BV28</f>
        <v>5389.6047094824808</v>
      </c>
      <c r="E26" s="1101">
        <f t="shared" si="2"/>
        <v>0</v>
      </c>
      <c r="F26" s="1101">
        <f>'Table 4 Level 3'!N25</f>
        <v>586.16999999999996</v>
      </c>
      <c r="G26" s="1101">
        <f t="shared" si="3"/>
        <v>0</v>
      </c>
      <c r="H26" s="1055">
        <f t="shared" si="4"/>
        <v>0</v>
      </c>
      <c r="I26" s="1111">
        <f t="shared" si="5"/>
        <v>0</v>
      </c>
      <c r="J26" s="1055">
        <f t="shared" si="6"/>
        <v>0</v>
      </c>
      <c r="K26" s="1055">
        <v>0</v>
      </c>
      <c r="L26" s="1055">
        <f t="shared" si="7"/>
        <v>0</v>
      </c>
      <c r="M26" s="1055">
        <f t="shared" si="8"/>
        <v>0</v>
      </c>
      <c r="N26" s="1056">
        <f>'[18]FY2012-13 Final'!K27</f>
        <v>2334</v>
      </c>
      <c r="O26" s="1057">
        <f t="shared" si="9"/>
        <v>0</v>
      </c>
      <c r="P26" s="1119">
        <f t="shared" si="10"/>
        <v>0</v>
      </c>
      <c r="Q26" s="1057">
        <f t="shared" si="11"/>
        <v>0</v>
      </c>
      <c r="R26" s="1057">
        <v>0</v>
      </c>
      <c r="S26" s="1057">
        <f t="shared" si="12"/>
        <v>0</v>
      </c>
      <c r="T26" s="1057">
        <f t="shared" si="13"/>
        <v>0</v>
      </c>
      <c r="U26" s="1058">
        <f t="shared" si="14"/>
        <v>0</v>
      </c>
      <c r="V26" s="1058">
        <f t="shared" si="14"/>
        <v>0</v>
      </c>
    </row>
    <row r="27" spans="1:22">
      <c r="A27" s="987">
        <v>21</v>
      </c>
      <c r="B27" s="988" t="s">
        <v>115</v>
      </c>
      <c r="C27" s="1195"/>
      <c r="D27" s="990">
        <f>'Table 3 Levels 1&amp;2'!BN29+'Table 3 Levels 1&amp;2'!BV29</f>
        <v>5659.8229810652783</v>
      </c>
      <c r="E27" s="1099">
        <f t="shared" si="2"/>
        <v>0</v>
      </c>
      <c r="F27" s="1099">
        <f>'Table 4 Level 3'!N26</f>
        <v>610.35</v>
      </c>
      <c r="G27" s="1099">
        <f t="shared" si="3"/>
        <v>0</v>
      </c>
      <c r="H27" s="991">
        <f t="shared" si="4"/>
        <v>0</v>
      </c>
      <c r="I27" s="1109">
        <f t="shared" si="5"/>
        <v>0</v>
      </c>
      <c r="J27" s="991">
        <f t="shared" si="6"/>
        <v>0</v>
      </c>
      <c r="K27" s="991">
        <v>0</v>
      </c>
      <c r="L27" s="991">
        <f t="shared" si="7"/>
        <v>0</v>
      </c>
      <c r="M27" s="991">
        <f t="shared" si="8"/>
        <v>0</v>
      </c>
      <c r="N27" s="1051">
        <f>'[18]FY2012-13 Final'!K28</f>
        <v>2233</v>
      </c>
      <c r="O27" s="992">
        <f t="shared" si="9"/>
        <v>0</v>
      </c>
      <c r="P27" s="1117">
        <f t="shared" si="10"/>
        <v>0</v>
      </c>
      <c r="Q27" s="992">
        <f t="shared" si="11"/>
        <v>0</v>
      </c>
      <c r="R27" s="992">
        <v>0</v>
      </c>
      <c r="S27" s="992">
        <f t="shared" si="12"/>
        <v>0</v>
      </c>
      <c r="T27" s="992">
        <f t="shared" si="13"/>
        <v>0</v>
      </c>
      <c r="U27" s="993">
        <f t="shared" si="14"/>
        <v>0</v>
      </c>
      <c r="V27" s="993">
        <f t="shared" si="14"/>
        <v>0</v>
      </c>
    </row>
    <row r="28" spans="1:22">
      <c r="A28" s="994">
        <v>22</v>
      </c>
      <c r="B28" s="995" t="s">
        <v>116</v>
      </c>
      <c r="C28" s="1193"/>
      <c r="D28" s="997">
        <f>'Table 3 Levels 1&amp;2'!BN30+'Table 3 Levels 1&amp;2'!BV30</f>
        <v>6191.1997628958306</v>
      </c>
      <c r="E28" s="1100">
        <f t="shared" si="2"/>
        <v>0</v>
      </c>
      <c r="F28" s="1100">
        <f>'Table 4 Level 3'!N27</f>
        <v>496.36</v>
      </c>
      <c r="G28" s="1100">
        <f t="shared" si="3"/>
        <v>0</v>
      </c>
      <c r="H28" s="1052">
        <f t="shared" si="4"/>
        <v>0</v>
      </c>
      <c r="I28" s="1110">
        <f t="shared" si="5"/>
        <v>0</v>
      </c>
      <c r="J28" s="1052">
        <f t="shared" si="6"/>
        <v>0</v>
      </c>
      <c r="K28" s="1052">
        <v>0</v>
      </c>
      <c r="L28" s="1052">
        <f t="shared" si="7"/>
        <v>0</v>
      </c>
      <c r="M28" s="1052">
        <f t="shared" si="8"/>
        <v>0</v>
      </c>
      <c r="N28" s="1051">
        <f>'[18]FY2012-13 Final'!K29</f>
        <v>1410</v>
      </c>
      <c r="O28" s="1053">
        <f t="shared" si="9"/>
        <v>0</v>
      </c>
      <c r="P28" s="1118">
        <f t="shared" si="10"/>
        <v>0</v>
      </c>
      <c r="Q28" s="1053">
        <f t="shared" si="11"/>
        <v>0</v>
      </c>
      <c r="R28" s="1053">
        <v>0</v>
      </c>
      <c r="S28" s="1053">
        <f t="shared" si="12"/>
        <v>0</v>
      </c>
      <c r="T28" s="1053">
        <f t="shared" si="13"/>
        <v>0</v>
      </c>
      <c r="U28" s="1054">
        <f t="shared" si="14"/>
        <v>0</v>
      </c>
      <c r="V28" s="1054">
        <f t="shared" si="14"/>
        <v>0</v>
      </c>
    </row>
    <row r="29" spans="1:22">
      <c r="A29" s="994">
        <v>23</v>
      </c>
      <c r="B29" s="995" t="s">
        <v>117</v>
      </c>
      <c r="C29" s="1193"/>
      <c r="D29" s="997">
        <f>'Table 3 Levels 1&amp;2'!BN31+'Table 3 Levels 1&amp;2'!BV31</f>
        <v>4788.2881021645453</v>
      </c>
      <c r="E29" s="1100">
        <f t="shared" si="2"/>
        <v>0</v>
      </c>
      <c r="F29" s="1100">
        <f>'Table 4 Level 3'!N28</f>
        <v>688.58</v>
      </c>
      <c r="G29" s="1100">
        <f t="shared" si="3"/>
        <v>0</v>
      </c>
      <c r="H29" s="1052">
        <f t="shared" si="4"/>
        <v>0</v>
      </c>
      <c r="I29" s="1110">
        <f t="shared" si="5"/>
        <v>0</v>
      </c>
      <c r="J29" s="1052">
        <f t="shared" si="6"/>
        <v>0</v>
      </c>
      <c r="K29" s="1052">
        <v>0</v>
      </c>
      <c r="L29" s="1052">
        <f t="shared" si="7"/>
        <v>0</v>
      </c>
      <c r="M29" s="1052">
        <f t="shared" si="8"/>
        <v>0</v>
      </c>
      <c r="N29" s="1051">
        <f>'[18]FY2012-13 Final'!K30</f>
        <v>3258</v>
      </c>
      <c r="O29" s="1053">
        <f t="shared" si="9"/>
        <v>0</v>
      </c>
      <c r="P29" s="1118">
        <f t="shared" si="10"/>
        <v>0</v>
      </c>
      <c r="Q29" s="1053">
        <f t="shared" si="11"/>
        <v>0</v>
      </c>
      <c r="R29" s="1053">
        <v>0</v>
      </c>
      <c r="S29" s="1053">
        <f t="shared" si="12"/>
        <v>0</v>
      </c>
      <c r="T29" s="1053">
        <f t="shared" si="13"/>
        <v>0</v>
      </c>
      <c r="U29" s="1054">
        <f t="shared" si="14"/>
        <v>0</v>
      </c>
      <c r="V29" s="1054">
        <f t="shared" si="14"/>
        <v>0</v>
      </c>
    </row>
    <row r="30" spans="1:22">
      <c r="A30" s="994">
        <v>24</v>
      </c>
      <c r="B30" s="995" t="s">
        <v>118</v>
      </c>
      <c r="C30" s="1193"/>
      <c r="D30" s="997">
        <f>'Table 3 Levels 1&amp;2'!BN32+'Table 3 Levels 1&amp;2'!BV32</f>
        <v>2743.328175824176</v>
      </c>
      <c r="E30" s="1100">
        <f t="shared" si="2"/>
        <v>0</v>
      </c>
      <c r="F30" s="1100">
        <f>'Table 4 Level 3'!N29</f>
        <v>854.24999999999989</v>
      </c>
      <c r="G30" s="1100">
        <f t="shared" si="3"/>
        <v>0</v>
      </c>
      <c r="H30" s="1052">
        <f t="shared" si="4"/>
        <v>0</v>
      </c>
      <c r="I30" s="1110">
        <f t="shared" si="5"/>
        <v>0</v>
      </c>
      <c r="J30" s="1052">
        <f t="shared" si="6"/>
        <v>0</v>
      </c>
      <c r="K30" s="1052">
        <v>0</v>
      </c>
      <c r="L30" s="1052">
        <f t="shared" si="7"/>
        <v>0</v>
      </c>
      <c r="M30" s="1052">
        <f t="shared" si="8"/>
        <v>0</v>
      </c>
      <c r="N30" s="1051">
        <f>'[18]FY2012-13 Final'!K31</f>
        <v>9280</v>
      </c>
      <c r="O30" s="1053">
        <f t="shared" si="9"/>
        <v>0</v>
      </c>
      <c r="P30" s="1118">
        <f t="shared" si="10"/>
        <v>0</v>
      </c>
      <c r="Q30" s="1053">
        <f t="shared" si="11"/>
        <v>0</v>
      </c>
      <c r="R30" s="1053">
        <v>0</v>
      </c>
      <c r="S30" s="1053">
        <f t="shared" si="12"/>
        <v>0</v>
      </c>
      <c r="T30" s="1053">
        <f t="shared" si="13"/>
        <v>0</v>
      </c>
      <c r="U30" s="1054">
        <f t="shared" si="14"/>
        <v>0</v>
      </c>
      <c r="V30" s="1054">
        <f t="shared" si="14"/>
        <v>0</v>
      </c>
    </row>
    <row r="31" spans="1:22">
      <c r="A31" s="998">
        <v>25</v>
      </c>
      <c r="B31" s="999" t="s">
        <v>119</v>
      </c>
      <c r="C31" s="1194"/>
      <c r="D31" s="1001">
        <f>'Table 3 Levels 1&amp;2'!BN33+'Table 3 Levels 1&amp;2'!BV33</f>
        <v>3799.3890273447178</v>
      </c>
      <c r="E31" s="1101">
        <f t="shared" si="2"/>
        <v>0</v>
      </c>
      <c r="F31" s="1101">
        <f>'Table 4 Level 3'!N30</f>
        <v>653.73</v>
      </c>
      <c r="G31" s="1101">
        <f t="shared" si="3"/>
        <v>0</v>
      </c>
      <c r="H31" s="1055">
        <f t="shared" si="4"/>
        <v>0</v>
      </c>
      <c r="I31" s="1111">
        <f t="shared" si="5"/>
        <v>0</v>
      </c>
      <c r="J31" s="1055">
        <f t="shared" si="6"/>
        <v>0</v>
      </c>
      <c r="K31" s="1055">
        <v>0</v>
      </c>
      <c r="L31" s="1055">
        <f t="shared" si="7"/>
        <v>0</v>
      </c>
      <c r="M31" s="1055">
        <f t="shared" si="8"/>
        <v>0</v>
      </c>
      <c r="N31" s="1056">
        <f>'[18]FY2012-13 Final'!K32</f>
        <v>5351</v>
      </c>
      <c r="O31" s="1057">
        <f t="shared" si="9"/>
        <v>0</v>
      </c>
      <c r="P31" s="1119">
        <f t="shared" si="10"/>
        <v>0</v>
      </c>
      <c r="Q31" s="1057">
        <f t="shared" si="11"/>
        <v>0</v>
      </c>
      <c r="R31" s="1057">
        <v>0</v>
      </c>
      <c r="S31" s="1057">
        <f t="shared" si="12"/>
        <v>0</v>
      </c>
      <c r="T31" s="1057">
        <f t="shared" si="13"/>
        <v>0</v>
      </c>
      <c r="U31" s="1058">
        <f t="shared" si="14"/>
        <v>0</v>
      </c>
      <c r="V31" s="1058">
        <f t="shared" si="14"/>
        <v>0</v>
      </c>
    </row>
    <row r="32" spans="1:22">
      <c r="A32" s="987">
        <v>26</v>
      </c>
      <c r="B32" s="988" t="s">
        <v>120</v>
      </c>
      <c r="C32" s="1195"/>
      <c r="D32" s="990">
        <f>'Table 3 Levels 1&amp;2'!BN34+'Table 3 Levels 1&amp;2'!BV34</f>
        <v>3320.7842100822745</v>
      </c>
      <c r="E32" s="1099">
        <f t="shared" si="2"/>
        <v>0</v>
      </c>
      <c r="F32" s="1099">
        <f>'Table 4 Level 3'!N31</f>
        <v>836.83</v>
      </c>
      <c r="G32" s="1099">
        <f t="shared" si="3"/>
        <v>0</v>
      </c>
      <c r="H32" s="991">
        <f t="shared" si="4"/>
        <v>0</v>
      </c>
      <c r="I32" s="1109">
        <f t="shared" si="5"/>
        <v>0</v>
      </c>
      <c r="J32" s="991">
        <f t="shared" si="6"/>
        <v>0</v>
      </c>
      <c r="K32" s="991">
        <v>0</v>
      </c>
      <c r="L32" s="991">
        <f t="shared" si="7"/>
        <v>0</v>
      </c>
      <c r="M32" s="991">
        <f t="shared" si="8"/>
        <v>0</v>
      </c>
      <c r="N32" s="1051">
        <f>'[18]FY2012-13 Final'!K33</f>
        <v>5100</v>
      </c>
      <c r="O32" s="992">
        <f t="shared" si="9"/>
        <v>0</v>
      </c>
      <c r="P32" s="1117">
        <f t="shared" si="10"/>
        <v>0</v>
      </c>
      <c r="Q32" s="992">
        <f t="shared" si="11"/>
        <v>0</v>
      </c>
      <c r="R32" s="992">
        <v>0</v>
      </c>
      <c r="S32" s="992">
        <f t="shared" si="12"/>
        <v>0</v>
      </c>
      <c r="T32" s="992">
        <f t="shared" si="13"/>
        <v>0</v>
      </c>
      <c r="U32" s="993">
        <f t="shared" si="14"/>
        <v>0</v>
      </c>
      <c r="V32" s="993">
        <f t="shared" si="14"/>
        <v>0</v>
      </c>
    </row>
    <row r="33" spans="1:22">
      <c r="A33" s="994">
        <v>27</v>
      </c>
      <c r="B33" s="995" t="s">
        <v>121</v>
      </c>
      <c r="C33" s="1196"/>
      <c r="D33" s="1003">
        <f>'Table 3 Levels 1&amp;2'!BN35+'Table 3 Levels 1&amp;2'!BV35</f>
        <v>5636.5919457972805</v>
      </c>
      <c r="E33" s="1102">
        <f t="shared" si="2"/>
        <v>0</v>
      </c>
      <c r="F33" s="1102">
        <f>'Table 4 Level 3'!N32</f>
        <v>693.06</v>
      </c>
      <c r="G33" s="1102">
        <f t="shared" si="3"/>
        <v>0</v>
      </c>
      <c r="H33" s="1059">
        <f t="shared" si="4"/>
        <v>0</v>
      </c>
      <c r="I33" s="1112">
        <f t="shared" si="5"/>
        <v>0</v>
      </c>
      <c r="J33" s="1059">
        <f t="shared" si="6"/>
        <v>0</v>
      </c>
      <c r="K33" s="1059">
        <v>0</v>
      </c>
      <c r="L33" s="1059">
        <f t="shared" si="7"/>
        <v>0</v>
      </c>
      <c r="M33" s="1059">
        <f t="shared" si="8"/>
        <v>0</v>
      </c>
      <c r="N33" s="1051">
        <f>'[18]FY2012-13 Final'!K34</f>
        <v>3091</v>
      </c>
      <c r="O33" s="1053">
        <f t="shared" si="9"/>
        <v>0</v>
      </c>
      <c r="P33" s="1118">
        <f t="shared" si="10"/>
        <v>0</v>
      </c>
      <c r="Q33" s="1053">
        <f t="shared" si="11"/>
        <v>0</v>
      </c>
      <c r="R33" s="1053">
        <v>0</v>
      </c>
      <c r="S33" s="1053">
        <f t="shared" si="12"/>
        <v>0</v>
      </c>
      <c r="T33" s="1053">
        <f t="shared" si="13"/>
        <v>0</v>
      </c>
      <c r="U33" s="1054">
        <f t="shared" si="14"/>
        <v>0</v>
      </c>
      <c r="V33" s="1054">
        <f t="shared" si="14"/>
        <v>0</v>
      </c>
    </row>
    <row r="34" spans="1:22">
      <c r="A34" s="994">
        <v>28</v>
      </c>
      <c r="B34" s="995" t="s">
        <v>122</v>
      </c>
      <c r="C34" s="1196"/>
      <c r="D34" s="1003">
        <f>'Table 3 Levels 1&amp;2'!BN36+'Table 3 Levels 1&amp;2'!BV36</f>
        <v>3106.8056522508969</v>
      </c>
      <c r="E34" s="1102">
        <f t="shared" si="2"/>
        <v>0</v>
      </c>
      <c r="F34" s="1102">
        <f>'Table 4 Level 3'!N33</f>
        <v>694.4</v>
      </c>
      <c r="G34" s="1102">
        <f t="shared" si="3"/>
        <v>0</v>
      </c>
      <c r="H34" s="1059">
        <f t="shared" si="4"/>
        <v>0</v>
      </c>
      <c r="I34" s="1112">
        <f t="shared" si="5"/>
        <v>0</v>
      </c>
      <c r="J34" s="1059">
        <f t="shared" si="6"/>
        <v>0</v>
      </c>
      <c r="K34" s="1059">
        <v>0</v>
      </c>
      <c r="L34" s="1059">
        <f t="shared" si="7"/>
        <v>0</v>
      </c>
      <c r="M34" s="1059">
        <f t="shared" si="8"/>
        <v>0</v>
      </c>
      <c r="N34" s="1051">
        <f>'[18]FY2012-13 Final'!K35</f>
        <v>5323</v>
      </c>
      <c r="O34" s="1053">
        <f t="shared" si="9"/>
        <v>0</v>
      </c>
      <c r="P34" s="1118">
        <f t="shared" si="10"/>
        <v>0</v>
      </c>
      <c r="Q34" s="1053">
        <f t="shared" si="11"/>
        <v>0</v>
      </c>
      <c r="R34" s="1053">
        <v>0</v>
      </c>
      <c r="S34" s="1053">
        <f t="shared" si="12"/>
        <v>0</v>
      </c>
      <c r="T34" s="1053">
        <f t="shared" si="13"/>
        <v>0</v>
      </c>
      <c r="U34" s="1054">
        <f t="shared" si="14"/>
        <v>0</v>
      </c>
      <c r="V34" s="1054">
        <f t="shared" si="14"/>
        <v>0</v>
      </c>
    </row>
    <row r="35" spans="1:22">
      <c r="A35" s="994">
        <v>29</v>
      </c>
      <c r="B35" s="995" t="s">
        <v>123</v>
      </c>
      <c r="C35" s="1196"/>
      <c r="D35" s="1003">
        <f>'Table 3 Levels 1&amp;2'!BN37+'Table 3 Levels 1&amp;2'!BV37</f>
        <v>3912.1846976122315</v>
      </c>
      <c r="E35" s="1102">
        <f t="shared" si="2"/>
        <v>0</v>
      </c>
      <c r="F35" s="1102">
        <f>'Table 4 Level 3'!N34</f>
        <v>754.94999999999993</v>
      </c>
      <c r="G35" s="1102">
        <f t="shared" si="3"/>
        <v>0</v>
      </c>
      <c r="H35" s="1059">
        <f t="shared" si="4"/>
        <v>0</v>
      </c>
      <c r="I35" s="1112">
        <f t="shared" si="5"/>
        <v>0</v>
      </c>
      <c r="J35" s="1059">
        <f t="shared" si="6"/>
        <v>0</v>
      </c>
      <c r="K35" s="1059">
        <v>0</v>
      </c>
      <c r="L35" s="1059">
        <f t="shared" si="7"/>
        <v>0</v>
      </c>
      <c r="M35" s="1059">
        <f t="shared" si="8"/>
        <v>0</v>
      </c>
      <c r="N35" s="1051">
        <f>'[18]FY2012-13 Final'!K36</f>
        <v>4388</v>
      </c>
      <c r="O35" s="1053">
        <f t="shared" si="9"/>
        <v>0</v>
      </c>
      <c r="P35" s="1118">
        <f t="shared" si="10"/>
        <v>0</v>
      </c>
      <c r="Q35" s="1053">
        <f t="shared" si="11"/>
        <v>0</v>
      </c>
      <c r="R35" s="1053">
        <v>0</v>
      </c>
      <c r="S35" s="1053">
        <f t="shared" si="12"/>
        <v>0</v>
      </c>
      <c r="T35" s="1053">
        <f t="shared" si="13"/>
        <v>0</v>
      </c>
      <c r="U35" s="1054">
        <f t="shared" si="14"/>
        <v>0</v>
      </c>
      <c r="V35" s="1054">
        <f t="shared" si="14"/>
        <v>0</v>
      </c>
    </row>
    <row r="36" spans="1:22">
      <c r="A36" s="998">
        <v>30</v>
      </c>
      <c r="B36" s="999" t="s">
        <v>124</v>
      </c>
      <c r="C36" s="1197"/>
      <c r="D36" s="1005">
        <f>'Table 3 Levels 1&amp;2'!BN38+'Table 3 Levels 1&amp;2'!BV38</f>
        <v>5594.0091640611508</v>
      </c>
      <c r="E36" s="1103">
        <f t="shared" si="2"/>
        <v>0</v>
      </c>
      <c r="F36" s="1103">
        <f>'Table 4 Level 3'!N35</f>
        <v>727.17</v>
      </c>
      <c r="G36" s="1103">
        <f t="shared" si="3"/>
        <v>0</v>
      </c>
      <c r="H36" s="1060">
        <f t="shared" si="4"/>
        <v>0</v>
      </c>
      <c r="I36" s="1113">
        <f t="shared" si="5"/>
        <v>0</v>
      </c>
      <c r="J36" s="1060">
        <f t="shared" si="6"/>
        <v>0</v>
      </c>
      <c r="K36" s="1060">
        <v>0</v>
      </c>
      <c r="L36" s="1060">
        <f t="shared" si="7"/>
        <v>0</v>
      </c>
      <c r="M36" s="1060">
        <f t="shared" si="8"/>
        <v>0</v>
      </c>
      <c r="N36" s="1056">
        <f>'[18]FY2012-13 Final'!K37</f>
        <v>3702</v>
      </c>
      <c r="O36" s="1057">
        <f t="shared" si="9"/>
        <v>0</v>
      </c>
      <c r="P36" s="1119">
        <f t="shared" si="10"/>
        <v>0</v>
      </c>
      <c r="Q36" s="1057">
        <f t="shared" si="11"/>
        <v>0</v>
      </c>
      <c r="R36" s="1057">
        <v>0</v>
      </c>
      <c r="S36" s="1057">
        <f t="shared" si="12"/>
        <v>0</v>
      </c>
      <c r="T36" s="1057">
        <f t="shared" si="13"/>
        <v>0</v>
      </c>
      <c r="U36" s="1058">
        <f t="shared" si="14"/>
        <v>0</v>
      </c>
      <c r="V36" s="1058">
        <f t="shared" si="14"/>
        <v>0</v>
      </c>
    </row>
    <row r="37" spans="1:22">
      <c r="A37" s="987">
        <v>31</v>
      </c>
      <c r="B37" s="988" t="s">
        <v>125</v>
      </c>
      <c r="C37" s="1198"/>
      <c r="D37" s="1007">
        <f>'Table 3 Levels 1&amp;2'!BN39+'Table 3 Levels 1&amp;2'!BV39</f>
        <v>4320.114188911979</v>
      </c>
      <c r="E37" s="1104">
        <f t="shared" si="2"/>
        <v>0</v>
      </c>
      <c r="F37" s="1104">
        <f>'Table 4 Level 3'!N36</f>
        <v>620.83000000000004</v>
      </c>
      <c r="G37" s="1104">
        <f t="shared" si="3"/>
        <v>0</v>
      </c>
      <c r="H37" s="1061">
        <f t="shared" si="4"/>
        <v>0</v>
      </c>
      <c r="I37" s="1114">
        <f t="shared" si="5"/>
        <v>0</v>
      </c>
      <c r="J37" s="1061">
        <f t="shared" si="6"/>
        <v>0</v>
      </c>
      <c r="K37" s="1061">
        <v>0</v>
      </c>
      <c r="L37" s="1061">
        <f t="shared" si="7"/>
        <v>0</v>
      </c>
      <c r="M37" s="1061">
        <f t="shared" si="8"/>
        <v>0</v>
      </c>
      <c r="N37" s="1051">
        <f>'[18]FY2012-13 Final'!K38</f>
        <v>4669</v>
      </c>
      <c r="O37" s="992">
        <f t="shared" si="9"/>
        <v>0</v>
      </c>
      <c r="P37" s="1117">
        <f t="shared" si="10"/>
        <v>0</v>
      </c>
      <c r="Q37" s="992">
        <f t="shared" si="11"/>
        <v>0</v>
      </c>
      <c r="R37" s="992">
        <v>0</v>
      </c>
      <c r="S37" s="992">
        <f t="shared" si="12"/>
        <v>0</v>
      </c>
      <c r="T37" s="992">
        <f t="shared" si="13"/>
        <v>0</v>
      </c>
      <c r="U37" s="993">
        <f t="shared" si="14"/>
        <v>0</v>
      </c>
      <c r="V37" s="993">
        <f t="shared" si="14"/>
        <v>0</v>
      </c>
    </row>
    <row r="38" spans="1:22">
      <c r="A38" s="994">
        <v>32</v>
      </c>
      <c r="B38" s="995" t="s">
        <v>126</v>
      </c>
      <c r="C38" s="1196"/>
      <c r="D38" s="1003">
        <f>'Table 3 Levels 1&amp;2'!BN40+'Table 3 Levels 1&amp;2'!BV40</f>
        <v>5504.4479209353676</v>
      </c>
      <c r="E38" s="1102">
        <f t="shared" si="2"/>
        <v>0</v>
      </c>
      <c r="F38" s="1102">
        <f>'Table 4 Level 3'!N37</f>
        <v>559.77</v>
      </c>
      <c r="G38" s="1102">
        <f t="shared" si="3"/>
        <v>0</v>
      </c>
      <c r="H38" s="1059">
        <f t="shared" si="4"/>
        <v>0</v>
      </c>
      <c r="I38" s="1112">
        <f t="shared" si="5"/>
        <v>0</v>
      </c>
      <c r="J38" s="1059">
        <f t="shared" si="6"/>
        <v>0</v>
      </c>
      <c r="K38" s="1059">
        <v>0</v>
      </c>
      <c r="L38" s="1059">
        <f t="shared" si="7"/>
        <v>0</v>
      </c>
      <c r="M38" s="1059">
        <f t="shared" si="8"/>
        <v>0</v>
      </c>
      <c r="N38" s="1051">
        <f>'[18]FY2012-13 Final'!K39</f>
        <v>1965</v>
      </c>
      <c r="O38" s="1053">
        <f t="shared" si="9"/>
        <v>0</v>
      </c>
      <c r="P38" s="1118">
        <f t="shared" si="10"/>
        <v>0</v>
      </c>
      <c r="Q38" s="1053">
        <f t="shared" si="11"/>
        <v>0</v>
      </c>
      <c r="R38" s="1053">
        <v>0</v>
      </c>
      <c r="S38" s="1053">
        <f t="shared" si="12"/>
        <v>0</v>
      </c>
      <c r="T38" s="1053">
        <f t="shared" si="13"/>
        <v>0</v>
      </c>
      <c r="U38" s="1054">
        <f t="shared" si="14"/>
        <v>0</v>
      </c>
      <c r="V38" s="1054">
        <f t="shared" si="14"/>
        <v>0</v>
      </c>
    </row>
    <row r="39" spans="1:22">
      <c r="A39" s="994">
        <v>33</v>
      </c>
      <c r="B39" s="995" t="s">
        <v>127</v>
      </c>
      <c r="C39" s="1196"/>
      <c r="D39" s="1003">
        <f>'Table 3 Levels 1&amp;2'!BN41+'Table 3 Levels 1&amp;2'!BV41</f>
        <v>5322.07272511876</v>
      </c>
      <c r="E39" s="1102">
        <f t="shared" si="2"/>
        <v>0</v>
      </c>
      <c r="F39" s="1102">
        <f>'Table 4 Level 3'!N38</f>
        <v>655.31000000000006</v>
      </c>
      <c r="G39" s="1102">
        <f t="shared" si="3"/>
        <v>0</v>
      </c>
      <c r="H39" s="1059">
        <f t="shared" si="4"/>
        <v>0</v>
      </c>
      <c r="I39" s="1112">
        <f t="shared" si="5"/>
        <v>0</v>
      </c>
      <c r="J39" s="1059">
        <f t="shared" si="6"/>
        <v>0</v>
      </c>
      <c r="K39" s="1059">
        <v>0</v>
      </c>
      <c r="L39" s="1059">
        <f t="shared" si="7"/>
        <v>0</v>
      </c>
      <c r="M39" s="1059">
        <f t="shared" si="8"/>
        <v>0</v>
      </c>
      <c r="N39" s="1051">
        <f>'[18]FY2012-13 Final'!K40</f>
        <v>2771</v>
      </c>
      <c r="O39" s="1053">
        <f t="shared" si="9"/>
        <v>0</v>
      </c>
      <c r="P39" s="1118">
        <f t="shared" si="10"/>
        <v>0</v>
      </c>
      <c r="Q39" s="1053">
        <f t="shared" si="11"/>
        <v>0</v>
      </c>
      <c r="R39" s="1053">
        <v>0</v>
      </c>
      <c r="S39" s="1053">
        <f t="shared" si="12"/>
        <v>0</v>
      </c>
      <c r="T39" s="1053">
        <f t="shared" si="13"/>
        <v>0</v>
      </c>
      <c r="U39" s="1054">
        <f t="shared" si="14"/>
        <v>0</v>
      </c>
      <c r="V39" s="1054">
        <f t="shared" si="14"/>
        <v>0</v>
      </c>
    </row>
    <row r="40" spans="1:22">
      <c r="A40" s="994">
        <v>34</v>
      </c>
      <c r="B40" s="995" t="s">
        <v>128</v>
      </c>
      <c r="C40" s="1196"/>
      <c r="D40" s="1003">
        <f>'Table 3 Levels 1&amp;2'!BN42+'Table 3 Levels 1&amp;2'!BV42</f>
        <v>5959.062840731639</v>
      </c>
      <c r="E40" s="1102">
        <f t="shared" si="2"/>
        <v>0</v>
      </c>
      <c r="F40" s="1102">
        <f>'Table 4 Level 3'!N39</f>
        <v>644.11000000000013</v>
      </c>
      <c r="G40" s="1102">
        <f t="shared" si="3"/>
        <v>0</v>
      </c>
      <c r="H40" s="1059">
        <f t="shared" si="4"/>
        <v>0</v>
      </c>
      <c r="I40" s="1112">
        <f t="shared" si="5"/>
        <v>0</v>
      </c>
      <c r="J40" s="1059">
        <f t="shared" si="6"/>
        <v>0</v>
      </c>
      <c r="K40" s="1059">
        <v>0</v>
      </c>
      <c r="L40" s="1059">
        <f t="shared" si="7"/>
        <v>0</v>
      </c>
      <c r="M40" s="1059">
        <f t="shared" si="8"/>
        <v>0</v>
      </c>
      <c r="N40" s="1051">
        <f>'[18]FY2012-13 Final'!K41</f>
        <v>2758</v>
      </c>
      <c r="O40" s="1053">
        <f t="shared" si="9"/>
        <v>0</v>
      </c>
      <c r="P40" s="1118">
        <f t="shared" si="10"/>
        <v>0</v>
      </c>
      <c r="Q40" s="1053">
        <f t="shared" si="11"/>
        <v>0</v>
      </c>
      <c r="R40" s="1053">
        <v>0</v>
      </c>
      <c r="S40" s="1053">
        <f t="shared" si="12"/>
        <v>0</v>
      </c>
      <c r="T40" s="1053">
        <f t="shared" si="13"/>
        <v>0</v>
      </c>
      <c r="U40" s="1054">
        <f t="shared" si="14"/>
        <v>0</v>
      </c>
      <c r="V40" s="1054">
        <f t="shared" si="14"/>
        <v>0</v>
      </c>
    </row>
    <row r="41" spans="1:22">
      <c r="A41" s="998">
        <v>35</v>
      </c>
      <c r="B41" s="999" t="s">
        <v>129</v>
      </c>
      <c r="C41" s="1197"/>
      <c r="D41" s="1005">
        <f>'Table 3 Levels 1&amp;2'!BN43+'Table 3 Levels 1&amp;2'!BV43</f>
        <v>4571.947611490059</v>
      </c>
      <c r="E41" s="1103">
        <f t="shared" si="2"/>
        <v>0</v>
      </c>
      <c r="F41" s="1103">
        <f>'Table 4 Level 3'!N40</f>
        <v>537.96</v>
      </c>
      <c r="G41" s="1103">
        <f t="shared" si="3"/>
        <v>0</v>
      </c>
      <c r="H41" s="1060">
        <f t="shared" si="4"/>
        <v>0</v>
      </c>
      <c r="I41" s="1113">
        <f t="shared" si="5"/>
        <v>0</v>
      </c>
      <c r="J41" s="1060">
        <f t="shared" si="6"/>
        <v>0</v>
      </c>
      <c r="K41" s="1060">
        <v>0</v>
      </c>
      <c r="L41" s="1060">
        <f t="shared" si="7"/>
        <v>0</v>
      </c>
      <c r="M41" s="1060">
        <f t="shared" si="8"/>
        <v>0</v>
      </c>
      <c r="N41" s="1056">
        <f>'[18]FY2012-13 Final'!K42</f>
        <v>3603</v>
      </c>
      <c r="O41" s="1057">
        <f t="shared" si="9"/>
        <v>0</v>
      </c>
      <c r="P41" s="1119">
        <f t="shared" si="10"/>
        <v>0</v>
      </c>
      <c r="Q41" s="1057">
        <f t="shared" si="11"/>
        <v>0</v>
      </c>
      <c r="R41" s="1057">
        <v>0</v>
      </c>
      <c r="S41" s="1057">
        <f t="shared" si="12"/>
        <v>0</v>
      </c>
      <c r="T41" s="1057">
        <f t="shared" si="13"/>
        <v>0</v>
      </c>
      <c r="U41" s="1058">
        <f t="shared" si="14"/>
        <v>0</v>
      </c>
      <c r="V41" s="1058">
        <f t="shared" si="14"/>
        <v>0</v>
      </c>
    </row>
    <row r="42" spans="1:22">
      <c r="A42" s="987">
        <v>36</v>
      </c>
      <c r="B42" s="988" t="s">
        <v>130</v>
      </c>
      <c r="C42" s="1198"/>
      <c r="D42" s="1007">
        <f>'Table 3 Levels 1&amp;2'!BN44+'Table 3 Levels 1&amp;2'!BV44</f>
        <v>3666.4136012725312</v>
      </c>
      <c r="E42" s="1104">
        <f t="shared" si="2"/>
        <v>0</v>
      </c>
      <c r="F42" s="1104">
        <f>'Table 4 Level 3'!N41</f>
        <v>727.23177743956114</v>
      </c>
      <c r="G42" s="1104">
        <f t="shared" si="3"/>
        <v>0</v>
      </c>
      <c r="H42" s="1061">
        <f t="shared" si="4"/>
        <v>0</v>
      </c>
      <c r="I42" s="1114">
        <f t="shared" si="5"/>
        <v>0</v>
      </c>
      <c r="J42" s="1061">
        <f t="shared" si="6"/>
        <v>0</v>
      </c>
      <c r="K42" s="1061">
        <v>0</v>
      </c>
      <c r="L42" s="1061">
        <f t="shared" si="7"/>
        <v>0</v>
      </c>
      <c r="M42" s="1061">
        <f t="shared" si="8"/>
        <v>0</v>
      </c>
      <c r="N42" s="1051">
        <f>'[18]FY2012-13 Final'!K43</f>
        <v>4601</v>
      </c>
      <c r="O42" s="992">
        <f t="shared" si="9"/>
        <v>0</v>
      </c>
      <c r="P42" s="1117">
        <f t="shared" si="10"/>
        <v>0</v>
      </c>
      <c r="Q42" s="992">
        <f t="shared" si="11"/>
        <v>0</v>
      </c>
      <c r="R42" s="992">
        <v>0</v>
      </c>
      <c r="S42" s="992">
        <f t="shared" si="12"/>
        <v>0</v>
      </c>
      <c r="T42" s="992">
        <f t="shared" si="13"/>
        <v>0</v>
      </c>
      <c r="U42" s="993">
        <f t="shared" si="14"/>
        <v>0</v>
      </c>
      <c r="V42" s="993">
        <f t="shared" si="14"/>
        <v>0</v>
      </c>
    </row>
    <row r="43" spans="1:22">
      <c r="A43" s="994">
        <v>37</v>
      </c>
      <c r="B43" s="995" t="s">
        <v>131</v>
      </c>
      <c r="C43" s="1196"/>
      <c r="D43" s="1003">
        <f>'Table 3 Levels 1&amp;2'!BN45+'Table 3 Levels 1&amp;2'!BV45</f>
        <v>5484.8089042263191</v>
      </c>
      <c r="E43" s="1102">
        <f t="shared" si="2"/>
        <v>0</v>
      </c>
      <c r="F43" s="1102">
        <f>'Table 4 Level 3'!N42</f>
        <v>653.61</v>
      </c>
      <c r="G43" s="1102">
        <f t="shared" si="3"/>
        <v>0</v>
      </c>
      <c r="H43" s="1059">
        <f t="shared" si="4"/>
        <v>0</v>
      </c>
      <c r="I43" s="1112">
        <f t="shared" si="5"/>
        <v>0</v>
      </c>
      <c r="J43" s="1059">
        <f t="shared" si="6"/>
        <v>0</v>
      </c>
      <c r="K43" s="1059">
        <v>0</v>
      </c>
      <c r="L43" s="1059">
        <f t="shared" si="7"/>
        <v>0</v>
      </c>
      <c r="M43" s="1059">
        <f t="shared" si="8"/>
        <v>0</v>
      </c>
      <c r="N43" s="1051">
        <f>'[18]FY2012-13 Final'!K44</f>
        <v>3099</v>
      </c>
      <c r="O43" s="1053">
        <f t="shared" si="9"/>
        <v>0</v>
      </c>
      <c r="P43" s="1118">
        <f t="shared" si="10"/>
        <v>0</v>
      </c>
      <c r="Q43" s="1053">
        <f t="shared" si="11"/>
        <v>0</v>
      </c>
      <c r="R43" s="1053">
        <v>0</v>
      </c>
      <c r="S43" s="1053">
        <f t="shared" si="12"/>
        <v>0</v>
      </c>
      <c r="T43" s="1053">
        <f t="shared" si="13"/>
        <v>0</v>
      </c>
      <c r="U43" s="1054">
        <f t="shared" si="14"/>
        <v>0</v>
      </c>
      <c r="V43" s="1054">
        <f t="shared" si="14"/>
        <v>0</v>
      </c>
    </row>
    <row r="44" spans="1:22">
      <c r="A44" s="994">
        <v>38</v>
      </c>
      <c r="B44" s="995" t="s">
        <v>132</v>
      </c>
      <c r="C44" s="1196"/>
      <c r="D44" s="1003">
        <f>'Table 3 Levels 1&amp;2'!BN46+'Table 3 Levels 1&amp;2'!BV46</f>
        <v>2078.5917829727841</v>
      </c>
      <c r="E44" s="1102">
        <f t="shared" si="2"/>
        <v>0</v>
      </c>
      <c r="F44" s="1102">
        <f>'Table 4 Level 3'!N43</f>
        <v>829.92000000000007</v>
      </c>
      <c r="G44" s="1102">
        <f t="shared" si="3"/>
        <v>0</v>
      </c>
      <c r="H44" s="1059">
        <f t="shared" si="4"/>
        <v>0</v>
      </c>
      <c r="I44" s="1112">
        <f t="shared" si="5"/>
        <v>0</v>
      </c>
      <c r="J44" s="1059">
        <f t="shared" si="6"/>
        <v>0</v>
      </c>
      <c r="K44" s="1059">
        <v>0</v>
      </c>
      <c r="L44" s="1059">
        <f t="shared" si="7"/>
        <v>0</v>
      </c>
      <c r="M44" s="1059">
        <f t="shared" si="8"/>
        <v>0</v>
      </c>
      <c r="N44" s="1051">
        <f>'[18]FY2012-13 Final'!K45</f>
        <v>9674</v>
      </c>
      <c r="O44" s="1053">
        <f t="shared" si="9"/>
        <v>0</v>
      </c>
      <c r="P44" s="1118">
        <f t="shared" si="10"/>
        <v>0</v>
      </c>
      <c r="Q44" s="1053">
        <f t="shared" si="11"/>
        <v>0</v>
      </c>
      <c r="R44" s="1053">
        <v>0</v>
      </c>
      <c r="S44" s="1053">
        <f t="shared" si="12"/>
        <v>0</v>
      </c>
      <c r="T44" s="1053">
        <f t="shared" si="13"/>
        <v>0</v>
      </c>
      <c r="U44" s="1054">
        <f t="shared" si="14"/>
        <v>0</v>
      </c>
      <c r="V44" s="1054">
        <f t="shared" si="14"/>
        <v>0</v>
      </c>
    </row>
    <row r="45" spans="1:22">
      <c r="A45" s="994">
        <v>39</v>
      </c>
      <c r="B45" s="995" t="s">
        <v>133</v>
      </c>
      <c r="C45" s="1196"/>
      <c r="D45" s="1003">
        <f>'Table 3 Levels 1&amp;2'!BN47+'Table 3 Levels 1&amp;2'!BV47</f>
        <v>3622.4878999042335</v>
      </c>
      <c r="E45" s="1102">
        <f t="shared" si="2"/>
        <v>0</v>
      </c>
      <c r="F45" s="1102">
        <f>'Table 4 Level 3'!N44</f>
        <v>779.65573042776441</v>
      </c>
      <c r="G45" s="1102">
        <f t="shared" si="3"/>
        <v>0</v>
      </c>
      <c r="H45" s="1059">
        <f t="shared" si="4"/>
        <v>0</v>
      </c>
      <c r="I45" s="1112">
        <f t="shared" si="5"/>
        <v>0</v>
      </c>
      <c r="J45" s="1059">
        <f t="shared" si="6"/>
        <v>0</v>
      </c>
      <c r="K45" s="1059">
        <v>0</v>
      </c>
      <c r="L45" s="1059">
        <f t="shared" si="7"/>
        <v>0</v>
      </c>
      <c r="M45" s="1059">
        <f t="shared" si="8"/>
        <v>0</v>
      </c>
      <c r="N45" s="1051">
        <f>'[18]FY2012-13 Final'!K46</f>
        <v>4277</v>
      </c>
      <c r="O45" s="1053">
        <f t="shared" si="9"/>
        <v>0</v>
      </c>
      <c r="P45" s="1118">
        <f t="shared" si="10"/>
        <v>0</v>
      </c>
      <c r="Q45" s="1053">
        <f t="shared" si="11"/>
        <v>0</v>
      </c>
      <c r="R45" s="1053">
        <v>0</v>
      </c>
      <c r="S45" s="1053">
        <f t="shared" si="12"/>
        <v>0</v>
      </c>
      <c r="T45" s="1053">
        <f t="shared" si="13"/>
        <v>0</v>
      </c>
      <c r="U45" s="1054">
        <f t="shared" si="14"/>
        <v>0</v>
      </c>
      <c r="V45" s="1054">
        <f t="shared" si="14"/>
        <v>0</v>
      </c>
    </row>
    <row r="46" spans="1:22">
      <c r="A46" s="998">
        <v>40</v>
      </c>
      <c r="B46" s="999" t="s">
        <v>134</v>
      </c>
      <c r="C46" s="1197"/>
      <c r="D46" s="1005">
        <f>'Table 3 Levels 1&amp;2'!BN48+'Table 3 Levels 1&amp;2'!BV48</f>
        <v>4885.6387343180086</v>
      </c>
      <c r="E46" s="1103">
        <f t="shared" si="2"/>
        <v>0</v>
      </c>
      <c r="F46" s="1103">
        <f>'Table 4 Level 3'!N45</f>
        <v>700.2700000000001</v>
      </c>
      <c r="G46" s="1103">
        <f t="shared" si="3"/>
        <v>0</v>
      </c>
      <c r="H46" s="1060">
        <f t="shared" si="4"/>
        <v>0</v>
      </c>
      <c r="I46" s="1113">
        <f t="shared" si="5"/>
        <v>0</v>
      </c>
      <c r="J46" s="1060">
        <f t="shared" si="6"/>
        <v>0</v>
      </c>
      <c r="K46" s="1060">
        <v>0</v>
      </c>
      <c r="L46" s="1060">
        <f t="shared" si="7"/>
        <v>0</v>
      </c>
      <c r="M46" s="1060">
        <f t="shared" si="8"/>
        <v>0</v>
      </c>
      <c r="N46" s="1056">
        <f>'[18]FY2012-13 Final'!K47</f>
        <v>2921</v>
      </c>
      <c r="O46" s="1057">
        <f t="shared" si="9"/>
        <v>0</v>
      </c>
      <c r="P46" s="1119">
        <f t="shared" si="10"/>
        <v>0</v>
      </c>
      <c r="Q46" s="1057">
        <f t="shared" si="11"/>
        <v>0</v>
      </c>
      <c r="R46" s="1057">
        <v>0</v>
      </c>
      <c r="S46" s="1057">
        <f t="shared" si="12"/>
        <v>0</v>
      </c>
      <c r="T46" s="1057">
        <f t="shared" si="13"/>
        <v>0</v>
      </c>
      <c r="U46" s="1058">
        <f t="shared" si="14"/>
        <v>0</v>
      </c>
      <c r="V46" s="1058">
        <f t="shared" si="14"/>
        <v>0</v>
      </c>
    </row>
    <row r="47" spans="1:22">
      <c r="A47" s="987">
        <v>41</v>
      </c>
      <c r="B47" s="988" t="s">
        <v>135</v>
      </c>
      <c r="C47" s="1198"/>
      <c r="D47" s="1007">
        <f>'Table 3 Levels 1&amp;2'!BN49+'Table 3 Levels 1&amp;2'!BV49</f>
        <v>1602.0398121899364</v>
      </c>
      <c r="E47" s="1104">
        <f t="shared" si="2"/>
        <v>0</v>
      </c>
      <c r="F47" s="1104">
        <f>'Table 4 Level 3'!N46</f>
        <v>886.22</v>
      </c>
      <c r="G47" s="1104">
        <f t="shared" si="3"/>
        <v>0</v>
      </c>
      <c r="H47" s="1061">
        <f t="shared" si="4"/>
        <v>0</v>
      </c>
      <c r="I47" s="1114">
        <f t="shared" si="5"/>
        <v>0</v>
      </c>
      <c r="J47" s="1061">
        <f t="shared" si="6"/>
        <v>0</v>
      </c>
      <c r="K47" s="1061">
        <v>0</v>
      </c>
      <c r="L47" s="1061">
        <f t="shared" si="7"/>
        <v>0</v>
      </c>
      <c r="M47" s="1061">
        <f t="shared" si="8"/>
        <v>0</v>
      </c>
      <c r="N47" s="1051">
        <f>'[18]FY2012-13 Final'!K48</f>
        <v>12026</v>
      </c>
      <c r="O47" s="992">
        <f t="shared" si="9"/>
        <v>0</v>
      </c>
      <c r="P47" s="1117">
        <f t="shared" si="10"/>
        <v>0</v>
      </c>
      <c r="Q47" s="992">
        <f t="shared" si="11"/>
        <v>0</v>
      </c>
      <c r="R47" s="992">
        <v>0</v>
      </c>
      <c r="S47" s="992">
        <f t="shared" si="12"/>
        <v>0</v>
      </c>
      <c r="T47" s="992">
        <f t="shared" si="13"/>
        <v>0</v>
      </c>
      <c r="U47" s="993">
        <f t="shared" si="14"/>
        <v>0</v>
      </c>
      <c r="V47" s="993">
        <f t="shared" si="14"/>
        <v>0</v>
      </c>
    </row>
    <row r="48" spans="1:22">
      <c r="A48" s="994">
        <v>42</v>
      </c>
      <c r="B48" s="995" t="s">
        <v>136</v>
      </c>
      <c r="C48" s="1196"/>
      <c r="D48" s="1003">
        <f>'Table 3 Levels 1&amp;2'!BN50+'Table 3 Levels 1&amp;2'!BV50</f>
        <v>5098.6172346404755</v>
      </c>
      <c r="E48" s="1102">
        <f t="shared" si="2"/>
        <v>0</v>
      </c>
      <c r="F48" s="1102">
        <f>'Table 4 Level 3'!N47</f>
        <v>534.28</v>
      </c>
      <c r="G48" s="1102">
        <f t="shared" si="3"/>
        <v>0</v>
      </c>
      <c r="H48" s="1059">
        <f t="shared" si="4"/>
        <v>0</v>
      </c>
      <c r="I48" s="1112">
        <f t="shared" si="5"/>
        <v>0</v>
      </c>
      <c r="J48" s="1059">
        <f t="shared" si="6"/>
        <v>0</v>
      </c>
      <c r="K48" s="1059">
        <v>0</v>
      </c>
      <c r="L48" s="1059">
        <f t="shared" si="7"/>
        <v>0</v>
      </c>
      <c r="M48" s="1059">
        <f t="shared" si="8"/>
        <v>0</v>
      </c>
      <c r="N48" s="1051">
        <f>'[18]FY2012-13 Final'!K49</f>
        <v>2554</v>
      </c>
      <c r="O48" s="1053">
        <f t="shared" si="9"/>
        <v>0</v>
      </c>
      <c r="P48" s="1118">
        <f t="shared" si="10"/>
        <v>0</v>
      </c>
      <c r="Q48" s="1053">
        <f t="shared" si="11"/>
        <v>0</v>
      </c>
      <c r="R48" s="1053">
        <v>0</v>
      </c>
      <c r="S48" s="1053">
        <f t="shared" si="12"/>
        <v>0</v>
      </c>
      <c r="T48" s="1053">
        <f t="shared" si="13"/>
        <v>0</v>
      </c>
      <c r="U48" s="1054">
        <f t="shared" si="14"/>
        <v>0</v>
      </c>
      <c r="V48" s="1054">
        <f t="shared" si="14"/>
        <v>0</v>
      </c>
    </row>
    <row r="49" spans="1:22">
      <c r="A49" s="994">
        <v>43</v>
      </c>
      <c r="B49" s="995" t="s">
        <v>137</v>
      </c>
      <c r="C49" s="1196"/>
      <c r="D49" s="1003">
        <f>'Table 3 Levels 1&amp;2'!BN51+'Table 3 Levels 1&amp;2'!BV51</f>
        <v>4701.3362575004667</v>
      </c>
      <c r="E49" s="1102">
        <f t="shared" si="2"/>
        <v>0</v>
      </c>
      <c r="F49" s="1102">
        <f>'Table 4 Level 3'!N48</f>
        <v>574.6099999999999</v>
      </c>
      <c r="G49" s="1102">
        <f t="shared" si="3"/>
        <v>0</v>
      </c>
      <c r="H49" s="1059">
        <f t="shared" si="4"/>
        <v>0</v>
      </c>
      <c r="I49" s="1112">
        <f t="shared" si="5"/>
        <v>0</v>
      </c>
      <c r="J49" s="1059">
        <f t="shared" si="6"/>
        <v>0</v>
      </c>
      <c r="K49" s="1059">
        <v>0</v>
      </c>
      <c r="L49" s="1059">
        <f t="shared" si="7"/>
        <v>0</v>
      </c>
      <c r="M49" s="1059">
        <f t="shared" si="8"/>
        <v>0</v>
      </c>
      <c r="N49" s="1051">
        <f>'[18]FY2012-13 Final'!K50</f>
        <v>5265</v>
      </c>
      <c r="O49" s="1053">
        <f t="shared" si="9"/>
        <v>0</v>
      </c>
      <c r="P49" s="1118">
        <f t="shared" si="10"/>
        <v>0</v>
      </c>
      <c r="Q49" s="1053">
        <f t="shared" si="11"/>
        <v>0</v>
      </c>
      <c r="R49" s="1053">
        <v>0</v>
      </c>
      <c r="S49" s="1053">
        <f t="shared" si="12"/>
        <v>0</v>
      </c>
      <c r="T49" s="1053">
        <f t="shared" si="13"/>
        <v>0</v>
      </c>
      <c r="U49" s="1054">
        <f t="shared" si="14"/>
        <v>0</v>
      </c>
      <c r="V49" s="1054">
        <f t="shared" si="14"/>
        <v>0</v>
      </c>
    </row>
    <row r="50" spans="1:22">
      <c r="A50" s="994">
        <v>44</v>
      </c>
      <c r="B50" s="995" t="s">
        <v>138</v>
      </c>
      <c r="C50" s="1196"/>
      <c r="D50" s="1003">
        <f>'Table 3 Levels 1&amp;2'!BN52+'Table 3 Levels 1&amp;2'!BV52</f>
        <v>4649.5559521248724</v>
      </c>
      <c r="E50" s="1102">
        <f t="shared" si="2"/>
        <v>0</v>
      </c>
      <c r="F50" s="1102">
        <f>'Table 4 Level 3'!N49</f>
        <v>663.16000000000008</v>
      </c>
      <c r="G50" s="1102">
        <f t="shared" si="3"/>
        <v>0</v>
      </c>
      <c r="H50" s="1059">
        <f t="shared" si="4"/>
        <v>0</v>
      </c>
      <c r="I50" s="1112">
        <f t="shared" si="5"/>
        <v>0</v>
      </c>
      <c r="J50" s="1059">
        <f t="shared" si="6"/>
        <v>0</v>
      </c>
      <c r="K50" s="1059">
        <v>0</v>
      </c>
      <c r="L50" s="1059">
        <f t="shared" si="7"/>
        <v>0</v>
      </c>
      <c r="M50" s="1059">
        <f t="shared" si="8"/>
        <v>0</v>
      </c>
      <c r="N50" s="1051">
        <f>'[18]FY2012-13 Final'!K51</f>
        <v>4109</v>
      </c>
      <c r="O50" s="1053">
        <f t="shared" si="9"/>
        <v>0</v>
      </c>
      <c r="P50" s="1118">
        <f t="shared" si="10"/>
        <v>0</v>
      </c>
      <c r="Q50" s="1053">
        <f t="shared" si="11"/>
        <v>0</v>
      </c>
      <c r="R50" s="1053">
        <v>0</v>
      </c>
      <c r="S50" s="1053">
        <f t="shared" si="12"/>
        <v>0</v>
      </c>
      <c r="T50" s="1053">
        <f t="shared" si="13"/>
        <v>0</v>
      </c>
      <c r="U50" s="1054">
        <f t="shared" si="14"/>
        <v>0</v>
      </c>
      <c r="V50" s="1054">
        <f t="shared" si="14"/>
        <v>0</v>
      </c>
    </row>
    <row r="51" spans="1:22">
      <c r="A51" s="998">
        <v>45</v>
      </c>
      <c r="B51" s="999" t="s">
        <v>139</v>
      </c>
      <c r="C51" s="1197"/>
      <c r="D51" s="1005">
        <f>'Table 3 Levels 1&amp;2'!BN53+'Table 3 Levels 1&amp;2'!BV53</f>
        <v>2159.257884231537</v>
      </c>
      <c r="E51" s="1103">
        <f t="shared" si="2"/>
        <v>0</v>
      </c>
      <c r="F51" s="1103">
        <f>'Table 4 Level 3'!N50</f>
        <v>753.96000000000015</v>
      </c>
      <c r="G51" s="1103">
        <f t="shared" si="3"/>
        <v>0</v>
      </c>
      <c r="H51" s="1060">
        <f t="shared" si="4"/>
        <v>0</v>
      </c>
      <c r="I51" s="1113">
        <f t="shared" si="5"/>
        <v>0</v>
      </c>
      <c r="J51" s="1060">
        <f t="shared" si="6"/>
        <v>0</v>
      </c>
      <c r="K51" s="1060">
        <v>0</v>
      </c>
      <c r="L51" s="1060">
        <f t="shared" si="7"/>
        <v>0</v>
      </c>
      <c r="M51" s="1060">
        <f t="shared" si="8"/>
        <v>0</v>
      </c>
      <c r="N51" s="1056">
        <f>'[18]FY2012-13 Final'!K52</f>
        <v>12427</v>
      </c>
      <c r="O51" s="1057">
        <f t="shared" si="9"/>
        <v>0</v>
      </c>
      <c r="P51" s="1119">
        <f t="shared" si="10"/>
        <v>0</v>
      </c>
      <c r="Q51" s="1057">
        <f t="shared" si="11"/>
        <v>0</v>
      </c>
      <c r="R51" s="1057">
        <v>0</v>
      </c>
      <c r="S51" s="1057">
        <f t="shared" si="12"/>
        <v>0</v>
      </c>
      <c r="T51" s="1057">
        <f t="shared" si="13"/>
        <v>0</v>
      </c>
      <c r="U51" s="1058">
        <f t="shared" si="14"/>
        <v>0</v>
      </c>
      <c r="V51" s="1058">
        <f t="shared" si="14"/>
        <v>0</v>
      </c>
    </row>
    <row r="52" spans="1:22">
      <c r="A52" s="987">
        <v>46</v>
      </c>
      <c r="B52" s="988" t="s">
        <v>140</v>
      </c>
      <c r="C52" s="1198"/>
      <c r="D52" s="1007">
        <f>'Table 3 Levels 1&amp;2'!BN54+'Table 3 Levels 1&amp;2'!BV54</f>
        <v>5578.7258135108641</v>
      </c>
      <c r="E52" s="1104">
        <f t="shared" si="2"/>
        <v>0</v>
      </c>
      <c r="F52" s="1104">
        <f>'Table 4 Level 3'!N51</f>
        <v>728.06</v>
      </c>
      <c r="G52" s="1104">
        <f t="shared" si="3"/>
        <v>0</v>
      </c>
      <c r="H52" s="1061">
        <f t="shared" si="4"/>
        <v>0</v>
      </c>
      <c r="I52" s="1114">
        <f t="shared" si="5"/>
        <v>0</v>
      </c>
      <c r="J52" s="1061">
        <f t="shared" si="6"/>
        <v>0</v>
      </c>
      <c r="K52" s="1061">
        <v>0</v>
      </c>
      <c r="L52" s="1061">
        <f t="shared" si="7"/>
        <v>0</v>
      </c>
      <c r="M52" s="1061">
        <f t="shared" si="8"/>
        <v>0</v>
      </c>
      <c r="N52" s="1051">
        <f>'[18]FY2012-13 Final'!K53</f>
        <v>1968</v>
      </c>
      <c r="O52" s="992">
        <f t="shared" si="9"/>
        <v>0</v>
      </c>
      <c r="P52" s="1117">
        <f t="shared" si="10"/>
        <v>0</v>
      </c>
      <c r="Q52" s="992">
        <f t="shared" si="11"/>
        <v>0</v>
      </c>
      <c r="R52" s="992">
        <v>0</v>
      </c>
      <c r="S52" s="992">
        <f t="shared" si="12"/>
        <v>0</v>
      </c>
      <c r="T52" s="992">
        <f t="shared" si="13"/>
        <v>0</v>
      </c>
      <c r="U52" s="993">
        <f t="shared" si="14"/>
        <v>0</v>
      </c>
      <c r="V52" s="993">
        <f t="shared" si="14"/>
        <v>0</v>
      </c>
    </row>
    <row r="53" spans="1:22">
      <c r="A53" s="994">
        <v>47</v>
      </c>
      <c r="B53" s="995" t="s">
        <v>141</v>
      </c>
      <c r="C53" s="1196"/>
      <c r="D53" s="1003">
        <f>'Table 3 Levels 1&amp;2'!BN55+'Table 3 Levels 1&amp;2'!BV55</f>
        <v>2709.058014721415</v>
      </c>
      <c r="E53" s="1102">
        <f t="shared" si="2"/>
        <v>0</v>
      </c>
      <c r="F53" s="1102">
        <f>'Table 4 Level 3'!N52</f>
        <v>910.76</v>
      </c>
      <c r="G53" s="1102">
        <f t="shared" si="3"/>
        <v>0</v>
      </c>
      <c r="H53" s="1059">
        <f t="shared" si="4"/>
        <v>0</v>
      </c>
      <c r="I53" s="1112">
        <f t="shared" si="5"/>
        <v>0</v>
      </c>
      <c r="J53" s="1059">
        <f t="shared" si="6"/>
        <v>0</v>
      </c>
      <c r="K53" s="1059">
        <v>0</v>
      </c>
      <c r="L53" s="1059">
        <f t="shared" si="7"/>
        <v>0</v>
      </c>
      <c r="M53" s="1059">
        <f t="shared" si="8"/>
        <v>0</v>
      </c>
      <c r="N53" s="1051">
        <f>'[18]FY2012-13 Final'!K54</f>
        <v>10049</v>
      </c>
      <c r="O53" s="1053">
        <f t="shared" si="9"/>
        <v>0</v>
      </c>
      <c r="P53" s="1118">
        <f t="shared" si="10"/>
        <v>0</v>
      </c>
      <c r="Q53" s="1053">
        <f t="shared" si="11"/>
        <v>0</v>
      </c>
      <c r="R53" s="1053">
        <v>0</v>
      </c>
      <c r="S53" s="1053">
        <f t="shared" si="12"/>
        <v>0</v>
      </c>
      <c r="T53" s="1053">
        <f t="shared" si="13"/>
        <v>0</v>
      </c>
      <c r="U53" s="1054">
        <f t="shared" si="14"/>
        <v>0</v>
      </c>
      <c r="V53" s="1054">
        <f t="shared" si="14"/>
        <v>0</v>
      </c>
    </row>
    <row r="54" spans="1:22">
      <c r="A54" s="994">
        <v>48</v>
      </c>
      <c r="B54" s="995" t="s">
        <v>202</v>
      </c>
      <c r="C54" s="1196"/>
      <c r="D54" s="1003">
        <f>'Table 3 Levels 1&amp;2'!BN56+'Table 3 Levels 1&amp;2'!BV56</f>
        <v>4259.4136153508553</v>
      </c>
      <c r="E54" s="1102">
        <f t="shared" si="2"/>
        <v>0</v>
      </c>
      <c r="F54" s="1102">
        <f>'Table 4 Level 3'!N53</f>
        <v>871.07</v>
      </c>
      <c r="G54" s="1102">
        <f t="shared" si="3"/>
        <v>0</v>
      </c>
      <c r="H54" s="1059">
        <f t="shared" si="4"/>
        <v>0</v>
      </c>
      <c r="I54" s="1112">
        <f t="shared" si="5"/>
        <v>0</v>
      </c>
      <c r="J54" s="1059">
        <f t="shared" si="6"/>
        <v>0</v>
      </c>
      <c r="K54" s="1059">
        <v>0</v>
      </c>
      <c r="L54" s="1059">
        <f t="shared" si="7"/>
        <v>0</v>
      </c>
      <c r="M54" s="1059">
        <f t="shared" si="8"/>
        <v>0</v>
      </c>
      <c r="N54" s="1051">
        <f>'[18]FY2012-13 Final'!K55</f>
        <v>5755</v>
      </c>
      <c r="O54" s="1053">
        <f t="shared" si="9"/>
        <v>0</v>
      </c>
      <c r="P54" s="1118">
        <f t="shared" si="10"/>
        <v>0</v>
      </c>
      <c r="Q54" s="1053">
        <f t="shared" si="11"/>
        <v>0</v>
      </c>
      <c r="R54" s="1053">
        <v>0</v>
      </c>
      <c r="S54" s="1053">
        <f t="shared" si="12"/>
        <v>0</v>
      </c>
      <c r="T54" s="1053">
        <f t="shared" si="13"/>
        <v>0</v>
      </c>
      <c r="U54" s="1054">
        <f t="shared" si="14"/>
        <v>0</v>
      </c>
      <c r="V54" s="1054">
        <f t="shared" si="14"/>
        <v>0</v>
      </c>
    </row>
    <row r="55" spans="1:22">
      <c r="A55" s="994">
        <v>49</v>
      </c>
      <c r="B55" s="995" t="s">
        <v>142</v>
      </c>
      <c r="C55" s="1196"/>
      <c r="D55" s="1003">
        <f>'Table 3 Levels 1&amp;2'!BN57+'Table 3 Levels 1&amp;2'!BV57</f>
        <v>4790.0513947378495</v>
      </c>
      <c r="E55" s="1102">
        <f t="shared" si="2"/>
        <v>0</v>
      </c>
      <c r="F55" s="1102">
        <f>'Table 4 Level 3'!N54</f>
        <v>574.43999999999994</v>
      </c>
      <c r="G55" s="1102">
        <f t="shared" si="3"/>
        <v>0</v>
      </c>
      <c r="H55" s="1059">
        <f t="shared" si="4"/>
        <v>0</v>
      </c>
      <c r="I55" s="1112">
        <f t="shared" si="5"/>
        <v>0</v>
      </c>
      <c r="J55" s="1059">
        <f t="shared" si="6"/>
        <v>0</v>
      </c>
      <c r="K55" s="1059">
        <v>0</v>
      </c>
      <c r="L55" s="1059">
        <f t="shared" si="7"/>
        <v>0</v>
      </c>
      <c r="M55" s="1059">
        <f t="shared" si="8"/>
        <v>0</v>
      </c>
      <c r="N55" s="1051">
        <f>'[18]FY2012-13 Final'!K56</f>
        <v>2335</v>
      </c>
      <c r="O55" s="1053">
        <f t="shared" si="9"/>
        <v>0</v>
      </c>
      <c r="P55" s="1118">
        <f t="shared" si="10"/>
        <v>0</v>
      </c>
      <c r="Q55" s="1053">
        <f t="shared" si="11"/>
        <v>0</v>
      </c>
      <c r="R55" s="1053">
        <v>0</v>
      </c>
      <c r="S55" s="1053">
        <f t="shared" si="12"/>
        <v>0</v>
      </c>
      <c r="T55" s="1053">
        <f t="shared" si="13"/>
        <v>0</v>
      </c>
      <c r="U55" s="1054">
        <f t="shared" si="14"/>
        <v>0</v>
      </c>
      <c r="V55" s="1054">
        <f t="shared" si="14"/>
        <v>0</v>
      </c>
    </row>
    <row r="56" spans="1:22">
      <c r="A56" s="998">
        <v>50</v>
      </c>
      <c r="B56" s="999" t="s">
        <v>143</v>
      </c>
      <c r="C56" s="1197"/>
      <c r="D56" s="1005">
        <f>'Table 3 Levels 1&amp;2'!BN58+'Table 3 Levels 1&amp;2'!BV58</f>
        <v>4954.3375045905796</v>
      </c>
      <c r="E56" s="1103">
        <f t="shared" si="2"/>
        <v>0</v>
      </c>
      <c r="F56" s="1103">
        <f>'Table 4 Level 3'!N55</f>
        <v>634.46</v>
      </c>
      <c r="G56" s="1103">
        <f t="shared" si="3"/>
        <v>0</v>
      </c>
      <c r="H56" s="1060">
        <f t="shared" si="4"/>
        <v>0</v>
      </c>
      <c r="I56" s="1113">
        <f t="shared" si="5"/>
        <v>0</v>
      </c>
      <c r="J56" s="1060">
        <f t="shared" si="6"/>
        <v>0</v>
      </c>
      <c r="K56" s="1060">
        <v>0</v>
      </c>
      <c r="L56" s="1060">
        <f t="shared" si="7"/>
        <v>0</v>
      </c>
      <c r="M56" s="1060">
        <f t="shared" si="8"/>
        <v>0</v>
      </c>
      <c r="N56" s="1056">
        <f>'[18]FY2012-13 Final'!K57</f>
        <v>2801</v>
      </c>
      <c r="O56" s="1057">
        <f t="shared" si="9"/>
        <v>0</v>
      </c>
      <c r="P56" s="1119">
        <f t="shared" si="10"/>
        <v>0</v>
      </c>
      <c r="Q56" s="1057">
        <f t="shared" si="11"/>
        <v>0</v>
      </c>
      <c r="R56" s="1057">
        <v>0</v>
      </c>
      <c r="S56" s="1057">
        <f t="shared" si="12"/>
        <v>0</v>
      </c>
      <c r="T56" s="1057">
        <f t="shared" si="13"/>
        <v>0</v>
      </c>
      <c r="U56" s="1058">
        <f t="shared" si="14"/>
        <v>0</v>
      </c>
      <c r="V56" s="1058">
        <f t="shared" si="14"/>
        <v>0</v>
      </c>
    </row>
    <row r="57" spans="1:22">
      <c r="A57" s="987">
        <v>51</v>
      </c>
      <c r="B57" s="988" t="s">
        <v>144</v>
      </c>
      <c r="C57" s="1198"/>
      <c r="D57" s="1007">
        <f>'Table 3 Levels 1&amp;2'!BN59+'Table 3 Levels 1&amp;2'!BV59</f>
        <v>4290.3461727150461</v>
      </c>
      <c r="E57" s="1104">
        <f t="shared" si="2"/>
        <v>0</v>
      </c>
      <c r="F57" s="1104">
        <f>'Table 4 Level 3'!N56</f>
        <v>706.66</v>
      </c>
      <c r="G57" s="1104">
        <f t="shared" si="3"/>
        <v>0</v>
      </c>
      <c r="H57" s="1061">
        <f t="shared" si="4"/>
        <v>0</v>
      </c>
      <c r="I57" s="1114">
        <f t="shared" si="5"/>
        <v>0</v>
      </c>
      <c r="J57" s="1061">
        <f t="shared" si="6"/>
        <v>0</v>
      </c>
      <c r="K57" s="1061">
        <v>0</v>
      </c>
      <c r="L57" s="1061">
        <f t="shared" si="7"/>
        <v>0</v>
      </c>
      <c r="M57" s="1061">
        <f t="shared" si="8"/>
        <v>0</v>
      </c>
      <c r="N57" s="1051">
        <f>'[18]FY2012-13 Final'!K58</f>
        <v>4053</v>
      </c>
      <c r="O57" s="992">
        <f t="shared" si="9"/>
        <v>0</v>
      </c>
      <c r="P57" s="1117">
        <f t="shared" si="10"/>
        <v>0</v>
      </c>
      <c r="Q57" s="992">
        <f t="shared" si="11"/>
        <v>0</v>
      </c>
      <c r="R57" s="992">
        <v>0</v>
      </c>
      <c r="S57" s="992">
        <f t="shared" si="12"/>
        <v>0</v>
      </c>
      <c r="T57" s="992">
        <f t="shared" si="13"/>
        <v>0</v>
      </c>
      <c r="U57" s="993">
        <f t="shared" si="14"/>
        <v>0</v>
      </c>
      <c r="V57" s="993">
        <f t="shared" si="14"/>
        <v>0</v>
      </c>
    </row>
    <row r="58" spans="1:22">
      <c r="A58" s="994">
        <v>52</v>
      </c>
      <c r="B58" s="995" t="s">
        <v>145</v>
      </c>
      <c r="C58" s="1196"/>
      <c r="D58" s="1003">
        <f>'Table 3 Levels 1&amp;2'!BN60+'Table 3 Levels 1&amp;2'!BV60</f>
        <v>4988.6415961118701</v>
      </c>
      <c r="E58" s="1102">
        <f t="shared" si="2"/>
        <v>0</v>
      </c>
      <c r="F58" s="1102">
        <f>'Table 4 Level 3'!N57</f>
        <v>658.37</v>
      </c>
      <c r="G58" s="1102">
        <f t="shared" si="3"/>
        <v>0</v>
      </c>
      <c r="H58" s="1059">
        <f t="shared" si="4"/>
        <v>0</v>
      </c>
      <c r="I58" s="1112">
        <f t="shared" si="5"/>
        <v>0</v>
      </c>
      <c r="J58" s="1059">
        <f t="shared" si="6"/>
        <v>0</v>
      </c>
      <c r="K58" s="1059">
        <v>0</v>
      </c>
      <c r="L58" s="1059">
        <f t="shared" si="7"/>
        <v>0</v>
      </c>
      <c r="M58" s="1059">
        <f t="shared" si="8"/>
        <v>0</v>
      </c>
      <c r="N58" s="1051">
        <f>'[18]FY2012-13 Final'!K59</f>
        <v>4886</v>
      </c>
      <c r="O58" s="1053">
        <f t="shared" si="9"/>
        <v>0</v>
      </c>
      <c r="P58" s="1118">
        <f t="shared" si="10"/>
        <v>0</v>
      </c>
      <c r="Q58" s="1053">
        <f t="shared" si="11"/>
        <v>0</v>
      </c>
      <c r="R58" s="1053">
        <v>0</v>
      </c>
      <c r="S58" s="1053">
        <f t="shared" si="12"/>
        <v>0</v>
      </c>
      <c r="T58" s="1053">
        <f t="shared" si="13"/>
        <v>0</v>
      </c>
      <c r="U58" s="1054">
        <f t="shared" si="14"/>
        <v>0</v>
      </c>
      <c r="V58" s="1054">
        <f t="shared" si="14"/>
        <v>0</v>
      </c>
    </row>
    <row r="59" spans="1:22">
      <c r="A59" s="994">
        <v>53</v>
      </c>
      <c r="B59" s="995" t="s">
        <v>146</v>
      </c>
      <c r="C59" s="1196"/>
      <c r="D59" s="1003">
        <f>'Table 3 Levels 1&amp;2'!BN61+'Table 3 Levels 1&amp;2'!BV61</f>
        <v>4739.7077057162423</v>
      </c>
      <c r="E59" s="1102">
        <f t="shared" si="2"/>
        <v>0</v>
      </c>
      <c r="F59" s="1102">
        <f>'Table 4 Level 3'!N58</f>
        <v>689.74</v>
      </c>
      <c r="G59" s="1102">
        <f t="shared" si="3"/>
        <v>0</v>
      </c>
      <c r="H59" s="1059">
        <f t="shared" si="4"/>
        <v>0</v>
      </c>
      <c r="I59" s="1112">
        <f t="shared" si="5"/>
        <v>0</v>
      </c>
      <c r="J59" s="1059">
        <f t="shared" si="6"/>
        <v>0</v>
      </c>
      <c r="K59" s="1059">
        <v>0</v>
      </c>
      <c r="L59" s="1059">
        <f t="shared" si="7"/>
        <v>0</v>
      </c>
      <c r="M59" s="1059">
        <f t="shared" si="8"/>
        <v>0</v>
      </c>
      <c r="N59" s="1051">
        <f>'[18]FY2012-13 Final'!K60</f>
        <v>1929</v>
      </c>
      <c r="O59" s="1053">
        <f t="shared" si="9"/>
        <v>0</v>
      </c>
      <c r="P59" s="1118">
        <f t="shared" si="10"/>
        <v>0</v>
      </c>
      <c r="Q59" s="1053">
        <f t="shared" si="11"/>
        <v>0</v>
      </c>
      <c r="R59" s="1053">
        <v>0</v>
      </c>
      <c r="S59" s="1053">
        <f t="shared" si="12"/>
        <v>0</v>
      </c>
      <c r="T59" s="1053">
        <f t="shared" si="13"/>
        <v>0</v>
      </c>
      <c r="U59" s="1054">
        <f t="shared" si="14"/>
        <v>0</v>
      </c>
      <c r="V59" s="1054">
        <f t="shared" si="14"/>
        <v>0</v>
      </c>
    </row>
    <row r="60" spans="1:22">
      <c r="A60" s="994">
        <v>54</v>
      </c>
      <c r="B60" s="995" t="s">
        <v>147</v>
      </c>
      <c r="C60" s="1196"/>
      <c r="D60" s="1003">
        <f>'Table 3 Levels 1&amp;2'!BN62+'Table 3 Levels 1&amp;2'!BV62</f>
        <v>5907.1276437932838</v>
      </c>
      <c r="E60" s="1102">
        <f t="shared" si="2"/>
        <v>0</v>
      </c>
      <c r="F60" s="1102">
        <f>'Table 4 Level 3'!N59</f>
        <v>951.45</v>
      </c>
      <c r="G60" s="1102">
        <f t="shared" si="3"/>
        <v>0</v>
      </c>
      <c r="H60" s="1059">
        <f t="shared" si="4"/>
        <v>0</v>
      </c>
      <c r="I60" s="1112">
        <f t="shared" si="5"/>
        <v>0</v>
      </c>
      <c r="J60" s="1059">
        <f t="shared" si="6"/>
        <v>0</v>
      </c>
      <c r="K60" s="1059">
        <v>0</v>
      </c>
      <c r="L60" s="1059">
        <f t="shared" si="7"/>
        <v>0</v>
      </c>
      <c r="M60" s="1059">
        <f t="shared" si="8"/>
        <v>0</v>
      </c>
      <c r="N60" s="1051">
        <f>'[18]FY2012-13 Final'!K61</f>
        <v>3382</v>
      </c>
      <c r="O60" s="1053">
        <f t="shared" si="9"/>
        <v>0</v>
      </c>
      <c r="P60" s="1118">
        <f t="shared" si="10"/>
        <v>0</v>
      </c>
      <c r="Q60" s="1053">
        <f t="shared" si="11"/>
        <v>0</v>
      </c>
      <c r="R60" s="1053">
        <v>0</v>
      </c>
      <c r="S60" s="1053">
        <f t="shared" si="12"/>
        <v>0</v>
      </c>
      <c r="T60" s="1053">
        <f t="shared" si="13"/>
        <v>0</v>
      </c>
      <c r="U60" s="1054">
        <f t="shared" si="14"/>
        <v>0</v>
      </c>
      <c r="V60" s="1054">
        <f t="shared" si="14"/>
        <v>0</v>
      </c>
    </row>
    <row r="61" spans="1:22">
      <c r="A61" s="998">
        <v>55</v>
      </c>
      <c r="B61" s="999" t="s">
        <v>148</v>
      </c>
      <c r="C61" s="1197"/>
      <c r="D61" s="1005">
        <f>'Table 3 Levels 1&amp;2'!BN63+'Table 3 Levels 1&amp;2'!BV63</f>
        <v>4115.0954812679902</v>
      </c>
      <c r="E61" s="1103">
        <f t="shared" si="2"/>
        <v>0</v>
      </c>
      <c r="F61" s="1103">
        <f>'Table 4 Level 3'!N60</f>
        <v>795.14</v>
      </c>
      <c r="G61" s="1103">
        <f t="shared" si="3"/>
        <v>0</v>
      </c>
      <c r="H61" s="1060">
        <f t="shared" si="4"/>
        <v>0</v>
      </c>
      <c r="I61" s="1113">
        <f t="shared" si="5"/>
        <v>0</v>
      </c>
      <c r="J61" s="1060">
        <f t="shared" si="6"/>
        <v>0</v>
      </c>
      <c r="K61" s="1060">
        <v>0</v>
      </c>
      <c r="L61" s="1060">
        <f t="shared" si="7"/>
        <v>0</v>
      </c>
      <c r="M61" s="1060">
        <f t="shared" si="8"/>
        <v>0</v>
      </c>
      <c r="N61" s="1056">
        <f>'[18]FY2012-13 Final'!K62</f>
        <v>3127</v>
      </c>
      <c r="O61" s="1057">
        <f t="shared" si="9"/>
        <v>0</v>
      </c>
      <c r="P61" s="1119">
        <f t="shared" si="10"/>
        <v>0</v>
      </c>
      <c r="Q61" s="1057">
        <f t="shared" si="11"/>
        <v>0</v>
      </c>
      <c r="R61" s="1057">
        <v>0</v>
      </c>
      <c r="S61" s="1057">
        <f t="shared" si="12"/>
        <v>0</v>
      </c>
      <c r="T61" s="1057">
        <f t="shared" si="13"/>
        <v>0</v>
      </c>
      <c r="U61" s="1058">
        <f t="shared" si="14"/>
        <v>0</v>
      </c>
      <c r="V61" s="1058">
        <f t="shared" si="14"/>
        <v>0</v>
      </c>
    </row>
    <row r="62" spans="1:22">
      <c r="A62" s="987">
        <v>56</v>
      </c>
      <c r="B62" s="988" t="s">
        <v>149</v>
      </c>
      <c r="C62" s="1198"/>
      <c r="D62" s="1007">
        <f>'Table 3 Levels 1&amp;2'!BN64+'Table 3 Levels 1&amp;2'!BV64</f>
        <v>4924.9032059941637</v>
      </c>
      <c r="E62" s="1104">
        <f t="shared" si="2"/>
        <v>0</v>
      </c>
      <c r="F62" s="1104">
        <f>'Table 4 Level 3'!N61</f>
        <v>614.66000000000008</v>
      </c>
      <c r="G62" s="1104">
        <f t="shared" si="3"/>
        <v>0</v>
      </c>
      <c r="H62" s="1061">
        <f t="shared" si="4"/>
        <v>0</v>
      </c>
      <c r="I62" s="1114">
        <f t="shared" si="5"/>
        <v>0</v>
      </c>
      <c r="J62" s="1061">
        <f t="shared" si="6"/>
        <v>0</v>
      </c>
      <c r="K62" s="1061">
        <v>0</v>
      </c>
      <c r="L62" s="1061">
        <f t="shared" si="7"/>
        <v>0</v>
      </c>
      <c r="M62" s="1061">
        <f t="shared" si="8"/>
        <v>0</v>
      </c>
      <c r="N62" s="1051">
        <f>'[18]FY2012-13 Final'!K63</f>
        <v>2768</v>
      </c>
      <c r="O62" s="992">
        <f t="shared" si="9"/>
        <v>0</v>
      </c>
      <c r="P62" s="1117">
        <f t="shared" si="10"/>
        <v>0</v>
      </c>
      <c r="Q62" s="992">
        <f t="shared" si="11"/>
        <v>0</v>
      </c>
      <c r="R62" s="992">
        <v>0</v>
      </c>
      <c r="S62" s="992">
        <f t="shared" si="12"/>
        <v>0</v>
      </c>
      <c r="T62" s="992">
        <f t="shared" si="13"/>
        <v>0</v>
      </c>
      <c r="U62" s="993">
        <f t="shared" si="14"/>
        <v>0</v>
      </c>
      <c r="V62" s="993">
        <f t="shared" si="14"/>
        <v>0</v>
      </c>
    </row>
    <row r="63" spans="1:22">
      <c r="A63" s="994">
        <v>57</v>
      </c>
      <c r="B63" s="995" t="s">
        <v>150</v>
      </c>
      <c r="C63" s="1196"/>
      <c r="D63" s="1003">
        <f>'Table 3 Levels 1&amp;2'!BN65+'Table 3 Levels 1&amp;2'!BV65</f>
        <v>4434.5516744018987</v>
      </c>
      <c r="E63" s="1102">
        <f t="shared" si="2"/>
        <v>0</v>
      </c>
      <c r="F63" s="1102">
        <f>'Table 4 Level 3'!N62</f>
        <v>764.51</v>
      </c>
      <c r="G63" s="1102">
        <f t="shared" si="3"/>
        <v>0</v>
      </c>
      <c r="H63" s="1059">
        <f t="shared" si="4"/>
        <v>0</v>
      </c>
      <c r="I63" s="1112">
        <f t="shared" si="5"/>
        <v>0</v>
      </c>
      <c r="J63" s="1059">
        <f t="shared" si="6"/>
        <v>0</v>
      </c>
      <c r="K63" s="1059">
        <v>0</v>
      </c>
      <c r="L63" s="1059">
        <f t="shared" si="7"/>
        <v>0</v>
      </c>
      <c r="M63" s="1059">
        <f t="shared" si="8"/>
        <v>0</v>
      </c>
      <c r="N63" s="1051">
        <f>'[18]FY2012-13 Final'!K64</f>
        <v>2987</v>
      </c>
      <c r="O63" s="1053">
        <f t="shared" si="9"/>
        <v>0</v>
      </c>
      <c r="P63" s="1118">
        <f t="shared" si="10"/>
        <v>0</v>
      </c>
      <c r="Q63" s="1053">
        <f t="shared" si="11"/>
        <v>0</v>
      </c>
      <c r="R63" s="1053">
        <v>0</v>
      </c>
      <c r="S63" s="1053">
        <f t="shared" si="12"/>
        <v>0</v>
      </c>
      <c r="T63" s="1053">
        <f t="shared" si="13"/>
        <v>0</v>
      </c>
      <c r="U63" s="1054">
        <f t="shared" si="14"/>
        <v>0</v>
      </c>
      <c r="V63" s="1054">
        <f t="shared" si="14"/>
        <v>0</v>
      </c>
    </row>
    <row r="64" spans="1:22">
      <c r="A64" s="994">
        <v>58</v>
      </c>
      <c r="B64" s="995" t="s">
        <v>151</v>
      </c>
      <c r="C64" s="1196"/>
      <c r="D64" s="1003">
        <f>'Table 3 Levels 1&amp;2'!BN66+'Table 3 Levels 1&amp;2'!BV66</f>
        <v>5434.7170435013286</v>
      </c>
      <c r="E64" s="1102">
        <f t="shared" si="2"/>
        <v>0</v>
      </c>
      <c r="F64" s="1102">
        <f>'Table 4 Level 3'!N63</f>
        <v>697.04</v>
      </c>
      <c r="G64" s="1102">
        <f t="shared" si="3"/>
        <v>0</v>
      </c>
      <c r="H64" s="1059">
        <f t="shared" si="4"/>
        <v>0</v>
      </c>
      <c r="I64" s="1112">
        <f t="shared" si="5"/>
        <v>0</v>
      </c>
      <c r="J64" s="1059">
        <f t="shared" si="6"/>
        <v>0</v>
      </c>
      <c r="K64" s="1059">
        <v>0</v>
      </c>
      <c r="L64" s="1059">
        <f t="shared" si="7"/>
        <v>0</v>
      </c>
      <c r="M64" s="1059">
        <f t="shared" si="8"/>
        <v>0</v>
      </c>
      <c r="N64" s="1051">
        <f>'[18]FY2012-13 Final'!K65</f>
        <v>2055</v>
      </c>
      <c r="O64" s="1053">
        <f t="shared" si="9"/>
        <v>0</v>
      </c>
      <c r="P64" s="1118">
        <f t="shared" si="10"/>
        <v>0</v>
      </c>
      <c r="Q64" s="1053">
        <f t="shared" si="11"/>
        <v>0</v>
      </c>
      <c r="R64" s="1053">
        <v>0</v>
      </c>
      <c r="S64" s="1053">
        <f t="shared" si="12"/>
        <v>0</v>
      </c>
      <c r="T64" s="1053">
        <f t="shared" si="13"/>
        <v>0</v>
      </c>
      <c r="U64" s="1054">
        <f t="shared" si="14"/>
        <v>0</v>
      </c>
      <c r="V64" s="1054">
        <f t="shared" si="14"/>
        <v>0</v>
      </c>
    </row>
    <row r="65" spans="1:22">
      <c r="A65" s="994">
        <v>59</v>
      </c>
      <c r="B65" s="995" t="s">
        <v>152</v>
      </c>
      <c r="C65" s="1196">
        <v>115</v>
      </c>
      <c r="D65" s="1003">
        <f>'Table 3 Levels 1&amp;2'!BN67+'Table 3 Levels 1&amp;2'!BV67</f>
        <v>6252.2385330184643</v>
      </c>
      <c r="E65" s="1102">
        <f t="shared" si="2"/>
        <v>719007.43129712343</v>
      </c>
      <c r="F65" s="1102">
        <f>'Table 4 Level 3'!N64</f>
        <v>689.52</v>
      </c>
      <c r="G65" s="1102">
        <f t="shared" si="3"/>
        <v>79294.8</v>
      </c>
      <c r="H65" s="1059">
        <f t="shared" si="4"/>
        <v>798302.23129712348</v>
      </c>
      <c r="I65" s="1112">
        <f t="shared" si="5"/>
        <v>-1995.7555782428087</v>
      </c>
      <c r="J65" s="1059">
        <f t="shared" si="6"/>
        <v>796306.47571888065</v>
      </c>
      <c r="K65" s="1059">
        <v>0</v>
      </c>
      <c r="L65" s="1059">
        <f t="shared" si="7"/>
        <v>796306.47571888065</v>
      </c>
      <c r="M65" s="1059">
        <f t="shared" si="8"/>
        <v>66358.872976573388</v>
      </c>
      <c r="N65" s="1051">
        <f>'[18]FY2012-13 Final'!K66</f>
        <v>1528</v>
      </c>
      <c r="O65" s="1053">
        <f t="shared" si="9"/>
        <v>175720</v>
      </c>
      <c r="P65" s="1118">
        <f t="shared" si="10"/>
        <v>-439.3</v>
      </c>
      <c r="Q65" s="1053">
        <f t="shared" si="11"/>
        <v>175280.7</v>
      </c>
      <c r="R65" s="1053">
        <v>0</v>
      </c>
      <c r="S65" s="1053">
        <f t="shared" si="12"/>
        <v>175280.7</v>
      </c>
      <c r="T65" s="1053">
        <f t="shared" si="13"/>
        <v>14606.725</v>
      </c>
      <c r="U65" s="1054">
        <f t="shared" si="14"/>
        <v>971587.17571888072</v>
      </c>
      <c r="V65" s="1054">
        <f t="shared" si="14"/>
        <v>80965.597976573394</v>
      </c>
    </row>
    <row r="66" spans="1:22">
      <c r="A66" s="998">
        <v>60</v>
      </c>
      <c r="B66" s="999" t="s">
        <v>153</v>
      </c>
      <c r="C66" s="1197"/>
      <c r="D66" s="1005">
        <f>'Table 3 Levels 1&amp;2'!BN68+'Table 3 Levels 1&amp;2'!BV68</f>
        <v>4902.6575100268701</v>
      </c>
      <c r="E66" s="1103">
        <f t="shared" si="2"/>
        <v>0</v>
      </c>
      <c r="F66" s="1103">
        <f>'Table 4 Level 3'!N65</f>
        <v>594.04</v>
      </c>
      <c r="G66" s="1103">
        <f t="shared" si="3"/>
        <v>0</v>
      </c>
      <c r="H66" s="1060">
        <f t="shared" si="4"/>
        <v>0</v>
      </c>
      <c r="I66" s="1113">
        <f t="shared" si="5"/>
        <v>0</v>
      </c>
      <c r="J66" s="1060">
        <f t="shared" si="6"/>
        <v>0</v>
      </c>
      <c r="K66" s="1060">
        <v>0</v>
      </c>
      <c r="L66" s="1060">
        <f t="shared" si="7"/>
        <v>0</v>
      </c>
      <c r="M66" s="1060">
        <f t="shared" si="8"/>
        <v>0</v>
      </c>
      <c r="N66" s="1056">
        <f>'[18]FY2012-13 Final'!K67</f>
        <v>3918</v>
      </c>
      <c r="O66" s="1057">
        <f t="shared" si="9"/>
        <v>0</v>
      </c>
      <c r="P66" s="1119">
        <f t="shared" si="10"/>
        <v>0</v>
      </c>
      <c r="Q66" s="1057">
        <f t="shared" si="11"/>
        <v>0</v>
      </c>
      <c r="R66" s="1057">
        <v>0</v>
      </c>
      <c r="S66" s="1057">
        <f t="shared" si="12"/>
        <v>0</v>
      </c>
      <c r="T66" s="1057">
        <f t="shared" si="13"/>
        <v>0</v>
      </c>
      <c r="U66" s="1058">
        <f t="shared" si="14"/>
        <v>0</v>
      </c>
      <c r="V66" s="1058">
        <f t="shared" si="14"/>
        <v>0</v>
      </c>
    </row>
    <row r="67" spans="1:22">
      <c r="A67" s="987">
        <v>61</v>
      </c>
      <c r="B67" s="988" t="s">
        <v>154</v>
      </c>
      <c r="C67" s="1198"/>
      <c r="D67" s="1007">
        <f>'Table 3 Levels 1&amp;2'!BN69+'Table 3 Levels 1&amp;2'!BV69</f>
        <v>2872.7719101339244</v>
      </c>
      <c r="E67" s="1104">
        <f t="shared" si="2"/>
        <v>0</v>
      </c>
      <c r="F67" s="1104">
        <f>'Table 4 Level 3'!N66</f>
        <v>833.70999999999992</v>
      </c>
      <c r="G67" s="1104">
        <f t="shared" si="3"/>
        <v>0</v>
      </c>
      <c r="H67" s="1061">
        <f t="shared" si="4"/>
        <v>0</v>
      </c>
      <c r="I67" s="1114">
        <f t="shared" si="5"/>
        <v>0</v>
      </c>
      <c r="J67" s="1061">
        <f t="shared" si="6"/>
        <v>0</v>
      </c>
      <c r="K67" s="1061">
        <v>0</v>
      </c>
      <c r="L67" s="1061">
        <f t="shared" si="7"/>
        <v>0</v>
      </c>
      <c r="M67" s="1061">
        <f t="shared" si="8"/>
        <v>0</v>
      </c>
      <c r="N67" s="1051">
        <f>'[18]FY2012-13 Final'!K68</f>
        <v>6680</v>
      </c>
      <c r="O67" s="992">
        <f t="shared" si="9"/>
        <v>0</v>
      </c>
      <c r="P67" s="1117">
        <f t="shared" si="10"/>
        <v>0</v>
      </c>
      <c r="Q67" s="992">
        <f t="shared" si="11"/>
        <v>0</v>
      </c>
      <c r="R67" s="992">
        <v>0</v>
      </c>
      <c r="S67" s="992">
        <f t="shared" si="12"/>
        <v>0</v>
      </c>
      <c r="T67" s="992">
        <f t="shared" si="13"/>
        <v>0</v>
      </c>
      <c r="U67" s="993">
        <f t="shared" si="14"/>
        <v>0</v>
      </c>
      <c r="V67" s="993">
        <f t="shared" si="14"/>
        <v>0</v>
      </c>
    </row>
    <row r="68" spans="1:22">
      <c r="A68" s="994">
        <v>62</v>
      </c>
      <c r="B68" s="995" t="s">
        <v>155</v>
      </c>
      <c r="C68" s="1196"/>
      <c r="D68" s="1003">
        <f>'Table 3 Levels 1&amp;2'!BN70+'Table 3 Levels 1&amp;2'!BV70</f>
        <v>5594.25143978908</v>
      </c>
      <c r="E68" s="1102">
        <f t="shared" si="2"/>
        <v>0</v>
      </c>
      <c r="F68" s="1102">
        <f>'Table 4 Level 3'!N67</f>
        <v>516.08000000000004</v>
      </c>
      <c r="G68" s="1102">
        <f t="shared" si="3"/>
        <v>0</v>
      </c>
      <c r="H68" s="1059">
        <f t="shared" si="4"/>
        <v>0</v>
      </c>
      <c r="I68" s="1112">
        <f t="shared" si="5"/>
        <v>0</v>
      </c>
      <c r="J68" s="1059">
        <f t="shared" si="6"/>
        <v>0</v>
      </c>
      <c r="K68" s="1059">
        <v>0</v>
      </c>
      <c r="L68" s="1059">
        <f t="shared" si="7"/>
        <v>0</v>
      </c>
      <c r="M68" s="1059">
        <f t="shared" si="8"/>
        <v>0</v>
      </c>
      <c r="N68" s="1051">
        <f>'[18]FY2012-13 Final'!K69</f>
        <v>1754</v>
      </c>
      <c r="O68" s="1053">
        <f t="shared" si="9"/>
        <v>0</v>
      </c>
      <c r="P68" s="1118">
        <f t="shared" si="10"/>
        <v>0</v>
      </c>
      <c r="Q68" s="1053">
        <f t="shared" si="11"/>
        <v>0</v>
      </c>
      <c r="R68" s="1053">
        <v>0</v>
      </c>
      <c r="S68" s="1053">
        <f t="shared" si="12"/>
        <v>0</v>
      </c>
      <c r="T68" s="1053">
        <f t="shared" si="13"/>
        <v>0</v>
      </c>
      <c r="U68" s="1054">
        <f t="shared" si="14"/>
        <v>0</v>
      </c>
      <c r="V68" s="1054">
        <f t="shared" si="14"/>
        <v>0</v>
      </c>
    </row>
    <row r="69" spans="1:22">
      <c r="A69" s="994">
        <v>63</v>
      </c>
      <c r="B69" s="995" t="s">
        <v>156</v>
      </c>
      <c r="C69" s="1196"/>
      <c r="D69" s="1003">
        <f>'Table 3 Levels 1&amp;2'!BN71+'Table 3 Levels 1&amp;2'!BV71</f>
        <v>4318.8609300898834</v>
      </c>
      <c r="E69" s="1102">
        <f t="shared" si="2"/>
        <v>0</v>
      </c>
      <c r="F69" s="1102">
        <f>'Table 4 Level 3'!N68</f>
        <v>756.79</v>
      </c>
      <c r="G69" s="1102">
        <f t="shared" si="3"/>
        <v>0</v>
      </c>
      <c r="H69" s="1059">
        <f t="shared" si="4"/>
        <v>0</v>
      </c>
      <c r="I69" s="1112">
        <f t="shared" si="5"/>
        <v>0</v>
      </c>
      <c r="J69" s="1059">
        <f t="shared" si="6"/>
        <v>0</v>
      </c>
      <c r="K69" s="1059">
        <v>0</v>
      </c>
      <c r="L69" s="1059">
        <f t="shared" si="7"/>
        <v>0</v>
      </c>
      <c r="M69" s="1059">
        <f t="shared" si="8"/>
        <v>0</v>
      </c>
      <c r="N69" s="1051">
        <f>'[18]FY2012-13 Final'!K70</f>
        <v>7182</v>
      </c>
      <c r="O69" s="1053">
        <f t="shared" si="9"/>
        <v>0</v>
      </c>
      <c r="P69" s="1118">
        <f t="shared" si="10"/>
        <v>0</v>
      </c>
      <c r="Q69" s="1053">
        <f t="shared" si="11"/>
        <v>0</v>
      </c>
      <c r="R69" s="1053">
        <v>0</v>
      </c>
      <c r="S69" s="1053">
        <f t="shared" si="12"/>
        <v>0</v>
      </c>
      <c r="T69" s="1053">
        <f t="shared" si="13"/>
        <v>0</v>
      </c>
      <c r="U69" s="1054">
        <f t="shared" si="14"/>
        <v>0</v>
      </c>
      <c r="V69" s="1054">
        <f t="shared" si="14"/>
        <v>0</v>
      </c>
    </row>
    <row r="70" spans="1:22">
      <c r="A70" s="994">
        <v>64</v>
      </c>
      <c r="B70" s="995" t="s">
        <v>157</v>
      </c>
      <c r="C70" s="1196"/>
      <c r="D70" s="1003">
        <f>'Table 3 Levels 1&amp;2'!BN72+'Table 3 Levels 1&amp;2'!BV72</f>
        <v>5921.7418933384488</v>
      </c>
      <c r="E70" s="1102">
        <f t="shared" si="2"/>
        <v>0</v>
      </c>
      <c r="F70" s="1102">
        <f>'Table 4 Level 3'!N69</f>
        <v>592.66</v>
      </c>
      <c r="G70" s="1102">
        <f t="shared" si="3"/>
        <v>0</v>
      </c>
      <c r="H70" s="1059">
        <f t="shared" si="4"/>
        <v>0</v>
      </c>
      <c r="I70" s="1112">
        <f t="shared" si="5"/>
        <v>0</v>
      </c>
      <c r="J70" s="1059">
        <f t="shared" si="6"/>
        <v>0</v>
      </c>
      <c r="K70" s="1059">
        <v>0</v>
      </c>
      <c r="L70" s="1059">
        <f t="shared" si="7"/>
        <v>0</v>
      </c>
      <c r="M70" s="1059">
        <f t="shared" si="8"/>
        <v>0</v>
      </c>
      <c r="N70" s="1051">
        <f>'[18]FY2012-13 Final'!K71</f>
        <v>2701</v>
      </c>
      <c r="O70" s="1053">
        <f t="shared" si="9"/>
        <v>0</v>
      </c>
      <c r="P70" s="1118">
        <f t="shared" si="10"/>
        <v>0</v>
      </c>
      <c r="Q70" s="1053">
        <f t="shared" si="11"/>
        <v>0</v>
      </c>
      <c r="R70" s="1053">
        <v>0</v>
      </c>
      <c r="S70" s="1053">
        <f t="shared" si="12"/>
        <v>0</v>
      </c>
      <c r="T70" s="1053">
        <f t="shared" si="13"/>
        <v>0</v>
      </c>
      <c r="U70" s="1054">
        <f t="shared" si="14"/>
        <v>0</v>
      </c>
      <c r="V70" s="1054">
        <f t="shared" si="14"/>
        <v>0</v>
      </c>
    </row>
    <row r="71" spans="1:22">
      <c r="A71" s="998">
        <v>65</v>
      </c>
      <c r="B71" s="999" t="s">
        <v>158</v>
      </c>
      <c r="C71" s="1197"/>
      <c r="D71" s="1005">
        <f>'Table 3 Levels 1&amp;2'!BN73+'Table 3 Levels 1&amp;2'!BV73</f>
        <v>4578.9201269671275</v>
      </c>
      <c r="E71" s="1103">
        <f t="shared" si="2"/>
        <v>0</v>
      </c>
      <c r="F71" s="1103">
        <f>'Table 4 Level 3'!N70</f>
        <v>829.12</v>
      </c>
      <c r="G71" s="1103">
        <f t="shared" si="3"/>
        <v>0</v>
      </c>
      <c r="H71" s="1060">
        <f t="shared" si="4"/>
        <v>0</v>
      </c>
      <c r="I71" s="1113">
        <f t="shared" si="5"/>
        <v>0</v>
      </c>
      <c r="J71" s="1060">
        <f t="shared" si="6"/>
        <v>0</v>
      </c>
      <c r="K71" s="1060">
        <v>0</v>
      </c>
      <c r="L71" s="1060">
        <f t="shared" si="7"/>
        <v>0</v>
      </c>
      <c r="M71" s="1060">
        <f t="shared" si="8"/>
        <v>0</v>
      </c>
      <c r="N71" s="1056">
        <f>'[18]FY2012-13 Final'!K72</f>
        <v>4813</v>
      </c>
      <c r="O71" s="1057">
        <f t="shared" si="9"/>
        <v>0</v>
      </c>
      <c r="P71" s="1119">
        <f t="shared" si="10"/>
        <v>0</v>
      </c>
      <c r="Q71" s="1057">
        <f t="shared" si="11"/>
        <v>0</v>
      </c>
      <c r="R71" s="1057">
        <v>0</v>
      </c>
      <c r="S71" s="1057">
        <f t="shared" si="12"/>
        <v>0</v>
      </c>
      <c r="T71" s="1057">
        <f t="shared" si="13"/>
        <v>0</v>
      </c>
      <c r="U71" s="1058">
        <f t="shared" si="14"/>
        <v>0</v>
      </c>
      <c r="V71" s="1058">
        <f t="shared" si="14"/>
        <v>0</v>
      </c>
    </row>
    <row r="72" spans="1:22">
      <c r="A72" s="987">
        <v>66</v>
      </c>
      <c r="B72" s="988" t="s">
        <v>159</v>
      </c>
      <c r="C72" s="1198">
        <v>115</v>
      </c>
      <c r="D72" s="1007">
        <f>'Table 3 Levels 1&amp;2'!BN74+'Table 3 Levels 1&amp;2'!BV74</f>
        <v>6340.8763293271122</v>
      </c>
      <c r="E72" s="1104">
        <f t="shared" ref="E72:E75" si="15">C72*D72</f>
        <v>729200.77787261794</v>
      </c>
      <c r="F72" s="1104">
        <f>'Table 4 Level 3'!N71</f>
        <v>730.06</v>
      </c>
      <c r="G72" s="1104">
        <f t="shared" ref="G72:G75" si="16">C72*F72</f>
        <v>83956.9</v>
      </c>
      <c r="H72" s="1061">
        <f t="shared" ref="H72:H75" si="17">E72+G72</f>
        <v>813157.67787261796</v>
      </c>
      <c r="I72" s="1114">
        <f t="shared" ref="I72:I75" si="18">-(0.25%*H72)</f>
        <v>-2032.8941946815451</v>
      </c>
      <c r="J72" s="1061">
        <f t="shared" ref="J72:J75" si="19">SUM(H72:I72)</f>
        <v>811124.78367793642</v>
      </c>
      <c r="K72" s="1061">
        <v>0</v>
      </c>
      <c r="L72" s="1061">
        <f t="shared" ref="L72:L75" si="20">SUM(J72:K72)</f>
        <v>811124.78367793642</v>
      </c>
      <c r="M72" s="1061">
        <f t="shared" ref="M72:M75" si="21">L72/12</f>
        <v>67593.731973161368</v>
      </c>
      <c r="N72" s="1051">
        <f>'[18]FY2012-13 Final'!K73</f>
        <v>3516</v>
      </c>
      <c r="O72" s="992">
        <f t="shared" ref="O72:O75" si="22">C72*N72</f>
        <v>404340</v>
      </c>
      <c r="P72" s="1117">
        <f t="shared" ref="P72:P75" si="23">-(0.25%*O72)</f>
        <v>-1010.85</v>
      </c>
      <c r="Q72" s="992">
        <f t="shared" ref="Q72:Q75" si="24">SUM(O72:P72)</f>
        <v>403329.15</v>
      </c>
      <c r="R72" s="992">
        <v>0</v>
      </c>
      <c r="S72" s="992">
        <f t="shared" ref="S72:S75" si="25">SUM(Q72:R72)</f>
        <v>403329.15</v>
      </c>
      <c r="T72" s="992">
        <f t="shared" ref="T72:T75" si="26">S72/12</f>
        <v>33610.762500000004</v>
      </c>
      <c r="U72" s="993">
        <f t="shared" ref="U72:V75" si="27">L72+S72</f>
        <v>1214453.9336779364</v>
      </c>
      <c r="V72" s="993">
        <f t="shared" si="27"/>
        <v>101204.49447316138</v>
      </c>
    </row>
    <row r="73" spans="1:22">
      <c r="A73" s="994">
        <v>67</v>
      </c>
      <c r="B73" s="995" t="s">
        <v>32</v>
      </c>
      <c r="C73" s="1196"/>
      <c r="D73" s="1003">
        <f>'Table 3 Levels 1&amp;2'!BN75+'Table 3 Levels 1&amp;2'!BV75</f>
        <v>4984.1100297034172</v>
      </c>
      <c r="E73" s="1102">
        <f t="shared" si="15"/>
        <v>0</v>
      </c>
      <c r="F73" s="1102">
        <f>'Table 4 Level 3'!N72</f>
        <v>715.61</v>
      </c>
      <c r="G73" s="1102">
        <f t="shared" si="16"/>
        <v>0</v>
      </c>
      <c r="H73" s="1059">
        <f t="shared" si="17"/>
        <v>0</v>
      </c>
      <c r="I73" s="1112">
        <f t="shared" si="18"/>
        <v>0</v>
      </c>
      <c r="J73" s="1059">
        <f t="shared" si="19"/>
        <v>0</v>
      </c>
      <c r="K73" s="1059">
        <v>0</v>
      </c>
      <c r="L73" s="1059">
        <f t="shared" si="20"/>
        <v>0</v>
      </c>
      <c r="M73" s="1059">
        <f t="shared" si="21"/>
        <v>0</v>
      </c>
      <c r="N73" s="1051">
        <f>'[18]FY2012-13 Final'!K74</f>
        <v>5052</v>
      </c>
      <c r="O73" s="1053">
        <f t="shared" si="22"/>
        <v>0</v>
      </c>
      <c r="P73" s="1118">
        <f t="shared" si="23"/>
        <v>0</v>
      </c>
      <c r="Q73" s="1053">
        <f t="shared" si="24"/>
        <v>0</v>
      </c>
      <c r="R73" s="1053">
        <v>0</v>
      </c>
      <c r="S73" s="1053">
        <f t="shared" si="25"/>
        <v>0</v>
      </c>
      <c r="T73" s="1053">
        <f t="shared" si="26"/>
        <v>0</v>
      </c>
      <c r="U73" s="1054">
        <f t="shared" si="27"/>
        <v>0</v>
      </c>
      <c r="V73" s="1054">
        <f t="shared" si="27"/>
        <v>0</v>
      </c>
    </row>
    <row r="74" spans="1:22">
      <c r="A74" s="994">
        <v>68</v>
      </c>
      <c r="B74" s="995" t="s">
        <v>30</v>
      </c>
      <c r="C74" s="1196"/>
      <c r="D74" s="1003">
        <f>'Table 3 Levels 1&amp;2'!BN76+'Table 3 Levels 1&amp;2'!BV76</f>
        <v>6012.7854305239725</v>
      </c>
      <c r="E74" s="1102">
        <f t="shared" si="15"/>
        <v>0</v>
      </c>
      <c r="F74" s="1102">
        <f>'Table 4 Level 3'!N73</f>
        <v>798.7</v>
      </c>
      <c r="G74" s="1102">
        <f t="shared" si="16"/>
        <v>0</v>
      </c>
      <c r="H74" s="1059">
        <f t="shared" si="17"/>
        <v>0</v>
      </c>
      <c r="I74" s="1112">
        <f t="shared" si="18"/>
        <v>0</v>
      </c>
      <c r="J74" s="1059">
        <f t="shared" si="19"/>
        <v>0</v>
      </c>
      <c r="K74" s="1059">
        <v>0</v>
      </c>
      <c r="L74" s="1059">
        <f t="shared" si="20"/>
        <v>0</v>
      </c>
      <c r="M74" s="1059">
        <f t="shared" si="21"/>
        <v>0</v>
      </c>
      <c r="N74" s="1051">
        <f>'[18]FY2012-13 Final'!K75</f>
        <v>2763</v>
      </c>
      <c r="O74" s="1053">
        <f t="shared" si="22"/>
        <v>0</v>
      </c>
      <c r="P74" s="1118">
        <f t="shared" si="23"/>
        <v>0</v>
      </c>
      <c r="Q74" s="1053">
        <f t="shared" si="24"/>
        <v>0</v>
      </c>
      <c r="R74" s="1053">
        <v>0</v>
      </c>
      <c r="S74" s="1053">
        <f t="shared" si="25"/>
        <v>0</v>
      </c>
      <c r="T74" s="1053">
        <f t="shared" si="26"/>
        <v>0</v>
      </c>
      <c r="U74" s="1054">
        <f t="shared" si="27"/>
        <v>0</v>
      </c>
      <c r="V74" s="1054">
        <f t="shared" si="27"/>
        <v>0</v>
      </c>
    </row>
    <row r="75" spans="1:22">
      <c r="A75" s="1008">
        <v>69</v>
      </c>
      <c r="B75" s="1009" t="s">
        <v>213</v>
      </c>
      <c r="C75" s="1199"/>
      <c r="D75" s="1011">
        <f>'Table 3 Levels 1&amp;2'!BN77+'Table 3 Levels 1&amp;2'!BV77</f>
        <v>5559.7139008686299</v>
      </c>
      <c r="E75" s="1105">
        <f t="shared" si="15"/>
        <v>0</v>
      </c>
      <c r="F75" s="1105">
        <f>'Table 4 Level 3'!N74</f>
        <v>705.67</v>
      </c>
      <c r="G75" s="1105">
        <f t="shared" si="16"/>
        <v>0</v>
      </c>
      <c r="H75" s="1062">
        <f t="shared" si="17"/>
        <v>0</v>
      </c>
      <c r="I75" s="1115">
        <f t="shared" si="18"/>
        <v>0</v>
      </c>
      <c r="J75" s="1062">
        <f t="shared" si="19"/>
        <v>0</v>
      </c>
      <c r="K75" s="1062">
        <v>0</v>
      </c>
      <c r="L75" s="1062">
        <f t="shared" si="20"/>
        <v>0</v>
      </c>
      <c r="M75" s="1062">
        <f t="shared" si="21"/>
        <v>0</v>
      </c>
      <c r="N75" s="1051">
        <f>'[18]FY2012-13 Final'!K76</f>
        <v>3327</v>
      </c>
      <c r="O75" s="1063">
        <f t="shared" si="22"/>
        <v>0</v>
      </c>
      <c r="P75" s="1120">
        <f t="shared" si="23"/>
        <v>0</v>
      </c>
      <c r="Q75" s="1063">
        <f t="shared" si="24"/>
        <v>0</v>
      </c>
      <c r="R75" s="1063">
        <v>0</v>
      </c>
      <c r="S75" s="1063">
        <f t="shared" si="25"/>
        <v>0</v>
      </c>
      <c r="T75" s="1063">
        <f t="shared" si="26"/>
        <v>0</v>
      </c>
      <c r="U75" s="1064">
        <f t="shared" si="27"/>
        <v>0</v>
      </c>
      <c r="V75" s="1064">
        <f t="shared" si="27"/>
        <v>0</v>
      </c>
    </row>
    <row r="76" spans="1:22" ht="13.5" thickBot="1">
      <c r="A76" s="1012"/>
      <c r="B76" s="1013" t="s">
        <v>160</v>
      </c>
      <c r="C76" s="1014">
        <f>SUM(C7:C75)</f>
        <v>230</v>
      </c>
      <c r="D76" s="1015"/>
      <c r="E76" s="1106">
        <f>SUM(E7:E75)</f>
        <v>1448208.2091697413</v>
      </c>
      <c r="F76" s="1106">
        <f>'[23]Table 4 Level 3'!P75</f>
        <v>703.90028204588873</v>
      </c>
      <c r="G76" s="1106">
        <f t="shared" ref="G76:L76" si="28">SUM(G7:G75)</f>
        <v>163251.70000000001</v>
      </c>
      <c r="H76" s="1016">
        <f t="shared" si="28"/>
        <v>1611459.9091697414</v>
      </c>
      <c r="I76" s="1116">
        <f t="shared" si="28"/>
        <v>-4028.6497729243538</v>
      </c>
      <c r="J76" s="1016">
        <f t="shared" si="28"/>
        <v>1607431.2593968171</v>
      </c>
      <c r="K76" s="1016">
        <f t="shared" si="28"/>
        <v>0</v>
      </c>
      <c r="L76" s="1016">
        <f t="shared" si="28"/>
        <v>1607431.2593968171</v>
      </c>
      <c r="M76" s="1016">
        <f>SUM(M7:M75)</f>
        <v>133952.60494973476</v>
      </c>
      <c r="N76" s="1065"/>
      <c r="O76" s="1017">
        <f t="shared" ref="O76:V76" si="29">SUM(O7:O75)</f>
        <v>580060</v>
      </c>
      <c r="P76" s="1121">
        <f t="shared" si="29"/>
        <v>-1450.15</v>
      </c>
      <c r="Q76" s="1017">
        <f t="shared" si="29"/>
        <v>578609.85000000009</v>
      </c>
      <c r="R76" s="1017">
        <f t="shared" si="29"/>
        <v>0</v>
      </c>
      <c r="S76" s="1017">
        <f t="shared" si="29"/>
        <v>578609.85000000009</v>
      </c>
      <c r="T76" s="1017">
        <f t="shared" si="29"/>
        <v>48217.487500000003</v>
      </c>
      <c r="U76" s="1018">
        <f t="shared" si="29"/>
        <v>2186041.1093968172</v>
      </c>
      <c r="V76" s="1018">
        <f t="shared" si="29"/>
        <v>182170.09244973477</v>
      </c>
    </row>
    <row r="77" spans="1:22" ht="13.5" thickTop="1"/>
  </sheetData>
  <mergeCells count="19">
    <mergeCell ref="L3:L4"/>
    <mergeCell ref="M3:M4"/>
    <mergeCell ref="N3:N4"/>
    <mergeCell ref="A2:B4"/>
    <mergeCell ref="C2:M2"/>
    <mergeCell ref="N2:T2"/>
    <mergeCell ref="U2:U4"/>
    <mergeCell ref="V2:V4"/>
    <mergeCell ref="C3:C4"/>
    <mergeCell ref="D3:D4"/>
    <mergeCell ref="E3:E4"/>
    <mergeCell ref="F3:F4"/>
    <mergeCell ref="G3:G4"/>
    <mergeCell ref="Q3:Q4"/>
    <mergeCell ref="R3:R4"/>
    <mergeCell ref="S3:S4"/>
    <mergeCell ref="H3:H4"/>
    <mergeCell ref="J3:J4"/>
    <mergeCell ref="K3:K4"/>
  </mergeCells>
  <pageMargins left="0.34" right="0.46" top="0.75" bottom="0.75" header="0.3" footer="0.3"/>
  <pageSetup paperSize="5" scale="60" firstPageNumber="82" orientation="portrait" useFirstPageNumber="1" r:id="rId1"/>
  <headerFooter>
    <oddHeader>&amp;L&amp;"Arial,Bold"&amp;20Table 5C1-M: FY2013-14 MFP Budget Letter (Projection)
Northshore Charter School</oddHeader>
    <oddFooter>&amp;R&amp;P</oddFooter>
  </headerFooter>
  <colBreaks count="1" manualBreakCount="1">
    <brk id="13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7"/>
  <sheetViews>
    <sheetView view="pageBreakPreview" zoomScale="90" zoomScaleNormal="100" zoomScaleSheetLayoutView="90" workbookViewId="0">
      <pane xSplit="2" ySplit="6" topLeftCell="C7" activePane="bottomRight" state="frozen"/>
      <selection activeCell="B1" sqref="B1:B2"/>
      <selection pane="topRight" activeCell="B1" sqref="B1:B2"/>
      <selection pane="bottomLeft" activeCell="B1" sqref="B1:B2"/>
      <selection pane="bottomRight" activeCell="A2" sqref="A2:B4"/>
    </sheetView>
  </sheetViews>
  <sheetFormatPr defaultRowHeight="12.75"/>
  <cols>
    <col min="1" max="1" width="4.28515625" style="1192" customWidth="1"/>
    <col min="2" max="2" width="17.85546875" style="1192" bestFit="1" customWidth="1"/>
    <col min="3" max="3" width="12.7109375" style="1192" customWidth="1"/>
    <col min="4" max="4" width="17" style="1192" customWidth="1"/>
    <col min="5" max="5" width="11" style="1192" bestFit="1" customWidth="1"/>
    <col min="6" max="6" width="12" style="1192" customWidth="1"/>
    <col min="7" max="7" width="13.28515625" style="1192" customWidth="1"/>
    <col min="8" max="8" width="14.5703125" style="1192" customWidth="1"/>
    <col min="9" max="9" width="12.28515625" style="1192" customWidth="1"/>
    <col min="10" max="10" width="12" style="1192" bestFit="1" customWidth="1"/>
    <col min="11" max="11" width="13.42578125" style="1192" bestFit="1" customWidth="1"/>
    <col min="12" max="12" width="14" style="1192" customWidth="1"/>
    <col min="13" max="13" width="9.28515625" style="1192" bestFit="1" customWidth="1"/>
    <col min="14" max="14" width="17.28515625" style="1192" customWidth="1"/>
    <col min="15" max="15" width="16.7109375" style="1192" customWidth="1"/>
    <col min="16" max="16" width="13.7109375" style="1192" customWidth="1"/>
    <col min="17" max="17" width="17" style="1192" customWidth="1"/>
    <col min="18" max="18" width="15.28515625" style="1192" customWidth="1"/>
    <col min="19" max="19" width="13.140625" style="1192" customWidth="1"/>
    <col min="20" max="20" width="12" style="1192" customWidth="1"/>
    <col min="21" max="21" width="11" style="1192" customWidth="1"/>
    <col min="22" max="22" width="12.140625" style="1192" customWidth="1"/>
    <col min="23" max="16384" width="9.140625" style="1192"/>
  </cols>
  <sheetData>
    <row r="1" spans="1:22">
      <c r="C1" s="1392"/>
      <c r="D1" s="1392"/>
      <c r="E1" s="1392"/>
      <c r="F1" s="1392"/>
      <c r="G1" s="1392"/>
      <c r="H1" s="1392"/>
      <c r="I1" s="1392"/>
      <c r="J1" s="1392"/>
      <c r="K1" s="1392"/>
      <c r="L1" s="1392"/>
      <c r="M1" s="1392"/>
    </row>
    <row r="2" spans="1:22" ht="45" customHeight="1">
      <c r="A2" s="2082" t="s">
        <v>1221</v>
      </c>
      <c r="B2" s="2083"/>
      <c r="C2" s="2065" t="s">
        <v>1394</v>
      </c>
      <c r="D2" s="2017"/>
      <c r="E2" s="2017"/>
      <c r="F2" s="2017"/>
      <c r="G2" s="2017"/>
      <c r="H2" s="2017"/>
      <c r="I2" s="2017"/>
      <c r="J2" s="2017"/>
      <c r="K2" s="2017"/>
      <c r="L2" s="2017"/>
      <c r="M2" s="2018"/>
      <c r="N2" s="1992" t="s">
        <v>1357</v>
      </c>
      <c r="O2" s="1993"/>
      <c r="P2" s="1993"/>
      <c r="Q2" s="1993"/>
      <c r="R2" s="1993"/>
      <c r="S2" s="1993"/>
      <c r="T2" s="1994"/>
      <c r="U2" s="1995" t="s">
        <v>1403</v>
      </c>
      <c r="V2" s="1995" t="s">
        <v>1355</v>
      </c>
    </row>
    <row r="3" spans="1:22" ht="111.75" customHeight="1">
      <c r="A3" s="2084"/>
      <c r="B3" s="2085"/>
      <c r="C3" s="2088" t="s">
        <v>1177</v>
      </c>
      <c r="D3" s="2008" t="s">
        <v>1393</v>
      </c>
      <c r="E3" s="2008" t="s">
        <v>1395</v>
      </c>
      <c r="F3" s="2006" t="s">
        <v>662</v>
      </c>
      <c r="G3" s="2006" t="s">
        <v>492</v>
      </c>
      <c r="H3" s="2006" t="s">
        <v>1396</v>
      </c>
      <c r="I3" s="1742" t="s">
        <v>510</v>
      </c>
      <c r="J3" s="2006" t="s">
        <v>1397</v>
      </c>
      <c r="K3" s="2006" t="s">
        <v>1230</v>
      </c>
      <c r="L3" s="2006" t="s">
        <v>1398</v>
      </c>
      <c r="M3" s="2008" t="s">
        <v>1356</v>
      </c>
      <c r="N3" s="2019" t="s">
        <v>694</v>
      </c>
      <c r="O3" s="1743" t="s">
        <v>1399</v>
      </c>
      <c r="P3" s="1743" t="s">
        <v>512</v>
      </c>
      <c r="Q3" s="2019" t="s">
        <v>1400</v>
      </c>
      <c r="R3" s="2019" t="s">
        <v>1230</v>
      </c>
      <c r="S3" s="2019" t="s">
        <v>1401</v>
      </c>
      <c r="T3" s="1743" t="s">
        <v>1402</v>
      </c>
      <c r="U3" s="1996"/>
      <c r="V3" s="1996"/>
    </row>
    <row r="4" spans="1:22" ht="23.25" customHeight="1">
      <c r="A4" s="2086"/>
      <c r="B4" s="2087"/>
      <c r="C4" s="2089"/>
      <c r="D4" s="2008"/>
      <c r="E4" s="2008"/>
      <c r="F4" s="2007"/>
      <c r="G4" s="2007"/>
      <c r="H4" s="2007"/>
      <c r="I4" s="1107">
        <v>2.5000000000000001E-3</v>
      </c>
      <c r="J4" s="2007"/>
      <c r="K4" s="2007"/>
      <c r="L4" s="2007"/>
      <c r="M4" s="2008"/>
      <c r="N4" s="1999"/>
      <c r="O4" s="1741"/>
      <c r="P4" s="1108">
        <v>2.5000000000000001E-3</v>
      </c>
      <c r="Q4" s="1999"/>
      <c r="R4" s="1999"/>
      <c r="S4" s="1999"/>
      <c r="T4" s="1741"/>
      <c r="U4" s="1997"/>
      <c r="V4" s="1997"/>
    </row>
    <row r="5" spans="1:22" ht="14.25" customHeight="1">
      <c r="A5" s="978"/>
      <c r="B5" s="979"/>
      <c r="C5" s="980">
        <v>1</v>
      </c>
      <c r="D5" s="980">
        <f t="shared" ref="D5" si="0">C5+1</f>
        <v>2</v>
      </c>
      <c r="E5" s="980">
        <f>D5+1</f>
        <v>3</v>
      </c>
      <c r="F5" s="980">
        <f t="shared" ref="F5:V5" si="1">E5+1</f>
        <v>4</v>
      </c>
      <c r="G5" s="980">
        <f t="shared" si="1"/>
        <v>5</v>
      </c>
      <c r="H5" s="980">
        <f t="shared" si="1"/>
        <v>6</v>
      </c>
      <c r="I5" s="980">
        <f t="shared" si="1"/>
        <v>7</v>
      </c>
      <c r="J5" s="980">
        <f t="shared" si="1"/>
        <v>8</v>
      </c>
      <c r="K5" s="980">
        <f t="shared" si="1"/>
        <v>9</v>
      </c>
      <c r="L5" s="980">
        <f t="shared" si="1"/>
        <v>10</v>
      </c>
      <c r="M5" s="980">
        <f t="shared" si="1"/>
        <v>11</v>
      </c>
      <c r="N5" s="980">
        <f t="shared" si="1"/>
        <v>12</v>
      </c>
      <c r="O5" s="980">
        <f t="shared" si="1"/>
        <v>13</v>
      </c>
      <c r="P5" s="980">
        <f t="shared" si="1"/>
        <v>14</v>
      </c>
      <c r="Q5" s="980">
        <f t="shared" si="1"/>
        <v>15</v>
      </c>
      <c r="R5" s="980">
        <f t="shared" si="1"/>
        <v>16</v>
      </c>
      <c r="S5" s="980">
        <f t="shared" si="1"/>
        <v>17</v>
      </c>
      <c r="T5" s="980">
        <f t="shared" si="1"/>
        <v>18</v>
      </c>
      <c r="U5" s="980">
        <f t="shared" si="1"/>
        <v>19</v>
      </c>
      <c r="V5" s="980">
        <f t="shared" si="1"/>
        <v>20</v>
      </c>
    </row>
    <row r="6" spans="1:22" ht="27" customHeight="1">
      <c r="A6" s="1041"/>
      <c r="B6" s="1042"/>
      <c r="C6" s="1042"/>
      <c r="D6" s="1042"/>
      <c r="E6" s="1042"/>
      <c r="F6" s="1042"/>
      <c r="G6" s="1042"/>
      <c r="H6" s="1042"/>
      <c r="I6" s="1042"/>
      <c r="J6" s="1042"/>
      <c r="K6" s="1042"/>
      <c r="L6" s="1042"/>
      <c r="M6" s="1042"/>
      <c r="N6" s="1042"/>
      <c r="O6" s="1042"/>
      <c r="P6" s="1042"/>
      <c r="Q6" s="1042"/>
      <c r="R6" s="1042"/>
      <c r="S6" s="1042"/>
      <c r="T6" s="1042"/>
      <c r="U6" s="1042"/>
      <c r="V6" s="1042"/>
    </row>
    <row r="7" spans="1:22">
      <c r="A7" s="987">
        <v>1</v>
      </c>
      <c r="B7" s="988" t="s">
        <v>95</v>
      </c>
      <c r="C7" s="989">
        <v>0</v>
      </c>
      <c r="D7" s="990">
        <f>'Table 3 Levels 1&amp;2'!BN9+'Table 3 Levels 1&amp;2'!BV9</f>
        <v>4565.2108060165392</v>
      </c>
      <c r="E7" s="1099">
        <f>C7*D7</f>
        <v>0</v>
      </c>
      <c r="F7" s="1099">
        <f>'Table 4 Level 3'!N6</f>
        <v>777.48</v>
      </c>
      <c r="G7" s="1099">
        <f>C7*F7</f>
        <v>0</v>
      </c>
      <c r="H7" s="991">
        <f>E7+G7</f>
        <v>0</v>
      </c>
      <c r="I7" s="1109">
        <f>-(0.25%*H7)</f>
        <v>0</v>
      </c>
      <c r="J7" s="991">
        <f>SUM(H7:I7)</f>
        <v>0</v>
      </c>
      <c r="K7" s="991">
        <v>0</v>
      </c>
      <c r="L7" s="991">
        <f>SUM(J7:K7)</f>
        <v>0</v>
      </c>
      <c r="M7" s="991">
        <f>L7/12</f>
        <v>0</v>
      </c>
      <c r="N7" s="1051">
        <f>'[18]FY2012-13 Final'!K8</f>
        <v>2112</v>
      </c>
      <c r="O7" s="992">
        <f>C7*N7</f>
        <v>0</v>
      </c>
      <c r="P7" s="1117">
        <f>-(0.25%*O7)</f>
        <v>0</v>
      </c>
      <c r="Q7" s="992">
        <f>SUM(O7:P7)</f>
        <v>0</v>
      </c>
      <c r="R7" s="992">
        <v>0</v>
      </c>
      <c r="S7" s="992">
        <f>SUM(Q7:R7)</f>
        <v>0</v>
      </c>
      <c r="T7" s="992">
        <f>S7/12</f>
        <v>0</v>
      </c>
      <c r="U7" s="993">
        <f>L7+S7</f>
        <v>0</v>
      </c>
      <c r="V7" s="993">
        <f>M7+T7</f>
        <v>0</v>
      </c>
    </row>
    <row r="8" spans="1:22">
      <c r="A8" s="994">
        <v>2</v>
      </c>
      <c r="B8" s="995" t="s">
        <v>96</v>
      </c>
      <c r="C8" s="1193">
        <v>0</v>
      </c>
      <c r="D8" s="997">
        <f>'Table 3 Levels 1&amp;2'!BN10+'Table 3 Levels 1&amp;2'!BV10</f>
        <v>6132.0480322513831</v>
      </c>
      <c r="E8" s="1100">
        <f t="shared" ref="E8:E71" si="2">C8*D8</f>
        <v>0</v>
      </c>
      <c r="F8" s="1100">
        <f>'Table 4 Level 3'!N7</f>
        <v>842.32</v>
      </c>
      <c r="G8" s="1100">
        <f t="shared" ref="G8:G71" si="3">C8*F8</f>
        <v>0</v>
      </c>
      <c r="H8" s="1052">
        <f t="shared" ref="H8:H71" si="4">E8+G8</f>
        <v>0</v>
      </c>
      <c r="I8" s="1110">
        <f t="shared" ref="I8:I71" si="5">-(0.25%*H8)</f>
        <v>0</v>
      </c>
      <c r="J8" s="1052">
        <f t="shared" ref="J8:J71" si="6">SUM(H8:I8)</f>
        <v>0</v>
      </c>
      <c r="K8" s="1052">
        <v>0</v>
      </c>
      <c r="L8" s="1052">
        <f t="shared" ref="L8:L71" si="7">SUM(J8:K8)</f>
        <v>0</v>
      </c>
      <c r="M8" s="1052">
        <f t="shared" ref="M8:M71" si="8">L8/12</f>
        <v>0</v>
      </c>
      <c r="N8" s="1051">
        <f>'[18]FY2012-13 Final'!K9</f>
        <v>2584</v>
      </c>
      <c r="O8" s="1053">
        <f t="shared" ref="O8:O71" si="9">C8*N8</f>
        <v>0</v>
      </c>
      <c r="P8" s="1118">
        <f t="shared" ref="P8:P71" si="10">-(0.25%*O8)</f>
        <v>0</v>
      </c>
      <c r="Q8" s="1053">
        <f t="shared" ref="Q8:Q71" si="11">SUM(O8:P8)</f>
        <v>0</v>
      </c>
      <c r="R8" s="1053">
        <v>0</v>
      </c>
      <c r="S8" s="1053">
        <f t="shared" ref="S8:S71" si="12">SUM(Q8:R8)</f>
        <v>0</v>
      </c>
      <c r="T8" s="1053">
        <f t="shared" ref="T8:T71" si="13">S8/12</f>
        <v>0</v>
      </c>
      <c r="U8" s="1054">
        <f t="shared" ref="U8:V71" si="14">L8+S8</f>
        <v>0</v>
      </c>
      <c r="V8" s="1054">
        <f t="shared" si="14"/>
        <v>0</v>
      </c>
    </row>
    <row r="9" spans="1:22">
      <c r="A9" s="994">
        <v>3</v>
      </c>
      <c r="B9" s="995" t="s">
        <v>97</v>
      </c>
      <c r="C9" s="1193">
        <v>0</v>
      </c>
      <c r="D9" s="997">
        <f>'Table 3 Levels 1&amp;2'!BN11+'Table 3 Levels 1&amp;2'!BV11</f>
        <v>4186.9626187036429</v>
      </c>
      <c r="E9" s="1100">
        <f t="shared" si="2"/>
        <v>0</v>
      </c>
      <c r="F9" s="1100">
        <f>'Table 4 Level 3'!N8</f>
        <v>596.84</v>
      </c>
      <c r="G9" s="1100">
        <f t="shared" si="3"/>
        <v>0</v>
      </c>
      <c r="H9" s="1052">
        <f t="shared" si="4"/>
        <v>0</v>
      </c>
      <c r="I9" s="1110">
        <f t="shared" si="5"/>
        <v>0</v>
      </c>
      <c r="J9" s="1052">
        <f t="shared" si="6"/>
        <v>0</v>
      </c>
      <c r="K9" s="1052">
        <v>0</v>
      </c>
      <c r="L9" s="1052">
        <f t="shared" si="7"/>
        <v>0</v>
      </c>
      <c r="M9" s="1052">
        <f t="shared" si="8"/>
        <v>0</v>
      </c>
      <c r="N9" s="1051">
        <f>'[18]FY2012-13 Final'!K10</f>
        <v>4966</v>
      </c>
      <c r="O9" s="1053">
        <f t="shared" si="9"/>
        <v>0</v>
      </c>
      <c r="P9" s="1118">
        <f t="shared" si="10"/>
        <v>0</v>
      </c>
      <c r="Q9" s="1053">
        <f t="shared" si="11"/>
        <v>0</v>
      </c>
      <c r="R9" s="1053">
        <v>0</v>
      </c>
      <c r="S9" s="1053">
        <f t="shared" si="12"/>
        <v>0</v>
      </c>
      <c r="T9" s="1053">
        <f t="shared" si="13"/>
        <v>0</v>
      </c>
      <c r="U9" s="1054">
        <f t="shared" si="14"/>
        <v>0</v>
      </c>
      <c r="V9" s="1054">
        <f t="shared" si="14"/>
        <v>0</v>
      </c>
    </row>
    <row r="10" spans="1:22">
      <c r="A10" s="994">
        <v>4</v>
      </c>
      <c r="B10" s="995" t="s">
        <v>98</v>
      </c>
      <c r="C10" s="1193">
        <v>0</v>
      </c>
      <c r="D10" s="997">
        <f>'Table 3 Levels 1&amp;2'!BN12+'Table 3 Levels 1&amp;2'!BV12</f>
        <v>5918.8798759182582</v>
      </c>
      <c r="E10" s="1100">
        <f t="shared" si="2"/>
        <v>0</v>
      </c>
      <c r="F10" s="1100">
        <f>'Table 4 Level 3'!N9</f>
        <v>585.76</v>
      </c>
      <c r="G10" s="1100">
        <f t="shared" si="3"/>
        <v>0</v>
      </c>
      <c r="H10" s="1052">
        <f t="shared" si="4"/>
        <v>0</v>
      </c>
      <c r="I10" s="1110">
        <f t="shared" si="5"/>
        <v>0</v>
      </c>
      <c r="J10" s="1052">
        <f t="shared" si="6"/>
        <v>0</v>
      </c>
      <c r="K10" s="1052">
        <v>0</v>
      </c>
      <c r="L10" s="1052">
        <f t="shared" si="7"/>
        <v>0</v>
      </c>
      <c r="M10" s="1052">
        <f t="shared" si="8"/>
        <v>0</v>
      </c>
      <c r="N10" s="1051">
        <f>'[18]FY2012-13 Final'!K11</f>
        <v>3445</v>
      </c>
      <c r="O10" s="1053">
        <f t="shared" si="9"/>
        <v>0</v>
      </c>
      <c r="P10" s="1118">
        <f t="shared" si="10"/>
        <v>0</v>
      </c>
      <c r="Q10" s="1053">
        <f t="shared" si="11"/>
        <v>0</v>
      </c>
      <c r="R10" s="1053">
        <v>0</v>
      </c>
      <c r="S10" s="1053">
        <f t="shared" si="12"/>
        <v>0</v>
      </c>
      <c r="T10" s="1053">
        <f t="shared" si="13"/>
        <v>0</v>
      </c>
      <c r="U10" s="1054">
        <f t="shared" si="14"/>
        <v>0</v>
      </c>
      <c r="V10" s="1054">
        <f t="shared" si="14"/>
        <v>0</v>
      </c>
    </row>
    <row r="11" spans="1:22">
      <c r="A11" s="998">
        <v>5</v>
      </c>
      <c r="B11" s="999" t="s">
        <v>99</v>
      </c>
      <c r="C11" s="1194">
        <v>0</v>
      </c>
      <c r="D11" s="1001">
        <f>'Table 3 Levels 1&amp;2'!BN13+'Table 3 Levels 1&amp;2'!BV13</f>
        <v>4880.3484353147733</v>
      </c>
      <c r="E11" s="1101">
        <f t="shared" si="2"/>
        <v>0</v>
      </c>
      <c r="F11" s="1101">
        <f>'Table 4 Level 3'!N10</f>
        <v>555.91</v>
      </c>
      <c r="G11" s="1101">
        <f t="shared" si="3"/>
        <v>0</v>
      </c>
      <c r="H11" s="1055">
        <f t="shared" si="4"/>
        <v>0</v>
      </c>
      <c r="I11" s="1111">
        <f t="shared" si="5"/>
        <v>0</v>
      </c>
      <c r="J11" s="1055">
        <f t="shared" si="6"/>
        <v>0</v>
      </c>
      <c r="K11" s="1055">
        <v>0</v>
      </c>
      <c r="L11" s="1055">
        <f t="shared" si="7"/>
        <v>0</v>
      </c>
      <c r="M11" s="1055">
        <f t="shared" si="8"/>
        <v>0</v>
      </c>
      <c r="N11" s="1056">
        <f>'[18]FY2012-13 Final'!K12</f>
        <v>1353</v>
      </c>
      <c r="O11" s="1057">
        <f t="shared" si="9"/>
        <v>0</v>
      </c>
      <c r="P11" s="1119">
        <f t="shared" si="10"/>
        <v>0</v>
      </c>
      <c r="Q11" s="1057">
        <f t="shared" si="11"/>
        <v>0</v>
      </c>
      <c r="R11" s="1057">
        <v>0</v>
      </c>
      <c r="S11" s="1057">
        <f t="shared" si="12"/>
        <v>0</v>
      </c>
      <c r="T11" s="1057">
        <f t="shared" si="13"/>
        <v>0</v>
      </c>
      <c r="U11" s="1058">
        <f t="shared" si="14"/>
        <v>0</v>
      </c>
      <c r="V11" s="1058">
        <f t="shared" si="14"/>
        <v>0</v>
      </c>
    </row>
    <row r="12" spans="1:22">
      <c r="A12" s="987">
        <v>6</v>
      </c>
      <c r="B12" s="988" t="s">
        <v>100</v>
      </c>
      <c r="C12" s="1195">
        <v>0</v>
      </c>
      <c r="D12" s="990">
        <f>'Table 3 Levels 1&amp;2'!BN14+'Table 3 Levels 1&amp;2'!BV14</f>
        <v>5379.7759718479856</v>
      </c>
      <c r="E12" s="1099">
        <f t="shared" si="2"/>
        <v>0</v>
      </c>
      <c r="F12" s="1099">
        <f>'Table 4 Level 3'!N11</f>
        <v>545.4799999999999</v>
      </c>
      <c r="G12" s="1099">
        <f t="shared" si="3"/>
        <v>0</v>
      </c>
      <c r="H12" s="991">
        <f t="shared" si="4"/>
        <v>0</v>
      </c>
      <c r="I12" s="1109">
        <f t="shared" si="5"/>
        <v>0</v>
      </c>
      <c r="J12" s="991">
        <f t="shared" si="6"/>
        <v>0</v>
      </c>
      <c r="K12" s="991">
        <v>0</v>
      </c>
      <c r="L12" s="991">
        <f t="shared" si="7"/>
        <v>0</v>
      </c>
      <c r="M12" s="991">
        <f t="shared" si="8"/>
        <v>0</v>
      </c>
      <c r="N12" s="1051">
        <f>'[18]FY2012-13 Final'!K13</f>
        <v>3576</v>
      </c>
      <c r="O12" s="992">
        <f t="shared" si="9"/>
        <v>0</v>
      </c>
      <c r="P12" s="1117">
        <f t="shared" si="10"/>
        <v>0</v>
      </c>
      <c r="Q12" s="992">
        <f t="shared" si="11"/>
        <v>0</v>
      </c>
      <c r="R12" s="992">
        <v>0</v>
      </c>
      <c r="S12" s="992">
        <f t="shared" si="12"/>
        <v>0</v>
      </c>
      <c r="T12" s="992">
        <f t="shared" si="13"/>
        <v>0</v>
      </c>
      <c r="U12" s="993">
        <f t="shared" si="14"/>
        <v>0</v>
      </c>
      <c r="V12" s="993">
        <f t="shared" si="14"/>
        <v>0</v>
      </c>
    </row>
    <row r="13" spans="1:22">
      <c r="A13" s="994">
        <v>7</v>
      </c>
      <c r="B13" s="995" t="s">
        <v>101</v>
      </c>
      <c r="C13" s="1193">
        <v>0</v>
      </c>
      <c r="D13" s="997">
        <f>'Table 3 Levels 1&amp;2'!BN15+'Table 3 Levels 1&amp;2'!BV15</f>
        <v>1698.1351763907733</v>
      </c>
      <c r="E13" s="1100">
        <f t="shared" si="2"/>
        <v>0</v>
      </c>
      <c r="F13" s="1100">
        <f>'Table 4 Level 3'!N12</f>
        <v>756.91999999999985</v>
      </c>
      <c r="G13" s="1100">
        <f t="shared" si="3"/>
        <v>0</v>
      </c>
      <c r="H13" s="1052">
        <f t="shared" si="4"/>
        <v>0</v>
      </c>
      <c r="I13" s="1110">
        <f t="shared" si="5"/>
        <v>0</v>
      </c>
      <c r="J13" s="1052">
        <f t="shared" si="6"/>
        <v>0</v>
      </c>
      <c r="K13" s="1052">
        <v>0</v>
      </c>
      <c r="L13" s="1052">
        <f t="shared" si="7"/>
        <v>0</v>
      </c>
      <c r="M13" s="1052">
        <f t="shared" si="8"/>
        <v>0</v>
      </c>
      <c r="N13" s="1051">
        <f>'[18]FY2012-13 Final'!K14</f>
        <v>12465</v>
      </c>
      <c r="O13" s="1053">
        <f t="shared" si="9"/>
        <v>0</v>
      </c>
      <c r="P13" s="1118">
        <f t="shared" si="10"/>
        <v>0</v>
      </c>
      <c r="Q13" s="1053">
        <f t="shared" si="11"/>
        <v>0</v>
      </c>
      <c r="R13" s="1053">
        <v>0</v>
      </c>
      <c r="S13" s="1053">
        <f t="shared" si="12"/>
        <v>0</v>
      </c>
      <c r="T13" s="1053">
        <f t="shared" si="13"/>
        <v>0</v>
      </c>
      <c r="U13" s="1054">
        <f t="shared" si="14"/>
        <v>0</v>
      </c>
      <c r="V13" s="1054">
        <f t="shared" si="14"/>
        <v>0</v>
      </c>
    </row>
    <row r="14" spans="1:22">
      <c r="A14" s="994">
        <v>8</v>
      </c>
      <c r="B14" s="995" t="s">
        <v>102</v>
      </c>
      <c r="C14" s="1193">
        <v>0</v>
      </c>
      <c r="D14" s="997">
        <f>'Table 3 Levels 1&amp;2'!BN16+'Table 3 Levels 1&amp;2'!BV16</f>
        <v>4239.8578920718974</v>
      </c>
      <c r="E14" s="1100">
        <f t="shared" si="2"/>
        <v>0</v>
      </c>
      <c r="F14" s="1100">
        <f>'Table 4 Level 3'!N13</f>
        <v>725.76</v>
      </c>
      <c r="G14" s="1100">
        <f t="shared" si="3"/>
        <v>0</v>
      </c>
      <c r="H14" s="1052">
        <f t="shared" si="4"/>
        <v>0</v>
      </c>
      <c r="I14" s="1110">
        <f t="shared" si="5"/>
        <v>0</v>
      </c>
      <c r="J14" s="1052">
        <f t="shared" si="6"/>
        <v>0</v>
      </c>
      <c r="K14" s="1052">
        <v>0</v>
      </c>
      <c r="L14" s="1052">
        <f t="shared" si="7"/>
        <v>0</v>
      </c>
      <c r="M14" s="1052">
        <f t="shared" si="8"/>
        <v>0</v>
      </c>
      <c r="N14" s="1051">
        <f>'[18]FY2012-13 Final'!K15</f>
        <v>4184</v>
      </c>
      <c r="O14" s="1053">
        <f t="shared" si="9"/>
        <v>0</v>
      </c>
      <c r="P14" s="1118">
        <f t="shared" si="10"/>
        <v>0</v>
      </c>
      <c r="Q14" s="1053">
        <f t="shared" si="11"/>
        <v>0</v>
      </c>
      <c r="R14" s="1053">
        <v>0</v>
      </c>
      <c r="S14" s="1053">
        <f t="shared" si="12"/>
        <v>0</v>
      </c>
      <c r="T14" s="1053">
        <f t="shared" si="13"/>
        <v>0</v>
      </c>
      <c r="U14" s="1054">
        <f t="shared" si="14"/>
        <v>0</v>
      </c>
      <c r="V14" s="1054">
        <f t="shared" si="14"/>
        <v>0</v>
      </c>
    </row>
    <row r="15" spans="1:22">
      <c r="A15" s="994">
        <v>9</v>
      </c>
      <c r="B15" s="995" t="s">
        <v>103</v>
      </c>
      <c r="C15" s="1193">
        <v>0</v>
      </c>
      <c r="D15" s="997">
        <f>'Table 3 Levels 1&amp;2'!BN17+'Table 3 Levels 1&amp;2'!BV17</f>
        <v>4361.2752875373017</v>
      </c>
      <c r="E15" s="1100">
        <f t="shared" si="2"/>
        <v>0</v>
      </c>
      <c r="F15" s="1100">
        <f>'Table 4 Level 3'!N14</f>
        <v>744.76</v>
      </c>
      <c r="G15" s="1100">
        <f t="shared" si="3"/>
        <v>0</v>
      </c>
      <c r="H15" s="1052">
        <f t="shared" si="4"/>
        <v>0</v>
      </c>
      <c r="I15" s="1110">
        <f t="shared" si="5"/>
        <v>0</v>
      </c>
      <c r="J15" s="1052">
        <f t="shared" si="6"/>
        <v>0</v>
      </c>
      <c r="K15" s="1052">
        <v>0</v>
      </c>
      <c r="L15" s="1052">
        <f t="shared" si="7"/>
        <v>0</v>
      </c>
      <c r="M15" s="1052">
        <f t="shared" si="8"/>
        <v>0</v>
      </c>
      <c r="N15" s="1051">
        <f>'[18]FY2012-13 Final'!K16</f>
        <v>4640</v>
      </c>
      <c r="O15" s="1053">
        <f t="shared" si="9"/>
        <v>0</v>
      </c>
      <c r="P15" s="1118">
        <f t="shared" si="10"/>
        <v>0</v>
      </c>
      <c r="Q15" s="1053">
        <f t="shared" si="11"/>
        <v>0</v>
      </c>
      <c r="R15" s="1053">
        <v>0</v>
      </c>
      <c r="S15" s="1053">
        <f t="shared" si="12"/>
        <v>0</v>
      </c>
      <c r="T15" s="1053">
        <f t="shared" si="13"/>
        <v>0</v>
      </c>
      <c r="U15" s="1054">
        <f t="shared" si="14"/>
        <v>0</v>
      </c>
      <c r="V15" s="1054">
        <f t="shared" si="14"/>
        <v>0</v>
      </c>
    </row>
    <row r="16" spans="1:22">
      <c r="A16" s="998">
        <v>10</v>
      </c>
      <c r="B16" s="999" t="s">
        <v>104</v>
      </c>
      <c r="C16" s="1194">
        <v>0</v>
      </c>
      <c r="D16" s="1001">
        <f>'Table 3 Levels 1&amp;2'!BN18+'Table 3 Levels 1&amp;2'!BV18</f>
        <v>4179.4641652904756</v>
      </c>
      <c r="E16" s="1101">
        <f t="shared" si="2"/>
        <v>0</v>
      </c>
      <c r="F16" s="1101">
        <f>'Table 4 Level 3'!N15</f>
        <v>608.04000000000008</v>
      </c>
      <c r="G16" s="1101">
        <f t="shared" si="3"/>
        <v>0</v>
      </c>
      <c r="H16" s="1055">
        <f t="shared" si="4"/>
        <v>0</v>
      </c>
      <c r="I16" s="1111">
        <f t="shared" si="5"/>
        <v>0</v>
      </c>
      <c r="J16" s="1055">
        <f t="shared" si="6"/>
        <v>0</v>
      </c>
      <c r="K16" s="1055">
        <v>0</v>
      </c>
      <c r="L16" s="1055">
        <f t="shared" si="7"/>
        <v>0</v>
      </c>
      <c r="M16" s="1055">
        <f t="shared" si="8"/>
        <v>0</v>
      </c>
      <c r="N16" s="1056">
        <f>'[18]FY2012-13 Final'!K17</f>
        <v>4391</v>
      </c>
      <c r="O16" s="1057">
        <f t="shared" si="9"/>
        <v>0</v>
      </c>
      <c r="P16" s="1119">
        <f t="shared" si="10"/>
        <v>0</v>
      </c>
      <c r="Q16" s="1057">
        <f t="shared" si="11"/>
        <v>0</v>
      </c>
      <c r="R16" s="1057">
        <v>0</v>
      </c>
      <c r="S16" s="1057">
        <f t="shared" si="12"/>
        <v>0</v>
      </c>
      <c r="T16" s="1057">
        <f t="shared" si="13"/>
        <v>0</v>
      </c>
      <c r="U16" s="1058">
        <f t="shared" si="14"/>
        <v>0</v>
      </c>
      <c r="V16" s="1058">
        <f t="shared" si="14"/>
        <v>0</v>
      </c>
    </row>
    <row r="17" spans="1:22">
      <c r="A17" s="987">
        <v>11</v>
      </c>
      <c r="B17" s="988" t="s">
        <v>105</v>
      </c>
      <c r="C17" s="1195">
        <v>0</v>
      </c>
      <c r="D17" s="990">
        <f>'Table 3 Levels 1&amp;2'!BN19+'Table 3 Levels 1&amp;2'!BV19</f>
        <v>6825.0221851487568</v>
      </c>
      <c r="E17" s="1099">
        <f t="shared" si="2"/>
        <v>0</v>
      </c>
      <c r="F17" s="1099">
        <f>'Table 4 Level 3'!N16</f>
        <v>706.55</v>
      </c>
      <c r="G17" s="1099">
        <f t="shared" si="3"/>
        <v>0</v>
      </c>
      <c r="H17" s="991">
        <f t="shared" si="4"/>
        <v>0</v>
      </c>
      <c r="I17" s="1109">
        <f t="shared" si="5"/>
        <v>0</v>
      </c>
      <c r="J17" s="991">
        <f t="shared" si="6"/>
        <v>0</v>
      </c>
      <c r="K17" s="991">
        <v>0</v>
      </c>
      <c r="L17" s="991">
        <f t="shared" si="7"/>
        <v>0</v>
      </c>
      <c r="M17" s="991">
        <f t="shared" si="8"/>
        <v>0</v>
      </c>
      <c r="N17" s="1051">
        <f>'[18]FY2012-13 Final'!K18</f>
        <v>3430</v>
      </c>
      <c r="O17" s="992">
        <f t="shared" si="9"/>
        <v>0</v>
      </c>
      <c r="P17" s="1117">
        <f t="shared" si="10"/>
        <v>0</v>
      </c>
      <c r="Q17" s="992">
        <f t="shared" si="11"/>
        <v>0</v>
      </c>
      <c r="R17" s="992">
        <v>0</v>
      </c>
      <c r="S17" s="992">
        <f t="shared" si="12"/>
        <v>0</v>
      </c>
      <c r="T17" s="992">
        <f t="shared" si="13"/>
        <v>0</v>
      </c>
      <c r="U17" s="993">
        <f t="shared" si="14"/>
        <v>0</v>
      </c>
      <c r="V17" s="993">
        <f t="shared" si="14"/>
        <v>0</v>
      </c>
    </row>
    <row r="18" spans="1:22">
      <c r="A18" s="994">
        <v>12</v>
      </c>
      <c r="B18" s="995" t="s">
        <v>106</v>
      </c>
      <c r="C18" s="1193">
        <v>0</v>
      </c>
      <c r="D18" s="997">
        <f>'Table 3 Levels 1&amp;2'!BN20+'Table 3 Levels 1&amp;2'!BV20</f>
        <v>1688.0492586490939</v>
      </c>
      <c r="E18" s="1100">
        <f t="shared" si="2"/>
        <v>0</v>
      </c>
      <c r="F18" s="1100">
        <f>'Table 4 Level 3'!N17</f>
        <v>1063.31</v>
      </c>
      <c r="G18" s="1100">
        <f t="shared" si="3"/>
        <v>0</v>
      </c>
      <c r="H18" s="1052">
        <f t="shared" si="4"/>
        <v>0</v>
      </c>
      <c r="I18" s="1110">
        <f t="shared" si="5"/>
        <v>0</v>
      </c>
      <c r="J18" s="1052">
        <f t="shared" si="6"/>
        <v>0</v>
      </c>
      <c r="K18" s="1052">
        <v>0</v>
      </c>
      <c r="L18" s="1052">
        <f t="shared" si="7"/>
        <v>0</v>
      </c>
      <c r="M18" s="1052">
        <f t="shared" si="8"/>
        <v>0</v>
      </c>
      <c r="N18" s="1051">
        <f>'[18]FY2012-13 Final'!K19</f>
        <v>12558</v>
      </c>
      <c r="O18" s="1053">
        <f t="shared" si="9"/>
        <v>0</v>
      </c>
      <c r="P18" s="1118">
        <f t="shared" si="10"/>
        <v>0</v>
      </c>
      <c r="Q18" s="1053">
        <f t="shared" si="11"/>
        <v>0</v>
      </c>
      <c r="R18" s="1053">
        <v>0</v>
      </c>
      <c r="S18" s="1053">
        <f t="shared" si="12"/>
        <v>0</v>
      </c>
      <c r="T18" s="1053">
        <f t="shared" si="13"/>
        <v>0</v>
      </c>
      <c r="U18" s="1054">
        <f t="shared" si="14"/>
        <v>0</v>
      </c>
      <c r="V18" s="1054">
        <f t="shared" si="14"/>
        <v>0</v>
      </c>
    </row>
    <row r="19" spans="1:22">
      <c r="A19" s="994">
        <v>13</v>
      </c>
      <c r="B19" s="995" t="s">
        <v>107</v>
      </c>
      <c r="C19" s="1193">
        <v>0</v>
      </c>
      <c r="D19" s="997">
        <f>'Table 3 Levels 1&amp;2'!BN21+'Table 3 Levels 1&amp;2'!BV21</f>
        <v>6187.1651272387344</v>
      </c>
      <c r="E19" s="1100">
        <f t="shared" si="2"/>
        <v>0</v>
      </c>
      <c r="F19" s="1100">
        <f>'Table 4 Level 3'!N18</f>
        <v>749.43000000000006</v>
      </c>
      <c r="G19" s="1100">
        <f t="shared" si="3"/>
        <v>0</v>
      </c>
      <c r="H19" s="1052">
        <f t="shared" si="4"/>
        <v>0</v>
      </c>
      <c r="I19" s="1110">
        <f t="shared" si="5"/>
        <v>0</v>
      </c>
      <c r="J19" s="1052">
        <f t="shared" si="6"/>
        <v>0</v>
      </c>
      <c r="K19" s="1052">
        <v>0</v>
      </c>
      <c r="L19" s="1052">
        <f t="shared" si="7"/>
        <v>0</v>
      </c>
      <c r="M19" s="1052">
        <f t="shared" si="8"/>
        <v>0</v>
      </c>
      <c r="N19" s="1051">
        <f>'[18]FY2012-13 Final'!K20</f>
        <v>2536</v>
      </c>
      <c r="O19" s="1053">
        <f t="shared" si="9"/>
        <v>0</v>
      </c>
      <c r="P19" s="1118">
        <f t="shared" si="10"/>
        <v>0</v>
      </c>
      <c r="Q19" s="1053">
        <f t="shared" si="11"/>
        <v>0</v>
      </c>
      <c r="R19" s="1053">
        <v>0</v>
      </c>
      <c r="S19" s="1053">
        <f t="shared" si="12"/>
        <v>0</v>
      </c>
      <c r="T19" s="1053">
        <f t="shared" si="13"/>
        <v>0</v>
      </c>
      <c r="U19" s="1054">
        <f t="shared" si="14"/>
        <v>0</v>
      </c>
      <c r="V19" s="1054">
        <f t="shared" si="14"/>
        <v>0</v>
      </c>
    </row>
    <row r="20" spans="1:22">
      <c r="A20" s="994">
        <v>14</v>
      </c>
      <c r="B20" s="995" t="s">
        <v>108</v>
      </c>
      <c r="C20" s="1193">
        <v>0</v>
      </c>
      <c r="D20" s="997">
        <f>'Table 3 Levels 1&amp;2'!BN22+'Table 3 Levels 1&amp;2'!BV22</f>
        <v>5339.1887414618923</v>
      </c>
      <c r="E20" s="1100">
        <f t="shared" si="2"/>
        <v>0</v>
      </c>
      <c r="F20" s="1100">
        <f>'Table 4 Level 3'!N19</f>
        <v>809.9799999999999</v>
      </c>
      <c r="G20" s="1100">
        <f t="shared" si="3"/>
        <v>0</v>
      </c>
      <c r="H20" s="1052">
        <f t="shared" si="4"/>
        <v>0</v>
      </c>
      <c r="I20" s="1110">
        <f t="shared" si="5"/>
        <v>0</v>
      </c>
      <c r="J20" s="1052">
        <f t="shared" si="6"/>
        <v>0</v>
      </c>
      <c r="K20" s="1052">
        <v>0</v>
      </c>
      <c r="L20" s="1052">
        <f t="shared" si="7"/>
        <v>0</v>
      </c>
      <c r="M20" s="1052">
        <f t="shared" si="8"/>
        <v>0</v>
      </c>
      <c r="N20" s="1051">
        <f>'[18]FY2012-13 Final'!K21</f>
        <v>3888</v>
      </c>
      <c r="O20" s="1053">
        <f t="shared" si="9"/>
        <v>0</v>
      </c>
      <c r="P20" s="1118">
        <f t="shared" si="10"/>
        <v>0</v>
      </c>
      <c r="Q20" s="1053">
        <f t="shared" si="11"/>
        <v>0</v>
      </c>
      <c r="R20" s="1053">
        <v>0</v>
      </c>
      <c r="S20" s="1053">
        <f t="shared" si="12"/>
        <v>0</v>
      </c>
      <c r="T20" s="1053">
        <f t="shared" si="13"/>
        <v>0</v>
      </c>
      <c r="U20" s="1054">
        <f t="shared" si="14"/>
        <v>0</v>
      </c>
      <c r="V20" s="1054">
        <f t="shared" si="14"/>
        <v>0</v>
      </c>
    </row>
    <row r="21" spans="1:22">
      <c r="A21" s="998">
        <v>15</v>
      </c>
      <c r="B21" s="999" t="s">
        <v>109</v>
      </c>
      <c r="C21" s="1194">
        <v>0</v>
      </c>
      <c r="D21" s="1001">
        <f>'Table 3 Levels 1&amp;2'!BN23+'Table 3 Levels 1&amp;2'!BV23</f>
        <v>5492.5789412344011</v>
      </c>
      <c r="E21" s="1101">
        <f t="shared" si="2"/>
        <v>0</v>
      </c>
      <c r="F21" s="1101">
        <f>'Table 4 Level 3'!N20</f>
        <v>553.79999999999995</v>
      </c>
      <c r="G21" s="1101">
        <f t="shared" si="3"/>
        <v>0</v>
      </c>
      <c r="H21" s="1055">
        <f t="shared" si="4"/>
        <v>0</v>
      </c>
      <c r="I21" s="1111">
        <f t="shared" si="5"/>
        <v>0</v>
      </c>
      <c r="J21" s="1055">
        <f t="shared" si="6"/>
        <v>0</v>
      </c>
      <c r="K21" s="1055">
        <v>0</v>
      </c>
      <c r="L21" s="1055">
        <f t="shared" si="7"/>
        <v>0</v>
      </c>
      <c r="M21" s="1055">
        <f t="shared" si="8"/>
        <v>0</v>
      </c>
      <c r="N21" s="1056">
        <f>'[18]FY2012-13 Final'!K22</f>
        <v>2752</v>
      </c>
      <c r="O21" s="1057">
        <f t="shared" si="9"/>
        <v>0</v>
      </c>
      <c r="P21" s="1119">
        <f t="shared" si="10"/>
        <v>0</v>
      </c>
      <c r="Q21" s="1057">
        <f t="shared" si="11"/>
        <v>0</v>
      </c>
      <c r="R21" s="1057">
        <v>0</v>
      </c>
      <c r="S21" s="1057">
        <f t="shared" si="12"/>
        <v>0</v>
      </c>
      <c r="T21" s="1057">
        <f t="shared" si="13"/>
        <v>0</v>
      </c>
      <c r="U21" s="1058">
        <f t="shared" si="14"/>
        <v>0</v>
      </c>
      <c r="V21" s="1058">
        <f t="shared" si="14"/>
        <v>0</v>
      </c>
    </row>
    <row r="22" spans="1:22">
      <c r="A22" s="987">
        <v>16</v>
      </c>
      <c r="B22" s="988" t="s">
        <v>110</v>
      </c>
      <c r="C22" s="1195">
        <v>0</v>
      </c>
      <c r="D22" s="990">
        <f>'Table 3 Levels 1&amp;2'!BN24+'Table 3 Levels 1&amp;2'!BV24</f>
        <v>1506.1153407945151</v>
      </c>
      <c r="E22" s="1099">
        <f t="shared" si="2"/>
        <v>0</v>
      </c>
      <c r="F22" s="1099">
        <f>'Table 4 Level 3'!N21</f>
        <v>686.73</v>
      </c>
      <c r="G22" s="1099">
        <f t="shared" si="3"/>
        <v>0</v>
      </c>
      <c r="H22" s="991">
        <f t="shared" si="4"/>
        <v>0</v>
      </c>
      <c r="I22" s="1109">
        <f t="shared" si="5"/>
        <v>0</v>
      </c>
      <c r="J22" s="991">
        <f t="shared" si="6"/>
        <v>0</v>
      </c>
      <c r="K22" s="991">
        <v>0</v>
      </c>
      <c r="L22" s="991">
        <f t="shared" si="7"/>
        <v>0</v>
      </c>
      <c r="M22" s="991">
        <f t="shared" si="8"/>
        <v>0</v>
      </c>
      <c r="N22" s="1051">
        <f>'[18]FY2012-13 Final'!K23</f>
        <v>15092</v>
      </c>
      <c r="O22" s="992">
        <f t="shared" si="9"/>
        <v>0</v>
      </c>
      <c r="P22" s="1117">
        <f t="shared" si="10"/>
        <v>0</v>
      </c>
      <c r="Q22" s="992">
        <f t="shared" si="11"/>
        <v>0</v>
      </c>
      <c r="R22" s="992">
        <v>0</v>
      </c>
      <c r="S22" s="992">
        <f t="shared" si="12"/>
        <v>0</v>
      </c>
      <c r="T22" s="992">
        <f t="shared" si="13"/>
        <v>0</v>
      </c>
      <c r="U22" s="993">
        <f t="shared" si="14"/>
        <v>0</v>
      </c>
      <c r="V22" s="993">
        <f t="shared" si="14"/>
        <v>0</v>
      </c>
    </row>
    <row r="23" spans="1:22">
      <c r="A23" s="994">
        <v>17</v>
      </c>
      <c r="B23" s="995" t="s">
        <v>111</v>
      </c>
      <c r="C23" s="1193">
        <v>272</v>
      </c>
      <c r="D23" s="997">
        <f>'Table 3 Levels 1&amp;2'!BN25+'Table 3 Levels 1&amp;2'!BV25</f>
        <v>3311.610845996096</v>
      </c>
      <c r="E23" s="1100">
        <f t="shared" si="2"/>
        <v>900758.15011093812</v>
      </c>
      <c r="F23" s="1100">
        <f>'Table 4 Level 3'!N22</f>
        <v>801.47762416806802</v>
      </c>
      <c r="G23" s="1100">
        <f t="shared" si="3"/>
        <v>218001.91377371451</v>
      </c>
      <c r="H23" s="1052">
        <f t="shared" si="4"/>
        <v>1118760.0638846527</v>
      </c>
      <c r="I23" s="1110">
        <f t="shared" si="5"/>
        <v>-2796.9001597116317</v>
      </c>
      <c r="J23" s="1052">
        <f t="shared" si="6"/>
        <v>1115963.163724941</v>
      </c>
      <c r="K23" s="1052">
        <v>0</v>
      </c>
      <c r="L23" s="1052">
        <f t="shared" si="7"/>
        <v>1115963.163724941</v>
      </c>
      <c r="M23" s="1052">
        <f t="shared" si="8"/>
        <v>92996.930310411743</v>
      </c>
      <c r="N23" s="1051">
        <f>'[18]FY2012-13 Final'!K24</f>
        <v>6551</v>
      </c>
      <c r="O23" s="1053">
        <f t="shared" si="9"/>
        <v>1781872</v>
      </c>
      <c r="P23" s="1118">
        <f t="shared" si="10"/>
        <v>-4454.68</v>
      </c>
      <c r="Q23" s="1053">
        <f t="shared" si="11"/>
        <v>1777417.32</v>
      </c>
      <c r="R23" s="1053">
        <v>0</v>
      </c>
      <c r="S23" s="1053">
        <f t="shared" si="12"/>
        <v>1777417.32</v>
      </c>
      <c r="T23" s="1053">
        <f t="shared" si="13"/>
        <v>148118.11000000002</v>
      </c>
      <c r="U23" s="1054">
        <f t="shared" si="14"/>
        <v>2893380.483724941</v>
      </c>
      <c r="V23" s="1054">
        <f t="shared" si="14"/>
        <v>241115.04031041177</v>
      </c>
    </row>
    <row r="24" spans="1:22">
      <c r="A24" s="994">
        <v>18</v>
      </c>
      <c r="B24" s="995" t="s">
        <v>112</v>
      </c>
      <c r="C24" s="1193">
        <v>0</v>
      </c>
      <c r="D24" s="997">
        <f>'Table 3 Levels 1&amp;2'!BN26+'Table 3 Levels 1&amp;2'!BV26</f>
        <v>5964.3490202032081</v>
      </c>
      <c r="E24" s="1100">
        <f t="shared" si="2"/>
        <v>0</v>
      </c>
      <c r="F24" s="1100">
        <f>'Table 4 Level 3'!N23</f>
        <v>845.94999999999993</v>
      </c>
      <c r="G24" s="1100">
        <f t="shared" si="3"/>
        <v>0</v>
      </c>
      <c r="H24" s="1052">
        <f t="shared" si="4"/>
        <v>0</v>
      </c>
      <c r="I24" s="1110">
        <f t="shared" si="5"/>
        <v>0</v>
      </c>
      <c r="J24" s="1052">
        <f t="shared" si="6"/>
        <v>0</v>
      </c>
      <c r="K24" s="1052">
        <v>0</v>
      </c>
      <c r="L24" s="1052">
        <f t="shared" si="7"/>
        <v>0</v>
      </c>
      <c r="M24" s="1052">
        <f t="shared" si="8"/>
        <v>0</v>
      </c>
      <c r="N24" s="1051">
        <f>'[18]FY2012-13 Final'!K25</f>
        <v>2165</v>
      </c>
      <c r="O24" s="1053">
        <f t="shared" si="9"/>
        <v>0</v>
      </c>
      <c r="P24" s="1118">
        <f t="shared" si="10"/>
        <v>0</v>
      </c>
      <c r="Q24" s="1053">
        <f t="shared" si="11"/>
        <v>0</v>
      </c>
      <c r="R24" s="1053">
        <v>0</v>
      </c>
      <c r="S24" s="1053">
        <f t="shared" si="12"/>
        <v>0</v>
      </c>
      <c r="T24" s="1053">
        <f t="shared" si="13"/>
        <v>0</v>
      </c>
      <c r="U24" s="1054">
        <f t="shared" si="14"/>
        <v>0</v>
      </c>
      <c r="V24" s="1054">
        <f t="shared" si="14"/>
        <v>0</v>
      </c>
    </row>
    <row r="25" spans="1:22">
      <c r="A25" s="994">
        <v>19</v>
      </c>
      <c r="B25" s="995" t="s">
        <v>113</v>
      </c>
      <c r="C25" s="1193">
        <v>0</v>
      </c>
      <c r="D25" s="997">
        <f>'Table 3 Levels 1&amp;2'!BN27+'Table 3 Levels 1&amp;2'!BV27</f>
        <v>5283.1088158476596</v>
      </c>
      <c r="E25" s="1100">
        <f t="shared" si="2"/>
        <v>0</v>
      </c>
      <c r="F25" s="1100">
        <f>'Table 4 Level 3'!N24</f>
        <v>905.43</v>
      </c>
      <c r="G25" s="1100">
        <f t="shared" si="3"/>
        <v>0</v>
      </c>
      <c r="H25" s="1052">
        <f t="shared" si="4"/>
        <v>0</v>
      </c>
      <c r="I25" s="1110">
        <f t="shared" si="5"/>
        <v>0</v>
      </c>
      <c r="J25" s="1052">
        <f t="shared" si="6"/>
        <v>0</v>
      </c>
      <c r="K25" s="1052">
        <v>0</v>
      </c>
      <c r="L25" s="1052">
        <f t="shared" si="7"/>
        <v>0</v>
      </c>
      <c r="M25" s="1052">
        <f t="shared" si="8"/>
        <v>0</v>
      </c>
      <c r="N25" s="1051">
        <f>'[18]FY2012-13 Final'!K26</f>
        <v>2729</v>
      </c>
      <c r="O25" s="1053">
        <f t="shared" si="9"/>
        <v>0</v>
      </c>
      <c r="P25" s="1118">
        <f t="shared" si="10"/>
        <v>0</v>
      </c>
      <c r="Q25" s="1053">
        <f t="shared" si="11"/>
        <v>0</v>
      </c>
      <c r="R25" s="1053">
        <v>0</v>
      </c>
      <c r="S25" s="1053">
        <f t="shared" si="12"/>
        <v>0</v>
      </c>
      <c r="T25" s="1053">
        <f t="shared" si="13"/>
        <v>0</v>
      </c>
      <c r="U25" s="1054">
        <f t="shared" si="14"/>
        <v>0</v>
      </c>
      <c r="V25" s="1054">
        <f t="shared" si="14"/>
        <v>0</v>
      </c>
    </row>
    <row r="26" spans="1:22">
      <c r="A26" s="998">
        <v>20</v>
      </c>
      <c r="B26" s="999" t="s">
        <v>114</v>
      </c>
      <c r="C26" s="1194">
        <v>0</v>
      </c>
      <c r="D26" s="1001">
        <f>'Table 3 Levels 1&amp;2'!BN28+'Table 3 Levels 1&amp;2'!BV28</f>
        <v>5389.6047094824808</v>
      </c>
      <c r="E26" s="1101">
        <f t="shared" si="2"/>
        <v>0</v>
      </c>
      <c r="F26" s="1101">
        <f>'Table 4 Level 3'!N25</f>
        <v>586.16999999999996</v>
      </c>
      <c r="G26" s="1101">
        <f t="shared" si="3"/>
        <v>0</v>
      </c>
      <c r="H26" s="1055">
        <f t="shared" si="4"/>
        <v>0</v>
      </c>
      <c r="I26" s="1111">
        <f t="shared" si="5"/>
        <v>0</v>
      </c>
      <c r="J26" s="1055">
        <f t="shared" si="6"/>
        <v>0</v>
      </c>
      <c r="K26" s="1055">
        <v>0</v>
      </c>
      <c r="L26" s="1055">
        <f t="shared" si="7"/>
        <v>0</v>
      </c>
      <c r="M26" s="1055">
        <f t="shared" si="8"/>
        <v>0</v>
      </c>
      <c r="N26" s="1056">
        <f>'[18]FY2012-13 Final'!K27</f>
        <v>2334</v>
      </c>
      <c r="O26" s="1057">
        <f t="shared" si="9"/>
        <v>0</v>
      </c>
      <c r="P26" s="1119">
        <f t="shared" si="10"/>
        <v>0</v>
      </c>
      <c r="Q26" s="1057">
        <f t="shared" si="11"/>
        <v>0</v>
      </c>
      <c r="R26" s="1057">
        <v>0</v>
      </c>
      <c r="S26" s="1057">
        <f t="shared" si="12"/>
        <v>0</v>
      </c>
      <c r="T26" s="1057">
        <f t="shared" si="13"/>
        <v>0</v>
      </c>
      <c r="U26" s="1058">
        <f t="shared" si="14"/>
        <v>0</v>
      </c>
      <c r="V26" s="1058">
        <f t="shared" si="14"/>
        <v>0</v>
      </c>
    </row>
    <row r="27" spans="1:22">
      <c r="A27" s="987">
        <v>21</v>
      </c>
      <c r="B27" s="988" t="s">
        <v>115</v>
      </c>
      <c r="C27" s="1195">
        <v>0</v>
      </c>
      <c r="D27" s="990">
        <f>'Table 3 Levels 1&amp;2'!BN29+'Table 3 Levels 1&amp;2'!BV29</f>
        <v>5659.8229810652783</v>
      </c>
      <c r="E27" s="1099">
        <f t="shared" si="2"/>
        <v>0</v>
      </c>
      <c r="F27" s="1099">
        <f>'Table 4 Level 3'!N26</f>
        <v>610.35</v>
      </c>
      <c r="G27" s="1099">
        <f t="shared" si="3"/>
        <v>0</v>
      </c>
      <c r="H27" s="991">
        <f t="shared" si="4"/>
        <v>0</v>
      </c>
      <c r="I27" s="1109">
        <f t="shared" si="5"/>
        <v>0</v>
      </c>
      <c r="J27" s="991">
        <f t="shared" si="6"/>
        <v>0</v>
      </c>
      <c r="K27" s="991">
        <v>0</v>
      </c>
      <c r="L27" s="991">
        <f t="shared" si="7"/>
        <v>0</v>
      </c>
      <c r="M27" s="991">
        <f t="shared" si="8"/>
        <v>0</v>
      </c>
      <c r="N27" s="1051">
        <f>'[18]FY2012-13 Final'!K28</f>
        <v>2233</v>
      </c>
      <c r="O27" s="992">
        <f t="shared" si="9"/>
        <v>0</v>
      </c>
      <c r="P27" s="1117">
        <f t="shared" si="10"/>
        <v>0</v>
      </c>
      <c r="Q27" s="992">
        <f t="shared" si="11"/>
        <v>0</v>
      </c>
      <c r="R27" s="992">
        <v>0</v>
      </c>
      <c r="S27" s="992">
        <f t="shared" si="12"/>
        <v>0</v>
      </c>
      <c r="T27" s="992">
        <f t="shared" si="13"/>
        <v>0</v>
      </c>
      <c r="U27" s="993">
        <f t="shared" si="14"/>
        <v>0</v>
      </c>
      <c r="V27" s="993">
        <f t="shared" si="14"/>
        <v>0</v>
      </c>
    </row>
    <row r="28" spans="1:22">
      <c r="A28" s="994">
        <v>22</v>
      </c>
      <c r="B28" s="995" t="s">
        <v>116</v>
      </c>
      <c r="C28" s="1193">
        <v>0</v>
      </c>
      <c r="D28" s="997">
        <f>'Table 3 Levels 1&amp;2'!BN30+'Table 3 Levels 1&amp;2'!BV30</f>
        <v>6191.1997628958306</v>
      </c>
      <c r="E28" s="1100">
        <f t="shared" si="2"/>
        <v>0</v>
      </c>
      <c r="F28" s="1100">
        <f>'Table 4 Level 3'!N27</f>
        <v>496.36</v>
      </c>
      <c r="G28" s="1100">
        <f t="shared" si="3"/>
        <v>0</v>
      </c>
      <c r="H28" s="1052">
        <f t="shared" si="4"/>
        <v>0</v>
      </c>
      <c r="I28" s="1110">
        <f t="shared" si="5"/>
        <v>0</v>
      </c>
      <c r="J28" s="1052">
        <f t="shared" si="6"/>
        <v>0</v>
      </c>
      <c r="K28" s="1052">
        <v>0</v>
      </c>
      <c r="L28" s="1052">
        <f t="shared" si="7"/>
        <v>0</v>
      </c>
      <c r="M28" s="1052">
        <f t="shared" si="8"/>
        <v>0</v>
      </c>
      <c r="N28" s="1051">
        <f>'[18]FY2012-13 Final'!K29</f>
        <v>1410</v>
      </c>
      <c r="O28" s="1053">
        <f t="shared" si="9"/>
        <v>0</v>
      </c>
      <c r="P28" s="1118">
        <f t="shared" si="10"/>
        <v>0</v>
      </c>
      <c r="Q28" s="1053">
        <f t="shared" si="11"/>
        <v>0</v>
      </c>
      <c r="R28" s="1053">
        <v>0</v>
      </c>
      <c r="S28" s="1053">
        <f t="shared" si="12"/>
        <v>0</v>
      </c>
      <c r="T28" s="1053">
        <f t="shared" si="13"/>
        <v>0</v>
      </c>
      <c r="U28" s="1054">
        <f t="shared" si="14"/>
        <v>0</v>
      </c>
      <c r="V28" s="1054">
        <f t="shared" si="14"/>
        <v>0</v>
      </c>
    </row>
    <row r="29" spans="1:22">
      <c r="A29" s="994">
        <v>23</v>
      </c>
      <c r="B29" s="995" t="s">
        <v>117</v>
      </c>
      <c r="C29" s="1193">
        <v>0</v>
      </c>
      <c r="D29" s="997">
        <f>'Table 3 Levels 1&amp;2'!BN31+'Table 3 Levels 1&amp;2'!BV31</f>
        <v>4788.2881021645453</v>
      </c>
      <c r="E29" s="1100">
        <f t="shared" si="2"/>
        <v>0</v>
      </c>
      <c r="F29" s="1100">
        <f>'Table 4 Level 3'!N28</f>
        <v>688.58</v>
      </c>
      <c r="G29" s="1100">
        <f t="shared" si="3"/>
        <v>0</v>
      </c>
      <c r="H29" s="1052">
        <f t="shared" si="4"/>
        <v>0</v>
      </c>
      <c r="I29" s="1110">
        <f t="shared" si="5"/>
        <v>0</v>
      </c>
      <c r="J29" s="1052">
        <f t="shared" si="6"/>
        <v>0</v>
      </c>
      <c r="K29" s="1052">
        <v>0</v>
      </c>
      <c r="L29" s="1052">
        <f t="shared" si="7"/>
        <v>0</v>
      </c>
      <c r="M29" s="1052">
        <f t="shared" si="8"/>
        <v>0</v>
      </c>
      <c r="N29" s="1051">
        <f>'[18]FY2012-13 Final'!K30</f>
        <v>3258</v>
      </c>
      <c r="O29" s="1053">
        <f t="shared" si="9"/>
        <v>0</v>
      </c>
      <c r="P29" s="1118">
        <f t="shared" si="10"/>
        <v>0</v>
      </c>
      <c r="Q29" s="1053">
        <f t="shared" si="11"/>
        <v>0</v>
      </c>
      <c r="R29" s="1053">
        <v>0</v>
      </c>
      <c r="S29" s="1053">
        <f t="shared" si="12"/>
        <v>0</v>
      </c>
      <c r="T29" s="1053">
        <f t="shared" si="13"/>
        <v>0</v>
      </c>
      <c r="U29" s="1054">
        <f t="shared" si="14"/>
        <v>0</v>
      </c>
      <c r="V29" s="1054">
        <f t="shared" si="14"/>
        <v>0</v>
      </c>
    </row>
    <row r="30" spans="1:22">
      <c r="A30" s="994">
        <v>24</v>
      </c>
      <c r="B30" s="995" t="s">
        <v>118</v>
      </c>
      <c r="C30" s="1193">
        <v>0</v>
      </c>
      <c r="D30" s="997">
        <f>'Table 3 Levels 1&amp;2'!BN32+'Table 3 Levels 1&amp;2'!BV32</f>
        <v>2743.328175824176</v>
      </c>
      <c r="E30" s="1100">
        <f t="shared" si="2"/>
        <v>0</v>
      </c>
      <c r="F30" s="1100">
        <f>'Table 4 Level 3'!N29</f>
        <v>854.24999999999989</v>
      </c>
      <c r="G30" s="1100">
        <f t="shared" si="3"/>
        <v>0</v>
      </c>
      <c r="H30" s="1052">
        <f t="shared" si="4"/>
        <v>0</v>
      </c>
      <c r="I30" s="1110">
        <f t="shared" si="5"/>
        <v>0</v>
      </c>
      <c r="J30" s="1052">
        <f t="shared" si="6"/>
        <v>0</v>
      </c>
      <c r="K30" s="1052">
        <v>0</v>
      </c>
      <c r="L30" s="1052">
        <f t="shared" si="7"/>
        <v>0</v>
      </c>
      <c r="M30" s="1052">
        <f t="shared" si="8"/>
        <v>0</v>
      </c>
      <c r="N30" s="1051">
        <f>'[18]FY2012-13 Final'!K31</f>
        <v>9280</v>
      </c>
      <c r="O30" s="1053">
        <f t="shared" si="9"/>
        <v>0</v>
      </c>
      <c r="P30" s="1118">
        <f t="shared" si="10"/>
        <v>0</v>
      </c>
      <c r="Q30" s="1053">
        <f t="shared" si="11"/>
        <v>0</v>
      </c>
      <c r="R30" s="1053">
        <v>0</v>
      </c>
      <c r="S30" s="1053">
        <f t="shared" si="12"/>
        <v>0</v>
      </c>
      <c r="T30" s="1053">
        <f t="shared" si="13"/>
        <v>0</v>
      </c>
      <c r="U30" s="1054">
        <f t="shared" si="14"/>
        <v>0</v>
      </c>
      <c r="V30" s="1054">
        <f t="shared" si="14"/>
        <v>0</v>
      </c>
    </row>
    <row r="31" spans="1:22">
      <c r="A31" s="998">
        <v>25</v>
      </c>
      <c r="B31" s="999" t="s">
        <v>119</v>
      </c>
      <c r="C31" s="1194">
        <v>0</v>
      </c>
      <c r="D31" s="1001">
        <f>'Table 3 Levels 1&amp;2'!BN33+'Table 3 Levels 1&amp;2'!BV33</f>
        <v>3799.3890273447178</v>
      </c>
      <c r="E31" s="1101">
        <f t="shared" si="2"/>
        <v>0</v>
      </c>
      <c r="F31" s="1101">
        <f>'Table 4 Level 3'!N30</f>
        <v>653.73</v>
      </c>
      <c r="G31" s="1101">
        <f t="shared" si="3"/>
        <v>0</v>
      </c>
      <c r="H31" s="1055">
        <f t="shared" si="4"/>
        <v>0</v>
      </c>
      <c r="I31" s="1111">
        <f t="shared" si="5"/>
        <v>0</v>
      </c>
      <c r="J31" s="1055">
        <f t="shared" si="6"/>
        <v>0</v>
      </c>
      <c r="K31" s="1055">
        <v>0</v>
      </c>
      <c r="L31" s="1055">
        <f t="shared" si="7"/>
        <v>0</v>
      </c>
      <c r="M31" s="1055">
        <f t="shared" si="8"/>
        <v>0</v>
      </c>
      <c r="N31" s="1056">
        <f>'[18]FY2012-13 Final'!K32</f>
        <v>5351</v>
      </c>
      <c r="O31" s="1057">
        <f t="shared" si="9"/>
        <v>0</v>
      </c>
      <c r="P31" s="1119">
        <f t="shared" si="10"/>
        <v>0</v>
      </c>
      <c r="Q31" s="1057">
        <f t="shared" si="11"/>
        <v>0</v>
      </c>
      <c r="R31" s="1057">
        <v>0</v>
      </c>
      <c r="S31" s="1057">
        <f t="shared" si="12"/>
        <v>0</v>
      </c>
      <c r="T31" s="1057">
        <f t="shared" si="13"/>
        <v>0</v>
      </c>
      <c r="U31" s="1058">
        <f t="shared" si="14"/>
        <v>0</v>
      </c>
      <c r="V31" s="1058">
        <f t="shared" si="14"/>
        <v>0</v>
      </c>
    </row>
    <row r="32" spans="1:22">
      <c r="A32" s="987">
        <v>26</v>
      </c>
      <c r="B32" s="988" t="s">
        <v>120</v>
      </c>
      <c r="C32" s="1195">
        <v>0</v>
      </c>
      <c r="D32" s="990">
        <f>'Table 3 Levels 1&amp;2'!BN34+'Table 3 Levels 1&amp;2'!BV34</f>
        <v>3320.7842100822745</v>
      </c>
      <c r="E32" s="1099">
        <f t="shared" si="2"/>
        <v>0</v>
      </c>
      <c r="F32" s="1099">
        <f>'Table 4 Level 3'!N31</f>
        <v>836.83</v>
      </c>
      <c r="G32" s="1099">
        <f t="shared" si="3"/>
        <v>0</v>
      </c>
      <c r="H32" s="991">
        <f t="shared" si="4"/>
        <v>0</v>
      </c>
      <c r="I32" s="1109">
        <f t="shared" si="5"/>
        <v>0</v>
      </c>
      <c r="J32" s="991">
        <f t="shared" si="6"/>
        <v>0</v>
      </c>
      <c r="K32" s="991">
        <v>0</v>
      </c>
      <c r="L32" s="991">
        <f t="shared" si="7"/>
        <v>0</v>
      </c>
      <c r="M32" s="991">
        <f t="shared" si="8"/>
        <v>0</v>
      </c>
      <c r="N32" s="1051">
        <f>'[18]FY2012-13 Final'!K33</f>
        <v>5100</v>
      </c>
      <c r="O32" s="992">
        <f t="shared" si="9"/>
        <v>0</v>
      </c>
      <c r="P32" s="1117">
        <f t="shared" si="10"/>
        <v>0</v>
      </c>
      <c r="Q32" s="992">
        <f t="shared" si="11"/>
        <v>0</v>
      </c>
      <c r="R32" s="992">
        <v>0</v>
      </c>
      <c r="S32" s="992">
        <f t="shared" si="12"/>
        <v>0</v>
      </c>
      <c r="T32" s="992">
        <f t="shared" si="13"/>
        <v>0</v>
      </c>
      <c r="U32" s="993">
        <f t="shared" si="14"/>
        <v>0</v>
      </c>
      <c r="V32" s="993">
        <f t="shared" si="14"/>
        <v>0</v>
      </c>
    </row>
    <row r="33" spans="1:22">
      <c r="A33" s="994">
        <v>27</v>
      </c>
      <c r="B33" s="995" t="s">
        <v>121</v>
      </c>
      <c r="C33" s="1196">
        <v>0</v>
      </c>
      <c r="D33" s="1003">
        <f>'Table 3 Levels 1&amp;2'!BN35+'Table 3 Levels 1&amp;2'!BV35</f>
        <v>5636.5919457972805</v>
      </c>
      <c r="E33" s="1102">
        <f t="shared" si="2"/>
        <v>0</v>
      </c>
      <c r="F33" s="1102">
        <f>'Table 4 Level 3'!N32</f>
        <v>693.06</v>
      </c>
      <c r="G33" s="1102">
        <f t="shared" si="3"/>
        <v>0</v>
      </c>
      <c r="H33" s="1059">
        <f t="shared" si="4"/>
        <v>0</v>
      </c>
      <c r="I33" s="1112">
        <f t="shared" si="5"/>
        <v>0</v>
      </c>
      <c r="J33" s="1059">
        <f t="shared" si="6"/>
        <v>0</v>
      </c>
      <c r="K33" s="1059">
        <v>0</v>
      </c>
      <c r="L33" s="1059">
        <f t="shared" si="7"/>
        <v>0</v>
      </c>
      <c r="M33" s="1059">
        <f t="shared" si="8"/>
        <v>0</v>
      </c>
      <c r="N33" s="1051">
        <f>'[18]FY2012-13 Final'!K34</f>
        <v>3091</v>
      </c>
      <c r="O33" s="1053">
        <f t="shared" si="9"/>
        <v>0</v>
      </c>
      <c r="P33" s="1118">
        <f t="shared" si="10"/>
        <v>0</v>
      </c>
      <c r="Q33" s="1053">
        <f t="shared" si="11"/>
        <v>0</v>
      </c>
      <c r="R33" s="1053">
        <v>0</v>
      </c>
      <c r="S33" s="1053">
        <f t="shared" si="12"/>
        <v>0</v>
      </c>
      <c r="T33" s="1053">
        <f t="shared" si="13"/>
        <v>0</v>
      </c>
      <c r="U33" s="1054">
        <f t="shared" si="14"/>
        <v>0</v>
      </c>
      <c r="V33" s="1054">
        <f t="shared" si="14"/>
        <v>0</v>
      </c>
    </row>
    <row r="34" spans="1:22">
      <c r="A34" s="994">
        <v>28</v>
      </c>
      <c r="B34" s="995" t="s">
        <v>122</v>
      </c>
      <c r="C34" s="1196">
        <v>0</v>
      </c>
      <c r="D34" s="1003">
        <f>'Table 3 Levels 1&amp;2'!BN36+'Table 3 Levels 1&amp;2'!BV36</f>
        <v>3106.8056522508969</v>
      </c>
      <c r="E34" s="1102">
        <f t="shared" si="2"/>
        <v>0</v>
      </c>
      <c r="F34" s="1102">
        <f>'Table 4 Level 3'!N33</f>
        <v>694.4</v>
      </c>
      <c r="G34" s="1102">
        <f t="shared" si="3"/>
        <v>0</v>
      </c>
      <c r="H34" s="1059">
        <f t="shared" si="4"/>
        <v>0</v>
      </c>
      <c r="I34" s="1112">
        <f t="shared" si="5"/>
        <v>0</v>
      </c>
      <c r="J34" s="1059">
        <f t="shared" si="6"/>
        <v>0</v>
      </c>
      <c r="K34" s="1059">
        <v>0</v>
      </c>
      <c r="L34" s="1059">
        <f t="shared" si="7"/>
        <v>0</v>
      </c>
      <c r="M34" s="1059">
        <f t="shared" si="8"/>
        <v>0</v>
      </c>
      <c r="N34" s="1051">
        <f>'[18]FY2012-13 Final'!K35</f>
        <v>5323</v>
      </c>
      <c r="O34" s="1053">
        <f t="shared" si="9"/>
        <v>0</v>
      </c>
      <c r="P34" s="1118">
        <f t="shared" si="10"/>
        <v>0</v>
      </c>
      <c r="Q34" s="1053">
        <f t="shared" si="11"/>
        <v>0</v>
      </c>
      <c r="R34" s="1053">
        <v>0</v>
      </c>
      <c r="S34" s="1053">
        <f t="shared" si="12"/>
        <v>0</v>
      </c>
      <c r="T34" s="1053">
        <f t="shared" si="13"/>
        <v>0</v>
      </c>
      <c r="U34" s="1054">
        <f t="shared" si="14"/>
        <v>0</v>
      </c>
      <c r="V34" s="1054">
        <f t="shared" si="14"/>
        <v>0</v>
      </c>
    </row>
    <row r="35" spans="1:22">
      <c r="A35" s="994">
        <v>29</v>
      </c>
      <c r="B35" s="995" t="s">
        <v>123</v>
      </c>
      <c r="C35" s="1196">
        <v>0</v>
      </c>
      <c r="D35" s="1003">
        <f>'Table 3 Levels 1&amp;2'!BN37+'Table 3 Levels 1&amp;2'!BV37</f>
        <v>3912.1846976122315</v>
      </c>
      <c r="E35" s="1102">
        <f t="shared" si="2"/>
        <v>0</v>
      </c>
      <c r="F35" s="1102">
        <f>'Table 4 Level 3'!N34</f>
        <v>754.94999999999993</v>
      </c>
      <c r="G35" s="1102">
        <f t="shared" si="3"/>
        <v>0</v>
      </c>
      <c r="H35" s="1059">
        <f t="shared" si="4"/>
        <v>0</v>
      </c>
      <c r="I35" s="1112">
        <f t="shared" si="5"/>
        <v>0</v>
      </c>
      <c r="J35" s="1059">
        <f t="shared" si="6"/>
        <v>0</v>
      </c>
      <c r="K35" s="1059">
        <v>0</v>
      </c>
      <c r="L35" s="1059">
        <f t="shared" si="7"/>
        <v>0</v>
      </c>
      <c r="M35" s="1059">
        <f t="shared" si="8"/>
        <v>0</v>
      </c>
      <c r="N35" s="1051">
        <f>'[18]FY2012-13 Final'!K36</f>
        <v>4388</v>
      </c>
      <c r="O35" s="1053">
        <f t="shared" si="9"/>
        <v>0</v>
      </c>
      <c r="P35" s="1118">
        <f t="shared" si="10"/>
        <v>0</v>
      </c>
      <c r="Q35" s="1053">
        <f t="shared" si="11"/>
        <v>0</v>
      </c>
      <c r="R35" s="1053">
        <v>0</v>
      </c>
      <c r="S35" s="1053">
        <f t="shared" si="12"/>
        <v>0</v>
      </c>
      <c r="T35" s="1053">
        <f t="shared" si="13"/>
        <v>0</v>
      </c>
      <c r="U35" s="1054">
        <f t="shared" si="14"/>
        <v>0</v>
      </c>
      <c r="V35" s="1054">
        <f t="shared" si="14"/>
        <v>0</v>
      </c>
    </row>
    <row r="36" spans="1:22">
      <c r="A36" s="998">
        <v>30</v>
      </c>
      <c r="B36" s="999" t="s">
        <v>124</v>
      </c>
      <c r="C36" s="1197">
        <v>0</v>
      </c>
      <c r="D36" s="1005">
        <f>'Table 3 Levels 1&amp;2'!BN38+'Table 3 Levels 1&amp;2'!BV38</f>
        <v>5594.0091640611508</v>
      </c>
      <c r="E36" s="1103">
        <f t="shared" si="2"/>
        <v>0</v>
      </c>
      <c r="F36" s="1103">
        <f>'Table 4 Level 3'!N35</f>
        <v>727.17</v>
      </c>
      <c r="G36" s="1103">
        <f t="shared" si="3"/>
        <v>0</v>
      </c>
      <c r="H36" s="1060">
        <f t="shared" si="4"/>
        <v>0</v>
      </c>
      <c r="I36" s="1113">
        <f t="shared" si="5"/>
        <v>0</v>
      </c>
      <c r="J36" s="1060">
        <f t="shared" si="6"/>
        <v>0</v>
      </c>
      <c r="K36" s="1060">
        <v>0</v>
      </c>
      <c r="L36" s="1060">
        <f t="shared" si="7"/>
        <v>0</v>
      </c>
      <c r="M36" s="1060">
        <f t="shared" si="8"/>
        <v>0</v>
      </c>
      <c r="N36" s="1056">
        <f>'[18]FY2012-13 Final'!K37</f>
        <v>3702</v>
      </c>
      <c r="O36" s="1057">
        <f t="shared" si="9"/>
        <v>0</v>
      </c>
      <c r="P36" s="1119">
        <f t="shared" si="10"/>
        <v>0</v>
      </c>
      <c r="Q36" s="1057">
        <f t="shared" si="11"/>
        <v>0</v>
      </c>
      <c r="R36" s="1057">
        <v>0</v>
      </c>
      <c r="S36" s="1057">
        <f t="shared" si="12"/>
        <v>0</v>
      </c>
      <c r="T36" s="1057">
        <f t="shared" si="13"/>
        <v>0</v>
      </c>
      <c r="U36" s="1058">
        <f t="shared" si="14"/>
        <v>0</v>
      </c>
      <c r="V36" s="1058">
        <f t="shared" si="14"/>
        <v>0</v>
      </c>
    </row>
    <row r="37" spans="1:22">
      <c r="A37" s="987">
        <v>31</v>
      </c>
      <c r="B37" s="988" t="s">
        <v>125</v>
      </c>
      <c r="C37" s="1198">
        <v>0</v>
      </c>
      <c r="D37" s="1007">
        <f>'Table 3 Levels 1&amp;2'!BN39+'Table 3 Levels 1&amp;2'!BV39</f>
        <v>4320.114188911979</v>
      </c>
      <c r="E37" s="1104">
        <f t="shared" si="2"/>
        <v>0</v>
      </c>
      <c r="F37" s="1104">
        <f>'Table 4 Level 3'!N36</f>
        <v>620.83000000000004</v>
      </c>
      <c r="G37" s="1104">
        <f t="shared" si="3"/>
        <v>0</v>
      </c>
      <c r="H37" s="1061">
        <f t="shared" si="4"/>
        <v>0</v>
      </c>
      <c r="I37" s="1114">
        <f t="shared" si="5"/>
        <v>0</v>
      </c>
      <c r="J37" s="1061">
        <f t="shared" si="6"/>
        <v>0</v>
      </c>
      <c r="K37" s="1061">
        <v>0</v>
      </c>
      <c r="L37" s="1061">
        <f t="shared" si="7"/>
        <v>0</v>
      </c>
      <c r="M37" s="1061">
        <f t="shared" si="8"/>
        <v>0</v>
      </c>
      <c r="N37" s="1051">
        <f>'[18]FY2012-13 Final'!K38</f>
        <v>4669</v>
      </c>
      <c r="O37" s="992">
        <f t="shared" si="9"/>
        <v>0</v>
      </c>
      <c r="P37" s="1117">
        <f t="shared" si="10"/>
        <v>0</v>
      </c>
      <c r="Q37" s="992">
        <f t="shared" si="11"/>
        <v>0</v>
      </c>
      <c r="R37" s="992">
        <v>0</v>
      </c>
      <c r="S37" s="992">
        <f t="shared" si="12"/>
        <v>0</v>
      </c>
      <c r="T37" s="992">
        <f t="shared" si="13"/>
        <v>0</v>
      </c>
      <c r="U37" s="993">
        <f t="shared" si="14"/>
        <v>0</v>
      </c>
      <c r="V37" s="993">
        <f t="shared" si="14"/>
        <v>0</v>
      </c>
    </row>
    <row r="38" spans="1:22">
      <c r="A38" s="994">
        <v>32</v>
      </c>
      <c r="B38" s="995" t="s">
        <v>126</v>
      </c>
      <c r="C38" s="1196">
        <v>0</v>
      </c>
      <c r="D38" s="1003">
        <f>'Table 3 Levels 1&amp;2'!BN40+'Table 3 Levels 1&amp;2'!BV40</f>
        <v>5504.4479209353676</v>
      </c>
      <c r="E38" s="1102">
        <f t="shared" si="2"/>
        <v>0</v>
      </c>
      <c r="F38" s="1102">
        <f>'Table 4 Level 3'!N37</f>
        <v>559.77</v>
      </c>
      <c r="G38" s="1102">
        <f t="shared" si="3"/>
        <v>0</v>
      </c>
      <c r="H38" s="1059">
        <f t="shared" si="4"/>
        <v>0</v>
      </c>
      <c r="I38" s="1112">
        <f t="shared" si="5"/>
        <v>0</v>
      </c>
      <c r="J38" s="1059">
        <f t="shared" si="6"/>
        <v>0</v>
      </c>
      <c r="K38" s="1059">
        <v>0</v>
      </c>
      <c r="L38" s="1059">
        <f t="shared" si="7"/>
        <v>0</v>
      </c>
      <c r="M38" s="1059">
        <f t="shared" si="8"/>
        <v>0</v>
      </c>
      <c r="N38" s="1051">
        <f>'[18]FY2012-13 Final'!K39</f>
        <v>1965</v>
      </c>
      <c r="O38" s="1053">
        <f t="shared" si="9"/>
        <v>0</v>
      </c>
      <c r="P38" s="1118">
        <f t="shared" si="10"/>
        <v>0</v>
      </c>
      <c r="Q38" s="1053">
        <f t="shared" si="11"/>
        <v>0</v>
      </c>
      <c r="R38" s="1053">
        <v>0</v>
      </c>
      <c r="S38" s="1053">
        <f t="shared" si="12"/>
        <v>0</v>
      </c>
      <c r="T38" s="1053">
        <f t="shared" si="13"/>
        <v>0</v>
      </c>
      <c r="U38" s="1054">
        <f t="shared" si="14"/>
        <v>0</v>
      </c>
      <c r="V38" s="1054">
        <f t="shared" si="14"/>
        <v>0</v>
      </c>
    </row>
    <row r="39" spans="1:22">
      <c r="A39" s="994">
        <v>33</v>
      </c>
      <c r="B39" s="995" t="s">
        <v>127</v>
      </c>
      <c r="C39" s="1196">
        <v>0</v>
      </c>
      <c r="D39" s="1003">
        <f>'Table 3 Levels 1&amp;2'!BN41+'Table 3 Levels 1&amp;2'!BV41</f>
        <v>5322.07272511876</v>
      </c>
      <c r="E39" s="1102">
        <f t="shared" si="2"/>
        <v>0</v>
      </c>
      <c r="F39" s="1102">
        <f>'Table 4 Level 3'!N38</f>
        <v>655.31000000000006</v>
      </c>
      <c r="G39" s="1102">
        <f t="shared" si="3"/>
        <v>0</v>
      </c>
      <c r="H39" s="1059">
        <f t="shared" si="4"/>
        <v>0</v>
      </c>
      <c r="I39" s="1112">
        <f t="shared" si="5"/>
        <v>0</v>
      </c>
      <c r="J39" s="1059">
        <f t="shared" si="6"/>
        <v>0</v>
      </c>
      <c r="K39" s="1059">
        <v>0</v>
      </c>
      <c r="L39" s="1059">
        <f t="shared" si="7"/>
        <v>0</v>
      </c>
      <c r="M39" s="1059">
        <f t="shared" si="8"/>
        <v>0</v>
      </c>
      <c r="N39" s="1051">
        <f>'[18]FY2012-13 Final'!K40</f>
        <v>2771</v>
      </c>
      <c r="O39" s="1053">
        <f t="shared" si="9"/>
        <v>0</v>
      </c>
      <c r="P39" s="1118">
        <f t="shared" si="10"/>
        <v>0</v>
      </c>
      <c r="Q39" s="1053">
        <f t="shared" si="11"/>
        <v>0</v>
      </c>
      <c r="R39" s="1053">
        <v>0</v>
      </c>
      <c r="S39" s="1053">
        <f t="shared" si="12"/>
        <v>0</v>
      </c>
      <c r="T39" s="1053">
        <f t="shared" si="13"/>
        <v>0</v>
      </c>
      <c r="U39" s="1054">
        <f t="shared" si="14"/>
        <v>0</v>
      </c>
      <c r="V39" s="1054">
        <f t="shared" si="14"/>
        <v>0</v>
      </c>
    </row>
    <row r="40" spans="1:22">
      <c r="A40" s="994">
        <v>34</v>
      </c>
      <c r="B40" s="995" t="s">
        <v>128</v>
      </c>
      <c r="C40" s="1196">
        <v>0</v>
      </c>
      <c r="D40" s="1003">
        <f>'Table 3 Levels 1&amp;2'!BN42+'Table 3 Levels 1&amp;2'!BV42</f>
        <v>5959.062840731639</v>
      </c>
      <c r="E40" s="1102">
        <f t="shared" si="2"/>
        <v>0</v>
      </c>
      <c r="F40" s="1102">
        <f>'Table 4 Level 3'!N39</f>
        <v>644.11000000000013</v>
      </c>
      <c r="G40" s="1102">
        <f t="shared" si="3"/>
        <v>0</v>
      </c>
      <c r="H40" s="1059">
        <f t="shared" si="4"/>
        <v>0</v>
      </c>
      <c r="I40" s="1112">
        <f t="shared" si="5"/>
        <v>0</v>
      </c>
      <c r="J40" s="1059">
        <f t="shared" si="6"/>
        <v>0</v>
      </c>
      <c r="K40" s="1059">
        <v>0</v>
      </c>
      <c r="L40" s="1059">
        <f t="shared" si="7"/>
        <v>0</v>
      </c>
      <c r="M40" s="1059">
        <f t="shared" si="8"/>
        <v>0</v>
      </c>
      <c r="N40" s="1051">
        <f>'[18]FY2012-13 Final'!K41</f>
        <v>2758</v>
      </c>
      <c r="O40" s="1053">
        <f t="shared" si="9"/>
        <v>0</v>
      </c>
      <c r="P40" s="1118">
        <f t="shared" si="10"/>
        <v>0</v>
      </c>
      <c r="Q40" s="1053">
        <f t="shared" si="11"/>
        <v>0</v>
      </c>
      <c r="R40" s="1053">
        <v>0</v>
      </c>
      <c r="S40" s="1053">
        <f t="shared" si="12"/>
        <v>0</v>
      </c>
      <c r="T40" s="1053">
        <f t="shared" si="13"/>
        <v>0</v>
      </c>
      <c r="U40" s="1054">
        <f t="shared" si="14"/>
        <v>0</v>
      </c>
      <c r="V40" s="1054">
        <f t="shared" si="14"/>
        <v>0</v>
      </c>
    </row>
    <row r="41" spans="1:22">
      <c r="A41" s="998">
        <v>35</v>
      </c>
      <c r="B41" s="999" t="s">
        <v>129</v>
      </c>
      <c r="C41" s="1197">
        <v>0</v>
      </c>
      <c r="D41" s="1005">
        <f>'Table 3 Levels 1&amp;2'!BN43+'Table 3 Levels 1&amp;2'!BV43</f>
        <v>4571.947611490059</v>
      </c>
      <c r="E41" s="1103">
        <f t="shared" si="2"/>
        <v>0</v>
      </c>
      <c r="F41" s="1103">
        <f>'Table 4 Level 3'!N40</f>
        <v>537.96</v>
      </c>
      <c r="G41" s="1103">
        <f t="shared" si="3"/>
        <v>0</v>
      </c>
      <c r="H41" s="1060">
        <f t="shared" si="4"/>
        <v>0</v>
      </c>
      <c r="I41" s="1113">
        <f t="shared" si="5"/>
        <v>0</v>
      </c>
      <c r="J41" s="1060">
        <f t="shared" si="6"/>
        <v>0</v>
      </c>
      <c r="K41" s="1060">
        <v>0</v>
      </c>
      <c r="L41" s="1060">
        <f t="shared" si="7"/>
        <v>0</v>
      </c>
      <c r="M41" s="1060">
        <f t="shared" si="8"/>
        <v>0</v>
      </c>
      <c r="N41" s="1056">
        <f>'[18]FY2012-13 Final'!K42</f>
        <v>3603</v>
      </c>
      <c r="O41" s="1057">
        <f t="shared" si="9"/>
        <v>0</v>
      </c>
      <c r="P41" s="1119">
        <f t="shared" si="10"/>
        <v>0</v>
      </c>
      <c r="Q41" s="1057">
        <f t="shared" si="11"/>
        <v>0</v>
      </c>
      <c r="R41" s="1057">
        <v>0</v>
      </c>
      <c r="S41" s="1057">
        <f t="shared" si="12"/>
        <v>0</v>
      </c>
      <c r="T41" s="1057">
        <f t="shared" si="13"/>
        <v>0</v>
      </c>
      <c r="U41" s="1058">
        <f t="shared" si="14"/>
        <v>0</v>
      </c>
      <c r="V41" s="1058">
        <f t="shared" si="14"/>
        <v>0</v>
      </c>
    </row>
    <row r="42" spans="1:22">
      <c r="A42" s="987">
        <v>36</v>
      </c>
      <c r="B42" s="988" t="s">
        <v>130</v>
      </c>
      <c r="C42" s="1198">
        <v>0</v>
      </c>
      <c r="D42" s="1007">
        <f>'Table 3 Levels 1&amp;2'!BN44+'Table 3 Levels 1&amp;2'!BV44</f>
        <v>3666.4136012725312</v>
      </c>
      <c r="E42" s="1104">
        <f t="shared" si="2"/>
        <v>0</v>
      </c>
      <c r="F42" s="1104">
        <f>'Table 4 Level 3'!N41</f>
        <v>727.23177743956114</v>
      </c>
      <c r="G42" s="1104">
        <f t="shared" si="3"/>
        <v>0</v>
      </c>
      <c r="H42" s="1061">
        <f t="shared" si="4"/>
        <v>0</v>
      </c>
      <c r="I42" s="1114">
        <f t="shared" si="5"/>
        <v>0</v>
      </c>
      <c r="J42" s="1061">
        <f t="shared" si="6"/>
        <v>0</v>
      </c>
      <c r="K42" s="1061">
        <v>0</v>
      </c>
      <c r="L42" s="1061">
        <f t="shared" si="7"/>
        <v>0</v>
      </c>
      <c r="M42" s="1061">
        <f t="shared" si="8"/>
        <v>0</v>
      </c>
      <c r="N42" s="1051">
        <f>'[18]FY2012-13 Final'!K43</f>
        <v>4601</v>
      </c>
      <c r="O42" s="992">
        <f t="shared" si="9"/>
        <v>0</v>
      </c>
      <c r="P42" s="1117">
        <f t="shared" si="10"/>
        <v>0</v>
      </c>
      <c r="Q42" s="992">
        <f t="shared" si="11"/>
        <v>0</v>
      </c>
      <c r="R42" s="992">
        <v>0</v>
      </c>
      <c r="S42" s="992">
        <f t="shared" si="12"/>
        <v>0</v>
      </c>
      <c r="T42" s="992">
        <f t="shared" si="13"/>
        <v>0</v>
      </c>
      <c r="U42" s="993">
        <f t="shared" si="14"/>
        <v>0</v>
      </c>
      <c r="V42" s="993">
        <f t="shared" si="14"/>
        <v>0</v>
      </c>
    </row>
    <row r="43" spans="1:22">
      <c r="A43" s="994">
        <v>37</v>
      </c>
      <c r="B43" s="995" t="s">
        <v>131</v>
      </c>
      <c r="C43" s="1196">
        <v>0</v>
      </c>
      <c r="D43" s="1003">
        <f>'Table 3 Levels 1&amp;2'!BN45+'Table 3 Levels 1&amp;2'!BV45</f>
        <v>5484.8089042263191</v>
      </c>
      <c r="E43" s="1102">
        <f t="shared" si="2"/>
        <v>0</v>
      </c>
      <c r="F43" s="1102">
        <f>'Table 4 Level 3'!N42</f>
        <v>653.61</v>
      </c>
      <c r="G43" s="1102">
        <f t="shared" si="3"/>
        <v>0</v>
      </c>
      <c r="H43" s="1059">
        <f t="shared" si="4"/>
        <v>0</v>
      </c>
      <c r="I43" s="1112">
        <f t="shared" si="5"/>
        <v>0</v>
      </c>
      <c r="J43" s="1059">
        <f t="shared" si="6"/>
        <v>0</v>
      </c>
      <c r="K43" s="1059">
        <v>0</v>
      </c>
      <c r="L43" s="1059">
        <f t="shared" si="7"/>
        <v>0</v>
      </c>
      <c r="M43" s="1059">
        <f t="shared" si="8"/>
        <v>0</v>
      </c>
      <c r="N43" s="1051">
        <f>'[18]FY2012-13 Final'!K44</f>
        <v>3099</v>
      </c>
      <c r="O43" s="1053">
        <f t="shared" si="9"/>
        <v>0</v>
      </c>
      <c r="P43" s="1118">
        <f t="shared" si="10"/>
        <v>0</v>
      </c>
      <c r="Q43" s="1053">
        <f t="shared" si="11"/>
        <v>0</v>
      </c>
      <c r="R43" s="1053">
        <v>0</v>
      </c>
      <c r="S43" s="1053">
        <f t="shared" si="12"/>
        <v>0</v>
      </c>
      <c r="T43" s="1053">
        <f t="shared" si="13"/>
        <v>0</v>
      </c>
      <c r="U43" s="1054">
        <f t="shared" si="14"/>
        <v>0</v>
      </c>
      <c r="V43" s="1054">
        <f t="shared" si="14"/>
        <v>0</v>
      </c>
    </row>
    <row r="44" spans="1:22">
      <c r="A44" s="994">
        <v>38</v>
      </c>
      <c r="B44" s="995" t="s">
        <v>132</v>
      </c>
      <c r="C44" s="1196">
        <v>0</v>
      </c>
      <c r="D44" s="1003">
        <f>'Table 3 Levels 1&amp;2'!BN46+'Table 3 Levels 1&amp;2'!BV46</f>
        <v>2078.5917829727841</v>
      </c>
      <c r="E44" s="1102">
        <f t="shared" si="2"/>
        <v>0</v>
      </c>
      <c r="F44" s="1102">
        <f>'Table 4 Level 3'!N43</f>
        <v>829.92000000000007</v>
      </c>
      <c r="G44" s="1102">
        <f t="shared" si="3"/>
        <v>0</v>
      </c>
      <c r="H44" s="1059">
        <f t="shared" si="4"/>
        <v>0</v>
      </c>
      <c r="I44" s="1112">
        <f t="shared" si="5"/>
        <v>0</v>
      </c>
      <c r="J44" s="1059">
        <f t="shared" si="6"/>
        <v>0</v>
      </c>
      <c r="K44" s="1059">
        <v>0</v>
      </c>
      <c r="L44" s="1059">
        <f t="shared" si="7"/>
        <v>0</v>
      </c>
      <c r="M44" s="1059">
        <f t="shared" si="8"/>
        <v>0</v>
      </c>
      <c r="N44" s="1051">
        <f>'[18]FY2012-13 Final'!K45</f>
        <v>9674</v>
      </c>
      <c r="O44" s="1053">
        <f t="shared" si="9"/>
        <v>0</v>
      </c>
      <c r="P44" s="1118">
        <f t="shared" si="10"/>
        <v>0</v>
      </c>
      <c r="Q44" s="1053">
        <f t="shared" si="11"/>
        <v>0</v>
      </c>
      <c r="R44" s="1053">
        <v>0</v>
      </c>
      <c r="S44" s="1053">
        <f t="shared" si="12"/>
        <v>0</v>
      </c>
      <c r="T44" s="1053">
        <f t="shared" si="13"/>
        <v>0</v>
      </c>
      <c r="U44" s="1054">
        <f t="shared" si="14"/>
        <v>0</v>
      </c>
      <c r="V44" s="1054">
        <f t="shared" si="14"/>
        <v>0</v>
      </c>
    </row>
    <row r="45" spans="1:22">
      <c r="A45" s="994">
        <v>39</v>
      </c>
      <c r="B45" s="995" t="s">
        <v>133</v>
      </c>
      <c r="C45" s="1196">
        <v>0</v>
      </c>
      <c r="D45" s="1003">
        <f>'Table 3 Levels 1&amp;2'!BN47+'Table 3 Levels 1&amp;2'!BV47</f>
        <v>3622.4878999042335</v>
      </c>
      <c r="E45" s="1102">
        <f t="shared" si="2"/>
        <v>0</v>
      </c>
      <c r="F45" s="1102">
        <f>'Table 4 Level 3'!N44</f>
        <v>779.65573042776441</v>
      </c>
      <c r="G45" s="1102">
        <f t="shared" si="3"/>
        <v>0</v>
      </c>
      <c r="H45" s="1059">
        <f t="shared" si="4"/>
        <v>0</v>
      </c>
      <c r="I45" s="1112">
        <f t="shared" si="5"/>
        <v>0</v>
      </c>
      <c r="J45" s="1059">
        <f t="shared" si="6"/>
        <v>0</v>
      </c>
      <c r="K45" s="1059">
        <v>0</v>
      </c>
      <c r="L45" s="1059">
        <f t="shared" si="7"/>
        <v>0</v>
      </c>
      <c r="M45" s="1059">
        <f t="shared" si="8"/>
        <v>0</v>
      </c>
      <c r="N45" s="1051">
        <f>'[18]FY2012-13 Final'!K46</f>
        <v>4277</v>
      </c>
      <c r="O45" s="1053">
        <f t="shared" si="9"/>
        <v>0</v>
      </c>
      <c r="P45" s="1118">
        <f t="shared" si="10"/>
        <v>0</v>
      </c>
      <c r="Q45" s="1053">
        <f t="shared" si="11"/>
        <v>0</v>
      </c>
      <c r="R45" s="1053">
        <v>0</v>
      </c>
      <c r="S45" s="1053">
        <f t="shared" si="12"/>
        <v>0</v>
      </c>
      <c r="T45" s="1053">
        <f t="shared" si="13"/>
        <v>0</v>
      </c>
      <c r="U45" s="1054">
        <f t="shared" si="14"/>
        <v>0</v>
      </c>
      <c r="V45" s="1054">
        <f t="shared" si="14"/>
        <v>0</v>
      </c>
    </row>
    <row r="46" spans="1:22">
      <c r="A46" s="998">
        <v>40</v>
      </c>
      <c r="B46" s="999" t="s">
        <v>134</v>
      </c>
      <c r="C46" s="1197">
        <v>0</v>
      </c>
      <c r="D46" s="1005">
        <f>'Table 3 Levels 1&amp;2'!BN48+'Table 3 Levels 1&amp;2'!BV48</f>
        <v>4885.6387343180086</v>
      </c>
      <c r="E46" s="1103">
        <f t="shared" si="2"/>
        <v>0</v>
      </c>
      <c r="F46" s="1103">
        <f>'Table 4 Level 3'!N45</f>
        <v>700.2700000000001</v>
      </c>
      <c r="G46" s="1103">
        <f t="shared" si="3"/>
        <v>0</v>
      </c>
      <c r="H46" s="1060">
        <f t="shared" si="4"/>
        <v>0</v>
      </c>
      <c r="I46" s="1113">
        <f t="shared" si="5"/>
        <v>0</v>
      </c>
      <c r="J46" s="1060">
        <f t="shared" si="6"/>
        <v>0</v>
      </c>
      <c r="K46" s="1060">
        <v>0</v>
      </c>
      <c r="L46" s="1060">
        <f t="shared" si="7"/>
        <v>0</v>
      </c>
      <c r="M46" s="1060">
        <f t="shared" si="8"/>
        <v>0</v>
      </c>
      <c r="N46" s="1056">
        <f>'[18]FY2012-13 Final'!K47</f>
        <v>2921</v>
      </c>
      <c r="O46" s="1057">
        <f t="shared" si="9"/>
        <v>0</v>
      </c>
      <c r="P46" s="1119">
        <f t="shared" si="10"/>
        <v>0</v>
      </c>
      <c r="Q46" s="1057">
        <f t="shared" si="11"/>
        <v>0</v>
      </c>
      <c r="R46" s="1057">
        <v>0</v>
      </c>
      <c r="S46" s="1057">
        <f t="shared" si="12"/>
        <v>0</v>
      </c>
      <c r="T46" s="1057">
        <f t="shared" si="13"/>
        <v>0</v>
      </c>
      <c r="U46" s="1058">
        <f t="shared" si="14"/>
        <v>0</v>
      </c>
      <c r="V46" s="1058">
        <f t="shared" si="14"/>
        <v>0</v>
      </c>
    </row>
    <row r="47" spans="1:22">
      <c r="A47" s="987">
        <v>41</v>
      </c>
      <c r="B47" s="988" t="s">
        <v>135</v>
      </c>
      <c r="C47" s="1198">
        <v>0</v>
      </c>
      <c r="D47" s="1007">
        <f>'Table 3 Levels 1&amp;2'!BN49+'Table 3 Levels 1&amp;2'!BV49</f>
        <v>1602.0398121899364</v>
      </c>
      <c r="E47" s="1104">
        <f t="shared" si="2"/>
        <v>0</v>
      </c>
      <c r="F47" s="1104">
        <f>'Table 4 Level 3'!N46</f>
        <v>886.22</v>
      </c>
      <c r="G47" s="1104">
        <f t="shared" si="3"/>
        <v>0</v>
      </c>
      <c r="H47" s="1061">
        <f t="shared" si="4"/>
        <v>0</v>
      </c>
      <c r="I47" s="1114">
        <f t="shared" si="5"/>
        <v>0</v>
      </c>
      <c r="J47" s="1061">
        <f t="shared" si="6"/>
        <v>0</v>
      </c>
      <c r="K47" s="1061">
        <v>0</v>
      </c>
      <c r="L47" s="1061">
        <f t="shared" si="7"/>
        <v>0</v>
      </c>
      <c r="M47" s="1061">
        <f t="shared" si="8"/>
        <v>0</v>
      </c>
      <c r="N47" s="1051">
        <f>'[18]FY2012-13 Final'!K48</f>
        <v>12026</v>
      </c>
      <c r="O47" s="992">
        <f t="shared" si="9"/>
        <v>0</v>
      </c>
      <c r="P47" s="1117">
        <f t="shared" si="10"/>
        <v>0</v>
      </c>
      <c r="Q47" s="992">
        <f t="shared" si="11"/>
        <v>0</v>
      </c>
      <c r="R47" s="992">
        <v>0</v>
      </c>
      <c r="S47" s="992">
        <f t="shared" si="12"/>
        <v>0</v>
      </c>
      <c r="T47" s="992">
        <f t="shared" si="13"/>
        <v>0</v>
      </c>
      <c r="U47" s="993">
        <f t="shared" si="14"/>
        <v>0</v>
      </c>
      <c r="V47" s="993">
        <f t="shared" si="14"/>
        <v>0</v>
      </c>
    </row>
    <row r="48" spans="1:22">
      <c r="A48" s="994">
        <v>42</v>
      </c>
      <c r="B48" s="995" t="s">
        <v>136</v>
      </c>
      <c r="C48" s="1196">
        <v>0</v>
      </c>
      <c r="D48" s="1003">
        <f>'Table 3 Levels 1&amp;2'!BN50+'Table 3 Levels 1&amp;2'!BV50</f>
        <v>5098.6172346404755</v>
      </c>
      <c r="E48" s="1102">
        <f t="shared" si="2"/>
        <v>0</v>
      </c>
      <c r="F48" s="1102">
        <f>'Table 4 Level 3'!N47</f>
        <v>534.28</v>
      </c>
      <c r="G48" s="1102">
        <f t="shared" si="3"/>
        <v>0</v>
      </c>
      <c r="H48" s="1059">
        <f t="shared" si="4"/>
        <v>0</v>
      </c>
      <c r="I48" s="1112">
        <f t="shared" si="5"/>
        <v>0</v>
      </c>
      <c r="J48" s="1059">
        <f t="shared" si="6"/>
        <v>0</v>
      </c>
      <c r="K48" s="1059">
        <v>0</v>
      </c>
      <c r="L48" s="1059">
        <f t="shared" si="7"/>
        <v>0</v>
      </c>
      <c r="M48" s="1059">
        <f t="shared" si="8"/>
        <v>0</v>
      </c>
      <c r="N48" s="1051">
        <f>'[18]FY2012-13 Final'!K49</f>
        <v>2554</v>
      </c>
      <c r="O48" s="1053">
        <f t="shared" si="9"/>
        <v>0</v>
      </c>
      <c r="P48" s="1118">
        <f t="shared" si="10"/>
        <v>0</v>
      </c>
      <c r="Q48" s="1053">
        <f t="shared" si="11"/>
        <v>0</v>
      </c>
      <c r="R48" s="1053">
        <v>0</v>
      </c>
      <c r="S48" s="1053">
        <f t="shared" si="12"/>
        <v>0</v>
      </c>
      <c r="T48" s="1053">
        <f t="shared" si="13"/>
        <v>0</v>
      </c>
      <c r="U48" s="1054">
        <f t="shared" si="14"/>
        <v>0</v>
      </c>
      <c r="V48" s="1054">
        <f t="shared" si="14"/>
        <v>0</v>
      </c>
    </row>
    <row r="49" spans="1:22">
      <c r="A49" s="994">
        <v>43</v>
      </c>
      <c r="B49" s="995" t="s">
        <v>137</v>
      </c>
      <c r="C49" s="1196">
        <v>0</v>
      </c>
      <c r="D49" s="1003">
        <f>'Table 3 Levels 1&amp;2'!BN51+'Table 3 Levels 1&amp;2'!BV51</f>
        <v>4701.3362575004667</v>
      </c>
      <c r="E49" s="1102">
        <f t="shared" si="2"/>
        <v>0</v>
      </c>
      <c r="F49" s="1102">
        <f>'Table 4 Level 3'!N48</f>
        <v>574.6099999999999</v>
      </c>
      <c r="G49" s="1102">
        <f t="shared" si="3"/>
        <v>0</v>
      </c>
      <c r="H49" s="1059">
        <f t="shared" si="4"/>
        <v>0</v>
      </c>
      <c r="I49" s="1112">
        <f t="shared" si="5"/>
        <v>0</v>
      </c>
      <c r="J49" s="1059">
        <f t="shared" si="6"/>
        <v>0</v>
      </c>
      <c r="K49" s="1059">
        <v>0</v>
      </c>
      <c r="L49" s="1059">
        <f t="shared" si="7"/>
        <v>0</v>
      </c>
      <c r="M49" s="1059">
        <f t="shared" si="8"/>
        <v>0</v>
      </c>
      <c r="N49" s="1051">
        <f>'[18]FY2012-13 Final'!K50</f>
        <v>5265</v>
      </c>
      <c r="O49" s="1053">
        <f t="shared" si="9"/>
        <v>0</v>
      </c>
      <c r="P49" s="1118">
        <f t="shared" si="10"/>
        <v>0</v>
      </c>
      <c r="Q49" s="1053">
        <f t="shared" si="11"/>
        <v>0</v>
      </c>
      <c r="R49" s="1053">
        <v>0</v>
      </c>
      <c r="S49" s="1053">
        <f t="shared" si="12"/>
        <v>0</v>
      </c>
      <c r="T49" s="1053">
        <f t="shared" si="13"/>
        <v>0</v>
      </c>
      <c r="U49" s="1054">
        <f t="shared" si="14"/>
        <v>0</v>
      </c>
      <c r="V49" s="1054">
        <f t="shared" si="14"/>
        <v>0</v>
      </c>
    </row>
    <row r="50" spans="1:22">
      <c r="A50" s="994">
        <v>44</v>
      </c>
      <c r="B50" s="995" t="s">
        <v>138</v>
      </c>
      <c r="C50" s="1196">
        <v>0</v>
      </c>
      <c r="D50" s="1003">
        <f>'Table 3 Levels 1&amp;2'!BN52+'Table 3 Levels 1&amp;2'!BV52</f>
        <v>4649.5559521248724</v>
      </c>
      <c r="E50" s="1102">
        <f t="shared" si="2"/>
        <v>0</v>
      </c>
      <c r="F50" s="1102">
        <f>'Table 4 Level 3'!N49</f>
        <v>663.16000000000008</v>
      </c>
      <c r="G50" s="1102">
        <f t="shared" si="3"/>
        <v>0</v>
      </c>
      <c r="H50" s="1059">
        <f t="shared" si="4"/>
        <v>0</v>
      </c>
      <c r="I50" s="1112">
        <f t="shared" si="5"/>
        <v>0</v>
      </c>
      <c r="J50" s="1059">
        <f t="shared" si="6"/>
        <v>0</v>
      </c>
      <c r="K50" s="1059">
        <v>0</v>
      </c>
      <c r="L50" s="1059">
        <f t="shared" si="7"/>
        <v>0</v>
      </c>
      <c r="M50" s="1059">
        <f t="shared" si="8"/>
        <v>0</v>
      </c>
      <c r="N50" s="1051">
        <f>'[18]FY2012-13 Final'!K51</f>
        <v>4109</v>
      </c>
      <c r="O50" s="1053">
        <f t="shared" si="9"/>
        <v>0</v>
      </c>
      <c r="P50" s="1118">
        <f t="shared" si="10"/>
        <v>0</v>
      </c>
      <c r="Q50" s="1053">
        <f t="shared" si="11"/>
        <v>0</v>
      </c>
      <c r="R50" s="1053">
        <v>0</v>
      </c>
      <c r="S50" s="1053">
        <f t="shared" si="12"/>
        <v>0</v>
      </c>
      <c r="T50" s="1053">
        <f t="shared" si="13"/>
        <v>0</v>
      </c>
      <c r="U50" s="1054">
        <f t="shared" si="14"/>
        <v>0</v>
      </c>
      <c r="V50" s="1054">
        <f t="shared" si="14"/>
        <v>0</v>
      </c>
    </row>
    <row r="51" spans="1:22">
      <c r="A51" s="998">
        <v>45</v>
      </c>
      <c r="B51" s="999" t="s">
        <v>139</v>
      </c>
      <c r="C51" s="1197">
        <v>0</v>
      </c>
      <c r="D51" s="1005">
        <f>'Table 3 Levels 1&amp;2'!BN53+'Table 3 Levels 1&amp;2'!BV53</f>
        <v>2159.257884231537</v>
      </c>
      <c r="E51" s="1103">
        <f t="shared" si="2"/>
        <v>0</v>
      </c>
      <c r="F51" s="1103">
        <f>'Table 4 Level 3'!N50</f>
        <v>753.96000000000015</v>
      </c>
      <c r="G51" s="1103">
        <f t="shared" si="3"/>
        <v>0</v>
      </c>
      <c r="H51" s="1060">
        <f t="shared" si="4"/>
        <v>0</v>
      </c>
      <c r="I51" s="1113">
        <f t="shared" si="5"/>
        <v>0</v>
      </c>
      <c r="J51" s="1060">
        <f t="shared" si="6"/>
        <v>0</v>
      </c>
      <c r="K51" s="1060">
        <v>0</v>
      </c>
      <c r="L51" s="1060">
        <f t="shared" si="7"/>
        <v>0</v>
      </c>
      <c r="M51" s="1060">
        <f t="shared" si="8"/>
        <v>0</v>
      </c>
      <c r="N51" s="1056">
        <f>'[18]FY2012-13 Final'!K52</f>
        <v>12427</v>
      </c>
      <c r="O51" s="1057">
        <f t="shared" si="9"/>
        <v>0</v>
      </c>
      <c r="P51" s="1119">
        <f t="shared" si="10"/>
        <v>0</v>
      </c>
      <c r="Q51" s="1057">
        <f t="shared" si="11"/>
        <v>0</v>
      </c>
      <c r="R51" s="1057">
        <v>0</v>
      </c>
      <c r="S51" s="1057">
        <f t="shared" si="12"/>
        <v>0</v>
      </c>
      <c r="T51" s="1057">
        <f t="shared" si="13"/>
        <v>0</v>
      </c>
      <c r="U51" s="1058">
        <f t="shared" si="14"/>
        <v>0</v>
      </c>
      <c r="V51" s="1058">
        <f t="shared" si="14"/>
        <v>0</v>
      </c>
    </row>
    <row r="52" spans="1:22">
      <c r="A52" s="987">
        <v>46</v>
      </c>
      <c r="B52" s="988" t="s">
        <v>140</v>
      </c>
      <c r="C52" s="1198">
        <v>0</v>
      </c>
      <c r="D52" s="1007">
        <f>'Table 3 Levels 1&amp;2'!BN54+'Table 3 Levels 1&amp;2'!BV54</f>
        <v>5578.7258135108641</v>
      </c>
      <c r="E52" s="1104">
        <f t="shared" si="2"/>
        <v>0</v>
      </c>
      <c r="F52" s="1104">
        <f>'Table 4 Level 3'!N51</f>
        <v>728.06</v>
      </c>
      <c r="G52" s="1104">
        <f t="shared" si="3"/>
        <v>0</v>
      </c>
      <c r="H52" s="1061">
        <f t="shared" si="4"/>
        <v>0</v>
      </c>
      <c r="I52" s="1114">
        <f t="shared" si="5"/>
        <v>0</v>
      </c>
      <c r="J52" s="1061">
        <f t="shared" si="6"/>
        <v>0</v>
      </c>
      <c r="K52" s="1061">
        <v>0</v>
      </c>
      <c r="L52" s="1061">
        <f t="shared" si="7"/>
        <v>0</v>
      </c>
      <c r="M52" s="1061">
        <f t="shared" si="8"/>
        <v>0</v>
      </c>
      <c r="N52" s="1051">
        <f>'[18]FY2012-13 Final'!K53</f>
        <v>1968</v>
      </c>
      <c r="O52" s="992">
        <f t="shared" si="9"/>
        <v>0</v>
      </c>
      <c r="P52" s="1117">
        <f t="shared" si="10"/>
        <v>0</v>
      </c>
      <c r="Q52" s="992">
        <f t="shared" si="11"/>
        <v>0</v>
      </c>
      <c r="R52" s="992">
        <v>0</v>
      </c>
      <c r="S52" s="992">
        <f t="shared" si="12"/>
        <v>0</v>
      </c>
      <c r="T52" s="992">
        <f t="shared" si="13"/>
        <v>0</v>
      </c>
      <c r="U52" s="993">
        <f t="shared" si="14"/>
        <v>0</v>
      </c>
      <c r="V52" s="993">
        <f t="shared" si="14"/>
        <v>0</v>
      </c>
    </row>
    <row r="53" spans="1:22">
      <c r="A53" s="994">
        <v>47</v>
      </c>
      <c r="B53" s="995" t="s">
        <v>141</v>
      </c>
      <c r="C53" s="1196">
        <v>0</v>
      </c>
      <c r="D53" s="1003">
        <f>'Table 3 Levels 1&amp;2'!BN55+'Table 3 Levels 1&amp;2'!BV55</f>
        <v>2709.058014721415</v>
      </c>
      <c r="E53" s="1102">
        <f t="shared" si="2"/>
        <v>0</v>
      </c>
      <c r="F53" s="1102">
        <f>'Table 4 Level 3'!N52</f>
        <v>910.76</v>
      </c>
      <c r="G53" s="1102">
        <f t="shared" si="3"/>
        <v>0</v>
      </c>
      <c r="H53" s="1059">
        <f t="shared" si="4"/>
        <v>0</v>
      </c>
      <c r="I53" s="1112">
        <f t="shared" si="5"/>
        <v>0</v>
      </c>
      <c r="J53" s="1059">
        <f t="shared" si="6"/>
        <v>0</v>
      </c>
      <c r="K53" s="1059">
        <v>0</v>
      </c>
      <c r="L53" s="1059">
        <f t="shared" si="7"/>
        <v>0</v>
      </c>
      <c r="M53" s="1059">
        <f t="shared" si="8"/>
        <v>0</v>
      </c>
      <c r="N53" s="1051">
        <f>'[18]FY2012-13 Final'!K54</f>
        <v>10049</v>
      </c>
      <c r="O53" s="1053">
        <f t="shared" si="9"/>
        <v>0</v>
      </c>
      <c r="P53" s="1118">
        <f t="shared" si="10"/>
        <v>0</v>
      </c>
      <c r="Q53" s="1053">
        <f t="shared" si="11"/>
        <v>0</v>
      </c>
      <c r="R53" s="1053">
        <v>0</v>
      </c>
      <c r="S53" s="1053">
        <f t="shared" si="12"/>
        <v>0</v>
      </c>
      <c r="T53" s="1053">
        <f t="shared" si="13"/>
        <v>0</v>
      </c>
      <c r="U53" s="1054">
        <f t="shared" si="14"/>
        <v>0</v>
      </c>
      <c r="V53" s="1054">
        <f t="shared" si="14"/>
        <v>0</v>
      </c>
    </row>
    <row r="54" spans="1:22">
      <c r="A54" s="994">
        <v>48</v>
      </c>
      <c r="B54" s="995" t="s">
        <v>202</v>
      </c>
      <c r="C54" s="1196">
        <v>0</v>
      </c>
      <c r="D54" s="1003">
        <f>'Table 3 Levels 1&amp;2'!BN56+'Table 3 Levels 1&amp;2'!BV56</f>
        <v>4259.4136153508553</v>
      </c>
      <c r="E54" s="1102">
        <f t="shared" si="2"/>
        <v>0</v>
      </c>
      <c r="F54" s="1102">
        <f>'Table 4 Level 3'!N53</f>
        <v>871.07</v>
      </c>
      <c r="G54" s="1102">
        <f t="shared" si="3"/>
        <v>0</v>
      </c>
      <c r="H54" s="1059">
        <f t="shared" si="4"/>
        <v>0</v>
      </c>
      <c r="I54" s="1112">
        <f t="shared" si="5"/>
        <v>0</v>
      </c>
      <c r="J54" s="1059">
        <f t="shared" si="6"/>
        <v>0</v>
      </c>
      <c r="K54" s="1059">
        <v>0</v>
      </c>
      <c r="L54" s="1059">
        <f t="shared" si="7"/>
        <v>0</v>
      </c>
      <c r="M54" s="1059">
        <f t="shared" si="8"/>
        <v>0</v>
      </c>
      <c r="N54" s="1051">
        <f>'[18]FY2012-13 Final'!K55</f>
        <v>5755</v>
      </c>
      <c r="O54" s="1053">
        <f t="shared" si="9"/>
        <v>0</v>
      </c>
      <c r="P54" s="1118">
        <f t="shared" si="10"/>
        <v>0</v>
      </c>
      <c r="Q54" s="1053">
        <f t="shared" si="11"/>
        <v>0</v>
      </c>
      <c r="R54" s="1053">
        <v>0</v>
      </c>
      <c r="S54" s="1053">
        <f t="shared" si="12"/>
        <v>0</v>
      </c>
      <c r="T54" s="1053">
        <f t="shared" si="13"/>
        <v>0</v>
      </c>
      <c r="U54" s="1054">
        <f t="shared" si="14"/>
        <v>0</v>
      </c>
      <c r="V54" s="1054">
        <f t="shared" si="14"/>
        <v>0</v>
      </c>
    </row>
    <row r="55" spans="1:22">
      <c r="A55" s="994">
        <v>49</v>
      </c>
      <c r="B55" s="995" t="s">
        <v>142</v>
      </c>
      <c r="C55" s="1196">
        <v>0</v>
      </c>
      <c r="D55" s="1003">
        <f>'Table 3 Levels 1&amp;2'!BN57+'Table 3 Levels 1&amp;2'!BV57</f>
        <v>4790.0513947378495</v>
      </c>
      <c r="E55" s="1102">
        <f t="shared" si="2"/>
        <v>0</v>
      </c>
      <c r="F55" s="1102">
        <f>'Table 4 Level 3'!N54</f>
        <v>574.43999999999994</v>
      </c>
      <c r="G55" s="1102">
        <f t="shared" si="3"/>
        <v>0</v>
      </c>
      <c r="H55" s="1059">
        <f t="shared" si="4"/>
        <v>0</v>
      </c>
      <c r="I55" s="1112">
        <f t="shared" si="5"/>
        <v>0</v>
      </c>
      <c r="J55" s="1059">
        <f t="shared" si="6"/>
        <v>0</v>
      </c>
      <c r="K55" s="1059">
        <v>0</v>
      </c>
      <c r="L55" s="1059">
        <f t="shared" si="7"/>
        <v>0</v>
      </c>
      <c r="M55" s="1059">
        <f t="shared" si="8"/>
        <v>0</v>
      </c>
      <c r="N55" s="1051">
        <f>'[18]FY2012-13 Final'!K56</f>
        <v>2335</v>
      </c>
      <c r="O55" s="1053">
        <f t="shared" si="9"/>
        <v>0</v>
      </c>
      <c r="P55" s="1118">
        <f t="shared" si="10"/>
        <v>0</v>
      </c>
      <c r="Q55" s="1053">
        <f t="shared" si="11"/>
        <v>0</v>
      </c>
      <c r="R55" s="1053">
        <v>0</v>
      </c>
      <c r="S55" s="1053">
        <f t="shared" si="12"/>
        <v>0</v>
      </c>
      <c r="T55" s="1053">
        <f t="shared" si="13"/>
        <v>0</v>
      </c>
      <c r="U55" s="1054">
        <f t="shared" si="14"/>
        <v>0</v>
      </c>
      <c r="V55" s="1054">
        <f t="shared" si="14"/>
        <v>0</v>
      </c>
    </row>
    <row r="56" spans="1:22">
      <c r="A56" s="998">
        <v>50</v>
      </c>
      <c r="B56" s="999" t="s">
        <v>143</v>
      </c>
      <c r="C56" s="1197">
        <v>0</v>
      </c>
      <c r="D56" s="1005">
        <f>'Table 3 Levels 1&amp;2'!BN58+'Table 3 Levels 1&amp;2'!BV58</f>
        <v>4954.3375045905796</v>
      </c>
      <c r="E56" s="1103">
        <f t="shared" si="2"/>
        <v>0</v>
      </c>
      <c r="F56" s="1103">
        <f>'Table 4 Level 3'!N55</f>
        <v>634.46</v>
      </c>
      <c r="G56" s="1103">
        <f t="shared" si="3"/>
        <v>0</v>
      </c>
      <c r="H56" s="1060">
        <f t="shared" si="4"/>
        <v>0</v>
      </c>
      <c r="I56" s="1113">
        <f t="shared" si="5"/>
        <v>0</v>
      </c>
      <c r="J56" s="1060">
        <f t="shared" si="6"/>
        <v>0</v>
      </c>
      <c r="K56" s="1060">
        <v>0</v>
      </c>
      <c r="L56" s="1060">
        <f t="shared" si="7"/>
        <v>0</v>
      </c>
      <c r="M56" s="1060">
        <f t="shared" si="8"/>
        <v>0</v>
      </c>
      <c r="N56" s="1056">
        <f>'[18]FY2012-13 Final'!K57</f>
        <v>2801</v>
      </c>
      <c r="O56" s="1057">
        <f t="shared" si="9"/>
        <v>0</v>
      </c>
      <c r="P56" s="1119">
        <f t="shared" si="10"/>
        <v>0</v>
      </c>
      <c r="Q56" s="1057">
        <f t="shared" si="11"/>
        <v>0</v>
      </c>
      <c r="R56" s="1057">
        <v>0</v>
      </c>
      <c r="S56" s="1057">
        <f t="shared" si="12"/>
        <v>0</v>
      </c>
      <c r="T56" s="1057">
        <f t="shared" si="13"/>
        <v>0</v>
      </c>
      <c r="U56" s="1058">
        <f t="shared" si="14"/>
        <v>0</v>
      </c>
      <c r="V56" s="1058">
        <f t="shared" si="14"/>
        <v>0</v>
      </c>
    </row>
    <row r="57" spans="1:22">
      <c r="A57" s="987">
        <v>51</v>
      </c>
      <c r="B57" s="988" t="s">
        <v>144</v>
      </c>
      <c r="C57" s="1198">
        <v>0</v>
      </c>
      <c r="D57" s="1007">
        <f>'Table 3 Levels 1&amp;2'!BN59+'Table 3 Levels 1&amp;2'!BV59</f>
        <v>4290.3461727150461</v>
      </c>
      <c r="E57" s="1104">
        <f t="shared" si="2"/>
        <v>0</v>
      </c>
      <c r="F57" s="1104">
        <f>'Table 4 Level 3'!N56</f>
        <v>706.66</v>
      </c>
      <c r="G57" s="1104">
        <f t="shared" si="3"/>
        <v>0</v>
      </c>
      <c r="H57" s="1061">
        <f t="shared" si="4"/>
        <v>0</v>
      </c>
      <c r="I57" s="1114">
        <f t="shared" si="5"/>
        <v>0</v>
      </c>
      <c r="J57" s="1061">
        <f t="shared" si="6"/>
        <v>0</v>
      </c>
      <c r="K57" s="1061">
        <v>0</v>
      </c>
      <c r="L57" s="1061">
        <f t="shared" si="7"/>
        <v>0</v>
      </c>
      <c r="M57" s="1061">
        <f t="shared" si="8"/>
        <v>0</v>
      </c>
      <c r="N57" s="1051">
        <f>'[18]FY2012-13 Final'!K58</f>
        <v>4053</v>
      </c>
      <c r="O57" s="992">
        <f t="shared" si="9"/>
        <v>0</v>
      </c>
      <c r="P57" s="1117">
        <f t="shared" si="10"/>
        <v>0</v>
      </c>
      <c r="Q57" s="992">
        <f t="shared" si="11"/>
        <v>0</v>
      </c>
      <c r="R57" s="992">
        <v>0</v>
      </c>
      <c r="S57" s="992">
        <f t="shared" si="12"/>
        <v>0</v>
      </c>
      <c r="T57" s="992">
        <f t="shared" si="13"/>
        <v>0</v>
      </c>
      <c r="U57" s="993">
        <f t="shared" si="14"/>
        <v>0</v>
      </c>
      <c r="V57" s="993">
        <f t="shared" si="14"/>
        <v>0</v>
      </c>
    </row>
    <row r="58" spans="1:22">
      <c r="A58" s="994">
        <v>52</v>
      </c>
      <c r="B58" s="995" t="s">
        <v>145</v>
      </c>
      <c r="C58" s="1196">
        <v>0</v>
      </c>
      <c r="D58" s="1003">
        <f>'Table 3 Levels 1&amp;2'!BN60+'Table 3 Levels 1&amp;2'!BV60</f>
        <v>4988.6415961118701</v>
      </c>
      <c r="E58" s="1102">
        <f t="shared" si="2"/>
        <v>0</v>
      </c>
      <c r="F58" s="1102">
        <f>'Table 4 Level 3'!N57</f>
        <v>658.37</v>
      </c>
      <c r="G58" s="1102">
        <f t="shared" si="3"/>
        <v>0</v>
      </c>
      <c r="H58" s="1059">
        <f t="shared" si="4"/>
        <v>0</v>
      </c>
      <c r="I58" s="1112">
        <f t="shared" si="5"/>
        <v>0</v>
      </c>
      <c r="J58" s="1059">
        <f t="shared" si="6"/>
        <v>0</v>
      </c>
      <c r="K58" s="1059">
        <v>0</v>
      </c>
      <c r="L58" s="1059">
        <f t="shared" si="7"/>
        <v>0</v>
      </c>
      <c r="M58" s="1059">
        <f t="shared" si="8"/>
        <v>0</v>
      </c>
      <c r="N58" s="1051">
        <f>'[18]FY2012-13 Final'!K59</f>
        <v>4886</v>
      </c>
      <c r="O58" s="1053">
        <f t="shared" si="9"/>
        <v>0</v>
      </c>
      <c r="P58" s="1118">
        <f t="shared" si="10"/>
        <v>0</v>
      </c>
      <c r="Q58" s="1053">
        <f t="shared" si="11"/>
        <v>0</v>
      </c>
      <c r="R58" s="1053">
        <v>0</v>
      </c>
      <c r="S58" s="1053">
        <f t="shared" si="12"/>
        <v>0</v>
      </c>
      <c r="T58" s="1053">
        <f t="shared" si="13"/>
        <v>0</v>
      </c>
      <c r="U58" s="1054">
        <f t="shared" si="14"/>
        <v>0</v>
      </c>
      <c r="V58" s="1054">
        <f t="shared" si="14"/>
        <v>0</v>
      </c>
    </row>
    <row r="59" spans="1:22">
      <c r="A59" s="994">
        <v>53</v>
      </c>
      <c r="B59" s="995" t="s">
        <v>146</v>
      </c>
      <c r="C59" s="1196">
        <v>0</v>
      </c>
      <c r="D59" s="1003">
        <f>'Table 3 Levels 1&amp;2'!BN61+'Table 3 Levels 1&amp;2'!BV61</f>
        <v>4739.7077057162423</v>
      </c>
      <c r="E59" s="1102">
        <f t="shared" si="2"/>
        <v>0</v>
      </c>
      <c r="F59" s="1102">
        <f>'Table 4 Level 3'!N58</f>
        <v>689.74</v>
      </c>
      <c r="G59" s="1102">
        <f t="shared" si="3"/>
        <v>0</v>
      </c>
      <c r="H59" s="1059">
        <f t="shared" si="4"/>
        <v>0</v>
      </c>
      <c r="I59" s="1112">
        <f t="shared" si="5"/>
        <v>0</v>
      </c>
      <c r="J59" s="1059">
        <f t="shared" si="6"/>
        <v>0</v>
      </c>
      <c r="K59" s="1059">
        <v>0</v>
      </c>
      <c r="L59" s="1059">
        <f t="shared" si="7"/>
        <v>0</v>
      </c>
      <c r="M59" s="1059">
        <f t="shared" si="8"/>
        <v>0</v>
      </c>
      <c r="N59" s="1051">
        <f>'[18]FY2012-13 Final'!K60</f>
        <v>1929</v>
      </c>
      <c r="O59" s="1053">
        <f t="shared" si="9"/>
        <v>0</v>
      </c>
      <c r="P59" s="1118">
        <f t="shared" si="10"/>
        <v>0</v>
      </c>
      <c r="Q59" s="1053">
        <f t="shared" si="11"/>
        <v>0</v>
      </c>
      <c r="R59" s="1053">
        <v>0</v>
      </c>
      <c r="S59" s="1053">
        <f t="shared" si="12"/>
        <v>0</v>
      </c>
      <c r="T59" s="1053">
        <f t="shared" si="13"/>
        <v>0</v>
      </c>
      <c r="U59" s="1054">
        <f t="shared" si="14"/>
        <v>0</v>
      </c>
      <c r="V59" s="1054">
        <f t="shared" si="14"/>
        <v>0</v>
      </c>
    </row>
    <row r="60" spans="1:22">
      <c r="A60" s="994">
        <v>54</v>
      </c>
      <c r="B60" s="995" t="s">
        <v>147</v>
      </c>
      <c r="C60" s="1196">
        <v>0</v>
      </c>
      <c r="D60" s="1003">
        <f>'Table 3 Levels 1&amp;2'!BN62+'Table 3 Levels 1&amp;2'!BV62</f>
        <v>5907.1276437932838</v>
      </c>
      <c r="E60" s="1102">
        <f t="shared" si="2"/>
        <v>0</v>
      </c>
      <c r="F60" s="1102">
        <f>'Table 4 Level 3'!N59</f>
        <v>951.45</v>
      </c>
      <c r="G60" s="1102">
        <f t="shared" si="3"/>
        <v>0</v>
      </c>
      <c r="H60" s="1059">
        <f t="shared" si="4"/>
        <v>0</v>
      </c>
      <c r="I60" s="1112">
        <f t="shared" si="5"/>
        <v>0</v>
      </c>
      <c r="J60" s="1059">
        <f t="shared" si="6"/>
        <v>0</v>
      </c>
      <c r="K60" s="1059">
        <v>0</v>
      </c>
      <c r="L60" s="1059">
        <f t="shared" si="7"/>
        <v>0</v>
      </c>
      <c r="M60" s="1059">
        <f t="shared" si="8"/>
        <v>0</v>
      </c>
      <c r="N60" s="1051">
        <f>'[18]FY2012-13 Final'!K61</f>
        <v>3382</v>
      </c>
      <c r="O60" s="1053">
        <f t="shared" si="9"/>
        <v>0</v>
      </c>
      <c r="P60" s="1118">
        <f t="shared" si="10"/>
        <v>0</v>
      </c>
      <c r="Q60" s="1053">
        <f t="shared" si="11"/>
        <v>0</v>
      </c>
      <c r="R60" s="1053">
        <v>0</v>
      </c>
      <c r="S60" s="1053">
        <f t="shared" si="12"/>
        <v>0</v>
      </c>
      <c r="T60" s="1053">
        <f t="shared" si="13"/>
        <v>0</v>
      </c>
      <c r="U60" s="1054">
        <f t="shared" si="14"/>
        <v>0</v>
      </c>
      <c r="V60" s="1054">
        <f t="shared" si="14"/>
        <v>0</v>
      </c>
    </row>
    <row r="61" spans="1:22">
      <c r="A61" s="998">
        <v>55</v>
      </c>
      <c r="B61" s="999" t="s">
        <v>148</v>
      </c>
      <c r="C61" s="1197">
        <v>0</v>
      </c>
      <c r="D61" s="1005">
        <f>'Table 3 Levels 1&amp;2'!BN63+'Table 3 Levels 1&amp;2'!BV63</f>
        <v>4115.0954812679902</v>
      </c>
      <c r="E61" s="1103">
        <f t="shared" si="2"/>
        <v>0</v>
      </c>
      <c r="F61" s="1103">
        <f>'Table 4 Level 3'!N60</f>
        <v>795.14</v>
      </c>
      <c r="G61" s="1103">
        <f t="shared" si="3"/>
        <v>0</v>
      </c>
      <c r="H61" s="1060">
        <f t="shared" si="4"/>
        <v>0</v>
      </c>
      <c r="I61" s="1113">
        <f t="shared" si="5"/>
        <v>0</v>
      </c>
      <c r="J61" s="1060">
        <f t="shared" si="6"/>
        <v>0</v>
      </c>
      <c r="K61" s="1060">
        <v>0</v>
      </c>
      <c r="L61" s="1060">
        <f t="shared" si="7"/>
        <v>0</v>
      </c>
      <c r="M61" s="1060">
        <f t="shared" si="8"/>
        <v>0</v>
      </c>
      <c r="N61" s="1056">
        <f>'[18]FY2012-13 Final'!K62</f>
        <v>3127</v>
      </c>
      <c r="O61" s="1057">
        <f t="shared" si="9"/>
        <v>0</v>
      </c>
      <c r="P61" s="1119">
        <f t="shared" si="10"/>
        <v>0</v>
      </c>
      <c r="Q61" s="1057">
        <f t="shared" si="11"/>
        <v>0</v>
      </c>
      <c r="R61" s="1057">
        <v>0</v>
      </c>
      <c r="S61" s="1057">
        <f t="shared" si="12"/>
        <v>0</v>
      </c>
      <c r="T61" s="1057">
        <f t="shared" si="13"/>
        <v>0</v>
      </c>
      <c r="U61" s="1058">
        <f t="shared" si="14"/>
        <v>0</v>
      </c>
      <c r="V61" s="1058">
        <f t="shared" si="14"/>
        <v>0</v>
      </c>
    </row>
    <row r="62" spans="1:22">
      <c r="A62" s="987">
        <v>56</v>
      </c>
      <c r="B62" s="988" t="s">
        <v>149</v>
      </c>
      <c r="C62" s="1198">
        <v>0</v>
      </c>
      <c r="D62" s="1007">
        <f>'Table 3 Levels 1&amp;2'!BN64+'Table 3 Levels 1&amp;2'!BV64</f>
        <v>4924.9032059941637</v>
      </c>
      <c r="E62" s="1104">
        <f t="shared" si="2"/>
        <v>0</v>
      </c>
      <c r="F62" s="1104">
        <f>'Table 4 Level 3'!N61</f>
        <v>614.66000000000008</v>
      </c>
      <c r="G62" s="1104">
        <f t="shared" si="3"/>
        <v>0</v>
      </c>
      <c r="H62" s="1061">
        <f t="shared" si="4"/>
        <v>0</v>
      </c>
      <c r="I62" s="1114">
        <f t="shared" si="5"/>
        <v>0</v>
      </c>
      <c r="J62" s="1061">
        <f t="shared" si="6"/>
        <v>0</v>
      </c>
      <c r="K62" s="1061">
        <v>0</v>
      </c>
      <c r="L62" s="1061">
        <f t="shared" si="7"/>
        <v>0</v>
      </c>
      <c r="M62" s="1061">
        <f t="shared" si="8"/>
        <v>0</v>
      </c>
      <c r="N62" s="1051">
        <f>'[18]FY2012-13 Final'!K63</f>
        <v>2768</v>
      </c>
      <c r="O62" s="992">
        <f t="shared" si="9"/>
        <v>0</v>
      </c>
      <c r="P62" s="1117">
        <f t="shared" si="10"/>
        <v>0</v>
      </c>
      <c r="Q62" s="992">
        <f t="shared" si="11"/>
        <v>0</v>
      </c>
      <c r="R62" s="992">
        <v>0</v>
      </c>
      <c r="S62" s="992">
        <f t="shared" si="12"/>
        <v>0</v>
      </c>
      <c r="T62" s="992">
        <f t="shared" si="13"/>
        <v>0</v>
      </c>
      <c r="U62" s="993">
        <f t="shared" si="14"/>
        <v>0</v>
      </c>
      <c r="V62" s="993">
        <f t="shared" si="14"/>
        <v>0</v>
      </c>
    </row>
    <row r="63" spans="1:22">
      <c r="A63" s="994">
        <v>57</v>
      </c>
      <c r="B63" s="995" t="s">
        <v>150</v>
      </c>
      <c r="C63" s="1196">
        <v>0</v>
      </c>
      <c r="D63" s="1003">
        <f>'Table 3 Levels 1&amp;2'!BN65+'Table 3 Levels 1&amp;2'!BV65</f>
        <v>4434.5516744018987</v>
      </c>
      <c r="E63" s="1102">
        <f t="shared" si="2"/>
        <v>0</v>
      </c>
      <c r="F63" s="1102">
        <f>'Table 4 Level 3'!N62</f>
        <v>764.51</v>
      </c>
      <c r="G63" s="1102">
        <f t="shared" si="3"/>
        <v>0</v>
      </c>
      <c r="H63" s="1059">
        <f t="shared" si="4"/>
        <v>0</v>
      </c>
      <c r="I63" s="1112">
        <f t="shared" si="5"/>
        <v>0</v>
      </c>
      <c r="J63" s="1059">
        <f t="shared" si="6"/>
        <v>0</v>
      </c>
      <c r="K63" s="1059">
        <v>0</v>
      </c>
      <c r="L63" s="1059">
        <f t="shared" si="7"/>
        <v>0</v>
      </c>
      <c r="M63" s="1059">
        <f t="shared" si="8"/>
        <v>0</v>
      </c>
      <c r="N63" s="1051">
        <f>'[18]FY2012-13 Final'!K64</f>
        <v>2987</v>
      </c>
      <c r="O63" s="1053">
        <f t="shared" si="9"/>
        <v>0</v>
      </c>
      <c r="P63" s="1118">
        <f t="shared" si="10"/>
        <v>0</v>
      </c>
      <c r="Q63" s="1053">
        <f t="shared" si="11"/>
        <v>0</v>
      </c>
      <c r="R63" s="1053">
        <v>0</v>
      </c>
      <c r="S63" s="1053">
        <f t="shared" si="12"/>
        <v>0</v>
      </c>
      <c r="T63" s="1053">
        <f t="shared" si="13"/>
        <v>0</v>
      </c>
      <c r="U63" s="1054">
        <f t="shared" si="14"/>
        <v>0</v>
      </c>
      <c r="V63" s="1054">
        <f t="shared" si="14"/>
        <v>0</v>
      </c>
    </row>
    <row r="64" spans="1:22">
      <c r="A64" s="994">
        <v>58</v>
      </c>
      <c r="B64" s="995" t="s">
        <v>151</v>
      </c>
      <c r="C64" s="1196">
        <v>0</v>
      </c>
      <c r="D64" s="1003">
        <f>'Table 3 Levels 1&amp;2'!BN66+'Table 3 Levels 1&amp;2'!BV66</f>
        <v>5434.7170435013286</v>
      </c>
      <c r="E64" s="1102">
        <f t="shared" si="2"/>
        <v>0</v>
      </c>
      <c r="F64" s="1102">
        <f>'Table 4 Level 3'!N63</f>
        <v>697.04</v>
      </c>
      <c r="G64" s="1102">
        <f t="shared" si="3"/>
        <v>0</v>
      </c>
      <c r="H64" s="1059">
        <f t="shared" si="4"/>
        <v>0</v>
      </c>
      <c r="I64" s="1112">
        <f t="shared" si="5"/>
        <v>0</v>
      </c>
      <c r="J64" s="1059">
        <f t="shared" si="6"/>
        <v>0</v>
      </c>
      <c r="K64" s="1059">
        <v>0</v>
      </c>
      <c r="L64" s="1059">
        <f t="shared" si="7"/>
        <v>0</v>
      </c>
      <c r="M64" s="1059">
        <f t="shared" si="8"/>
        <v>0</v>
      </c>
      <c r="N64" s="1051">
        <f>'[18]FY2012-13 Final'!K65</f>
        <v>2055</v>
      </c>
      <c r="O64" s="1053">
        <f t="shared" si="9"/>
        <v>0</v>
      </c>
      <c r="P64" s="1118">
        <f t="shared" si="10"/>
        <v>0</v>
      </c>
      <c r="Q64" s="1053">
        <f t="shared" si="11"/>
        <v>0</v>
      </c>
      <c r="R64" s="1053">
        <v>0</v>
      </c>
      <c r="S64" s="1053">
        <f t="shared" si="12"/>
        <v>0</v>
      </c>
      <c r="T64" s="1053">
        <f t="shared" si="13"/>
        <v>0</v>
      </c>
      <c r="U64" s="1054">
        <f t="shared" si="14"/>
        <v>0</v>
      </c>
      <c r="V64" s="1054">
        <f t="shared" si="14"/>
        <v>0</v>
      </c>
    </row>
    <row r="65" spans="1:22">
      <c r="A65" s="994">
        <v>59</v>
      </c>
      <c r="B65" s="995" t="s">
        <v>152</v>
      </c>
      <c r="C65" s="1196">
        <v>0</v>
      </c>
      <c r="D65" s="1003">
        <f>'Table 3 Levels 1&amp;2'!BN67+'Table 3 Levels 1&amp;2'!BV67</f>
        <v>6252.2385330184643</v>
      </c>
      <c r="E65" s="1102">
        <f t="shared" si="2"/>
        <v>0</v>
      </c>
      <c r="F65" s="1102">
        <f>'Table 4 Level 3'!N64</f>
        <v>689.52</v>
      </c>
      <c r="G65" s="1102">
        <f t="shared" si="3"/>
        <v>0</v>
      </c>
      <c r="H65" s="1059">
        <f t="shared" si="4"/>
        <v>0</v>
      </c>
      <c r="I65" s="1112">
        <f t="shared" si="5"/>
        <v>0</v>
      </c>
      <c r="J65" s="1059">
        <f t="shared" si="6"/>
        <v>0</v>
      </c>
      <c r="K65" s="1059">
        <v>0</v>
      </c>
      <c r="L65" s="1059">
        <f t="shared" si="7"/>
        <v>0</v>
      </c>
      <c r="M65" s="1059">
        <f t="shared" si="8"/>
        <v>0</v>
      </c>
      <c r="N65" s="1051">
        <f>'[18]FY2012-13 Final'!K66</f>
        <v>1528</v>
      </c>
      <c r="O65" s="1053">
        <f t="shared" si="9"/>
        <v>0</v>
      </c>
      <c r="P65" s="1118">
        <f t="shared" si="10"/>
        <v>0</v>
      </c>
      <c r="Q65" s="1053">
        <f t="shared" si="11"/>
        <v>0</v>
      </c>
      <c r="R65" s="1053">
        <v>0</v>
      </c>
      <c r="S65" s="1053">
        <f t="shared" si="12"/>
        <v>0</v>
      </c>
      <c r="T65" s="1053">
        <f t="shared" si="13"/>
        <v>0</v>
      </c>
      <c r="U65" s="1054">
        <f t="shared" si="14"/>
        <v>0</v>
      </c>
      <c r="V65" s="1054">
        <f t="shared" si="14"/>
        <v>0</v>
      </c>
    </row>
    <row r="66" spans="1:22">
      <c r="A66" s="998">
        <v>60</v>
      </c>
      <c r="B66" s="999" t="s">
        <v>153</v>
      </c>
      <c r="C66" s="1197">
        <v>0</v>
      </c>
      <c r="D66" s="1005">
        <f>'Table 3 Levels 1&amp;2'!BN68+'Table 3 Levels 1&amp;2'!BV68</f>
        <v>4902.6575100268701</v>
      </c>
      <c r="E66" s="1103">
        <f t="shared" si="2"/>
        <v>0</v>
      </c>
      <c r="F66" s="1103">
        <f>'Table 4 Level 3'!N65</f>
        <v>594.04</v>
      </c>
      <c r="G66" s="1103">
        <f t="shared" si="3"/>
        <v>0</v>
      </c>
      <c r="H66" s="1060">
        <f t="shared" si="4"/>
        <v>0</v>
      </c>
      <c r="I66" s="1113">
        <f t="shared" si="5"/>
        <v>0</v>
      </c>
      <c r="J66" s="1060">
        <f t="shared" si="6"/>
        <v>0</v>
      </c>
      <c r="K66" s="1060">
        <v>0</v>
      </c>
      <c r="L66" s="1060">
        <f t="shared" si="7"/>
        <v>0</v>
      </c>
      <c r="M66" s="1060">
        <f t="shared" si="8"/>
        <v>0</v>
      </c>
      <c r="N66" s="1056">
        <f>'[18]FY2012-13 Final'!K67</f>
        <v>3918</v>
      </c>
      <c r="O66" s="1057">
        <f t="shared" si="9"/>
        <v>0</v>
      </c>
      <c r="P66" s="1119">
        <f t="shared" si="10"/>
        <v>0</v>
      </c>
      <c r="Q66" s="1057">
        <f t="shared" si="11"/>
        <v>0</v>
      </c>
      <c r="R66" s="1057">
        <v>0</v>
      </c>
      <c r="S66" s="1057">
        <f t="shared" si="12"/>
        <v>0</v>
      </c>
      <c r="T66" s="1057">
        <f t="shared" si="13"/>
        <v>0</v>
      </c>
      <c r="U66" s="1058">
        <f t="shared" si="14"/>
        <v>0</v>
      </c>
      <c r="V66" s="1058">
        <f t="shared" si="14"/>
        <v>0</v>
      </c>
    </row>
    <row r="67" spans="1:22">
      <c r="A67" s="987">
        <v>61</v>
      </c>
      <c r="B67" s="988" t="s">
        <v>154</v>
      </c>
      <c r="C67" s="1198">
        <v>0</v>
      </c>
      <c r="D67" s="1007">
        <f>'Table 3 Levels 1&amp;2'!BN69+'Table 3 Levels 1&amp;2'!BV69</f>
        <v>2872.7719101339244</v>
      </c>
      <c r="E67" s="1104">
        <f t="shared" si="2"/>
        <v>0</v>
      </c>
      <c r="F67" s="1104">
        <f>'Table 4 Level 3'!N66</f>
        <v>833.70999999999992</v>
      </c>
      <c r="G67" s="1104">
        <f t="shared" si="3"/>
        <v>0</v>
      </c>
      <c r="H67" s="1061">
        <f t="shared" si="4"/>
        <v>0</v>
      </c>
      <c r="I67" s="1114">
        <f t="shared" si="5"/>
        <v>0</v>
      </c>
      <c r="J67" s="1061">
        <f t="shared" si="6"/>
        <v>0</v>
      </c>
      <c r="K67" s="1061">
        <v>0</v>
      </c>
      <c r="L67" s="1061">
        <f t="shared" si="7"/>
        <v>0</v>
      </c>
      <c r="M67" s="1061">
        <f t="shared" si="8"/>
        <v>0</v>
      </c>
      <c r="N67" s="1051">
        <f>'[18]FY2012-13 Final'!K68</f>
        <v>6680</v>
      </c>
      <c r="O67" s="992">
        <f t="shared" si="9"/>
        <v>0</v>
      </c>
      <c r="P67" s="1117">
        <f t="shared" si="10"/>
        <v>0</v>
      </c>
      <c r="Q67" s="992">
        <f t="shared" si="11"/>
        <v>0</v>
      </c>
      <c r="R67" s="992">
        <v>0</v>
      </c>
      <c r="S67" s="992">
        <f t="shared" si="12"/>
        <v>0</v>
      </c>
      <c r="T67" s="992">
        <f t="shared" si="13"/>
        <v>0</v>
      </c>
      <c r="U67" s="993">
        <f t="shared" si="14"/>
        <v>0</v>
      </c>
      <c r="V67" s="993">
        <f t="shared" si="14"/>
        <v>0</v>
      </c>
    </row>
    <row r="68" spans="1:22">
      <c r="A68" s="994">
        <v>62</v>
      </c>
      <c r="B68" s="995" t="s">
        <v>155</v>
      </c>
      <c r="C68" s="1196">
        <v>0</v>
      </c>
      <c r="D68" s="1003">
        <f>'Table 3 Levels 1&amp;2'!BN70+'Table 3 Levels 1&amp;2'!BV70</f>
        <v>5594.25143978908</v>
      </c>
      <c r="E68" s="1102">
        <f t="shared" si="2"/>
        <v>0</v>
      </c>
      <c r="F68" s="1102">
        <f>'Table 4 Level 3'!N67</f>
        <v>516.08000000000004</v>
      </c>
      <c r="G68" s="1102">
        <f t="shared" si="3"/>
        <v>0</v>
      </c>
      <c r="H68" s="1059">
        <f t="shared" si="4"/>
        <v>0</v>
      </c>
      <c r="I68" s="1112">
        <f t="shared" si="5"/>
        <v>0</v>
      </c>
      <c r="J68" s="1059">
        <f t="shared" si="6"/>
        <v>0</v>
      </c>
      <c r="K68" s="1059">
        <v>0</v>
      </c>
      <c r="L68" s="1059">
        <f t="shared" si="7"/>
        <v>0</v>
      </c>
      <c r="M68" s="1059">
        <f t="shared" si="8"/>
        <v>0</v>
      </c>
      <c r="N68" s="1051">
        <f>'[18]FY2012-13 Final'!K69</f>
        <v>1754</v>
      </c>
      <c r="O68" s="1053">
        <f t="shared" si="9"/>
        <v>0</v>
      </c>
      <c r="P68" s="1118">
        <f t="shared" si="10"/>
        <v>0</v>
      </c>
      <c r="Q68" s="1053">
        <f t="shared" si="11"/>
        <v>0</v>
      </c>
      <c r="R68" s="1053">
        <v>0</v>
      </c>
      <c r="S68" s="1053">
        <f t="shared" si="12"/>
        <v>0</v>
      </c>
      <c r="T68" s="1053">
        <f t="shared" si="13"/>
        <v>0</v>
      </c>
      <c r="U68" s="1054">
        <f t="shared" si="14"/>
        <v>0</v>
      </c>
      <c r="V68" s="1054">
        <f t="shared" si="14"/>
        <v>0</v>
      </c>
    </row>
    <row r="69" spans="1:22">
      <c r="A69" s="994">
        <v>63</v>
      </c>
      <c r="B69" s="995" t="s">
        <v>156</v>
      </c>
      <c r="C69" s="1196">
        <v>0</v>
      </c>
      <c r="D69" s="1003">
        <f>'Table 3 Levels 1&amp;2'!BN71+'Table 3 Levels 1&amp;2'!BV71</f>
        <v>4318.8609300898834</v>
      </c>
      <c r="E69" s="1102">
        <f t="shared" si="2"/>
        <v>0</v>
      </c>
      <c r="F69" s="1102">
        <f>'Table 4 Level 3'!N68</f>
        <v>756.79</v>
      </c>
      <c r="G69" s="1102">
        <f t="shared" si="3"/>
        <v>0</v>
      </c>
      <c r="H69" s="1059">
        <f t="shared" si="4"/>
        <v>0</v>
      </c>
      <c r="I69" s="1112">
        <f t="shared" si="5"/>
        <v>0</v>
      </c>
      <c r="J69" s="1059">
        <f t="shared" si="6"/>
        <v>0</v>
      </c>
      <c r="K69" s="1059">
        <v>0</v>
      </c>
      <c r="L69" s="1059">
        <f t="shared" si="7"/>
        <v>0</v>
      </c>
      <c r="M69" s="1059">
        <f t="shared" si="8"/>
        <v>0</v>
      </c>
      <c r="N69" s="1051">
        <f>'[18]FY2012-13 Final'!K70</f>
        <v>7182</v>
      </c>
      <c r="O69" s="1053">
        <f t="shared" si="9"/>
        <v>0</v>
      </c>
      <c r="P69" s="1118">
        <f t="shared" si="10"/>
        <v>0</v>
      </c>
      <c r="Q69" s="1053">
        <f t="shared" si="11"/>
        <v>0</v>
      </c>
      <c r="R69" s="1053">
        <v>0</v>
      </c>
      <c r="S69" s="1053">
        <f t="shared" si="12"/>
        <v>0</v>
      </c>
      <c r="T69" s="1053">
        <f t="shared" si="13"/>
        <v>0</v>
      </c>
      <c r="U69" s="1054">
        <f t="shared" si="14"/>
        <v>0</v>
      </c>
      <c r="V69" s="1054">
        <f t="shared" si="14"/>
        <v>0</v>
      </c>
    </row>
    <row r="70" spans="1:22">
      <c r="A70" s="994">
        <v>64</v>
      </c>
      <c r="B70" s="995" t="s">
        <v>157</v>
      </c>
      <c r="C70" s="1196">
        <v>0</v>
      </c>
      <c r="D70" s="1003">
        <f>'Table 3 Levels 1&amp;2'!BN72+'Table 3 Levels 1&amp;2'!BV72</f>
        <v>5921.7418933384488</v>
      </c>
      <c r="E70" s="1102">
        <f t="shared" si="2"/>
        <v>0</v>
      </c>
      <c r="F70" s="1102">
        <f>'Table 4 Level 3'!N69</f>
        <v>592.66</v>
      </c>
      <c r="G70" s="1102">
        <f t="shared" si="3"/>
        <v>0</v>
      </c>
      <c r="H70" s="1059">
        <f t="shared" si="4"/>
        <v>0</v>
      </c>
      <c r="I70" s="1112">
        <f t="shared" si="5"/>
        <v>0</v>
      </c>
      <c r="J70" s="1059">
        <f t="shared" si="6"/>
        <v>0</v>
      </c>
      <c r="K70" s="1059">
        <v>0</v>
      </c>
      <c r="L70" s="1059">
        <f t="shared" si="7"/>
        <v>0</v>
      </c>
      <c r="M70" s="1059">
        <f t="shared" si="8"/>
        <v>0</v>
      </c>
      <c r="N70" s="1051">
        <f>'[18]FY2012-13 Final'!K71</f>
        <v>2701</v>
      </c>
      <c r="O70" s="1053">
        <f t="shared" si="9"/>
        <v>0</v>
      </c>
      <c r="P70" s="1118">
        <f t="shared" si="10"/>
        <v>0</v>
      </c>
      <c r="Q70" s="1053">
        <f t="shared" si="11"/>
        <v>0</v>
      </c>
      <c r="R70" s="1053">
        <v>0</v>
      </c>
      <c r="S70" s="1053">
        <f t="shared" si="12"/>
        <v>0</v>
      </c>
      <c r="T70" s="1053">
        <f t="shared" si="13"/>
        <v>0</v>
      </c>
      <c r="U70" s="1054">
        <f t="shared" si="14"/>
        <v>0</v>
      </c>
      <c r="V70" s="1054">
        <f t="shared" si="14"/>
        <v>0</v>
      </c>
    </row>
    <row r="71" spans="1:22">
      <c r="A71" s="998">
        <v>65</v>
      </c>
      <c r="B71" s="999" t="s">
        <v>158</v>
      </c>
      <c r="C71" s="1197">
        <v>0</v>
      </c>
      <c r="D71" s="1005">
        <f>'Table 3 Levels 1&amp;2'!BN73+'Table 3 Levels 1&amp;2'!BV73</f>
        <v>4578.9201269671275</v>
      </c>
      <c r="E71" s="1103">
        <f t="shared" si="2"/>
        <v>0</v>
      </c>
      <c r="F71" s="1103">
        <f>'Table 4 Level 3'!N70</f>
        <v>829.12</v>
      </c>
      <c r="G71" s="1103">
        <f t="shared" si="3"/>
        <v>0</v>
      </c>
      <c r="H71" s="1060">
        <f t="shared" si="4"/>
        <v>0</v>
      </c>
      <c r="I71" s="1113">
        <f t="shared" si="5"/>
        <v>0</v>
      </c>
      <c r="J71" s="1060">
        <f t="shared" si="6"/>
        <v>0</v>
      </c>
      <c r="K71" s="1060">
        <v>0</v>
      </c>
      <c r="L71" s="1060">
        <f t="shared" si="7"/>
        <v>0</v>
      </c>
      <c r="M71" s="1060">
        <f t="shared" si="8"/>
        <v>0</v>
      </c>
      <c r="N71" s="1056">
        <f>'[18]FY2012-13 Final'!K72</f>
        <v>4813</v>
      </c>
      <c r="O71" s="1057">
        <f t="shared" si="9"/>
        <v>0</v>
      </c>
      <c r="P71" s="1119">
        <f t="shared" si="10"/>
        <v>0</v>
      </c>
      <c r="Q71" s="1057">
        <f t="shared" si="11"/>
        <v>0</v>
      </c>
      <c r="R71" s="1057">
        <v>0</v>
      </c>
      <c r="S71" s="1057">
        <f t="shared" si="12"/>
        <v>0</v>
      </c>
      <c r="T71" s="1057">
        <f t="shared" si="13"/>
        <v>0</v>
      </c>
      <c r="U71" s="1058">
        <f t="shared" si="14"/>
        <v>0</v>
      </c>
      <c r="V71" s="1058">
        <f t="shared" si="14"/>
        <v>0</v>
      </c>
    </row>
    <row r="72" spans="1:22">
      <c r="A72" s="987">
        <v>66</v>
      </c>
      <c r="B72" s="988" t="s">
        <v>159</v>
      </c>
      <c r="C72" s="1198">
        <v>0</v>
      </c>
      <c r="D72" s="1007">
        <f>'Table 3 Levels 1&amp;2'!BN74+'Table 3 Levels 1&amp;2'!BV74</f>
        <v>6340.8763293271122</v>
      </c>
      <c r="E72" s="1104">
        <f t="shared" ref="E72:E75" si="15">C72*D72</f>
        <v>0</v>
      </c>
      <c r="F72" s="1104">
        <f>'Table 4 Level 3'!N71</f>
        <v>730.06</v>
      </c>
      <c r="G72" s="1104">
        <f t="shared" ref="G72:G75" si="16">C72*F72</f>
        <v>0</v>
      </c>
      <c r="H72" s="1061">
        <f t="shared" ref="H72:H75" si="17">E72+G72</f>
        <v>0</v>
      </c>
      <c r="I72" s="1114">
        <f t="shared" ref="I72:I75" si="18">-(0.25%*H72)</f>
        <v>0</v>
      </c>
      <c r="J72" s="1061">
        <f t="shared" ref="J72:J75" si="19">SUM(H72:I72)</f>
        <v>0</v>
      </c>
      <c r="K72" s="1061">
        <v>0</v>
      </c>
      <c r="L72" s="1061">
        <f t="shared" ref="L72:L75" si="20">SUM(J72:K72)</f>
        <v>0</v>
      </c>
      <c r="M72" s="1061">
        <f t="shared" ref="M72:M75" si="21">L72/12</f>
        <v>0</v>
      </c>
      <c r="N72" s="1051">
        <f>'[18]FY2012-13 Final'!K73</f>
        <v>3516</v>
      </c>
      <c r="O72" s="992">
        <f t="shared" ref="O72:O75" si="22">C72*N72</f>
        <v>0</v>
      </c>
      <c r="P72" s="1117">
        <f t="shared" ref="P72:P75" si="23">-(0.25%*O72)</f>
        <v>0</v>
      </c>
      <c r="Q72" s="992">
        <f t="shared" ref="Q72:Q75" si="24">SUM(O72:P72)</f>
        <v>0</v>
      </c>
      <c r="R72" s="992">
        <v>0</v>
      </c>
      <c r="S72" s="992">
        <f t="shared" ref="S72:S75" si="25">SUM(Q72:R72)</f>
        <v>0</v>
      </c>
      <c r="T72" s="992">
        <f t="shared" ref="T72:T75" si="26">S72/12</f>
        <v>0</v>
      </c>
      <c r="U72" s="993">
        <f t="shared" ref="U72:V75" si="27">L72+S72</f>
        <v>0</v>
      </c>
      <c r="V72" s="993">
        <f t="shared" si="27"/>
        <v>0</v>
      </c>
    </row>
    <row r="73" spans="1:22">
      <c r="A73" s="994">
        <v>67</v>
      </c>
      <c r="B73" s="995" t="s">
        <v>32</v>
      </c>
      <c r="C73" s="1196">
        <v>0</v>
      </c>
      <c r="D73" s="1003">
        <f>'Table 3 Levels 1&amp;2'!BN75+'Table 3 Levels 1&amp;2'!BV75</f>
        <v>4984.1100297034172</v>
      </c>
      <c r="E73" s="1102">
        <f t="shared" si="15"/>
        <v>0</v>
      </c>
      <c r="F73" s="1102">
        <f>'Table 4 Level 3'!N72</f>
        <v>715.61</v>
      </c>
      <c r="G73" s="1102">
        <f t="shared" si="16"/>
        <v>0</v>
      </c>
      <c r="H73" s="1059">
        <f t="shared" si="17"/>
        <v>0</v>
      </c>
      <c r="I73" s="1112">
        <f t="shared" si="18"/>
        <v>0</v>
      </c>
      <c r="J73" s="1059">
        <f t="shared" si="19"/>
        <v>0</v>
      </c>
      <c r="K73" s="1059">
        <v>0</v>
      </c>
      <c r="L73" s="1059">
        <f t="shared" si="20"/>
        <v>0</v>
      </c>
      <c r="M73" s="1059">
        <f t="shared" si="21"/>
        <v>0</v>
      </c>
      <c r="N73" s="1051">
        <f>'[18]FY2012-13 Final'!K74</f>
        <v>5052</v>
      </c>
      <c r="O73" s="1053">
        <f t="shared" si="22"/>
        <v>0</v>
      </c>
      <c r="P73" s="1118">
        <f t="shared" si="23"/>
        <v>0</v>
      </c>
      <c r="Q73" s="1053">
        <f t="shared" si="24"/>
        <v>0</v>
      </c>
      <c r="R73" s="1053">
        <v>0</v>
      </c>
      <c r="S73" s="1053">
        <f t="shared" si="25"/>
        <v>0</v>
      </c>
      <c r="T73" s="1053">
        <f t="shared" si="26"/>
        <v>0</v>
      </c>
      <c r="U73" s="1054">
        <f t="shared" si="27"/>
        <v>0</v>
      </c>
      <c r="V73" s="1054">
        <f t="shared" si="27"/>
        <v>0</v>
      </c>
    </row>
    <row r="74" spans="1:22">
      <c r="A74" s="994">
        <v>68</v>
      </c>
      <c r="B74" s="995" t="s">
        <v>30</v>
      </c>
      <c r="C74" s="1196">
        <v>271</v>
      </c>
      <c r="D74" s="1003">
        <f>'Table 3 Levels 1&amp;2'!BN76+'Table 3 Levels 1&amp;2'!BV76</f>
        <v>6012.7854305239725</v>
      </c>
      <c r="E74" s="1102">
        <f t="shared" si="15"/>
        <v>1629464.8516719965</v>
      </c>
      <c r="F74" s="1102">
        <f>'Table 4 Level 3'!N73</f>
        <v>798.7</v>
      </c>
      <c r="G74" s="1102">
        <f t="shared" si="16"/>
        <v>216447.7</v>
      </c>
      <c r="H74" s="1059">
        <f t="shared" si="17"/>
        <v>1845912.5516719965</v>
      </c>
      <c r="I74" s="1112">
        <f t="shared" si="18"/>
        <v>-4614.7813791799917</v>
      </c>
      <c r="J74" s="1059">
        <f t="shared" si="19"/>
        <v>1841297.7702928165</v>
      </c>
      <c r="K74" s="1059">
        <v>0</v>
      </c>
      <c r="L74" s="1059">
        <f t="shared" si="20"/>
        <v>1841297.7702928165</v>
      </c>
      <c r="M74" s="1059">
        <f t="shared" si="21"/>
        <v>153441.48085773471</v>
      </c>
      <c r="N74" s="1051">
        <f>'[18]FY2012-13 Final'!K75</f>
        <v>2763</v>
      </c>
      <c r="O74" s="1053">
        <f t="shared" si="22"/>
        <v>748773</v>
      </c>
      <c r="P74" s="1118">
        <f t="shared" si="23"/>
        <v>-1871.9325000000001</v>
      </c>
      <c r="Q74" s="1053">
        <f t="shared" si="24"/>
        <v>746901.0675</v>
      </c>
      <c r="R74" s="1053">
        <v>0</v>
      </c>
      <c r="S74" s="1053">
        <f t="shared" si="25"/>
        <v>746901.0675</v>
      </c>
      <c r="T74" s="1053">
        <f t="shared" si="26"/>
        <v>62241.755624999998</v>
      </c>
      <c r="U74" s="1054">
        <f t="shared" si="27"/>
        <v>2588198.8377928166</v>
      </c>
      <c r="V74" s="1054">
        <f t="shared" si="27"/>
        <v>215683.2364827347</v>
      </c>
    </row>
    <row r="75" spans="1:22">
      <c r="A75" s="1008">
        <v>69</v>
      </c>
      <c r="B75" s="1009" t="s">
        <v>213</v>
      </c>
      <c r="C75" s="1199">
        <v>0</v>
      </c>
      <c r="D75" s="1011">
        <f>'Table 3 Levels 1&amp;2'!BN77+'Table 3 Levels 1&amp;2'!BV77</f>
        <v>5559.7139008686299</v>
      </c>
      <c r="E75" s="1105">
        <f t="shared" si="15"/>
        <v>0</v>
      </c>
      <c r="F75" s="1105">
        <f>'Table 4 Level 3'!N74</f>
        <v>705.67</v>
      </c>
      <c r="G75" s="1105">
        <f t="shared" si="16"/>
        <v>0</v>
      </c>
      <c r="H75" s="1062">
        <f t="shared" si="17"/>
        <v>0</v>
      </c>
      <c r="I75" s="1115">
        <f t="shared" si="18"/>
        <v>0</v>
      </c>
      <c r="J75" s="1062">
        <f t="shared" si="19"/>
        <v>0</v>
      </c>
      <c r="K75" s="1062">
        <v>0</v>
      </c>
      <c r="L75" s="1062">
        <f t="shared" si="20"/>
        <v>0</v>
      </c>
      <c r="M75" s="1062">
        <f t="shared" si="21"/>
        <v>0</v>
      </c>
      <c r="N75" s="1051">
        <f>'[18]FY2012-13 Final'!K76</f>
        <v>3327</v>
      </c>
      <c r="O75" s="1063">
        <f t="shared" si="22"/>
        <v>0</v>
      </c>
      <c r="P75" s="1120">
        <f t="shared" si="23"/>
        <v>0</v>
      </c>
      <c r="Q75" s="1063">
        <f t="shared" si="24"/>
        <v>0</v>
      </c>
      <c r="R75" s="1063">
        <v>0</v>
      </c>
      <c r="S75" s="1063">
        <f t="shared" si="25"/>
        <v>0</v>
      </c>
      <c r="T75" s="1063">
        <f t="shared" si="26"/>
        <v>0</v>
      </c>
      <c r="U75" s="1064">
        <f t="shared" si="27"/>
        <v>0</v>
      </c>
      <c r="V75" s="1064">
        <f t="shared" si="27"/>
        <v>0</v>
      </c>
    </row>
    <row r="76" spans="1:22" ht="13.5" thickBot="1">
      <c r="A76" s="1012"/>
      <c r="B76" s="1013" t="s">
        <v>160</v>
      </c>
      <c r="C76" s="1014">
        <f>SUM(C7:C75)</f>
        <v>543</v>
      </c>
      <c r="D76" s="1015"/>
      <c r="E76" s="1106">
        <f>SUM(E7:E75)</f>
        <v>2530223.0017829346</v>
      </c>
      <c r="F76" s="1106">
        <f>'[23]Table 4 Level 3'!P75</f>
        <v>703.90028204588873</v>
      </c>
      <c r="G76" s="1106">
        <f t="shared" ref="G76:L76" si="28">SUM(G7:G75)</f>
        <v>434449.61377371452</v>
      </c>
      <c r="H76" s="1016">
        <f t="shared" si="28"/>
        <v>2964672.6155566489</v>
      </c>
      <c r="I76" s="1116">
        <f t="shared" si="28"/>
        <v>-7411.6815388916239</v>
      </c>
      <c r="J76" s="1016">
        <f t="shared" si="28"/>
        <v>2957260.9340177574</v>
      </c>
      <c r="K76" s="1016">
        <f t="shared" si="28"/>
        <v>0</v>
      </c>
      <c r="L76" s="1016">
        <f t="shared" si="28"/>
        <v>2957260.9340177574</v>
      </c>
      <c r="M76" s="1016">
        <f>SUM(M7:M75)</f>
        <v>246438.41116814647</v>
      </c>
      <c r="N76" s="1065"/>
      <c r="O76" s="1017">
        <f t="shared" ref="O76:V76" si="29">SUM(O7:O75)</f>
        <v>2530645</v>
      </c>
      <c r="P76" s="1121">
        <f t="shared" si="29"/>
        <v>-6326.6125000000002</v>
      </c>
      <c r="Q76" s="1017">
        <f t="shared" si="29"/>
        <v>2524318.3875000002</v>
      </c>
      <c r="R76" s="1017">
        <f t="shared" si="29"/>
        <v>0</v>
      </c>
      <c r="S76" s="1017">
        <f t="shared" si="29"/>
        <v>2524318.3875000002</v>
      </c>
      <c r="T76" s="1017">
        <f t="shared" si="29"/>
        <v>210359.86562500001</v>
      </c>
      <c r="U76" s="1018">
        <f t="shared" si="29"/>
        <v>5481579.3215177581</v>
      </c>
      <c r="V76" s="1018">
        <f t="shared" si="29"/>
        <v>456798.27679314651</v>
      </c>
    </row>
    <row r="77" spans="1:22" ht="13.5" thickTop="1"/>
  </sheetData>
  <mergeCells count="19">
    <mergeCell ref="L3:L4"/>
    <mergeCell ref="M3:M4"/>
    <mergeCell ref="N3:N4"/>
    <mergeCell ref="A2:B4"/>
    <mergeCell ref="C2:M2"/>
    <mergeCell ref="N2:T2"/>
    <mergeCell ref="U2:U4"/>
    <mergeCell ref="V2:V4"/>
    <mergeCell ref="C3:C4"/>
    <mergeCell ref="D3:D4"/>
    <mergeCell ref="E3:E4"/>
    <mergeCell ref="F3:F4"/>
    <mergeCell ref="G3:G4"/>
    <mergeCell ref="Q3:Q4"/>
    <mergeCell ref="R3:R4"/>
    <mergeCell ref="S3:S4"/>
    <mergeCell ref="H3:H4"/>
    <mergeCell ref="J3:J4"/>
    <mergeCell ref="K3:K4"/>
  </mergeCells>
  <pageMargins left="0.34" right="0.46" top="0.75" bottom="0.75" header="0.3" footer="0.3"/>
  <pageSetup paperSize="5" scale="60" firstPageNumber="84" orientation="portrait" useFirstPageNumber="1" r:id="rId1"/>
  <headerFooter>
    <oddHeader>&amp;L&amp;"Arial,Bold"&amp;20Table 5C1-N: FY2013-14 MFP Budget Letter (Projection)
East Baton Rouge Charter Academy</oddHeader>
    <oddFooter>&amp;R&amp;P</oddFooter>
  </headerFooter>
  <colBreaks count="1" manualBreakCount="1">
    <brk id="13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7"/>
  <sheetViews>
    <sheetView view="pageBreakPreview" zoomScale="90" zoomScaleNormal="100" zoomScaleSheetLayoutView="90" workbookViewId="0">
      <pane xSplit="2" ySplit="6" topLeftCell="C7" activePane="bottomRight" state="frozen"/>
      <selection activeCell="B1" sqref="B1:B2"/>
      <selection pane="topRight" activeCell="B1" sqref="B1:B2"/>
      <selection pane="bottomLeft" activeCell="B1" sqref="B1:B2"/>
      <selection pane="bottomRight" activeCell="A2" sqref="A2:B4"/>
    </sheetView>
  </sheetViews>
  <sheetFormatPr defaultRowHeight="12.75"/>
  <cols>
    <col min="1" max="1" width="4.28515625" style="1192" customWidth="1"/>
    <col min="2" max="2" width="17.85546875" style="1192" bestFit="1" customWidth="1"/>
    <col min="3" max="3" width="12.7109375" style="1192" customWidth="1"/>
    <col min="4" max="4" width="17" style="1192" customWidth="1"/>
    <col min="5" max="5" width="11" style="1192" bestFit="1" customWidth="1"/>
    <col min="6" max="6" width="12" style="1192" customWidth="1"/>
    <col min="7" max="7" width="13.28515625" style="1192" customWidth="1"/>
    <col min="8" max="8" width="14.5703125" style="1192" customWidth="1"/>
    <col min="9" max="9" width="12.28515625" style="1192" customWidth="1"/>
    <col min="10" max="10" width="12" style="1192" bestFit="1" customWidth="1"/>
    <col min="11" max="11" width="13.42578125" style="1192" bestFit="1" customWidth="1"/>
    <col min="12" max="12" width="14" style="1192" customWidth="1"/>
    <col min="13" max="13" width="9.28515625" style="1192" bestFit="1" customWidth="1"/>
    <col min="14" max="14" width="17.28515625" style="1192" customWidth="1"/>
    <col min="15" max="15" width="16.7109375" style="1192" customWidth="1"/>
    <col min="16" max="16" width="13.7109375" style="1192" customWidth="1"/>
    <col min="17" max="17" width="17" style="1192" customWidth="1"/>
    <col min="18" max="18" width="15.28515625" style="1192" customWidth="1"/>
    <col min="19" max="19" width="13.140625" style="1192" customWidth="1"/>
    <col min="20" max="20" width="12" style="1192" customWidth="1"/>
    <col min="21" max="21" width="11" style="1192" customWidth="1"/>
    <col min="22" max="22" width="12.140625" style="1192" customWidth="1"/>
    <col min="23" max="16384" width="9.140625" style="1192"/>
  </cols>
  <sheetData>
    <row r="1" spans="1:22">
      <c r="C1" s="1392"/>
      <c r="D1" s="1392"/>
      <c r="E1" s="1392"/>
      <c r="F1" s="1392"/>
      <c r="G1" s="1392"/>
      <c r="H1" s="1392"/>
      <c r="I1" s="1392"/>
      <c r="J1" s="1392"/>
      <c r="K1" s="1392"/>
      <c r="L1" s="1392"/>
      <c r="M1" s="1392"/>
    </row>
    <row r="2" spans="1:22" ht="45" customHeight="1">
      <c r="A2" s="2082" t="s">
        <v>1222</v>
      </c>
      <c r="B2" s="2083"/>
      <c r="C2" s="2065" t="s">
        <v>1394</v>
      </c>
      <c r="D2" s="2017"/>
      <c r="E2" s="2017"/>
      <c r="F2" s="2017"/>
      <c r="G2" s="2017"/>
      <c r="H2" s="2017"/>
      <c r="I2" s="2017"/>
      <c r="J2" s="2017"/>
      <c r="K2" s="2017"/>
      <c r="L2" s="2017"/>
      <c r="M2" s="2018"/>
      <c r="N2" s="1992" t="s">
        <v>1357</v>
      </c>
      <c r="O2" s="1993"/>
      <c r="P2" s="1993"/>
      <c r="Q2" s="1993"/>
      <c r="R2" s="1993"/>
      <c r="S2" s="1993"/>
      <c r="T2" s="1994"/>
      <c r="U2" s="1995" t="s">
        <v>1403</v>
      </c>
      <c r="V2" s="1995" t="s">
        <v>1355</v>
      </c>
    </row>
    <row r="3" spans="1:22" ht="116.25" customHeight="1">
      <c r="A3" s="2084"/>
      <c r="B3" s="2085"/>
      <c r="C3" s="2088" t="s">
        <v>1177</v>
      </c>
      <c r="D3" s="2008" t="s">
        <v>1393</v>
      </c>
      <c r="E3" s="2008" t="s">
        <v>1395</v>
      </c>
      <c r="F3" s="2006" t="s">
        <v>662</v>
      </c>
      <c r="G3" s="2006" t="s">
        <v>492</v>
      </c>
      <c r="H3" s="2006" t="s">
        <v>1396</v>
      </c>
      <c r="I3" s="1742" t="s">
        <v>510</v>
      </c>
      <c r="J3" s="2006" t="s">
        <v>1397</v>
      </c>
      <c r="K3" s="2006" t="s">
        <v>1230</v>
      </c>
      <c r="L3" s="2006" t="s">
        <v>1398</v>
      </c>
      <c r="M3" s="2008" t="s">
        <v>1356</v>
      </c>
      <c r="N3" s="2019" t="s">
        <v>694</v>
      </c>
      <c r="O3" s="1743" t="s">
        <v>1399</v>
      </c>
      <c r="P3" s="1743" t="s">
        <v>512</v>
      </c>
      <c r="Q3" s="2019" t="s">
        <v>1400</v>
      </c>
      <c r="R3" s="2019" t="s">
        <v>1230</v>
      </c>
      <c r="S3" s="2019" t="s">
        <v>1401</v>
      </c>
      <c r="T3" s="1743" t="s">
        <v>1402</v>
      </c>
      <c r="U3" s="1996"/>
      <c r="V3" s="1996"/>
    </row>
    <row r="4" spans="1:22" ht="21.75" customHeight="1">
      <c r="A4" s="2086"/>
      <c r="B4" s="2087"/>
      <c r="C4" s="2089"/>
      <c r="D4" s="2008"/>
      <c r="E4" s="2008"/>
      <c r="F4" s="2007"/>
      <c r="G4" s="2007"/>
      <c r="H4" s="2007"/>
      <c r="I4" s="1107">
        <v>2.5000000000000001E-3</v>
      </c>
      <c r="J4" s="2007"/>
      <c r="K4" s="2007"/>
      <c r="L4" s="2007"/>
      <c r="M4" s="2008"/>
      <c r="N4" s="1999"/>
      <c r="O4" s="1741"/>
      <c r="P4" s="1108">
        <v>2.5000000000000001E-3</v>
      </c>
      <c r="Q4" s="1999"/>
      <c r="R4" s="1999"/>
      <c r="S4" s="1999"/>
      <c r="T4" s="1741"/>
      <c r="U4" s="1997"/>
      <c r="V4" s="1997"/>
    </row>
    <row r="5" spans="1:22" ht="14.25" customHeight="1">
      <c r="A5" s="978"/>
      <c r="B5" s="979"/>
      <c r="C5" s="980">
        <v>1</v>
      </c>
      <c r="D5" s="980">
        <f t="shared" ref="D5" si="0">C5+1</f>
        <v>2</v>
      </c>
      <c r="E5" s="980">
        <f>D5+1</f>
        <v>3</v>
      </c>
      <c r="F5" s="980">
        <f t="shared" ref="F5:V5" si="1">E5+1</f>
        <v>4</v>
      </c>
      <c r="G5" s="980">
        <f t="shared" si="1"/>
        <v>5</v>
      </c>
      <c r="H5" s="980">
        <f t="shared" si="1"/>
        <v>6</v>
      </c>
      <c r="I5" s="980">
        <f t="shared" si="1"/>
        <v>7</v>
      </c>
      <c r="J5" s="980">
        <f t="shared" si="1"/>
        <v>8</v>
      </c>
      <c r="K5" s="980">
        <f t="shared" si="1"/>
        <v>9</v>
      </c>
      <c r="L5" s="980">
        <f t="shared" si="1"/>
        <v>10</v>
      </c>
      <c r="M5" s="980">
        <f t="shared" si="1"/>
        <v>11</v>
      </c>
      <c r="N5" s="980">
        <f t="shared" si="1"/>
        <v>12</v>
      </c>
      <c r="O5" s="980">
        <f t="shared" si="1"/>
        <v>13</v>
      </c>
      <c r="P5" s="980">
        <f t="shared" si="1"/>
        <v>14</v>
      </c>
      <c r="Q5" s="980">
        <f t="shared" si="1"/>
        <v>15</v>
      </c>
      <c r="R5" s="980">
        <f t="shared" si="1"/>
        <v>16</v>
      </c>
      <c r="S5" s="980">
        <f t="shared" si="1"/>
        <v>17</v>
      </c>
      <c r="T5" s="980">
        <f t="shared" si="1"/>
        <v>18</v>
      </c>
      <c r="U5" s="980">
        <f t="shared" si="1"/>
        <v>19</v>
      </c>
      <c r="V5" s="980">
        <f t="shared" si="1"/>
        <v>20</v>
      </c>
    </row>
    <row r="6" spans="1:22" ht="27" customHeight="1">
      <c r="A6" s="1041"/>
      <c r="B6" s="1042"/>
      <c r="C6" s="1042"/>
      <c r="D6" s="1042"/>
      <c r="E6" s="1042"/>
      <c r="F6" s="1042"/>
      <c r="G6" s="1042"/>
      <c r="H6" s="1042"/>
      <c r="I6" s="1042"/>
      <c r="J6" s="1042"/>
      <c r="K6" s="1042"/>
      <c r="L6" s="1042"/>
      <c r="M6" s="1042"/>
      <c r="N6" s="1042"/>
      <c r="O6" s="1042"/>
      <c r="P6" s="1042"/>
      <c r="Q6" s="1042"/>
      <c r="R6" s="1042"/>
      <c r="S6" s="1042"/>
      <c r="T6" s="1042"/>
      <c r="U6" s="1042"/>
      <c r="V6" s="1042"/>
    </row>
    <row r="7" spans="1:22">
      <c r="A7" s="987">
        <v>1</v>
      </c>
      <c r="B7" s="988" t="s">
        <v>95</v>
      </c>
      <c r="C7" s="989">
        <v>0</v>
      </c>
      <c r="D7" s="990">
        <f>'Table 3 Levels 1&amp;2'!BN9+'Table 3 Levels 1&amp;2'!BV9</f>
        <v>4565.2108060165392</v>
      </c>
      <c r="E7" s="1099">
        <f>C7*D7</f>
        <v>0</v>
      </c>
      <c r="F7" s="1099">
        <f>'Table 4 Level 3'!N6</f>
        <v>777.48</v>
      </c>
      <c r="G7" s="1099">
        <f>C7*F7</f>
        <v>0</v>
      </c>
      <c r="H7" s="991">
        <f>E7+G7</f>
        <v>0</v>
      </c>
      <c r="I7" s="1109">
        <f>-(0.25%*H7)</f>
        <v>0</v>
      </c>
      <c r="J7" s="991">
        <f>SUM(H7:I7)</f>
        <v>0</v>
      </c>
      <c r="K7" s="991">
        <v>0</v>
      </c>
      <c r="L7" s="991">
        <f>SUM(J7:K7)</f>
        <v>0</v>
      </c>
      <c r="M7" s="991">
        <f>L7/12</f>
        <v>0</v>
      </c>
      <c r="N7" s="1051">
        <f>'[18]FY2012-13 Final'!K8</f>
        <v>2112</v>
      </c>
      <c r="O7" s="992">
        <f>C7*N7</f>
        <v>0</v>
      </c>
      <c r="P7" s="1117">
        <f>-(0.25%*O7)</f>
        <v>0</v>
      </c>
      <c r="Q7" s="992">
        <f>SUM(O7:P7)</f>
        <v>0</v>
      </c>
      <c r="R7" s="992">
        <v>0</v>
      </c>
      <c r="S7" s="992">
        <f>SUM(Q7:R7)</f>
        <v>0</v>
      </c>
      <c r="T7" s="992">
        <f>S7/12</f>
        <v>0</v>
      </c>
      <c r="U7" s="993">
        <f>L7+S7</f>
        <v>0</v>
      </c>
      <c r="V7" s="993">
        <f>M7+T7</f>
        <v>0</v>
      </c>
    </row>
    <row r="8" spans="1:22">
      <c r="A8" s="994">
        <v>2</v>
      </c>
      <c r="B8" s="995" t="s">
        <v>96</v>
      </c>
      <c r="C8" s="1193">
        <v>0</v>
      </c>
      <c r="D8" s="997">
        <f>'Table 3 Levels 1&amp;2'!BN10+'Table 3 Levels 1&amp;2'!BV10</f>
        <v>6132.0480322513831</v>
      </c>
      <c r="E8" s="1100">
        <f t="shared" ref="E8:E71" si="2">C8*D8</f>
        <v>0</v>
      </c>
      <c r="F8" s="1100">
        <f>'Table 4 Level 3'!N7</f>
        <v>842.32</v>
      </c>
      <c r="G8" s="1100">
        <f t="shared" ref="G8:G71" si="3">C8*F8</f>
        <v>0</v>
      </c>
      <c r="H8" s="1052">
        <f t="shared" ref="H8:H71" si="4">E8+G8</f>
        <v>0</v>
      </c>
      <c r="I8" s="1110">
        <f t="shared" ref="I8:I71" si="5">-(0.25%*H8)</f>
        <v>0</v>
      </c>
      <c r="J8" s="1052">
        <f t="shared" ref="J8:J71" si="6">SUM(H8:I8)</f>
        <v>0</v>
      </c>
      <c r="K8" s="1052">
        <v>0</v>
      </c>
      <c r="L8" s="1052">
        <f t="shared" ref="L8:L71" si="7">SUM(J8:K8)</f>
        <v>0</v>
      </c>
      <c r="M8" s="1052">
        <f t="shared" ref="M8:M71" si="8">L8/12</f>
        <v>0</v>
      </c>
      <c r="N8" s="1051">
        <f>'[18]FY2012-13 Final'!K9</f>
        <v>2584</v>
      </c>
      <c r="O8" s="1053">
        <f t="shared" ref="O8:O71" si="9">C8*N8</f>
        <v>0</v>
      </c>
      <c r="P8" s="1118">
        <f t="shared" ref="P8:P71" si="10">-(0.25%*O8)</f>
        <v>0</v>
      </c>
      <c r="Q8" s="1053">
        <f t="shared" ref="Q8:Q71" si="11">SUM(O8:P8)</f>
        <v>0</v>
      </c>
      <c r="R8" s="1053">
        <v>0</v>
      </c>
      <c r="S8" s="1053">
        <f t="shared" ref="S8:S71" si="12">SUM(Q8:R8)</f>
        <v>0</v>
      </c>
      <c r="T8" s="1053">
        <f t="shared" ref="T8:T71" si="13">S8/12</f>
        <v>0</v>
      </c>
      <c r="U8" s="1054">
        <f t="shared" ref="U8:V71" si="14">L8+S8</f>
        <v>0</v>
      </c>
      <c r="V8" s="1054">
        <f t="shared" si="14"/>
        <v>0</v>
      </c>
    </row>
    <row r="9" spans="1:22">
      <c r="A9" s="994">
        <v>3</v>
      </c>
      <c r="B9" s="995" t="s">
        <v>97</v>
      </c>
      <c r="C9" s="1193">
        <v>0</v>
      </c>
      <c r="D9" s="997">
        <f>'Table 3 Levels 1&amp;2'!BN11+'Table 3 Levels 1&amp;2'!BV11</f>
        <v>4186.9626187036429</v>
      </c>
      <c r="E9" s="1100">
        <f t="shared" si="2"/>
        <v>0</v>
      </c>
      <c r="F9" s="1100">
        <f>'Table 4 Level 3'!N8</f>
        <v>596.84</v>
      </c>
      <c r="G9" s="1100">
        <f t="shared" si="3"/>
        <v>0</v>
      </c>
      <c r="H9" s="1052">
        <f t="shared" si="4"/>
        <v>0</v>
      </c>
      <c r="I9" s="1110">
        <f t="shared" si="5"/>
        <v>0</v>
      </c>
      <c r="J9" s="1052">
        <f t="shared" si="6"/>
        <v>0</v>
      </c>
      <c r="K9" s="1052">
        <v>0</v>
      </c>
      <c r="L9" s="1052">
        <f t="shared" si="7"/>
        <v>0</v>
      </c>
      <c r="M9" s="1052">
        <f t="shared" si="8"/>
        <v>0</v>
      </c>
      <c r="N9" s="1051">
        <f>'[18]FY2012-13 Final'!K10</f>
        <v>4966</v>
      </c>
      <c r="O9" s="1053">
        <f t="shared" si="9"/>
        <v>0</v>
      </c>
      <c r="P9" s="1118">
        <f t="shared" si="10"/>
        <v>0</v>
      </c>
      <c r="Q9" s="1053">
        <f t="shared" si="11"/>
        <v>0</v>
      </c>
      <c r="R9" s="1053">
        <v>0</v>
      </c>
      <c r="S9" s="1053">
        <f t="shared" si="12"/>
        <v>0</v>
      </c>
      <c r="T9" s="1053">
        <f t="shared" si="13"/>
        <v>0</v>
      </c>
      <c r="U9" s="1054">
        <f t="shared" si="14"/>
        <v>0</v>
      </c>
      <c r="V9" s="1054">
        <f t="shared" si="14"/>
        <v>0</v>
      </c>
    </row>
    <row r="10" spans="1:22">
      <c r="A10" s="994">
        <v>4</v>
      </c>
      <c r="B10" s="995" t="s">
        <v>98</v>
      </c>
      <c r="C10" s="1193">
        <v>0</v>
      </c>
      <c r="D10" s="997">
        <f>'Table 3 Levels 1&amp;2'!BN12+'Table 3 Levels 1&amp;2'!BV12</f>
        <v>5918.8798759182582</v>
      </c>
      <c r="E10" s="1100">
        <f t="shared" si="2"/>
        <v>0</v>
      </c>
      <c r="F10" s="1100">
        <f>'Table 4 Level 3'!N9</f>
        <v>585.76</v>
      </c>
      <c r="G10" s="1100">
        <f t="shared" si="3"/>
        <v>0</v>
      </c>
      <c r="H10" s="1052">
        <f t="shared" si="4"/>
        <v>0</v>
      </c>
      <c r="I10" s="1110">
        <f t="shared" si="5"/>
        <v>0</v>
      </c>
      <c r="J10" s="1052">
        <f t="shared" si="6"/>
        <v>0</v>
      </c>
      <c r="K10" s="1052">
        <v>0</v>
      </c>
      <c r="L10" s="1052">
        <f t="shared" si="7"/>
        <v>0</v>
      </c>
      <c r="M10" s="1052">
        <f t="shared" si="8"/>
        <v>0</v>
      </c>
      <c r="N10" s="1051">
        <f>'[18]FY2012-13 Final'!K11</f>
        <v>3445</v>
      </c>
      <c r="O10" s="1053">
        <f t="shared" si="9"/>
        <v>0</v>
      </c>
      <c r="P10" s="1118">
        <f t="shared" si="10"/>
        <v>0</v>
      </c>
      <c r="Q10" s="1053">
        <f t="shared" si="11"/>
        <v>0</v>
      </c>
      <c r="R10" s="1053">
        <v>0</v>
      </c>
      <c r="S10" s="1053">
        <f t="shared" si="12"/>
        <v>0</v>
      </c>
      <c r="T10" s="1053">
        <f t="shared" si="13"/>
        <v>0</v>
      </c>
      <c r="U10" s="1054">
        <f t="shared" si="14"/>
        <v>0</v>
      </c>
      <c r="V10" s="1054">
        <f t="shared" si="14"/>
        <v>0</v>
      </c>
    </row>
    <row r="11" spans="1:22">
      <c r="A11" s="998">
        <v>5</v>
      </c>
      <c r="B11" s="999" t="s">
        <v>99</v>
      </c>
      <c r="C11" s="1194">
        <v>0</v>
      </c>
      <c r="D11" s="1001">
        <f>'Table 3 Levels 1&amp;2'!BN13+'Table 3 Levels 1&amp;2'!BV13</f>
        <v>4880.3484353147733</v>
      </c>
      <c r="E11" s="1101">
        <f t="shared" si="2"/>
        <v>0</v>
      </c>
      <c r="F11" s="1101">
        <f>'Table 4 Level 3'!N10</f>
        <v>555.91</v>
      </c>
      <c r="G11" s="1101">
        <f t="shared" si="3"/>
        <v>0</v>
      </c>
      <c r="H11" s="1055">
        <f t="shared" si="4"/>
        <v>0</v>
      </c>
      <c r="I11" s="1111">
        <f t="shared" si="5"/>
        <v>0</v>
      </c>
      <c r="J11" s="1055">
        <f t="shared" si="6"/>
        <v>0</v>
      </c>
      <c r="K11" s="1055">
        <v>0</v>
      </c>
      <c r="L11" s="1055">
        <f t="shared" si="7"/>
        <v>0</v>
      </c>
      <c r="M11" s="1055">
        <f t="shared" si="8"/>
        <v>0</v>
      </c>
      <c r="N11" s="1056">
        <f>'[18]FY2012-13 Final'!K12</f>
        <v>1353</v>
      </c>
      <c r="O11" s="1057">
        <f t="shared" si="9"/>
        <v>0</v>
      </c>
      <c r="P11" s="1119">
        <f t="shared" si="10"/>
        <v>0</v>
      </c>
      <c r="Q11" s="1057">
        <f t="shared" si="11"/>
        <v>0</v>
      </c>
      <c r="R11" s="1057">
        <v>0</v>
      </c>
      <c r="S11" s="1057">
        <f t="shared" si="12"/>
        <v>0</v>
      </c>
      <c r="T11" s="1057">
        <f t="shared" si="13"/>
        <v>0</v>
      </c>
      <c r="U11" s="1058">
        <f t="shared" si="14"/>
        <v>0</v>
      </c>
      <c r="V11" s="1058">
        <f t="shared" si="14"/>
        <v>0</v>
      </c>
    </row>
    <row r="12" spans="1:22">
      <c r="A12" s="987">
        <v>6</v>
      </c>
      <c r="B12" s="988" t="s">
        <v>100</v>
      </c>
      <c r="C12" s="1195">
        <v>0</v>
      </c>
      <c r="D12" s="990">
        <f>'Table 3 Levels 1&amp;2'!BN14+'Table 3 Levels 1&amp;2'!BV14</f>
        <v>5379.7759718479856</v>
      </c>
      <c r="E12" s="1099">
        <f t="shared" si="2"/>
        <v>0</v>
      </c>
      <c r="F12" s="1099">
        <f>'Table 4 Level 3'!N11</f>
        <v>545.4799999999999</v>
      </c>
      <c r="G12" s="1099">
        <f t="shared" si="3"/>
        <v>0</v>
      </c>
      <c r="H12" s="991">
        <f t="shared" si="4"/>
        <v>0</v>
      </c>
      <c r="I12" s="1109">
        <f t="shared" si="5"/>
        <v>0</v>
      </c>
      <c r="J12" s="991">
        <f t="shared" si="6"/>
        <v>0</v>
      </c>
      <c r="K12" s="991">
        <v>0</v>
      </c>
      <c r="L12" s="991">
        <f t="shared" si="7"/>
        <v>0</v>
      </c>
      <c r="M12" s="991">
        <f t="shared" si="8"/>
        <v>0</v>
      </c>
      <c r="N12" s="1051">
        <f>'[18]FY2012-13 Final'!K13</f>
        <v>3576</v>
      </c>
      <c r="O12" s="992">
        <f t="shared" si="9"/>
        <v>0</v>
      </c>
      <c r="P12" s="1117">
        <f t="shared" si="10"/>
        <v>0</v>
      </c>
      <c r="Q12" s="992">
        <f t="shared" si="11"/>
        <v>0</v>
      </c>
      <c r="R12" s="992">
        <v>0</v>
      </c>
      <c r="S12" s="992">
        <f t="shared" si="12"/>
        <v>0</v>
      </c>
      <c r="T12" s="992">
        <f t="shared" si="13"/>
        <v>0</v>
      </c>
      <c r="U12" s="993">
        <f t="shared" si="14"/>
        <v>0</v>
      </c>
      <c r="V12" s="993">
        <f t="shared" si="14"/>
        <v>0</v>
      </c>
    </row>
    <row r="13" spans="1:22">
      <c r="A13" s="994">
        <v>7</v>
      </c>
      <c r="B13" s="995" t="s">
        <v>101</v>
      </c>
      <c r="C13" s="1193">
        <v>0</v>
      </c>
      <c r="D13" s="997">
        <f>'Table 3 Levels 1&amp;2'!BN15+'Table 3 Levels 1&amp;2'!BV15</f>
        <v>1698.1351763907733</v>
      </c>
      <c r="E13" s="1100">
        <f t="shared" si="2"/>
        <v>0</v>
      </c>
      <c r="F13" s="1100">
        <f>'Table 4 Level 3'!N12</f>
        <v>756.91999999999985</v>
      </c>
      <c r="G13" s="1100">
        <f t="shared" si="3"/>
        <v>0</v>
      </c>
      <c r="H13" s="1052">
        <f t="shared" si="4"/>
        <v>0</v>
      </c>
      <c r="I13" s="1110">
        <f t="shared" si="5"/>
        <v>0</v>
      </c>
      <c r="J13" s="1052">
        <f t="shared" si="6"/>
        <v>0</v>
      </c>
      <c r="K13" s="1052">
        <v>0</v>
      </c>
      <c r="L13" s="1052">
        <f t="shared" si="7"/>
        <v>0</v>
      </c>
      <c r="M13" s="1052">
        <f t="shared" si="8"/>
        <v>0</v>
      </c>
      <c r="N13" s="1051">
        <f>'[18]FY2012-13 Final'!K14</f>
        <v>12465</v>
      </c>
      <c r="O13" s="1053">
        <f t="shared" si="9"/>
        <v>0</v>
      </c>
      <c r="P13" s="1118">
        <f t="shared" si="10"/>
        <v>0</v>
      </c>
      <c r="Q13" s="1053">
        <f t="shared" si="11"/>
        <v>0</v>
      </c>
      <c r="R13" s="1053">
        <v>0</v>
      </c>
      <c r="S13" s="1053">
        <f t="shared" si="12"/>
        <v>0</v>
      </c>
      <c r="T13" s="1053">
        <f t="shared" si="13"/>
        <v>0</v>
      </c>
      <c r="U13" s="1054">
        <f t="shared" si="14"/>
        <v>0</v>
      </c>
      <c r="V13" s="1054">
        <f t="shared" si="14"/>
        <v>0</v>
      </c>
    </row>
    <row r="14" spans="1:22">
      <c r="A14" s="994">
        <v>8</v>
      </c>
      <c r="B14" s="995" t="s">
        <v>102</v>
      </c>
      <c r="C14" s="1193">
        <v>0</v>
      </c>
      <c r="D14" s="997">
        <f>'Table 3 Levels 1&amp;2'!BN16+'Table 3 Levels 1&amp;2'!BV16</f>
        <v>4239.8578920718974</v>
      </c>
      <c r="E14" s="1100">
        <f t="shared" si="2"/>
        <v>0</v>
      </c>
      <c r="F14" s="1100">
        <f>'Table 4 Level 3'!N13</f>
        <v>725.76</v>
      </c>
      <c r="G14" s="1100">
        <f t="shared" si="3"/>
        <v>0</v>
      </c>
      <c r="H14" s="1052">
        <f t="shared" si="4"/>
        <v>0</v>
      </c>
      <c r="I14" s="1110">
        <f t="shared" si="5"/>
        <v>0</v>
      </c>
      <c r="J14" s="1052">
        <f t="shared" si="6"/>
        <v>0</v>
      </c>
      <c r="K14" s="1052">
        <v>0</v>
      </c>
      <c r="L14" s="1052">
        <f t="shared" si="7"/>
        <v>0</v>
      </c>
      <c r="M14" s="1052">
        <f t="shared" si="8"/>
        <v>0</v>
      </c>
      <c r="N14" s="1051">
        <f>'[18]FY2012-13 Final'!K15</f>
        <v>4184</v>
      </c>
      <c r="O14" s="1053">
        <f t="shared" si="9"/>
        <v>0</v>
      </c>
      <c r="P14" s="1118">
        <f t="shared" si="10"/>
        <v>0</v>
      </c>
      <c r="Q14" s="1053">
        <f t="shared" si="11"/>
        <v>0</v>
      </c>
      <c r="R14" s="1053">
        <v>0</v>
      </c>
      <c r="S14" s="1053">
        <f t="shared" si="12"/>
        <v>0</v>
      </c>
      <c r="T14" s="1053">
        <f t="shared" si="13"/>
        <v>0</v>
      </c>
      <c r="U14" s="1054">
        <f t="shared" si="14"/>
        <v>0</v>
      </c>
      <c r="V14" s="1054">
        <f t="shared" si="14"/>
        <v>0</v>
      </c>
    </row>
    <row r="15" spans="1:22">
      <c r="A15" s="994">
        <v>9</v>
      </c>
      <c r="B15" s="995" t="s">
        <v>103</v>
      </c>
      <c r="C15" s="1193">
        <v>0</v>
      </c>
      <c r="D15" s="997">
        <f>'Table 3 Levels 1&amp;2'!BN17+'Table 3 Levels 1&amp;2'!BV17</f>
        <v>4361.2752875373017</v>
      </c>
      <c r="E15" s="1100">
        <f t="shared" si="2"/>
        <v>0</v>
      </c>
      <c r="F15" s="1100">
        <f>'Table 4 Level 3'!N14</f>
        <v>744.76</v>
      </c>
      <c r="G15" s="1100">
        <f t="shared" si="3"/>
        <v>0</v>
      </c>
      <c r="H15" s="1052">
        <f t="shared" si="4"/>
        <v>0</v>
      </c>
      <c r="I15" s="1110">
        <f t="shared" si="5"/>
        <v>0</v>
      </c>
      <c r="J15" s="1052">
        <f t="shared" si="6"/>
        <v>0</v>
      </c>
      <c r="K15" s="1052">
        <v>0</v>
      </c>
      <c r="L15" s="1052">
        <f t="shared" si="7"/>
        <v>0</v>
      </c>
      <c r="M15" s="1052">
        <f t="shared" si="8"/>
        <v>0</v>
      </c>
      <c r="N15" s="1051">
        <f>'[18]FY2012-13 Final'!K16</f>
        <v>4640</v>
      </c>
      <c r="O15" s="1053">
        <f t="shared" si="9"/>
        <v>0</v>
      </c>
      <c r="P15" s="1118">
        <f t="shared" si="10"/>
        <v>0</v>
      </c>
      <c r="Q15" s="1053">
        <f t="shared" si="11"/>
        <v>0</v>
      </c>
      <c r="R15" s="1053">
        <v>0</v>
      </c>
      <c r="S15" s="1053">
        <f t="shared" si="12"/>
        <v>0</v>
      </c>
      <c r="T15" s="1053">
        <f t="shared" si="13"/>
        <v>0</v>
      </c>
      <c r="U15" s="1054">
        <f t="shared" si="14"/>
        <v>0</v>
      </c>
      <c r="V15" s="1054">
        <f t="shared" si="14"/>
        <v>0</v>
      </c>
    </row>
    <row r="16" spans="1:22">
      <c r="A16" s="998">
        <v>10</v>
      </c>
      <c r="B16" s="999" t="s">
        <v>104</v>
      </c>
      <c r="C16" s="1194">
        <v>300</v>
      </c>
      <c r="D16" s="1001">
        <f>'Table 3 Levels 1&amp;2'!BN18+'Table 3 Levels 1&amp;2'!BV18</f>
        <v>4179.4641652904756</v>
      </c>
      <c r="E16" s="1101">
        <f t="shared" si="2"/>
        <v>1253839.2495871426</v>
      </c>
      <c r="F16" s="1101">
        <f>'Table 4 Level 3'!N15</f>
        <v>608.04000000000008</v>
      </c>
      <c r="G16" s="1101">
        <f t="shared" si="3"/>
        <v>182412.00000000003</v>
      </c>
      <c r="H16" s="1055">
        <f t="shared" si="4"/>
        <v>1436251.2495871426</v>
      </c>
      <c r="I16" s="1111">
        <f t="shared" si="5"/>
        <v>-3590.6281239678565</v>
      </c>
      <c r="J16" s="1055">
        <f t="shared" si="6"/>
        <v>1432660.6214631747</v>
      </c>
      <c r="K16" s="1055">
        <v>0</v>
      </c>
      <c r="L16" s="1055">
        <f t="shared" si="7"/>
        <v>1432660.6214631747</v>
      </c>
      <c r="M16" s="1055">
        <f t="shared" si="8"/>
        <v>119388.38512193122</v>
      </c>
      <c r="N16" s="1056">
        <f>'[18]FY2012-13 Final'!K17</f>
        <v>4391</v>
      </c>
      <c r="O16" s="1057">
        <f t="shared" si="9"/>
        <v>1317300</v>
      </c>
      <c r="P16" s="1119">
        <f t="shared" si="10"/>
        <v>-3293.25</v>
      </c>
      <c r="Q16" s="1057">
        <f t="shared" si="11"/>
        <v>1314006.75</v>
      </c>
      <c r="R16" s="1057">
        <v>0</v>
      </c>
      <c r="S16" s="1057">
        <f t="shared" si="12"/>
        <v>1314006.75</v>
      </c>
      <c r="T16" s="1057">
        <f t="shared" si="13"/>
        <v>109500.5625</v>
      </c>
      <c r="U16" s="1058">
        <f t="shared" si="14"/>
        <v>2746667.3714631749</v>
      </c>
      <c r="V16" s="1058">
        <f t="shared" si="14"/>
        <v>228888.94762193121</v>
      </c>
    </row>
    <row r="17" spans="1:22">
      <c r="A17" s="987">
        <v>11</v>
      </c>
      <c r="B17" s="988" t="s">
        <v>105</v>
      </c>
      <c r="C17" s="1195">
        <v>0</v>
      </c>
      <c r="D17" s="990">
        <f>'Table 3 Levels 1&amp;2'!BN19+'Table 3 Levels 1&amp;2'!BV19</f>
        <v>6825.0221851487568</v>
      </c>
      <c r="E17" s="1099">
        <f t="shared" si="2"/>
        <v>0</v>
      </c>
      <c r="F17" s="1099">
        <f>'Table 4 Level 3'!N16</f>
        <v>706.55</v>
      </c>
      <c r="G17" s="1099">
        <f t="shared" si="3"/>
        <v>0</v>
      </c>
      <c r="H17" s="991">
        <f t="shared" si="4"/>
        <v>0</v>
      </c>
      <c r="I17" s="1109">
        <f t="shared" si="5"/>
        <v>0</v>
      </c>
      <c r="J17" s="991">
        <f t="shared" si="6"/>
        <v>0</v>
      </c>
      <c r="K17" s="991">
        <v>0</v>
      </c>
      <c r="L17" s="991">
        <f t="shared" si="7"/>
        <v>0</v>
      </c>
      <c r="M17" s="991">
        <f t="shared" si="8"/>
        <v>0</v>
      </c>
      <c r="N17" s="1051">
        <f>'[18]FY2012-13 Final'!K18</f>
        <v>3430</v>
      </c>
      <c r="O17" s="992">
        <f t="shared" si="9"/>
        <v>0</v>
      </c>
      <c r="P17" s="1117">
        <f t="shared" si="10"/>
        <v>0</v>
      </c>
      <c r="Q17" s="992">
        <f t="shared" si="11"/>
        <v>0</v>
      </c>
      <c r="R17" s="992">
        <v>0</v>
      </c>
      <c r="S17" s="992">
        <f t="shared" si="12"/>
        <v>0</v>
      </c>
      <c r="T17" s="992">
        <f t="shared" si="13"/>
        <v>0</v>
      </c>
      <c r="U17" s="993">
        <f t="shared" si="14"/>
        <v>0</v>
      </c>
      <c r="V17" s="993">
        <f t="shared" si="14"/>
        <v>0</v>
      </c>
    </row>
    <row r="18" spans="1:22">
      <c r="A18" s="994">
        <v>12</v>
      </c>
      <c r="B18" s="995" t="s">
        <v>106</v>
      </c>
      <c r="C18" s="1193">
        <v>0</v>
      </c>
      <c r="D18" s="997">
        <f>'Table 3 Levels 1&amp;2'!BN20+'Table 3 Levels 1&amp;2'!BV20</f>
        <v>1688.0492586490939</v>
      </c>
      <c r="E18" s="1100">
        <f t="shared" si="2"/>
        <v>0</v>
      </c>
      <c r="F18" s="1100">
        <f>'Table 4 Level 3'!N17</f>
        <v>1063.31</v>
      </c>
      <c r="G18" s="1100">
        <f t="shared" si="3"/>
        <v>0</v>
      </c>
      <c r="H18" s="1052">
        <f t="shared" si="4"/>
        <v>0</v>
      </c>
      <c r="I18" s="1110">
        <f t="shared" si="5"/>
        <v>0</v>
      </c>
      <c r="J18" s="1052">
        <f t="shared" si="6"/>
        <v>0</v>
      </c>
      <c r="K18" s="1052">
        <v>0</v>
      </c>
      <c r="L18" s="1052">
        <f t="shared" si="7"/>
        <v>0</v>
      </c>
      <c r="M18" s="1052">
        <f t="shared" si="8"/>
        <v>0</v>
      </c>
      <c r="N18" s="1051">
        <f>'[18]FY2012-13 Final'!K19</f>
        <v>12558</v>
      </c>
      <c r="O18" s="1053">
        <f t="shared" si="9"/>
        <v>0</v>
      </c>
      <c r="P18" s="1118">
        <f t="shared" si="10"/>
        <v>0</v>
      </c>
      <c r="Q18" s="1053">
        <f t="shared" si="11"/>
        <v>0</v>
      </c>
      <c r="R18" s="1053">
        <v>0</v>
      </c>
      <c r="S18" s="1053">
        <f t="shared" si="12"/>
        <v>0</v>
      </c>
      <c r="T18" s="1053">
        <f t="shared" si="13"/>
        <v>0</v>
      </c>
      <c r="U18" s="1054">
        <f t="shared" si="14"/>
        <v>0</v>
      </c>
      <c r="V18" s="1054">
        <f t="shared" si="14"/>
        <v>0</v>
      </c>
    </row>
    <row r="19" spans="1:22">
      <c r="A19" s="994">
        <v>13</v>
      </c>
      <c r="B19" s="995" t="s">
        <v>107</v>
      </c>
      <c r="C19" s="1193">
        <v>0</v>
      </c>
      <c r="D19" s="997">
        <f>'Table 3 Levels 1&amp;2'!BN21+'Table 3 Levels 1&amp;2'!BV21</f>
        <v>6187.1651272387344</v>
      </c>
      <c r="E19" s="1100">
        <f t="shared" si="2"/>
        <v>0</v>
      </c>
      <c r="F19" s="1100">
        <f>'Table 4 Level 3'!N18</f>
        <v>749.43000000000006</v>
      </c>
      <c r="G19" s="1100">
        <f t="shared" si="3"/>
        <v>0</v>
      </c>
      <c r="H19" s="1052">
        <f t="shared" si="4"/>
        <v>0</v>
      </c>
      <c r="I19" s="1110">
        <f t="shared" si="5"/>
        <v>0</v>
      </c>
      <c r="J19" s="1052">
        <f t="shared" si="6"/>
        <v>0</v>
      </c>
      <c r="K19" s="1052">
        <v>0</v>
      </c>
      <c r="L19" s="1052">
        <f t="shared" si="7"/>
        <v>0</v>
      </c>
      <c r="M19" s="1052">
        <f t="shared" si="8"/>
        <v>0</v>
      </c>
      <c r="N19" s="1051">
        <f>'[18]FY2012-13 Final'!K20</f>
        <v>2536</v>
      </c>
      <c r="O19" s="1053">
        <f t="shared" si="9"/>
        <v>0</v>
      </c>
      <c r="P19" s="1118">
        <f t="shared" si="10"/>
        <v>0</v>
      </c>
      <c r="Q19" s="1053">
        <f t="shared" si="11"/>
        <v>0</v>
      </c>
      <c r="R19" s="1053">
        <v>0</v>
      </c>
      <c r="S19" s="1053">
        <f t="shared" si="12"/>
        <v>0</v>
      </c>
      <c r="T19" s="1053">
        <f t="shared" si="13"/>
        <v>0</v>
      </c>
      <c r="U19" s="1054">
        <f t="shared" si="14"/>
        <v>0</v>
      </c>
      <c r="V19" s="1054">
        <f t="shared" si="14"/>
        <v>0</v>
      </c>
    </row>
    <row r="20" spans="1:22">
      <c r="A20" s="994">
        <v>14</v>
      </c>
      <c r="B20" s="995" t="s">
        <v>108</v>
      </c>
      <c r="C20" s="1193">
        <v>0</v>
      </c>
      <c r="D20" s="997">
        <f>'Table 3 Levels 1&amp;2'!BN22+'Table 3 Levels 1&amp;2'!BV22</f>
        <v>5339.1887414618923</v>
      </c>
      <c r="E20" s="1100">
        <f t="shared" si="2"/>
        <v>0</v>
      </c>
      <c r="F20" s="1100">
        <f>'Table 4 Level 3'!N19</f>
        <v>809.9799999999999</v>
      </c>
      <c r="G20" s="1100">
        <f t="shared" si="3"/>
        <v>0</v>
      </c>
      <c r="H20" s="1052">
        <f t="shared" si="4"/>
        <v>0</v>
      </c>
      <c r="I20" s="1110">
        <f t="shared" si="5"/>
        <v>0</v>
      </c>
      <c r="J20" s="1052">
        <f t="shared" si="6"/>
        <v>0</v>
      </c>
      <c r="K20" s="1052">
        <v>0</v>
      </c>
      <c r="L20" s="1052">
        <f t="shared" si="7"/>
        <v>0</v>
      </c>
      <c r="M20" s="1052">
        <f t="shared" si="8"/>
        <v>0</v>
      </c>
      <c r="N20" s="1051">
        <f>'[18]FY2012-13 Final'!K21</f>
        <v>3888</v>
      </c>
      <c r="O20" s="1053">
        <f t="shared" si="9"/>
        <v>0</v>
      </c>
      <c r="P20" s="1118">
        <f t="shared" si="10"/>
        <v>0</v>
      </c>
      <c r="Q20" s="1053">
        <f t="shared" si="11"/>
        <v>0</v>
      </c>
      <c r="R20" s="1053">
        <v>0</v>
      </c>
      <c r="S20" s="1053">
        <f t="shared" si="12"/>
        <v>0</v>
      </c>
      <c r="T20" s="1053">
        <f t="shared" si="13"/>
        <v>0</v>
      </c>
      <c r="U20" s="1054">
        <f t="shared" si="14"/>
        <v>0</v>
      </c>
      <c r="V20" s="1054">
        <f t="shared" si="14"/>
        <v>0</v>
      </c>
    </row>
    <row r="21" spans="1:22">
      <c r="A21" s="998">
        <v>15</v>
      </c>
      <c r="B21" s="999" t="s">
        <v>109</v>
      </c>
      <c r="C21" s="1194">
        <v>0</v>
      </c>
      <c r="D21" s="1001">
        <f>'Table 3 Levels 1&amp;2'!BN23+'Table 3 Levels 1&amp;2'!BV23</f>
        <v>5492.5789412344011</v>
      </c>
      <c r="E21" s="1101">
        <f t="shared" si="2"/>
        <v>0</v>
      </c>
      <c r="F21" s="1101">
        <f>'Table 4 Level 3'!N20</f>
        <v>553.79999999999995</v>
      </c>
      <c r="G21" s="1101">
        <f t="shared" si="3"/>
        <v>0</v>
      </c>
      <c r="H21" s="1055">
        <f t="shared" si="4"/>
        <v>0</v>
      </c>
      <c r="I21" s="1111">
        <f t="shared" si="5"/>
        <v>0</v>
      </c>
      <c r="J21" s="1055">
        <f t="shared" si="6"/>
        <v>0</v>
      </c>
      <c r="K21" s="1055">
        <v>0</v>
      </c>
      <c r="L21" s="1055">
        <f t="shared" si="7"/>
        <v>0</v>
      </c>
      <c r="M21" s="1055">
        <f t="shared" si="8"/>
        <v>0</v>
      </c>
      <c r="N21" s="1056">
        <f>'[18]FY2012-13 Final'!K22</f>
        <v>2752</v>
      </c>
      <c r="O21" s="1057">
        <f t="shared" si="9"/>
        <v>0</v>
      </c>
      <c r="P21" s="1119">
        <f t="shared" si="10"/>
        <v>0</v>
      </c>
      <c r="Q21" s="1057">
        <f t="shared" si="11"/>
        <v>0</v>
      </c>
      <c r="R21" s="1057">
        <v>0</v>
      </c>
      <c r="S21" s="1057">
        <f t="shared" si="12"/>
        <v>0</v>
      </c>
      <c r="T21" s="1057">
        <f t="shared" si="13"/>
        <v>0</v>
      </c>
      <c r="U21" s="1058">
        <f t="shared" si="14"/>
        <v>0</v>
      </c>
      <c r="V21" s="1058">
        <f t="shared" si="14"/>
        <v>0</v>
      </c>
    </row>
    <row r="22" spans="1:22">
      <c r="A22" s="987">
        <v>16</v>
      </c>
      <c r="B22" s="988" t="s">
        <v>110</v>
      </c>
      <c r="C22" s="1195">
        <v>0</v>
      </c>
      <c r="D22" s="990">
        <f>'Table 3 Levels 1&amp;2'!BN24+'Table 3 Levels 1&amp;2'!BV24</f>
        <v>1506.1153407945151</v>
      </c>
      <c r="E22" s="1099">
        <f t="shared" si="2"/>
        <v>0</v>
      </c>
      <c r="F22" s="1099">
        <f>'Table 4 Level 3'!N21</f>
        <v>686.73</v>
      </c>
      <c r="G22" s="1099">
        <f t="shared" si="3"/>
        <v>0</v>
      </c>
      <c r="H22" s="991">
        <f t="shared" si="4"/>
        <v>0</v>
      </c>
      <c r="I22" s="1109">
        <f t="shared" si="5"/>
        <v>0</v>
      </c>
      <c r="J22" s="991">
        <f t="shared" si="6"/>
        <v>0</v>
      </c>
      <c r="K22" s="991">
        <v>0</v>
      </c>
      <c r="L22" s="991">
        <f t="shared" si="7"/>
        <v>0</v>
      </c>
      <c r="M22" s="991">
        <f t="shared" si="8"/>
        <v>0</v>
      </c>
      <c r="N22" s="1051">
        <f>'[18]FY2012-13 Final'!K23</f>
        <v>15092</v>
      </c>
      <c r="O22" s="992">
        <f t="shared" si="9"/>
        <v>0</v>
      </c>
      <c r="P22" s="1117">
        <f t="shared" si="10"/>
        <v>0</v>
      </c>
      <c r="Q22" s="992">
        <f t="shared" si="11"/>
        <v>0</v>
      </c>
      <c r="R22" s="992">
        <v>0</v>
      </c>
      <c r="S22" s="992">
        <f t="shared" si="12"/>
        <v>0</v>
      </c>
      <c r="T22" s="992">
        <f t="shared" si="13"/>
        <v>0</v>
      </c>
      <c r="U22" s="993">
        <f t="shared" si="14"/>
        <v>0</v>
      </c>
      <c r="V22" s="993">
        <f t="shared" si="14"/>
        <v>0</v>
      </c>
    </row>
    <row r="23" spans="1:22">
      <c r="A23" s="994">
        <v>17</v>
      </c>
      <c r="B23" s="995" t="s">
        <v>111</v>
      </c>
      <c r="C23" s="1193">
        <v>0</v>
      </c>
      <c r="D23" s="997">
        <f>'Table 3 Levels 1&amp;2'!BN25+'Table 3 Levels 1&amp;2'!BV25</f>
        <v>3311.610845996096</v>
      </c>
      <c r="E23" s="1100">
        <f t="shared" si="2"/>
        <v>0</v>
      </c>
      <c r="F23" s="1100">
        <f>'Table 4 Level 3'!N22</f>
        <v>801.47762416806802</v>
      </c>
      <c r="G23" s="1100">
        <f t="shared" si="3"/>
        <v>0</v>
      </c>
      <c r="H23" s="1052">
        <f t="shared" si="4"/>
        <v>0</v>
      </c>
      <c r="I23" s="1110">
        <f t="shared" si="5"/>
        <v>0</v>
      </c>
      <c r="J23" s="1052">
        <f t="shared" si="6"/>
        <v>0</v>
      </c>
      <c r="K23" s="1052">
        <v>0</v>
      </c>
      <c r="L23" s="1052">
        <f t="shared" si="7"/>
        <v>0</v>
      </c>
      <c r="M23" s="1052">
        <f t="shared" si="8"/>
        <v>0</v>
      </c>
      <c r="N23" s="1051">
        <f>'[18]FY2012-13 Final'!K24</f>
        <v>6551</v>
      </c>
      <c r="O23" s="1053">
        <f t="shared" si="9"/>
        <v>0</v>
      </c>
      <c r="P23" s="1118">
        <f t="shared" si="10"/>
        <v>0</v>
      </c>
      <c r="Q23" s="1053">
        <f t="shared" si="11"/>
        <v>0</v>
      </c>
      <c r="R23" s="1053">
        <v>0</v>
      </c>
      <c r="S23" s="1053">
        <f t="shared" si="12"/>
        <v>0</v>
      </c>
      <c r="T23" s="1053">
        <f t="shared" si="13"/>
        <v>0</v>
      </c>
      <c r="U23" s="1054">
        <f t="shared" si="14"/>
        <v>0</v>
      </c>
      <c r="V23" s="1054">
        <f t="shared" si="14"/>
        <v>0</v>
      </c>
    </row>
    <row r="24" spans="1:22">
      <c r="A24" s="994">
        <v>18</v>
      </c>
      <c r="B24" s="995" t="s">
        <v>112</v>
      </c>
      <c r="C24" s="1193">
        <v>0</v>
      </c>
      <c r="D24" s="997">
        <f>'Table 3 Levels 1&amp;2'!BN26+'Table 3 Levels 1&amp;2'!BV26</f>
        <v>5964.3490202032081</v>
      </c>
      <c r="E24" s="1100">
        <f t="shared" si="2"/>
        <v>0</v>
      </c>
      <c r="F24" s="1100">
        <f>'Table 4 Level 3'!N23</f>
        <v>845.94999999999993</v>
      </c>
      <c r="G24" s="1100">
        <f t="shared" si="3"/>
        <v>0</v>
      </c>
      <c r="H24" s="1052">
        <f t="shared" si="4"/>
        <v>0</v>
      </c>
      <c r="I24" s="1110">
        <f t="shared" si="5"/>
        <v>0</v>
      </c>
      <c r="J24" s="1052">
        <f t="shared" si="6"/>
        <v>0</v>
      </c>
      <c r="K24" s="1052">
        <v>0</v>
      </c>
      <c r="L24" s="1052">
        <f t="shared" si="7"/>
        <v>0</v>
      </c>
      <c r="M24" s="1052">
        <f t="shared" si="8"/>
        <v>0</v>
      </c>
      <c r="N24" s="1051">
        <f>'[18]FY2012-13 Final'!K25</f>
        <v>2165</v>
      </c>
      <c r="O24" s="1053">
        <f t="shared" si="9"/>
        <v>0</v>
      </c>
      <c r="P24" s="1118">
        <f t="shared" si="10"/>
        <v>0</v>
      </c>
      <c r="Q24" s="1053">
        <f t="shared" si="11"/>
        <v>0</v>
      </c>
      <c r="R24" s="1053">
        <v>0</v>
      </c>
      <c r="S24" s="1053">
        <f t="shared" si="12"/>
        <v>0</v>
      </c>
      <c r="T24" s="1053">
        <f t="shared" si="13"/>
        <v>0</v>
      </c>
      <c r="U24" s="1054">
        <f t="shared" si="14"/>
        <v>0</v>
      </c>
      <c r="V24" s="1054">
        <f t="shared" si="14"/>
        <v>0</v>
      </c>
    </row>
    <row r="25" spans="1:22">
      <c r="A25" s="994">
        <v>19</v>
      </c>
      <c r="B25" s="995" t="s">
        <v>113</v>
      </c>
      <c r="C25" s="1193">
        <v>0</v>
      </c>
      <c r="D25" s="997">
        <f>'Table 3 Levels 1&amp;2'!BN27+'Table 3 Levels 1&amp;2'!BV27</f>
        <v>5283.1088158476596</v>
      </c>
      <c r="E25" s="1100">
        <f t="shared" si="2"/>
        <v>0</v>
      </c>
      <c r="F25" s="1100">
        <f>'Table 4 Level 3'!N24</f>
        <v>905.43</v>
      </c>
      <c r="G25" s="1100">
        <f t="shared" si="3"/>
        <v>0</v>
      </c>
      <c r="H25" s="1052">
        <f t="shared" si="4"/>
        <v>0</v>
      </c>
      <c r="I25" s="1110">
        <f t="shared" si="5"/>
        <v>0</v>
      </c>
      <c r="J25" s="1052">
        <f t="shared" si="6"/>
        <v>0</v>
      </c>
      <c r="K25" s="1052">
        <v>0</v>
      </c>
      <c r="L25" s="1052">
        <f t="shared" si="7"/>
        <v>0</v>
      </c>
      <c r="M25" s="1052">
        <f t="shared" si="8"/>
        <v>0</v>
      </c>
      <c r="N25" s="1051">
        <f>'[18]FY2012-13 Final'!K26</f>
        <v>2729</v>
      </c>
      <c r="O25" s="1053">
        <f t="shared" si="9"/>
        <v>0</v>
      </c>
      <c r="P25" s="1118">
        <f t="shared" si="10"/>
        <v>0</v>
      </c>
      <c r="Q25" s="1053">
        <f t="shared" si="11"/>
        <v>0</v>
      </c>
      <c r="R25" s="1053">
        <v>0</v>
      </c>
      <c r="S25" s="1053">
        <f t="shared" si="12"/>
        <v>0</v>
      </c>
      <c r="T25" s="1053">
        <f t="shared" si="13"/>
        <v>0</v>
      </c>
      <c r="U25" s="1054">
        <f t="shared" si="14"/>
        <v>0</v>
      </c>
      <c r="V25" s="1054">
        <f t="shared" si="14"/>
        <v>0</v>
      </c>
    </row>
    <row r="26" spans="1:22">
      <c r="A26" s="998">
        <v>20</v>
      </c>
      <c r="B26" s="999" t="s">
        <v>114</v>
      </c>
      <c r="C26" s="1194">
        <v>0</v>
      </c>
      <c r="D26" s="1001">
        <f>'Table 3 Levels 1&amp;2'!BN28+'Table 3 Levels 1&amp;2'!BV28</f>
        <v>5389.6047094824808</v>
      </c>
      <c r="E26" s="1101">
        <f t="shared" si="2"/>
        <v>0</v>
      </c>
      <c r="F26" s="1101">
        <f>'Table 4 Level 3'!N25</f>
        <v>586.16999999999996</v>
      </c>
      <c r="G26" s="1101">
        <f t="shared" si="3"/>
        <v>0</v>
      </c>
      <c r="H26" s="1055">
        <f t="shared" si="4"/>
        <v>0</v>
      </c>
      <c r="I26" s="1111">
        <f t="shared" si="5"/>
        <v>0</v>
      </c>
      <c r="J26" s="1055">
        <f t="shared" si="6"/>
        <v>0</v>
      </c>
      <c r="K26" s="1055">
        <v>0</v>
      </c>
      <c r="L26" s="1055">
        <f t="shared" si="7"/>
        <v>0</v>
      </c>
      <c r="M26" s="1055">
        <f t="shared" si="8"/>
        <v>0</v>
      </c>
      <c r="N26" s="1056">
        <f>'[18]FY2012-13 Final'!K27</f>
        <v>2334</v>
      </c>
      <c r="O26" s="1057">
        <f t="shared" si="9"/>
        <v>0</v>
      </c>
      <c r="P26" s="1119">
        <f t="shared" si="10"/>
        <v>0</v>
      </c>
      <c r="Q26" s="1057">
        <f t="shared" si="11"/>
        <v>0</v>
      </c>
      <c r="R26" s="1057">
        <v>0</v>
      </c>
      <c r="S26" s="1057">
        <f t="shared" si="12"/>
        <v>0</v>
      </c>
      <c r="T26" s="1057">
        <f t="shared" si="13"/>
        <v>0</v>
      </c>
      <c r="U26" s="1058">
        <f t="shared" si="14"/>
        <v>0</v>
      </c>
      <c r="V26" s="1058">
        <f t="shared" si="14"/>
        <v>0</v>
      </c>
    </row>
    <row r="27" spans="1:22">
      <c r="A27" s="987">
        <v>21</v>
      </c>
      <c r="B27" s="988" t="s">
        <v>115</v>
      </c>
      <c r="C27" s="1195">
        <v>0</v>
      </c>
      <c r="D27" s="990">
        <f>'Table 3 Levels 1&amp;2'!BN29+'Table 3 Levels 1&amp;2'!BV29</f>
        <v>5659.8229810652783</v>
      </c>
      <c r="E27" s="1099">
        <f t="shared" si="2"/>
        <v>0</v>
      </c>
      <c r="F27" s="1099">
        <f>'Table 4 Level 3'!N26</f>
        <v>610.35</v>
      </c>
      <c r="G27" s="1099">
        <f t="shared" si="3"/>
        <v>0</v>
      </c>
      <c r="H27" s="991">
        <f t="shared" si="4"/>
        <v>0</v>
      </c>
      <c r="I27" s="1109">
        <f t="shared" si="5"/>
        <v>0</v>
      </c>
      <c r="J27" s="991">
        <f t="shared" si="6"/>
        <v>0</v>
      </c>
      <c r="K27" s="991">
        <v>0</v>
      </c>
      <c r="L27" s="991">
        <f t="shared" si="7"/>
        <v>0</v>
      </c>
      <c r="M27" s="991">
        <f t="shared" si="8"/>
        <v>0</v>
      </c>
      <c r="N27" s="1051">
        <f>'[18]FY2012-13 Final'!K28</f>
        <v>2233</v>
      </c>
      <c r="O27" s="992">
        <f t="shared" si="9"/>
        <v>0</v>
      </c>
      <c r="P27" s="1117">
        <f t="shared" si="10"/>
        <v>0</v>
      </c>
      <c r="Q27" s="992">
        <f t="shared" si="11"/>
        <v>0</v>
      </c>
      <c r="R27" s="992">
        <v>0</v>
      </c>
      <c r="S27" s="992">
        <f t="shared" si="12"/>
        <v>0</v>
      </c>
      <c r="T27" s="992">
        <f t="shared" si="13"/>
        <v>0</v>
      </c>
      <c r="U27" s="993">
        <f t="shared" si="14"/>
        <v>0</v>
      </c>
      <c r="V27" s="993">
        <f t="shared" si="14"/>
        <v>0</v>
      </c>
    </row>
    <row r="28" spans="1:22">
      <c r="A28" s="994">
        <v>22</v>
      </c>
      <c r="B28" s="995" t="s">
        <v>116</v>
      </c>
      <c r="C28" s="1193">
        <v>0</v>
      </c>
      <c r="D28" s="997">
        <f>'Table 3 Levels 1&amp;2'!BN30+'Table 3 Levels 1&amp;2'!BV30</f>
        <v>6191.1997628958306</v>
      </c>
      <c r="E28" s="1100">
        <f t="shared" si="2"/>
        <v>0</v>
      </c>
      <c r="F28" s="1100">
        <f>'Table 4 Level 3'!N27</f>
        <v>496.36</v>
      </c>
      <c r="G28" s="1100">
        <f t="shared" si="3"/>
        <v>0</v>
      </c>
      <c r="H28" s="1052">
        <f t="shared" si="4"/>
        <v>0</v>
      </c>
      <c r="I28" s="1110">
        <f t="shared" si="5"/>
        <v>0</v>
      </c>
      <c r="J28" s="1052">
        <f t="shared" si="6"/>
        <v>0</v>
      </c>
      <c r="K28" s="1052">
        <v>0</v>
      </c>
      <c r="L28" s="1052">
        <f t="shared" si="7"/>
        <v>0</v>
      </c>
      <c r="M28" s="1052">
        <f t="shared" si="8"/>
        <v>0</v>
      </c>
      <c r="N28" s="1051">
        <f>'[18]FY2012-13 Final'!K29</f>
        <v>1410</v>
      </c>
      <c r="O28" s="1053">
        <f t="shared" si="9"/>
        <v>0</v>
      </c>
      <c r="P28" s="1118">
        <f t="shared" si="10"/>
        <v>0</v>
      </c>
      <c r="Q28" s="1053">
        <f t="shared" si="11"/>
        <v>0</v>
      </c>
      <c r="R28" s="1053">
        <v>0</v>
      </c>
      <c r="S28" s="1053">
        <f t="shared" si="12"/>
        <v>0</v>
      </c>
      <c r="T28" s="1053">
        <f t="shared" si="13"/>
        <v>0</v>
      </c>
      <c r="U28" s="1054">
        <f t="shared" si="14"/>
        <v>0</v>
      </c>
      <c r="V28" s="1054">
        <f t="shared" si="14"/>
        <v>0</v>
      </c>
    </row>
    <row r="29" spans="1:22">
      <c r="A29" s="994">
        <v>23</v>
      </c>
      <c r="B29" s="995" t="s">
        <v>117</v>
      </c>
      <c r="C29" s="1193">
        <v>0</v>
      </c>
      <c r="D29" s="997">
        <f>'Table 3 Levels 1&amp;2'!BN31+'Table 3 Levels 1&amp;2'!BV31</f>
        <v>4788.2881021645453</v>
      </c>
      <c r="E29" s="1100">
        <f t="shared" si="2"/>
        <v>0</v>
      </c>
      <c r="F29" s="1100">
        <f>'Table 4 Level 3'!N28</f>
        <v>688.58</v>
      </c>
      <c r="G29" s="1100">
        <f t="shared" si="3"/>
        <v>0</v>
      </c>
      <c r="H29" s="1052">
        <f t="shared" si="4"/>
        <v>0</v>
      </c>
      <c r="I29" s="1110">
        <f t="shared" si="5"/>
        <v>0</v>
      </c>
      <c r="J29" s="1052">
        <f t="shared" si="6"/>
        <v>0</v>
      </c>
      <c r="K29" s="1052">
        <v>0</v>
      </c>
      <c r="L29" s="1052">
        <f t="shared" si="7"/>
        <v>0</v>
      </c>
      <c r="M29" s="1052">
        <f t="shared" si="8"/>
        <v>0</v>
      </c>
      <c r="N29" s="1051">
        <f>'[18]FY2012-13 Final'!K30</f>
        <v>3258</v>
      </c>
      <c r="O29" s="1053">
        <f t="shared" si="9"/>
        <v>0</v>
      </c>
      <c r="P29" s="1118">
        <f t="shared" si="10"/>
        <v>0</v>
      </c>
      <c r="Q29" s="1053">
        <f t="shared" si="11"/>
        <v>0</v>
      </c>
      <c r="R29" s="1053">
        <v>0</v>
      </c>
      <c r="S29" s="1053">
        <f t="shared" si="12"/>
        <v>0</v>
      </c>
      <c r="T29" s="1053">
        <f t="shared" si="13"/>
        <v>0</v>
      </c>
      <c r="U29" s="1054">
        <f t="shared" si="14"/>
        <v>0</v>
      </c>
      <c r="V29" s="1054">
        <f t="shared" si="14"/>
        <v>0</v>
      </c>
    </row>
    <row r="30" spans="1:22">
      <c r="A30" s="994">
        <v>24</v>
      </c>
      <c r="B30" s="995" t="s">
        <v>118</v>
      </c>
      <c r="C30" s="1193">
        <v>0</v>
      </c>
      <c r="D30" s="997">
        <f>'Table 3 Levels 1&amp;2'!BN32+'Table 3 Levels 1&amp;2'!BV32</f>
        <v>2743.328175824176</v>
      </c>
      <c r="E30" s="1100">
        <f t="shared" si="2"/>
        <v>0</v>
      </c>
      <c r="F30" s="1100">
        <f>'Table 4 Level 3'!N29</f>
        <v>854.24999999999989</v>
      </c>
      <c r="G30" s="1100">
        <f t="shared" si="3"/>
        <v>0</v>
      </c>
      <c r="H30" s="1052">
        <f t="shared" si="4"/>
        <v>0</v>
      </c>
      <c r="I30" s="1110">
        <f t="shared" si="5"/>
        <v>0</v>
      </c>
      <c r="J30" s="1052">
        <f t="shared" si="6"/>
        <v>0</v>
      </c>
      <c r="K30" s="1052">
        <v>0</v>
      </c>
      <c r="L30" s="1052">
        <f t="shared" si="7"/>
        <v>0</v>
      </c>
      <c r="M30" s="1052">
        <f t="shared" si="8"/>
        <v>0</v>
      </c>
      <c r="N30" s="1051">
        <f>'[18]FY2012-13 Final'!K31</f>
        <v>9280</v>
      </c>
      <c r="O30" s="1053">
        <f t="shared" si="9"/>
        <v>0</v>
      </c>
      <c r="P30" s="1118">
        <f t="shared" si="10"/>
        <v>0</v>
      </c>
      <c r="Q30" s="1053">
        <f t="shared" si="11"/>
        <v>0</v>
      </c>
      <c r="R30" s="1053">
        <v>0</v>
      </c>
      <c r="S30" s="1053">
        <f t="shared" si="12"/>
        <v>0</v>
      </c>
      <c r="T30" s="1053">
        <f t="shared" si="13"/>
        <v>0</v>
      </c>
      <c r="U30" s="1054">
        <f t="shared" si="14"/>
        <v>0</v>
      </c>
      <c r="V30" s="1054">
        <f t="shared" si="14"/>
        <v>0</v>
      </c>
    </row>
    <row r="31" spans="1:22">
      <c r="A31" s="998">
        <v>25</v>
      </c>
      <c r="B31" s="999" t="s">
        <v>119</v>
      </c>
      <c r="C31" s="1194">
        <v>0</v>
      </c>
      <c r="D31" s="1001">
        <f>'Table 3 Levels 1&amp;2'!BN33+'Table 3 Levels 1&amp;2'!BV33</f>
        <v>3799.3890273447178</v>
      </c>
      <c r="E31" s="1101">
        <f t="shared" si="2"/>
        <v>0</v>
      </c>
      <c r="F31" s="1101">
        <f>'Table 4 Level 3'!N30</f>
        <v>653.73</v>
      </c>
      <c r="G31" s="1101">
        <f t="shared" si="3"/>
        <v>0</v>
      </c>
      <c r="H31" s="1055">
        <f t="shared" si="4"/>
        <v>0</v>
      </c>
      <c r="I31" s="1111">
        <f t="shared" si="5"/>
        <v>0</v>
      </c>
      <c r="J31" s="1055">
        <f t="shared" si="6"/>
        <v>0</v>
      </c>
      <c r="K31" s="1055">
        <v>0</v>
      </c>
      <c r="L31" s="1055">
        <f t="shared" si="7"/>
        <v>0</v>
      </c>
      <c r="M31" s="1055">
        <f t="shared" si="8"/>
        <v>0</v>
      </c>
      <c r="N31" s="1056">
        <f>'[18]FY2012-13 Final'!K32</f>
        <v>5351</v>
      </c>
      <c r="O31" s="1057">
        <f t="shared" si="9"/>
        <v>0</v>
      </c>
      <c r="P31" s="1119">
        <f t="shared" si="10"/>
        <v>0</v>
      </c>
      <c r="Q31" s="1057">
        <f t="shared" si="11"/>
        <v>0</v>
      </c>
      <c r="R31" s="1057">
        <v>0</v>
      </c>
      <c r="S31" s="1057">
        <f t="shared" si="12"/>
        <v>0</v>
      </c>
      <c r="T31" s="1057">
        <f t="shared" si="13"/>
        <v>0</v>
      </c>
      <c r="U31" s="1058">
        <f t="shared" si="14"/>
        <v>0</v>
      </c>
      <c r="V31" s="1058">
        <f t="shared" si="14"/>
        <v>0</v>
      </c>
    </row>
    <row r="32" spans="1:22">
      <c r="A32" s="987">
        <v>26</v>
      </c>
      <c r="B32" s="988" t="s">
        <v>120</v>
      </c>
      <c r="C32" s="1195">
        <v>0</v>
      </c>
      <c r="D32" s="990">
        <f>'Table 3 Levels 1&amp;2'!BN34+'Table 3 Levels 1&amp;2'!BV34</f>
        <v>3320.7842100822745</v>
      </c>
      <c r="E32" s="1099">
        <f t="shared" si="2"/>
        <v>0</v>
      </c>
      <c r="F32" s="1099">
        <f>'Table 4 Level 3'!N31</f>
        <v>836.83</v>
      </c>
      <c r="G32" s="1099">
        <f t="shared" si="3"/>
        <v>0</v>
      </c>
      <c r="H32" s="991">
        <f t="shared" si="4"/>
        <v>0</v>
      </c>
      <c r="I32" s="1109">
        <f t="shared" si="5"/>
        <v>0</v>
      </c>
      <c r="J32" s="991">
        <f t="shared" si="6"/>
        <v>0</v>
      </c>
      <c r="K32" s="991">
        <v>0</v>
      </c>
      <c r="L32" s="991">
        <f t="shared" si="7"/>
        <v>0</v>
      </c>
      <c r="M32" s="991">
        <f t="shared" si="8"/>
        <v>0</v>
      </c>
      <c r="N32" s="1051">
        <f>'[18]FY2012-13 Final'!K33</f>
        <v>5100</v>
      </c>
      <c r="O32" s="992">
        <f t="shared" si="9"/>
        <v>0</v>
      </c>
      <c r="P32" s="1117">
        <f t="shared" si="10"/>
        <v>0</v>
      </c>
      <c r="Q32" s="992">
        <f t="shared" si="11"/>
        <v>0</v>
      </c>
      <c r="R32" s="992">
        <v>0</v>
      </c>
      <c r="S32" s="992">
        <f t="shared" si="12"/>
        <v>0</v>
      </c>
      <c r="T32" s="992">
        <f t="shared" si="13"/>
        <v>0</v>
      </c>
      <c r="U32" s="993">
        <f t="shared" si="14"/>
        <v>0</v>
      </c>
      <c r="V32" s="993">
        <f t="shared" si="14"/>
        <v>0</v>
      </c>
    </row>
    <row r="33" spans="1:22">
      <c r="A33" s="994">
        <v>27</v>
      </c>
      <c r="B33" s="995" t="s">
        <v>121</v>
      </c>
      <c r="C33" s="1196">
        <v>0</v>
      </c>
      <c r="D33" s="1003">
        <f>'Table 3 Levels 1&amp;2'!BN35+'Table 3 Levels 1&amp;2'!BV35</f>
        <v>5636.5919457972805</v>
      </c>
      <c r="E33" s="1102">
        <f t="shared" si="2"/>
        <v>0</v>
      </c>
      <c r="F33" s="1102">
        <f>'Table 4 Level 3'!N32</f>
        <v>693.06</v>
      </c>
      <c r="G33" s="1102">
        <f t="shared" si="3"/>
        <v>0</v>
      </c>
      <c r="H33" s="1059">
        <f t="shared" si="4"/>
        <v>0</v>
      </c>
      <c r="I33" s="1112">
        <f t="shared" si="5"/>
        <v>0</v>
      </c>
      <c r="J33" s="1059">
        <f t="shared" si="6"/>
        <v>0</v>
      </c>
      <c r="K33" s="1059">
        <v>0</v>
      </c>
      <c r="L33" s="1059">
        <f t="shared" si="7"/>
        <v>0</v>
      </c>
      <c r="M33" s="1059">
        <f t="shared" si="8"/>
        <v>0</v>
      </c>
      <c r="N33" s="1051">
        <f>'[18]FY2012-13 Final'!K34</f>
        <v>3091</v>
      </c>
      <c r="O33" s="1053">
        <f t="shared" si="9"/>
        <v>0</v>
      </c>
      <c r="P33" s="1118">
        <f t="shared" si="10"/>
        <v>0</v>
      </c>
      <c r="Q33" s="1053">
        <f t="shared" si="11"/>
        <v>0</v>
      </c>
      <c r="R33" s="1053">
        <v>0</v>
      </c>
      <c r="S33" s="1053">
        <f t="shared" si="12"/>
        <v>0</v>
      </c>
      <c r="T33" s="1053">
        <f t="shared" si="13"/>
        <v>0</v>
      </c>
      <c r="U33" s="1054">
        <f t="shared" si="14"/>
        <v>0</v>
      </c>
      <c r="V33" s="1054">
        <f t="shared" si="14"/>
        <v>0</v>
      </c>
    </row>
    <row r="34" spans="1:22">
      <c r="A34" s="994">
        <v>28</v>
      </c>
      <c r="B34" s="995" t="s">
        <v>122</v>
      </c>
      <c r="C34" s="1196">
        <v>0</v>
      </c>
      <c r="D34" s="1003">
        <f>'Table 3 Levels 1&amp;2'!BN36+'Table 3 Levels 1&amp;2'!BV36</f>
        <v>3106.8056522508969</v>
      </c>
      <c r="E34" s="1102">
        <f t="shared" si="2"/>
        <v>0</v>
      </c>
      <c r="F34" s="1102">
        <f>'Table 4 Level 3'!N33</f>
        <v>694.4</v>
      </c>
      <c r="G34" s="1102">
        <f t="shared" si="3"/>
        <v>0</v>
      </c>
      <c r="H34" s="1059">
        <f t="shared" si="4"/>
        <v>0</v>
      </c>
      <c r="I34" s="1112">
        <f t="shared" si="5"/>
        <v>0</v>
      </c>
      <c r="J34" s="1059">
        <f t="shared" si="6"/>
        <v>0</v>
      </c>
      <c r="K34" s="1059">
        <v>0</v>
      </c>
      <c r="L34" s="1059">
        <f t="shared" si="7"/>
        <v>0</v>
      </c>
      <c r="M34" s="1059">
        <f t="shared" si="8"/>
        <v>0</v>
      </c>
      <c r="N34" s="1051">
        <f>'[18]FY2012-13 Final'!K35</f>
        <v>5323</v>
      </c>
      <c r="O34" s="1053">
        <f t="shared" si="9"/>
        <v>0</v>
      </c>
      <c r="P34" s="1118">
        <f t="shared" si="10"/>
        <v>0</v>
      </c>
      <c r="Q34" s="1053">
        <f t="shared" si="11"/>
        <v>0</v>
      </c>
      <c r="R34" s="1053">
        <v>0</v>
      </c>
      <c r="S34" s="1053">
        <f t="shared" si="12"/>
        <v>0</v>
      </c>
      <c r="T34" s="1053">
        <f t="shared" si="13"/>
        <v>0</v>
      </c>
      <c r="U34" s="1054">
        <f t="shared" si="14"/>
        <v>0</v>
      </c>
      <c r="V34" s="1054">
        <f t="shared" si="14"/>
        <v>0</v>
      </c>
    </row>
    <row r="35" spans="1:22">
      <c r="A35" s="994">
        <v>29</v>
      </c>
      <c r="B35" s="995" t="s">
        <v>123</v>
      </c>
      <c r="C35" s="1196">
        <v>0</v>
      </c>
      <c r="D35" s="1003">
        <f>'Table 3 Levels 1&amp;2'!BN37+'Table 3 Levels 1&amp;2'!BV37</f>
        <v>3912.1846976122315</v>
      </c>
      <c r="E35" s="1102">
        <f t="shared" si="2"/>
        <v>0</v>
      </c>
      <c r="F35" s="1102">
        <f>'Table 4 Level 3'!N34</f>
        <v>754.94999999999993</v>
      </c>
      <c r="G35" s="1102">
        <f t="shared" si="3"/>
        <v>0</v>
      </c>
      <c r="H35" s="1059">
        <f t="shared" si="4"/>
        <v>0</v>
      </c>
      <c r="I35" s="1112">
        <f t="shared" si="5"/>
        <v>0</v>
      </c>
      <c r="J35" s="1059">
        <f t="shared" si="6"/>
        <v>0</v>
      </c>
      <c r="K35" s="1059">
        <v>0</v>
      </c>
      <c r="L35" s="1059">
        <f t="shared" si="7"/>
        <v>0</v>
      </c>
      <c r="M35" s="1059">
        <f t="shared" si="8"/>
        <v>0</v>
      </c>
      <c r="N35" s="1051">
        <f>'[18]FY2012-13 Final'!K36</f>
        <v>4388</v>
      </c>
      <c r="O35" s="1053">
        <f t="shared" si="9"/>
        <v>0</v>
      </c>
      <c r="P35" s="1118">
        <f t="shared" si="10"/>
        <v>0</v>
      </c>
      <c r="Q35" s="1053">
        <f t="shared" si="11"/>
        <v>0</v>
      </c>
      <c r="R35" s="1053">
        <v>0</v>
      </c>
      <c r="S35" s="1053">
        <f t="shared" si="12"/>
        <v>0</v>
      </c>
      <c r="T35" s="1053">
        <f t="shared" si="13"/>
        <v>0</v>
      </c>
      <c r="U35" s="1054">
        <f t="shared" si="14"/>
        <v>0</v>
      </c>
      <c r="V35" s="1054">
        <f t="shared" si="14"/>
        <v>0</v>
      </c>
    </row>
    <row r="36" spans="1:22">
      <c r="A36" s="998">
        <v>30</v>
      </c>
      <c r="B36" s="999" t="s">
        <v>124</v>
      </c>
      <c r="C36" s="1197">
        <v>0</v>
      </c>
      <c r="D36" s="1005">
        <f>'Table 3 Levels 1&amp;2'!BN38+'Table 3 Levels 1&amp;2'!BV38</f>
        <v>5594.0091640611508</v>
      </c>
      <c r="E36" s="1103">
        <f t="shared" si="2"/>
        <v>0</v>
      </c>
      <c r="F36" s="1103">
        <f>'Table 4 Level 3'!N35</f>
        <v>727.17</v>
      </c>
      <c r="G36" s="1103">
        <f t="shared" si="3"/>
        <v>0</v>
      </c>
      <c r="H36" s="1060">
        <f t="shared" si="4"/>
        <v>0</v>
      </c>
      <c r="I36" s="1113">
        <f t="shared" si="5"/>
        <v>0</v>
      </c>
      <c r="J36" s="1060">
        <f t="shared" si="6"/>
        <v>0</v>
      </c>
      <c r="K36" s="1060">
        <v>0</v>
      </c>
      <c r="L36" s="1060">
        <f t="shared" si="7"/>
        <v>0</v>
      </c>
      <c r="M36" s="1060">
        <f t="shared" si="8"/>
        <v>0</v>
      </c>
      <c r="N36" s="1056">
        <f>'[18]FY2012-13 Final'!K37</f>
        <v>3702</v>
      </c>
      <c r="O36" s="1057">
        <f t="shared" si="9"/>
        <v>0</v>
      </c>
      <c r="P36" s="1119">
        <f t="shared" si="10"/>
        <v>0</v>
      </c>
      <c r="Q36" s="1057">
        <f t="shared" si="11"/>
        <v>0</v>
      </c>
      <c r="R36" s="1057">
        <v>0</v>
      </c>
      <c r="S36" s="1057">
        <f t="shared" si="12"/>
        <v>0</v>
      </c>
      <c r="T36" s="1057">
        <f t="shared" si="13"/>
        <v>0</v>
      </c>
      <c r="U36" s="1058">
        <f t="shared" si="14"/>
        <v>0</v>
      </c>
      <c r="V36" s="1058">
        <f t="shared" si="14"/>
        <v>0</v>
      </c>
    </row>
    <row r="37" spans="1:22">
      <c r="A37" s="987">
        <v>31</v>
      </c>
      <c r="B37" s="988" t="s">
        <v>125</v>
      </c>
      <c r="C37" s="1198">
        <v>0</v>
      </c>
      <c r="D37" s="1007">
        <f>'Table 3 Levels 1&amp;2'!BN39+'Table 3 Levels 1&amp;2'!BV39</f>
        <v>4320.114188911979</v>
      </c>
      <c r="E37" s="1104">
        <f t="shared" si="2"/>
        <v>0</v>
      </c>
      <c r="F37" s="1104">
        <f>'Table 4 Level 3'!N36</f>
        <v>620.83000000000004</v>
      </c>
      <c r="G37" s="1104">
        <f t="shared" si="3"/>
        <v>0</v>
      </c>
      <c r="H37" s="1061">
        <f t="shared" si="4"/>
        <v>0</v>
      </c>
      <c r="I37" s="1114">
        <f t="shared" si="5"/>
        <v>0</v>
      </c>
      <c r="J37" s="1061">
        <f t="shared" si="6"/>
        <v>0</v>
      </c>
      <c r="K37" s="1061">
        <v>0</v>
      </c>
      <c r="L37" s="1061">
        <f t="shared" si="7"/>
        <v>0</v>
      </c>
      <c r="M37" s="1061">
        <f t="shared" si="8"/>
        <v>0</v>
      </c>
      <c r="N37" s="1051">
        <f>'[18]FY2012-13 Final'!K38</f>
        <v>4669</v>
      </c>
      <c r="O37" s="992">
        <f t="shared" si="9"/>
        <v>0</v>
      </c>
      <c r="P37" s="1117">
        <f t="shared" si="10"/>
        <v>0</v>
      </c>
      <c r="Q37" s="992">
        <f t="shared" si="11"/>
        <v>0</v>
      </c>
      <c r="R37" s="992">
        <v>0</v>
      </c>
      <c r="S37" s="992">
        <f t="shared" si="12"/>
        <v>0</v>
      </c>
      <c r="T37" s="992">
        <f t="shared" si="13"/>
        <v>0</v>
      </c>
      <c r="U37" s="993">
        <f t="shared" si="14"/>
        <v>0</v>
      </c>
      <c r="V37" s="993">
        <f t="shared" si="14"/>
        <v>0</v>
      </c>
    </row>
    <row r="38" spans="1:22">
      <c r="A38" s="994">
        <v>32</v>
      </c>
      <c r="B38" s="995" t="s">
        <v>126</v>
      </c>
      <c r="C38" s="1196">
        <v>0</v>
      </c>
      <c r="D38" s="1003">
        <f>'Table 3 Levels 1&amp;2'!BN40+'Table 3 Levels 1&amp;2'!BV40</f>
        <v>5504.4479209353676</v>
      </c>
      <c r="E38" s="1102">
        <f t="shared" si="2"/>
        <v>0</v>
      </c>
      <c r="F38" s="1102">
        <f>'Table 4 Level 3'!N37</f>
        <v>559.77</v>
      </c>
      <c r="G38" s="1102">
        <f t="shared" si="3"/>
        <v>0</v>
      </c>
      <c r="H38" s="1059">
        <f t="shared" si="4"/>
        <v>0</v>
      </c>
      <c r="I38" s="1112">
        <f t="shared" si="5"/>
        <v>0</v>
      </c>
      <c r="J38" s="1059">
        <f t="shared" si="6"/>
        <v>0</v>
      </c>
      <c r="K38" s="1059">
        <v>0</v>
      </c>
      <c r="L38" s="1059">
        <f t="shared" si="7"/>
        <v>0</v>
      </c>
      <c r="M38" s="1059">
        <f t="shared" si="8"/>
        <v>0</v>
      </c>
      <c r="N38" s="1051">
        <f>'[18]FY2012-13 Final'!K39</f>
        <v>1965</v>
      </c>
      <c r="O38" s="1053">
        <f t="shared" si="9"/>
        <v>0</v>
      </c>
      <c r="P38" s="1118">
        <f t="shared" si="10"/>
        <v>0</v>
      </c>
      <c r="Q38" s="1053">
        <f t="shared" si="11"/>
        <v>0</v>
      </c>
      <c r="R38" s="1053">
        <v>0</v>
      </c>
      <c r="S38" s="1053">
        <f t="shared" si="12"/>
        <v>0</v>
      </c>
      <c r="T38" s="1053">
        <f t="shared" si="13"/>
        <v>0</v>
      </c>
      <c r="U38" s="1054">
        <f t="shared" si="14"/>
        <v>0</v>
      </c>
      <c r="V38" s="1054">
        <f t="shared" si="14"/>
        <v>0</v>
      </c>
    </row>
    <row r="39" spans="1:22">
      <c r="A39" s="994">
        <v>33</v>
      </c>
      <c r="B39" s="995" t="s">
        <v>127</v>
      </c>
      <c r="C39" s="1196">
        <v>0</v>
      </c>
      <c r="D39" s="1003">
        <f>'Table 3 Levels 1&amp;2'!BN41+'Table 3 Levels 1&amp;2'!BV41</f>
        <v>5322.07272511876</v>
      </c>
      <c r="E39" s="1102">
        <f t="shared" si="2"/>
        <v>0</v>
      </c>
      <c r="F39" s="1102">
        <f>'Table 4 Level 3'!N38</f>
        <v>655.31000000000006</v>
      </c>
      <c r="G39" s="1102">
        <f t="shared" si="3"/>
        <v>0</v>
      </c>
      <c r="H39" s="1059">
        <f t="shared" si="4"/>
        <v>0</v>
      </c>
      <c r="I39" s="1112">
        <f t="shared" si="5"/>
        <v>0</v>
      </c>
      <c r="J39" s="1059">
        <f t="shared" si="6"/>
        <v>0</v>
      </c>
      <c r="K39" s="1059">
        <v>0</v>
      </c>
      <c r="L39" s="1059">
        <f t="shared" si="7"/>
        <v>0</v>
      </c>
      <c r="M39" s="1059">
        <f t="shared" si="8"/>
        <v>0</v>
      </c>
      <c r="N39" s="1051">
        <f>'[18]FY2012-13 Final'!K40</f>
        <v>2771</v>
      </c>
      <c r="O39" s="1053">
        <f t="shared" si="9"/>
        <v>0</v>
      </c>
      <c r="P39" s="1118">
        <f t="shared" si="10"/>
        <v>0</v>
      </c>
      <c r="Q39" s="1053">
        <f t="shared" si="11"/>
        <v>0</v>
      </c>
      <c r="R39" s="1053">
        <v>0</v>
      </c>
      <c r="S39" s="1053">
        <f t="shared" si="12"/>
        <v>0</v>
      </c>
      <c r="T39" s="1053">
        <f t="shared" si="13"/>
        <v>0</v>
      </c>
      <c r="U39" s="1054">
        <f t="shared" si="14"/>
        <v>0</v>
      </c>
      <c r="V39" s="1054">
        <f t="shared" si="14"/>
        <v>0</v>
      </c>
    </row>
    <row r="40" spans="1:22">
      <c r="A40" s="994">
        <v>34</v>
      </c>
      <c r="B40" s="995" t="s">
        <v>128</v>
      </c>
      <c r="C40" s="1196">
        <v>0</v>
      </c>
      <c r="D40" s="1003">
        <f>'Table 3 Levels 1&amp;2'!BN42+'Table 3 Levels 1&amp;2'!BV42</f>
        <v>5959.062840731639</v>
      </c>
      <c r="E40" s="1102">
        <f t="shared" si="2"/>
        <v>0</v>
      </c>
      <c r="F40" s="1102">
        <f>'Table 4 Level 3'!N39</f>
        <v>644.11000000000013</v>
      </c>
      <c r="G40" s="1102">
        <f t="shared" si="3"/>
        <v>0</v>
      </c>
      <c r="H40" s="1059">
        <f t="shared" si="4"/>
        <v>0</v>
      </c>
      <c r="I40" s="1112">
        <f t="shared" si="5"/>
        <v>0</v>
      </c>
      <c r="J40" s="1059">
        <f t="shared" si="6"/>
        <v>0</v>
      </c>
      <c r="K40" s="1059">
        <v>0</v>
      </c>
      <c r="L40" s="1059">
        <f t="shared" si="7"/>
        <v>0</v>
      </c>
      <c r="M40" s="1059">
        <f t="shared" si="8"/>
        <v>0</v>
      </c>
      <c r="N40" s="1051">
        <f>'[18]FY2012-13 Final'!K41</f>
        <v>2758</v>
      </c>
      <c r="O40" s="1053">
        <f t="shared" si="9"/>
        <v>0</v>
      </c>
      <c r="P40" s="1118">
        <f t="shared" si="10"/>
        <v>0</v>
      </c>
      <c r="Q40" s="1053">
        <f t="shared" si="11"/>
        <v>0</v>
      </c>
      <c r="R40" s="1053">
        <v>0</v>
      </c>
      <c r="S40" s="1053">
        <f t="shared" si="12"/>
        <v>0</v>
      </c>
      <c r="T40" s="1053">
        <f t="shared" si="13"/>
        <v>0</v>
      </c>
      <c r="U40" s="1054">
        <f t="shared" si="14"/>
        <v>0</v>
      </c>
      <c r="V40" s="1054">
        <f t="shared" si="14"/>
        <v>0</v>
      </c>
    </row>
    <row r="41" spans="1:22">
      <c r="A41" s="998">
        <v>35</v>
      </c>
      <c r="B41" s="999" t="s">
        <v>129</v>
      </c>
      <c r="C41" s="1197">
        <v>0</v>
      </c>
      <c r="D41" s="1005">
        <f>'Table 3 Levels 1&amp;2'!BN43+'Table 3 Levels 1&amp;2'!BV43</f>
        <v>4571.947611490059</v>
      </c>
      <c r="E41" s="1103">
        <f t="shared" si="2"/>
        <v>0</v>
      </c>
      <c r="F41" s="1103">
        <f>'Table 4 Level 3'!N40</f>
        <v>537.96</v>
      </c>
      <c r="G41" s="1103">
        <f t="shared" si="3"/>
        <v>0</v>
      </c>
      <c r="H41" s="1060">
        <f t="shared" si="4"/>
        <v>0</v>
      </c>
      <c r="I41" s="1113">
        <f t="shared" si="5"/>
        <v>0</v>
      </c>
      <c r="J41" s="1060">
        <f t="shared" si="6"/>
        <v>0</v>
      </c>
      <c r="K41" s="1060">
        <v>0</v>
      </c>
      <c r="L41" s="1060">
        <f t="shared" si="7"/>
        <v>0</v>
      </c>
      <c r="M41" s="1060">
        <f t="shared" si="8"/>
        <v>0</v>
      </c>
      <c r="N41" s="1056">
        <f>'[18]FY2012-13 Final'!K42</f>
        <v>3603</v>
      </c>
      <c r="O41" s="1057">
        <f t="shared" si="9"/>
        <v>0</v>
      </c>
      <c r="P41" s="1119">
        <f t="shared" si="10"/>
        <v>0</v>
      </c>
      <c r="Q41" s="1057">
        <f t="shared" si="11"/>
        <v>0</v>
      </c>
      <c r="R41" s="1057">
        <v>0</v>
      </c>
      <c r="S41" s="1057">
        <f t="shared" si="12"/>
        <v>0</v>
      </c>
      <c r="T41" s="1057">
        <f t="shared" si="13"/>
        <v>0</v>
      </c>
      <c r="U41" s="1058">
        <f t="shared" si="14"/>
        <v>0</v>
      </c>
      <c r="V41" s="1058">
        <f t="shared" si="14"/>
        <v>0</v>
      </c>
    </row>
    <row r="42" spans="1:22">
      <c r="A42" s="987">
        <v>36</v>
      </c>
      <c r="B42" s="988" t="s">
        <v>130</v>
      </c>
      <c r="C42" s="1198">
        <v>0</v>
      </c>
      <c r="D42" s="1007">
        <f>'Table 3 Levels 1&amp;2'!BN44+'Table 3 Levels 1&amp;2'!BV44</f>
        <v>3666.4136012725312</v>
      </c>
      <c r="E42" s="1104">
        <f t="shared" si="2"/>
        <v>0</v>
      </c>
      <c r="F42" s="1104">
        <f>'Table 4 Level 3'!N41</f>
        <v>727.23177743956114</v>
      </c>
      <c r="G42" s="1104">
        <f t="shared" si="3"/>
        <v>0</v>
      </c>
      <c r="H42" s="1061">
        <f t="shared" si="4"/>
        <v>0</v>
      </c>
      <c r="I42" s="1114">
        <f t="shared" si="5"/>
        <v>0</v>
      </c>
      <c r="J42" s="1061">
        <f t="shared" si="6"/>
        <v>0</v>
      </c>
      <c r="K42" s="1061">
        <v>0</v>
      </c>
      <c r="L42" s="1061">
        <f t="shared" si="7"/>
        <v>0</v>
      </c>
      <c r="M42" s="1061">
        <f t="shared" si="8"/>
        <v>0</v>
      </c>
      <c r="N42" s="1051">
        <f>'[18]FY2012-13 Final'!K43</f>
        <v>4601</v>
      </c>
      <c r="O42" s="992">
        <f t="shared" si="9"/>
        <v>0</v>
      </c>
      <c r="P42" s="1117">
        <f t="shared" si="10"/>
        <v>0</v>
      </c>
      <c r="Q42" s="992">
        <f t="shared" si="11"/>
        <v>0</v>
      </c>
      <c r="R42" s="992">
        <v>0</v>
      </c>
      <c r="S42" s="992">
        <f t="shared" si="12"/>
        <v>0</v>
      </c>
      <c r="T42" s="992">
        <f t="shared" si="13"/>
        <v>0</v>
      </c>
      <c r="U42" s="993">
        <f t="shared" si="14"/>
        <v>0</v>
      </c>
      <c r="V42" s="993">
        <f t="shared" si="14"/>
        <v>0</v>
      </c>
    </row>
    <row r="43" spans="1:22">
      <c r="A43" s="994">
        <v>37</v>
      </c>
      <c r="B43" s="995" t="s">
        <v>131</v>
      </c>
      <c r="C43" s="1196">
        <v>0</v>
      </c>
      <c r="D43" s="1003">
        <f>'Table 3 Levels 1&amp;2'!BN45+'Table 3 Levels 1&amp;2'!BV45</f>
        <v>5484.8089042263191</v>
      </c>
      <c r="E43" s="1102">
        <f t="shared" si="2"/>
        <v>0</v>
      </c>
      <c r="F43" s="1102">
        <f>'Table 4 Level 3'!N42</f>
        <v>653.61</v>
      </c>
      <c r="G43" s="1102">
        <f t="shared" si="3"/>
        <v>0</v>
      </c>
      <c r="H43" s="1059">
        <f t="shared" si="4"/>
        <v>0</v>
      </c>
      <c r="I43" s="1112">
        <f t="shared" si="5"/>
        <v>0</v>
      </c>
      <c r="J43" s="1059">
        <f t="shared" si="6"/>
        <v>0</v>
      </c>
      <c r="K43" s="1059">
        <v>0</v>
      </c>
      <c r="L43" s="1059">
        <f t="shared" si="7"/>
        <v>0</v>
      </c>
      <c r="M43" s="1059">
        <f t="shared" si="8"/>
        <v>0</v>
      </c>
      <c r="N43" s="1051">
        <f>'[18]FY2012-13 Final'!K44</f>
        <v>3099</v>
      </c>
      <c r="O43" s="1053">
        <f t="shared" si="9"/>
        <v>0</v>
      </c>
      <c r="P43" s="1118">
        <f t="shared" si="10"/>
        <v>0</v>
      </c>
      <c r="Q43" s="1053">
        <f t="shared" si="11"/>
        <v>0</v>
      </c>
      <c r="R43" s="1053">
        <v>0</v>
      </c>
      <c r="S43" s="1053">
        <f t="shared" si="12"/>
        <v>0</v>
      </c>
      <c r="T43" s="1053">
        <f t="shared" si="13"/>
        <v>0</v>
      </c>
      <c r="U43" s="1054">
        <f t="shared" si="14"/>
        <v>0</v>
      </c>
      <c r="V43" s="1054">
        <f t="shared" si="14"/>
        <v>0</v>
      </c>
    </row>
    <row r="44" spans="1:22">
      <c r="A44" s="994">
        <v>38</v>
      </c>
      <c r="B44" s="995" t="s">
        <v>132</v>
      </c>
      <c r="C44" s="1196">
        <v>0</v>
      </c>
      <c r="D44" s="1003">
        <f>'Table 3 Levels 1&amp;2'!BN46+'Table 3 Levels 1&amp;2'!BV46</f>
        <v>2078.5917829727841</v>
      </c>
      <c r="E44" s="1102">
        <f t="shared" si="2"/>
        <v>0</v>
      </c>
      <c r="F44" s="1102">
        <f>'Table 4 Level 3'!N43</f>
        <v>829.92000000000007</v>
      </c>
      <c r="G44" s="1102">
        <f t="shared" si="3"/>
        <v>0</v>
      </c>
      <c r="H44" s="1059">
        <f t="shared" si="4"/>
        <v>0</v>
      </c>
      <c r="I44" s="1112">
        <f t="shared" si="5"/>
        <v>0</v>
      </c>
      <c r="J44" s="1059">
        <f t="shared" si="6"/>
        <v>0</v>
      </c>
      <c r="K44" s="1059">
        <v>0</v>
      </c>
      <c r="L44" s="1059">
        <f t="shared" si="7"/>
        <v>0</v>
      </c>
      <c r="M44" s="1059">
        <f t="shared" si="8"/>
        <v>0</v>
      </c>
      <c r="N44" s="1051">
        <f>'[18]FY2012-13 Final'!K45</f>
        <v>9674</v>
      </c>
      <c r="O44" s="1053">
        <f t="shared" si="9"/>
        <v>0</v>
      </c>
      <c r="P44" s="1118">
        <f t="shared" si="10"/>
        <v>0</v>
      </c>
      <c r="Q44" s="1053">
        <f t="shared" si="11"/>
        <v>0</v>
      </c>
      <c r="R44" s="1053">
        <v>0</v>
      </c>
      <c r="S44" s="1053">
        <f t="shared" si="12"/>
        <v>0</v>
      </c>
      <c r="T44" s="1053">
        <f t="shared" si="13"/>
        <v>0</v>
      </c>
      <c r="U44" s="1054">
        <f t="shared" si="14"/>
        <v>0</v>
      </c>
      <c r="V44" s="1054">
        <f t="shared" si="14"/>
        <v>0</v>
      </c>
    </row>
    <row r="45" spans="1:22">
      <c r="A45" s="994">
        <v>39</v>
      </c>
      <c r="B45" s="995" t="s">
        <v>133</v>
      </c>
      <c r="C45" s="1196">
        <v>0</v>
      </c>
      <c r="D45" s="1003">
        <f>'Table 3 Levels 1&amp;2'!BN47+'Table 3 Levels 1&amp;2'!BV47</f>
        <v>3622.4878999042335</v>
      </c>
      <c r="E45" s="1102">
        <f t="shared" si="2"/>
        <v>0</v>
      </c>
      <c r="F45" s="1102">
        <f>'Table 4 Level 3'!N44</f>
        <v>779.65573042776441</v>
      </c>
      <c r="G45" s="1102">
        <f t="shared" si="3"/>
        <v>0</v>
      </c>
      <c r="H45" s="1059">
        <f t="shared" si="4"/>
        <v>0</v>
      </c>
      <c r="I45" s="1112">
        <f t="shared" si="5"/>
        <v>0</v>
      </c>
      <c r="J45" s="1059">
        <f t="shared" si="6"/>
        <v>0</v>
      </c>
      <c r="K45" s="1059">
        <v>0</v>
      </c>
      <c r="L45" s="1059">
        <f t="shared" si="7"/>
        <v>0</v>
      </c>
      <c r="M45" s="1059">
        <f t="shared" si="8"/>
        <v>0</v>
      </c>
      <c r="N45" s="1051">
        <f>'[18]FY2012-13 Final'!K46</f>
        <v>4277</v>
      </c>
      <c r="O45" s="1053">
        <f t="shared" si="9"/>
        <v>0</v>
      </c>
      <c r="P45" s="1118">
        <f t="shared" si="10"/>
        <v>0</v>
      </c>
      <c r="Q45" s="1053">
        <f t="shared" si="11"/>
        <v>0</v>
      </c>
      <c r="R45" s="1053">
        <v>0</v>
      </c>
      <c r="S45" s="1053">
        <f t="shared" si="12"/>
        <v>0</v>
      </c>
      <c r="T45" s="1053">
        <f t="shared" si="13"/>
        <v>0</v>
      </c>
      <c r="U45" s="1054">
        <f t="shared" si="14"/>
        <v>0</v>
      </c>
      <c r="V45" s="1054">
        <f t="shared" si="14"/>
        <v>0</v>
      </c>
    </row>
    <row r="46" spans="1:22">
      <c r="A46" s="998">
        <v>40</v>
      </c>
      <c r="B46" s="999" t="s">
        <v>134</v>
      </c>
      <c r="C46" s="1197">
        <v>0</v>
      </c>
      <c r="D46" s="1005">
        <f>'Table 3 Levels 1&amp;2'!BN48+'Table 3 Levels 1&amp;2'!BV48</f>
        <v>4885.6387343180086</v>
      </c>
      <c r="E46" s="1103">
        <f t="shared" si="2"/>
        <v>0</v>
      </c>
      <c r="F46" s="1103">
        <f>'Table 4 Level 3'!N45</f>
        <v>700.2700000000001</v>
      </c>
      <c r="G46" s="1103">
        <f t="shared" si="3"/>
        <v>0</v>
      </c>
      <c r="H46" s="1060">
        <f t="shared" si="4"/>
        <v>0</v>
      </c>
      <c r="I46" s="1113">
        <f t="shared" si="5"/>
        <v>0</v>
      </c>
      <c r="J46" s="1060">
        <f t="shared" si="6"/>
        <v>0</v>
      </c>
      <c r="K46" s="1060">
        <v>0</v>
      </c>
      <c r="L46" s="1060">
        <f t="shared" si="7"/>
        <v>0</v>
      </c>
      <c r="M46" s="1060">
        <f t="shared" si="8"/>
        <v>0</v>
      </c>
      <c r="N46" s="1056">
        <f>'[18]FY2012-13 Final'!K47</f>
        <v>2921</v>
      </c>
      <c r="O46" s="1057">
        <f t="shared" si="9"/>
        <v>0</v>
      </c>
      <c r="P46" s="1119">
        <f t="shared" si="10"/>
        <v>0</v>
      </c>
      <c r="Q46" s="1057">
        <f t="shared" si="11"/>
        <v>0</v>
      </c>
      <c r="R46" s="1057">
        <v>0</v>
      </c>
      <c r="S46" s="1057">
        <f t="shared" si="12"/>
        <v>0</v>
      </c>
      <c r="T46" s="1057">
        <f t="shared" si="13"/>
        <v>0</v>
      </c>
      <c r="U46" s="1058">
        <f t="shared" si="14"/>
        <v>0</v>
      </c>
      <c r="V46" s="1058">
        <f t="shared" si="14"/>
        <v>0</v>
      </c>
    </row>
    <row r="47" spans="1:22">
      <c r="A47" s="987">
        <v>41</v>
      </c>
      <c r="B47" s="988" t="s">
        <v>135</v>
      </c>
      <c r="C47" s="1198">
        <v>0</v>
      </c>
      <c r="D47" s="1007">
        <f>'Table 3 Levels 1&amp;2'!BN49+'Table 3 Levels 1&amp;2'!BV49</f>
        <v>1602.0398121899364</v>
      </c>
      <c r="E47" s="1104">
        <f t="shared" si="2"/>
        <v>0</v>
      </c>
      <c r="F47" s="1104">
        <f>'Table 4 Level 3'!N46</f>
        <v>886.22</v>
      </c>
      <c r="G47" s="1104">
        <f t="shared" si="3"/>
        <v>0</v>
      </c>
      <c r="H47" s="1061">
        <f t="shared" si="4"/>
        <v>0</v>
      </c>
      <c r="I47" s="1114">
        <f t="shared" si="5"/>
        <v>0</v>
      </c>
      <c r="J47" s="1061">
        <f t="shared" si="6"/>
        <v>0</v>
      </c>
      <c r="K47" s="1061">
        <v>0</v>
      </c>
      <c r="L47" s="1061">
        <f t="shared" si="7"/>
        <v>0</v>
      </c>
      <c r="M47" s="1061">
        <f t="shared" si="8"/>
        <v>0</v>
      </c>
      <c r="N47" s="1051">
        <f>'[18]FY2012-13 Final'!K48</f>
        <v>12026</v>
      </c>
      <c r="O47" s="992">
        <f t="shared" si="9"/>
        <v>0</v>
      </c>
      <c r="P47" s="1117">
        <f t="shared" si="10"/>
        <v>0</v>
      </c>
      <c r="Q47" s="992">
        <f t="shared" si="11"/>
        <v>0</v>
      </c>
      <c r="R47" s="992">
        <v>0</v>
      </c>
      <c r="S47" s="992">
        <f t="shared" si="12"/>
        <v>0</v>
      </c>
      <c r="T47" s="992">
        <f t="shared" si="13"/>
        <v>0</v>
      </c>
      <c r="U47" s="993">
        <f t="shared" si="14"/>
        <v>0</v>
      </c>
      <c r="V47" s="993">
        <f t="shared" si="14"/>
        <v>0</v>
      </c>
    </row>
    <row r="48" spans="1:22">
      <c r="A48" s="994">
        <v>42</v>
      </c>
      <c r="B48" s="995" t="s">
        <v>136</v>
      </c>
      <c r="C48" s="1196">
        <v>0</v>
      </c>
      <c r="D48" s="1003">
        <f>'Table 3 Levels 1&amp;2'!BN50+'Table 3 Levels 1&amp;2'!BV50</f>
        <v>5098.6172346404755</v>
      </c>
      <c r="E48" s="1102">
        <f t="shared" si="2"/>
        <v>0</v>
      </c>
      <c r="F48" s="1102">
        <f>'Table 4 Level 3'!N47</f>
        <v>534.28</v>
      </c>
      <c r="G48" s="1102">
        <f t="shared" si="3"/>
        <v>0</v>
      </c>
      <c r="H48" s="1059">
        <f t="shared" si="4"/>
        <v>0</v>
      </c>
      <c r="I48" s="1112">
        <f t="shared" si="5"/>
        <v>0</v>
      </c>
      <c r="J48" s="1059">
        <f t="shared" si="6"/>
        <v>0</v>
      </c>
      <c r="K48" s="1059">
        <v>0</v>
      </c>
      <c r="L48" s="1059">
        <f t="shared" si="7"/>
        <v>0</v>
      </c>
      <c r="M48" s="1059">
        <f t="shared" si="8"/>
        <v>0</v>
      </c>
      <c r="N48" s="1051">
        <f>'[18]FY2012-13 Final'!K49</f>
        <v>2554</v>
      </c>
      <c r="O48" s="1053">
        <f t="shared" si="9"/>
        <v>0</v>
      </c>
      <c r="P48" s="1118">
        <f t="shared" si="10"/>
        <v>0</v>
      </c>
      <c r="Q48" s="1053">
        <f t="shared" si="11"/>
        <v>0</v>
      </c>
      <c r="R48" s="1053">
        <v>0</v>
      </c>
      <c r="S48" s="1053">
        <f t="shared" si="12"/>
        <v>0</v>
      </c>
      <c r="T48" s="1053">
        <f t="shared" si="13"/>
        <v>0</v>
      </c>
      <c r="U48" s="1054">
        <f t="shared" si="14"/>
        <v>0</v>
      </c>
      <c r="V48" s="1054">
        <f t="shared" si="14"/>
        <v>0</v>
      </c>
    </row>
    <row r="49" spans="1:22">
      <c r="A49" s="994">
        <v>43</v>
      </c>
      <c r="B49" s="995" t="s">
        <v>137</v>
      </c>
      <c r="C49" s="1196">
        <v>0</v>
      </c>
      <c r="D49" s="1003">
        <f>'Table 3 Levels 1&amp;2'!BN51+'Table 3 Levels 1&amp;2'!BV51</f>
        <v>4701.3362575004667</v>
      </c>
      <c r="E49" s="1102">
        <f t="shared" si="2"/>
        <v>0</v>
      </c>
      <c r="F49" s="1102">
        <f>'Table 4 Level 3'!N48</f>
        <v>574.6099999999999</v>
      </c>
      <c r="G49" s="1102">
        <f t="shared" si="3"/>
        <v>0</v>
      </c>
      <c r="H49" s="1059">
        <f t="shared" si="4"/>
        <v>0</v>
      </c>
      <c r="I49" s="1112">
        <f t="shared" si="5"/>
        <v>0</v>
      </c>
      <c r="J49" s="1059">
        <f t="shared" si="6"/>
        <v>0</v>
      </c>
      <c r="K49" s="1059">
        <v>0</v>
      </c>
      <c r="L49" s="1059">
        <f t="shared" si="7"/>
        <v>0</v>
      </c>
      <c r="M49" s="1059">
        <f t="shared" si="8"/>
        <v>0</v>
      </c>
      <c r="N49" s="1051">
        <f>'[18]FY2012-13 Final'!K50</f>
        <v>5265</v>
      </c>
      <c r="O49" s="1053">
        <f t="shared" si="9"/>
        <v>0</v>
      </c>
      <c r="P49" s="1118">
        <f t="shared" si="10"/>
        <v>0</v>
      </c>
      <c r="Q49" s="1053">
        <f t="shared" si="11"/>
        <v>0</v>
      </c>
      <c r="R49" s="1053">
        <v>0</v>
      </c>
      <c r="S49" s="1053">
        <f t="shared" si="12"/>
        <v>0</v>
      </c>
      <c r="T49" s="1053">
        <f t="shared" si="13"/>
        <v>0</v>
      </c>
      <c r="U49" s="1054">
        <f t="shared" si="14"/>
        <v>0</v>
      </c>
      <c r="V49" s="1054">
        <f t="shared" si="14"/>
        <v>0</v>
      </c>
    </row>
    <row r="50" spans="1:22">
      <c r="A50" s="994">
        <v>44</v>
      </c>
      <c r="B50" s="995" t="s">
        <v>138</v>
      </c>
      <c r="C50" s="1196">
        <v>0</v>
      </c>
      <c r="D50" s="1003">
        <f>'Table 3 Levels 1&amp;2'!BN52+'Table 3 Levels 1&amp;2'!BV52</f>
        <v>4649.5559521248724</v>
      </c>
      <c r="E50" s="1102">
        <f t="shared" si="2"/>
        <v>0</v>
      </c>
      <c r="F50" s="1102">
        <f>'Table 4 Level 3'!N49</f>
        <v>663.16000000000008</v>
      </c>
      <c r="G50" s="1102">
        <f t="shared" si="3"/>
        <v>0</v>
      </c>
      <c r="H50" s="1059">
        <f t="shared" si="4"/>
        <v>0</v>
      </c>
      <c r="I50" s="1112">
        <f t="shared" si="5"/>
        <v>0</v>
      </c>
      <c r="J50" s="1059">
        <f t="shared" si="6"/>
        <v>0</v>
      </c>
      <c r="K50" s="1059">
        <v>0</v>
      </c>
      <c r="L50" s="1059">
        <f t="shared" si="7"/>
        <v>0</v>
      </c>
      <c r="M50" s="1059">
        <f t="shared" si="8"/>
        <v>0</v>
      </c>
      <c r="N50" s="1051">
        <f>'[18]FY2012-13 Final'!K51</f>
        <v>4109</v>
      </c>
      <c r="O50" s="1053">
        <f t="shared" si="9"/>
        <v>0</v>
      </c>
      <c r="P50" s="1118">
        <f t="shared" si="10"/>
        <v>0</v>
      </c>
      <c r="Q50" s="1053">
        <f t="shared" si="11"/>
        <v>0</v>
      </c>
      <c r="R50" s="1053">
        <v>0</v>
      </c>
      <c r="S50" s="1053">
        <f t="shared" si="12"/>
        <v>0</v>
      </c>
      <c r="T50" s="1053">
        <f t="shared" si="13"/>
        <v>0</v>
      </c>
      <c r="U50" s="1054">
        <f t="shared" si="14"/>
        <v>0</v>
      </c>
      <c r="V50" s="1054">
        <f t="shared" si="14"/>
        <v>0</v>
      </c>
    </row>
    <row r="51" spans="1:22">
      <c r="A51" s="998">
        <v>45</v>
      </c>
      <c r="B51" s="999" t="s">
        <v>139</v>
      </c>
      <c r="C51" s="1197">
        <v>0</v>
      </c>
      <c r="D51" s="1005">
        <f>'Table 3 Levels 1&amp;2'!BN53+'Table 3 Levels 1&amp;2'!BV53</f>
        <v>2159.257884231537</v>
      </c>
      <c r="E51" s="1103">
        <f t="shared" si="2"/>
        <v>0</v>
      </c>
      <c r="F51" s="1103">
        <f>'Table 4 Level 3'!N50</f>
        <v>753.96000000000015</v>
      </c>
      <c r="G51" s="1103">
        <f t="shared" si="3"/>
        <v>0</v>
      </c>
      <c r="H51" s="1060">
        <f t="shared" si="4"/>
        <v>0</v>
      </c>
      <c r="I51" s="1113">
        <f t="shared" si="5"/>
        <v>0</v>
      </c>
      <c r="J51" s="1060">
        <f t="shared" si="6"/>
        <v>0</v>
      </c>
      <c r="K51" s="1060">
        <v>0</v>
      </c>
      <c r="L51" s="1060">
        <f t="shared" si="7"/>
        <v>0</v>
      </c>
      <c r="M51" s="1060">
        <f t="shared" si="8"/>
        <v>0</v>
      </c>
      <c r="N51" s="1056">
        <f>'[18]FY2012-13 Final'!K52</f>
        <v>12427</v>
      </c>
      <c r="O51" s="1057">
        <f t="shared" si="9"/>
        <v>0</v>
      </c>
      <c r="P51" s="1119">
        <f t="shared" si="10"/>
        <v>0</v>
      </c>
      <c r="Q51" s="1057">
        <f t="shared" si="11"/>
        <v>0</v>
      </c>
      <c r="R51" s="1057">
        <v>0</v>
      </c>
      <c r="S51" s="1057">
        <f t="shared" si="12"/>
        <v>0</v>
      </c>
      <c r="T51" s="1057">
        <f t="shared" si="13"/>
        <v>0</v>
      </c>
      <c r="U51" s="1058">
        <f t="shared" si="14"/>
        <v>0</v>
      </c>
      <c r="V51" s="1058">
        <f t="shared" si="14"/>
        <v>0</v>
      </c>
    </row>
    <row r="52" spans="1:22">
      <c r="A52" s="987">
        <v>46</v>
      </c>
      <c r="B52" s="988" t="s">
        <v>140</v>
      </c>
      <c r="C52" s="1198">
        <v>0</v>
      </c>
      <c r="D52" s="1007">
        <f>'Table 3 Levels 1&amp;2'!BN54+'Table 3 Levels 1&amp;2'!BV54</f>
        <v>5578.7258135108641</v>
      </c>
      <c r="E52" s="1104">
        <f t="shared" si="2"/>
        <v>0</v>
      </c>
      <c r="F52" s="1104">
        <f>'Table 4 Level 3'!N51</f>
        <v>728.06</v>
      </c>
      <c r="G52" s="1104">
        <f t="shared" si="3"/>
        <v>0</v>
      </c>
      <c r="H52" s="1061">
        <f t="shared" si="4"/>
        <v>0</v>
      </c>
      <c r="I52" s="1114">
        <f t="shared" si="5"/>
        <v>0</v>
      </c>
      <c r="J52" s="1061">
        <f t="shared" si="6"/>
        <v>0</v>
      </c>
      <c r="K52" s="1061">
        <v>0</v>
      </c>
      <c r="L52" s="1061">
        <f t="shared" si="7"/>
        <v>0</v>
      </c>
      <c r="M52" s="1061">
        <f t="shared" si="8"/>
        <v>0</v>
      </c>
      <c r="N52" s="1051">
        <f>'[18]FY2012-13 Final'!K53</f>
        <v>1968</v>
      </c>
      <c r="O52" s="992">
        <f t="shared" si="9"/>
        <v>0</v>
      </c>
      <c r="P52" s="1117">
        <f t="shared" si="10"/>
        <v>0</v>
      </c>
      <c r="Q52" s="992">
        <f t="shared" si="11"/>
        <v>0</v>
      </c>
      <c r="R52" s="992">
        <v>0</v>
      </c>
      <c r="S52" s="992">
        <f t="shared" si="12"/>
        <v>0</v>
      </c>
      <c r="T52" s="992">
        <f t="shared" si="13"/>
        <v>0</v>
      </c>
      <c r="U52" s="993">
        <f t="shared" si="14"/>
        <v>0</v>
      </c>
      <c r="V52" s="993">
        <f t="shared" si="14"/>
        <v>0</v>
      </c>
    </row>
    <row r="53" spans="1:22">
      <c r="A53" s="994">
        <v>47</v>
      </c>
      <c r="B53" s="995" t="s">
        <v>141</v>
      </c>
      <c r="C53" s="1196">
        <v>0</v>
      </c>
      <c r="D53" s="1003">
        <f>'Table 3 Levels 1&amp;2'!BN55+'Table 3 Levels 1&amp;2'!BV55</f>
        <v>2709.058014721415</v>
      </c>
      <c r="E53" s="1102">
        <f t="shared" si="2"/>
        <v>0</v>
      </c>
      <c r="F53" s="1102">
        <f>'Table 4 Level 3'!N52</f>
        <v>910.76</v>
      </c>
      <c r="G53" s="1102">
        <f t="shared" si="3"/>
        <v>0</v>
      </c>
      <c r="H53" s="1059">
        <f t="shared" si="4"/>
        <v>0</v>
      </c>
      <c r="I53" s="1112">
        <f t="shared" si="5"/>
        <v>0</v>
      </c>
      <c r="J53" s="1059">
        <f t="shared" si="6"/>
        <v>0</v>
      </c>
      <c r="K53" s="1059">
        <v>0</v>
      </c>
      <c r="L53" s="1059">
        <f t="shared" si="7"/>
        <v>0</v>
      </c>
      <c r="M53" s="1059">
        <f t="shared" si="8"/>
        <v>0</v>
      </c>
      <c r="N53" s="1051">
        <f>'[18]FY2012-13 Final'!K54</f>
        <v>10049</v>
      </c>
      <c r="O53" s="1053">
        <f t="shared" si="9"/>
        <v>0</v>
      </c>
      <c r="P53" s="1118">
        <f t="shared" si="10"/>
        <v>0</v>
      </c>
      <c r="Q53" s="1053">
        <f t="shared" si="11"/>
        <v>0</v>
      </c>
      <c r="R53" s="1053">
        <v>0</v>
      </c>
      <c r="S53" s="1053">
        <f t="shared" si="12"/>
        <v>0</v>
      </c>
      <c r="T53" s="1053">
        <f t="shared" si="13"/>
        <v>0</v>
      </c>
      <c r="U53" s="1054">
        <f t="shared" si="14"/>
        <v>0</v>
      </c>
      <c r="V53" s="1054">
        <f t="shared" si="14"/>
        <v>0</v>
      </c>
    </row>
    <row r="54" spans="1:22">
      <c r="A54" s="994">
        <v>48</v>
      </c>
      <c r="B54" s="995" t="s">
        <v>202</v>
      </c>
      <c r="C54" s="1196">
        <v>0</v>
      </c>
      <c r="D54" s="1003">
        <f>'Table 3 Levels 1&amp;2'!BN56+'Table 3 Levels 1&amp;2'!BV56</f>
        <v>4259.4136153508553</v>
      </c>
      <c r="E54" s="1102">
        <f t="shared" si="2"/>
        <v>0</v>
      </c>
      <c r="F54" s="1102">
        <f>'Table 4 Level 3'!N53</f>
        <v>871.07</v>
      </c>
      <c r="G54" s="1102">
        <f t="shared" si="3"/>
        <v>0</v>
      </c>
      <c r="H54" s="1059">
        <f t="shared" si="4"/>
        <v>0</v>
      </c>
      <c r="I54" s="1112">
        <f t="shared" si="5"/>
        <v>0</v>
      </c>
      <c r="J54" s="1059">
        <f t="shared" si="6"/>
        <v>0</v>
      </c>
      <c r="K54" s="1059">
        <v>0</v>
      </c>
      <c r="L54" s="1059">
        <f t="shared" si="7"/>
        <v>0</v>
      </c>
      <c r="M54" s="1059">
        <f t="shared" si="8"/>
        <v>0</v>
      </c>
      <c r="N54" s="1051">
        <f>'[18]FY2012-13 Final'!K55</f>
        <v>5755</v>
      </c>
      <c r="O54" s="1053">
        <f t="shared" si="9"/>
        <v>0</v>
      </c>
      <c r="P54" s="1118">
        <f t="shared" si="10"/>
        <v>0</v>
      </c>
      <c r="Q54" s="1053">
        <f t="shared" si="11"/>
        <v>0</v>
      </c>
      <c r="R54" s="1053">
        <v>0</v>
      </c>
      <c r="S54" s="1053">
        <f t="shared" si="12"/>
        <v>0</v>
      </c>
      <c r="T54" s="1053">
        <f t="shared" si="13"/>
        <v>0</v>
      </c>
      <c r="U54" s="1054">
        <f t="shared" si="14"/>
        <v>0</v>
      </c>
      <c r="V54" s="1054">
        <f t="shared" si="14"/>
        <v>0</v>
      </c>
    </row>
    <row r="55" spans="1:22">
      <c r="A55" s="994">
        <v>49</v>
      </c>
      <c r="B55" s="995" t="s">
        <v>142</v>
      </c>
      <c r="C55" s="1196">
        <v>0</v>
      </c>
      <c r="D55" s="1003">
        <f>'Table 3 Levels 1&amp;2'!BN57+'Table 3 Levels 1&amp;2'!BV57</f>
        <v>4790.0513947378495</v>
      </c>
      <c r="E55" s="1102">
        <f t="shared" si="2"/>
        <v>0</v>
      </c>
      <c r="F55" s="1102">
        <f>'Table 4 Level 3'!N54</f>
        <v>574.43999999999994</v>
      </c>
      <c r="G55" s="1102">
        <f t="shared" si="3"/>
        <v>0</v>
      </c>
      <c r="H55" s="1059">
        <f t="shared" si="4"/>
        <v>0</v>
      </c>
      <c r="I55" s="1112">
        <f t="shared" si="5"/>
        <v>0</v>
      </c>
      <c r="J55" s="1059">
        <f t="shared" si="6"/>
        <v>0</v>
      </c>
      <c r="K55" s="1059">
        <v>0</v>
      </c>
      <c r="L55" s="1059">
        <f t="shared" si="7"/>
        <v>0</v>
      </c>
      <c r="M55" s="1059">
        <f t="shared" si="8"/>
        <v>0</v>
      </c>
      <c r="N55" s="1051">
        <f>'[18]FY2012-13 Final'!K56</f>
        <v>2335</v>
      </c>
      <c r="O55" s="1053">
        <f t="shared" si="9"/>
        <v>0</v>
      </c>
      <c r="P55" s="1118">
        <f t="shared" si="10"/>
        <v>0</v>
      </c>
      <c r="Q55" s="1053">
        <f t="shared" si="11"/>
        <v>0</v>
      </c>
      <c r="R55" s="1053">
        <v>0</v>
      </c>
      <c r="S55" s="1053">
        <f t="shared" si="12"/>
        <v>0</v>
      </c>
      <c r="T55" s="1053">
        <f t="shared" si="13"/>
        <v>0</v>
      </c>
      <c r="U55" s="1054">
        <f t="shared" si="14"/>
        <v>0</v>
      </c>
      <c r="V55" s="1054">
        <f t="shared" si="14"/>
        <v>0</v>
      </c>
    </row>
    <row r="56" spans="1:22">
      <c r="A56" s="998">
        <v>50</v>
      </c>
      <c r="B56" s="999" t="s">
        <v>143</v>
      </c>
      <c r="C56" s="1197">
        <v>0</v>
      </c>
      <c r="D56" s="1005">
        <f>'Table 3 Levels 1&amp;2'!BN58+'Table 3 Levels 1&amp;2'!BV58</f>
        <v>4954.3375045905796</v>
      </c>
      <c r="E56" s="1103">
        <f t="shared" si="2"/>
        <v>0</v>
      </c>
      <c r="F56" s="1103">
        <f>'Table 4 Level 3'!N55</f>
        <v>634.46</v>
      </c>
      <c r="G56" s="1103">
        <f t="shared" si="3"/>
        <v>0</v>
      </c>
      <c r="H56" s="1060">
        <f t="shared" si="4"/>
        <v>0</v>
      </c>
      <c r="I56" s="1113">
        <f t="shared" si="5"/>
        <v>0</v>
      </c>
      <c r="J56" s="1060">
        <f t="shared" si="6"/>
        <v>0</v>
      </c>
      <c r="K56" s="1060">
        <v>0</v>
      </c>
      <c r="L56" s="1060">
        <f t="shared" si="7"/>
        <v>0</v>
      </c>
      <c r="M56" s="1060">
        <f t="shared" si="8"/>
        <v>0</v>
      </c>
      <c r="N56" s="1056">
        <f>'[18]FY2012-13 Final'!K57</f>
        <v>2801</v>
      </c>
      <c r="O56" s="1057">
        <f t="shared" si="9"/>
        <v>0</v>
      </c>
      <c r="P56" s="1119">
        <f t="shared" si="10"/>
        <v>0</v>
      </c>
      <c r="Q56" s="1057">
        <f t="shared" si="11"/>
        <v>0</v>
      </c>
      <c r="R56" s="1057">
        <v>0</v>
      </c>
      <c r="S56" s="1057">
        <f t="shared" si="12"/>
        <v>0</v>
      </c>
      <c r="T56" s="1057">
        <f t="shared" si="13"/>
        <v>0</v>
      </c>
      <c r="U56" s="1058">
        <f t="shared" si="14"/>
        <v>0</v>
      </c>
      <c r="V56" s="1058">
        <f t="shared" si="14"/>
        <v>0</v>
      </c>
    </row>
    <row r="57" spans="1:22">
      <c r="A57" s="987">
        <v>51</v>
      </c>
      <c r="B57" s="988" t="s">
        <v>144</v>
      </c>
      <c r="C57" s="1198">
        <v>0</v>
      </c>
      <c r="D57" s="1007">
        <f>'Table 3 Levels 1&amp;2'!BN59+'Table 3 Levels 1&amp;2'!BV59</f>
        <v>4290.3461727150461</v>
      </c>
      <c r="E57" s="1104">
        <f t="shared" si="2"/>
        <v>0</v>
      </c>
      <c r="F57" s="1104">
        <f>'Table 4 Level 3'!N56</f>
        <v>706.66</v>
      </c>
      <c r="G57" s="1104">
        <f t="shared" si="3"/>
        <v>0</v>
      </c>
      <c r="H57" s="1061">
        <f t="shared" si="4"/>
        <v>0</v>
      </c>
      <c r="I57" s="1114">
        <f t="shared" si="5"/>
        <v>0</v>
      </c>
      <c r="J57" s="1061">
        <f t="shared" si="6"/>
        <v>0</v>
      </c>
      <c r="K57" s="1061">
        <v>0</v>
      </c>
      <c r="L57" s="1061">
        <f t="shared" si="7"/>
        <v>0</v>
      </c>
      <c r="M57" s="1061">
        <f t="shared" si="8"/>
        <v>0</v>
      </c>
      <c r="N57" s="1051">
        <f>'[18]FY2012-13 Final'!K58</f>
        <v>4053</v>
      </c>
      <c r="O57" s="992">
        <f t="shared" si="9"/>
        <v>0</v>
      </c>
      <c r="P57" s="1117">
        <f t="shared" si="10"/>
        <v>0</v>
      </c>
      <c r="Q57" s="992">
        <f t="shared" si="11"/>
        <v>0</v>
      </c>
      <c r="R57" s="992">
        <v>0</v>
      </c>
      <c r="S57" s="992">
        <f t="shared" si="12"/>
        <v>0</v>
      </c>
      <c r="T57" s="992">
        <f t="shared" si="13"/>
        <v>0</v>
      </c>
      <c r="U57" s="993">
        <f t="shared" si="14"/>
        <v>0</v>
      </c>
      <c r="V57" s="993">
        <f t="shared" si="14"/>
        <v>0</v>
      </c>
    </row>
    <row r="58" spans="1:22">
      <c r="A58" s="994">
        <v>52</v>
      </c>
      <c r="B58" s="995" t="s">
        <v>145</v>
      </c>
      <c r="C58" s="1196">
        <v>0</v>
      </c>
      <c r="D58" s="1003">
        <f>'Table 3 Levels 1&amp;2'!BN60+'Table 3 Levels 1&amp;2'!BV60</f>
        <v>4988.6415961118701</v>
      </c>
      <c r="E58" s="1102">
        <f t="shared" si="2"/>
        <v>0</v>
      </c>
      <c r="F58" s="1102">
        <f>'Table 4 Level 3'!N57</f>
        <v>658.37</v>
      </c>
      <c r="G58" s="1102">
        <f t="shared" si="3"/>
        <v>0</v>
      </c>
      <c r="H58" s="1059">
        <f t="shared" si="4"/>
        <v>0</v>
      </c>
      <c r="I58" s="1112">
        <f t="shared" si="5"/>
        <v>0</v>
      </c>
      <c r="J58" s="1059">
        <f t="shared" si="6"/>
        <v>0</v>
      </c>
      <c r="K58" s="1059">
        <v>0</v>
      </c>
      <c r="L58" s="1059">
        <f t="shared" si="7"/>
        <v>0</v>
      </c>
      <c r="M58" s="1059">
        <f t="shared" si="8"/>
        <v>0</v>
      </c>
      <c r="N58" s="1051">
        <f>'[18]FY2012-13 Final'!K59</f>
        <v>4886</v>
      </c>
      <c r="O58" s="1053">
        <f t="shared" si="9"/>
        <v>0</v>
      </c>
      <c r="P58" s="1118">
        <f t="shared" si="10"/>
        <v>0</v>
      </c>
      <c r="Q58" s="1053">
        <f t="shared" si="11"/>
        <v>0</v>
      </c>
      <c r="R58" s="1053">
        <v>0</v>
      </c>
      <c r="S58" s="1053">
        <f t="shared" si="12"/>
        <v>0</v>
      </c>
      <c r="T58" s="1053">
        <f t="shared" si="13"/>
        <v>0</v>
      </c>
      <c r="U58" s="1054">
        <f t="shared" si="14"/>
        <v>0</v>
      </c>
      <c r="V58" s="1054">
        <f t="shared" si="14"/>
        <v>0</v>
      </c>
    </row>
    <row r="59" spans="1:22">
      <c r="A59" s="994">
        <v>53</v>
      </c>
      <c r="B59" s="995" t="s">
        <v>146</v>
      </c>
      <c r="C59" s="1196">
        <v>0</v>
      </c>
      <c r="D59" s="1003">
        <f>'Table 3 Levels 1&amp;2'!BN61+'Table 3 Levels 1&amp;2'!BV61</f>
        <v>4739.7077057162423</v>
      </c>
      <c r="E59" s="1102">
        <f t="shared" si="2"/>
        <v>0</v>
      </c>
      <c r="F59" s="1102">
        <f>'Table 4 Level 3'!N58</f>
        <v>689.74</v>
      </c>
      <c r="G59" s="1102">
        <f t="shared" si="3"/>
        <v>0</v>
      </c>
      <c r="H59" s="1059">
        <f t="shared" si="4"/>
        <v>0</v>
      </c>
      <c r="I59" s="1112">
        <f t="shared" si="5"/>
        <v>0</v>
      </c>
      <c r="J59" s="1059">
        <f t="shared" si="6"/>
        <v>0</v>
      </c>
      <c r="K59" s="1059">
        <v>0</v>
      </c>
      <c r="L59" s="1059">
        <f t="shared" si="7"/>
        <v>0</v>
      </c>
      <c r="M59" s="1059">
        <f t="shared" si="8"/>
        <v>0</v>
      </c>
      <c r="N59" s="1051">
        <f>'[18]FY2012-13 Final'!K60</f>
        <v>1929</v>
      </c>
      <c r="O59" s="1053">
        <f t="shared" si="9"/>
        <v>0</v>
      </c>
      <c r="P59" s="1118">
        <f t="shared" si="10"/>
        <v>0</v>
      </c>
      <c r="Q59" s="1053">
        <f t="shared" si="11"/>
        <v>0</v>
      </c>
      <c r="R59" s="1053">
        <v>0</v>
      </c>
      <c r="S59" s="1053">
        <f t="shared" si="12"/>
        <v>0</v>
      </c>
      <c r="T59" s="1053">
        <f t="shared" si="13"/>
        <v>0</v>
      </c>
      <c r="U59" s="1054">
        <f t="shared" si="14"/>
        <v>0</v>
      </c>
      <c r="V59" s="1054">
        <f t="shared" si="14"/>
        <v>0</v>
      </c>
    </row>
    <row r="60" spans="1:22">
      <c r="A60" s="994">
        <v>54</v>
      </c>
      <c r="B60" s="995" t="s">
        <v>147</v>
      </c>
      <c r="C60" s="1196">
        <v>0</v>
      </c>
      <c r="D60" s="1003">
        <f>'Table 3 Levels 1&amp;2'!BN62+'Table 3 Levels 1&amp;2'!BV62</f>
        <v>5907.1276437932838</v>
      </c>
      <c r="E60" s="1102">
        <f t="shared" si="2"/>
        <v>0</v>
      </c>
      <c r="F60" s="1102">
        <f>'Table 4 Level 3'!N59</f>
        <v>951.45</v>
      </c>
      <c r="G60" s="1102">
        <f t="shared" si="3"/>
        <v>0</v>
      </c>
      <c r="H60" s="1059">
        <f t="shared" si="4"/>
        <v>0</v>
      </c>
      <c r="I60" s="1112">
        <f t="shared" si="5"/>
        <v>0</v>
      </c>
      <c r="J60" s="1059">
        <f t="shared" si="6"/>
        <v>0</v>
      </c>
      <c r="K60" s="1059">
        <v>0</v>
      </c>
      <c r="L60" s="1059">
        <f t="shared" si="7"/>
        <v>0</v>
      </c>
      <c r="M60" s="1059">
        <f t="shared" si="8"/>
        <v>0</v>
      </c>
      <c r="N60" s="1051">
        <f>'[18]FY2012-13 Final'!K61</f>
        <v>3382</v>
      </c>
      <c r="O60" s="1053">
        <f t="shared" si="9"/>
        <v>0</v>
      </c>
      <c r="P60" s="1118">
        <f t="shared" si="10"/>
        <v>0</v>
      </c>
      <c r="Q60" s="1053">
        <f t="shared" si="11"/>
        <v>0</v>
      </c>
      <c r="R60" s="1053">
        <v>0</v>
      </c>
      <c r="S60" s="1053">
        <f t="shared" si="12"/>
        <v>0</v>
      </c>
      <c r="T60" s="1053">
        <f t="shared" si="13"/>
        <v>0</v>
      </c>
      <c r="U60" s="1054">
        <f t="shared" si="14"/>
        <v>0</v>
      </c>
      <c r="V60" s="1054">
        <f t="shared" si="14"/>
        <v>0</v>
      </c>
    </row>
    <row r="61" spans="1:22">
      <c r="A61" s="998">
        <v>55</v>
      </c>
      <c r="B61" s="999" t="s">
        <v>148</v>
      </c>
      <c r="C61" s="1197">
        <v>0</v>
      </c>
      <c r="D61" s="1005">
        <f>'Table 3 Levels 1&amp;2'!BN63+'Table 3 Levels 1&amp;2'!BV63</f>
        <v>4115.0954812679902</v>
      </c>
      <c r="E61" s="1103">
        <f t="shared" si="2"/>
        <v>0</v>
      </c>
      <c r="F61" s="1103">
        <f>'Table 4 Level 3'!N60</f>
        <v>795.14</v>
      </c>
      <c r="G61" s="1103">
        <f t="shared" si="3"/>
        <v>0</v>
      </c>
      <c r="H61" s="1060">
        <f t="shared" si="4"/>
        <v>0</v>
      </c>
      <c r="I61" s="1113">
        <f t="shared" si="5"/>
        <v>0</v>
      </c>
      <c r="J61" s="1060">
        <f t="shared" si="6"/>
        <v>0</v>
      </c>
      <c r="K61" s="1060">
        <v>0</v>
      </c>
      <c r="L61" s="1060">
        <f t="shared" si="7"/>
        <v>0</v>
      </c>
      <c r="M61" s="1060">
        <f t="shared" si="8"/>
        <v>0</v>
      </c>
      <c r="N61" s="1056">
        <f>'[18]FY2012-13 Final'!K62</f>
        <v>3127</v>
      </c>
      <c r="O61" s="1057">
        <f t="shared" si="9"/>
        <v>0</v>
      </c>
      <c r="P61" s="1119">
        <f t="shared" si="10"/>
        <v>0</v>
      </c>
      <c r="Q61" s="1057">
        <f t="shared" si="11"/>
        <v>0</v>
      </c>
      <c r="R61" s="1057">
        <v>0</v>
      </c>
      <c r="S61" s="1057">
        <f t="shared" si="12"/>
        <v>0</v>
      </c>
      <c r="T61" s="1057">
        <f t="shared" si="13"/>
        <v>0</v>
      </c>
      <c r="U61" s="1058">
        <f t="shared" si="14"/>
        <v>0</v>
      </c>
      <c r="V61" s="1058">
        <f t="shared" si="14"/>
        <v>0</v>
      </c>
    </row>
    <row r="62" spans="1:22">
      <c r="A62" s="987">
        <v>56</v>
      </c>
      <c r="B62" s="988" t="s">
        <v>149</v>
      </c>
      <c r="C62" s="1198">
        <v>0</v>
      </c>
      <c r="D62" s="1007">
        <f>'Table 3 Levels 1&amp;2'!BN64+'Table 3 Levels 1&amp;2'!BV64</f>
        <v>4924.9032059941637</v>
      </c>
      <c r="E62" s="1104">
        <f t="shared" si="2"/>
        <v>0</v>
      </c>
      <c r="F62" s="1104">
        <f>'Table 4 Level 3'!N61</f>
        <v>614.66000000000008</v>
      </c>
      <c r="G62" s="1104">
        <f t="shared" si="3"/>
        <v>0</v>
      </c>
      <c r="H62" s="1061">
        <f t="shared" si="4"/>
        <v>0</v>
      </c>
      <c r="I62" s="1114">
        <f t="shared" si="5"/>
        <v>0</v>
      </c>
      <c r="J62" s="1061">
        <f t="shared" si="6"/>
        <v>0</v>
      </c>
      <c r="K62" s="1061">
        <v>0</v>
      </c>
      <c r="L62" s="1061">
        <f t="shared" si="7"/>
        <v>0</v>
      </c>
      <c r="M62" s="1061">
        <f t="shared" si="8"/>
        <v>0</v>
      </c>
      <c r="N62" s="1051">
        <f>'[18]FY2012-13 Final'!K63</f>
        <v>2768</v>
      </c>
      <c r="O62" s="992">
        <f t="shared" si="9"/>
        <v>0</v>
      </c>
      <c r="P62" s="1117">
        <f t="shared" si="10"/>
        <v>0</v>
      </c>
      <c r="Q62" s="992">
        <f t="shared" si="11"/>
        <v>0</v>
      </c>
      <c r="R62" s="992">
        <v>0</v>
      </c>
      <c r="S62" s="992">
        <f t="shared" si="12"/>
        <v>0</v>
      </c>
      <c r="T62" s="992">
        <f t="shared" si="13"/>
        <v>0</v>
      </c>
      <c r="U62" s="993">
        <f t="shared" si="14"/>
        <v>0</v>
      </c>
      <c r="V62" s="993">
        <f t="shared" si="14"/>
        <v>0</v>
      </c>
    </row>
    <row r="63" spans="1:22">
      <c r="A63" s="994">
        <v>57</v>
      </c>
      <c r="B63" s="995" t="s">
        <v>150</v>
      </c>
      <c r="C63" s="1196">
        <v>0</v>
      </c>
      <c r="D63" s="1003">
        <f>'Table 3 Levels 1&amp;2'!BN65+'Table 3 Levels 1&amp;2'!BV65</f>
        <v>4434.5516744018987</v>
      </c>
      <c r="E63" s="1102">
        <f t="shared" si="2"/>
        <v>0</v>
      </c>
      <c r="F63" s="1102">
        <f>'Table 4 Level 3'!N62</f>
        <v>764.51</v>
      </c>
      <c r="G63" s="1102">
        <f t="shared" si="3"/>
        <v>0</v>
      </c>
      <c r="H63" s="1059">
        <f t="shared" si="4"/>
        <v>0</v>
      </c>
      <c r="I63" s="1112">
        <f t="shared" si="5"/>
        <v>0</v>
      </c>
      <c r="J63" s="1059">
        <f t="shared" si="6"/>
        <v>0</v>
      </c>
      <c r="K63" s="1059">
        <v>0</v>
      </c>
      <c r="L63" s="1059">
        <f t="shared" si="7"/>
        <v>0</v>
      </c>
      <c r="M63" s="1059">
        <f t="shared" si="8"/>
        <v>0</v>
      </c>
      <c r="N63" s="1051">
        <f>'[18]FY2012-13 Final'!K64</f>
        <v>2987</v>
      </c>
      <c r="O63" s="1053">
        <f t="shared" si="9"/>
        <v>0</v>
      </c>
      <c r="P63" s="1118">
        <f t="shared" si="10"/>
        <v>0</v>
      </c>
      <c r="Q63" s="1053">
        <f t="shared" si="11"/>
        <v>0</v>
      </c>
      <c r="R63" s="1053">
        <v>0</v>
      </c>
      <c r="S63" s="1053">
        <f t="shared" si="12"/>
        <v>0</v>
      </c>
      <c r="T63" s="1053">
        <f t="shared" si="13"/>
        <v>0</v>
      </c>
      <c r="U63" s="1054">
        <f t="shared" si="14"/>
        <v>0</v>
      </c>
      <c r="V63" s="1054">
        <f t="shared" si="14"/>
        <v>0</v>
      </c>
    </row>
    <row r="64" spans="1:22">
      <c r="A64" s="994">
        <v>58</v>
      </c>
      <c r="B64" s="995" t="s">
        <v>151</v>
      </c>
      <c r="C64" s="1196">
        <v>0</v>
      </c>
      <c r="D64" s="1003">
        <f>'Table 3 Levels 1&amp;2'!BN66+'Table 3 Levels 1&amp;2'!BV66</f>
        <v>5434.7170435013286</v>
      </c>
      <c r="E64" s="1102">
        <f t="shared" si="2"/>
        <v>0</v>
      </c>
      <c r="F64" s="1102">
        <f>'Table 4 Level 3'!N63</f>
        <v>697.04</v>
      </c>
      <c r="G64" s="1102">
        <f t="shared" si="3"/>
        <v>0</v>
      </c>
      <c r="H64" s="1059">
        <f t="shared" si="4"/>
        <v>0</v>
      </c>
      <c r="I64" s="1112">
        <f t="shared" si="5"/>
        <v>0</v>
      </c>
      <c r="J64" s="1059">
        <f t="shared" si="6"/>
        <v>0</v>
      </c>
      <c r="K64" s="1059">
        <v>0</v>
      </c>
      <c r="L64" s="1059">
        <f t="shared" si="7"/>
        <v>0</v>
      </c>
      <c r="M64" s="1059">
        <f t="shared" si="8"/>
        <v>0</v>
      </c>
      <c r="N64" s="1051">
        <f>'[18]FY2012-13 Final'!K65</f>
        <v>2055</v>
      </c>
      <c r="O64" s="1053">
        <f t="shared" si="9"/>
        <v>0</v>
      </c>
      <c r="P64" s="1118">
        <f t="shared" si="10"/>
        <v>0</v>
      </c>
      <c r="Q64" s="1053">
        <f t="shared" si="11"/>
        <v>0</v>
      </c>
      <c r="R64" s="1053">
        <v>0</v>
      </c>
      <c r="S64" s="1053">
        <f t="shared" si="12"/>
        <v>0</v>
      </c>
      <c r="T64" s="1053">
        <f t="shared" si="13"/>
        <v>0</v>
      </c>
      <c r="U64" s="1054">
        <f t="shared" si="14"/>
        <v>0</v>
      </c>
      <c r="V64" s="1054">
        <f t="shared" si="14"/>
        <v>0</v>
      </c>
    </row>
    <row r="65" spans="1:22">
      <c r="A65" s="994">
        <v>59</v>
      </c>
      <c r="B65" s="995" t="s">
        <v>152</v>
      </c>
      <c r="C65" s="1196">
        <v>0</v>
      </c>
      <c r="D65" s="1003">
        <f>'Table 3 Levels 1&amp;2'!BN67+'Table 3 Levels 1&amp;2'!BV67</f>
        <v>6252.2385330184643</v>
      </c>
      <c r="E65" s="1102">
        <f t="shared" si="2"/>
        <v>0</v>
      </c>
      <c r="F65" s="1102">
        <f>'Table 4 Level 3'!N64</f>
        <v>689.52</v>
      </c>
      <c r="G65" s="1102">
        <f t="shared" si="3"/>
        <v>0</v>
      </c>
      <c r="H65" s="1059">
        <f t="shared" si="4"/>
        <v>0</v>
      </c>
      <c r="I65" s="1112">
        <f t="shared" si="5"/>
        <v>0</v>
      </c>
      <c r="J65" s="1059">
        <f t="shared" si="6"/>
        <v>0</v>
      </c>
      <c r="K65" s="1059">
        <v>0</v>
      </c>
      <c r="L65" s="1059">
        <f t="shared" si="7"/>
        <v>0</v>
      </c>
      <c r="M65" s="1059">
        <f t="shared" si="8"/>
        <v>0</v>
      </c>
      <c r="N65" s="1051">
        <f>'[18]FY2012-13 Final'!K66</f>
        <v>1528</v>
      </c>
      <c r="O65" s="1053">
        <f t="shared" si="9"/>
        <v>0</v>
      </c>
      <c r="P65" s="1118">
        <f t="shared" si="10"/>
        <v>0</v>
      </c>
      <c r="Q65" s="1053">
        <f t="shared" si="11"/>
        <v>0</v>
      </c>
      <c r="R65" s="1053">
        <v>0</v>
      </c>
      <c r="S65" s="1053">
        <f t="shared" si="12"/>
        <v>0</v>
      </c>
      <c r="T65" s="1053">
        <f t="shared" si="13"/>
        <v>0</v>
      </c>
      <c r="U65" s="1054">
        <f t="shared" si="14"/>
        <v>0</v>
      </c>
      <c r="V65" s="1054">
        <f t="shared" si="14"/>
        <v>0</v>
      </c>
    </row>
    <row r="66" spans="1:22">
      <c r="A66" s="998">
        <v>60</v>
      </c>
      <c r="B66" s="999" t="s">
        <v>153</v>
      </c>
      <c r="C66" s="1197">
        <v>0</v>
      </c>
      <c r="D66" s="1005">
        <f>'Table 3 Levels 1&amp;2'!BN68+'Table 3 Levels 1&amp;2'!BV68</f>
        <v>4902.6575100268701</v>
      </c>
      <c r="E66" s="1103">
        <f t="shared" si="2"/>
        <v>0</v>
      </c>
      <c r="F66" s="1103">
        <f>'Table 4 Level 3'!N65</f>
        <v>594.04</v>
      </c>
      <c r="G66" s="1103">
        <f t="shared" si="3"/>
        <v>0</v>
      </c>
      <c r="H66" s="1060">
        <f t="shared" si="4"/>
        <v>0</v>
      </c>
      <c r="I66" s="1113">
        <f t="shared" si="5"/>
        <v>0</v>
      </c>
      <c r="J66" s="1060">
        <f t="shared" si="6"/>
        <v>0</v>
      </c>
      <c r="K66" s="1060">
        <v>0</v>
      </c>
      <c r="L66" s="1060">
        <f t="shared" si="7"/>
        <v>0</v>
      </c>
      <c r="M66" s="1060">
        <f t="shared" si="8"/>
        <v>0</v>
      </c>
      <c r="N66" s="1056">
        <f>'[18]FY2012-13 Final'!K67</f>
        <v>3918</v>
      </c>
      <c r="O66" s="1057">
        <f t="shared" si="9"/>
        <v>0</v>
      </c>
      <c r="P66" s="1119">
        <f t="shared" si="10"/>
        <v>0</v>
      </c>
      <c r="Q66" s="1057">
        <f t="shared" si="11"/>
        <v>0</v>
      </c>
      <c r="R66" s="1057">
        <v>0</v>
      </c>
      <c r="S66" s="1057">
        <f t="shared" si="12"/>
        <v>0</v>
      </c>
      <c r="T66" s="1057">
        <f t="shared" si="13"/>
        <v>0</v>
      </c>
      <c r="U66" s="1058">
        <f t="shared" si="14"/>
        <v>0</v>
      </c>
      <c r="V66" s="1058">
        <f t="shared" si="14"/>
        <v>0</v>
      </c>
    </row>
    <row r="67" spans="1:22">
      <c r="A67" s="987">
        <v>61</v>
      </c>
      <c r="B67" s="988" t="s">
        <v>154</v>
      </c>
      <c r="C67" s="1198">
        <v>0</v>
      </c>
      <c r="D67" s="1007">
        <f>'Table 3 Levels 1&amp;2'!BN69+'Table 3 Levels 1&amp;2'!BV69</f>
        <v>2872.7719101339244</v>
      </c>
      <c r="E67" s="1104">
        <f t="shared" si="2"/>
        <v>0</v>
      </c>
      <c r="F67" s="1104">
        <f>'Table 4 Level 3'!N66</f>
        <v>833.70999999999992</v>
      </c>
      <c r="G67" s="1104">
        <f t="shared" si="3"/>
        <v>0</v>
      </c>
      <c r="H67" s="1061">
        <f t="shared" si="4"/>
        <v>0</v>
      </c>
      <c r="I67" s="1114">
        <f t="shared" si="5"/>
        <v>0</v>
      </c>
      <c r="J67" s="1061">
        <f t="shared" si="6"/>
        <v>0</v>
      </c>
      <c r="K67" s="1061">
        <v>0</v>
      </c>
      <c r="L67" s="1061">
        <f t="shared" si="7"/>
        <v>0</v>
      </c>
      <c r="M67" s="1061">
        <f t="shared" si="8"/>
        <v>0</v>
      </c>
      <c r="N67" s="1051">
        <f>'[18]FY2012-13 Final'!K68</f>
        <v>6680</v>
      </c>
      <c r="O67" s="992">
        <f t="shared" si="9"/>
        <v>0</v>
      </c>
      <c r="P67" s="1117">
        <f t="shared" si="10"/>
        <v>0</v>
      </c>
      <c r="Q67" s="992">
        <f t="shared" si="11"/>
        <v>0</v>
      </c>
      <c r="R67" s="992">
        <v>0</v>
      </c>
      <c r="S67" s="992">
        <f t="shared" si="12"/>
        <v>0</v>
      </c>
      <c r="T67" s="992">
        <f t="shared" si="13"/>
        <v>0</v>
      </c>
      <c r="U67" s="993">
        <f t="shared" si="14"/>
        <v>0</v>
      </c>
      <c r="V67" s="993">
        <f t="shared" si="14"/>
        <v>0</v>
      </c>
    </row>
    <row r="68" spans="1:22">
      <c r="A68" s="994">
        <v>62</v>
      </c>
      <c r="B68" s="995" t="s">
        <v>155</v>
      </c>
      <c r="C68" s="1196">
        <v>0</v>
      </c>
      <c r="D68" s="1003">
        <f>'Table 3 Levels 1&amp;2'!BN70+'Table 3 Levels 1&amp;2'!BV70</f>
        <v>5594.25143978908</v>
      </c>
      <c r="E68" s="1102">
        <f t="shared" si="2"/>
        <v>0</v>
      </c>
      <c r="F68" s="1102">
        <f>'Table 4 Level 3'!N67</f>
        <v>516.08000000000004</v>
      </c>
      <c r="G68" s="1102">
        <f t="shared" si="3"/>
        <v>0</v>
      </c>
      <c r="H68" s="1059">
        <f t="shared" si="4"/>
        <v>0</v>
      </c>
      <c r="I68" s="1112">
        <f t="shared" si="5"/>
        <v>0</v>
      </c>
      <c r="J68" s="1059">
        <f t="shared" si="6"/>
        <v>0</v>
      </c>
      <c r="K68" s="1059">
        <v>0</v>
      </c>
      <c r="L68" s="1059">
        <f t="shared" si="7"/>
        <v>0</v>
      </c>
      <c r="M68" s="1059">
        <f t="shared" si="8"/>
        <v>0</v>
      </c>
      <c r="N68" s="1051">
        <f>'[18]FY2012-13 Final'!K69</f>
        <v>1754</v>
      </c>
      <c r="O68" s="1053">
        <f t="shared" si="9"/>
        <v>0</v>
      </c>
      <c r="P68" s="1118">
        <f t="shared" si="10"/>
        <v>0</v>
      </c>
      <c r="Q68" s="1053">
        <f t="shared" si="11"/>
        <v>0</v>
      </c>
      <c r="R68" s="1053">
        <v>0</v>
      </c>
      <c r="S68" s="1053">
        <f t="shared" si="12"/>
        <v>0</v>
      </c>
      <c r="T68" s="1053">
        <f t="shared" si="13"/>
        <v>0</v>
      </c>
      <c r="U68" s="1054">
        <f t="shared" si="14"/>
        <v>0</v>
      </c>
      <c r="V68" s="1054">
        <f t="shared" si="14"/>
        <v>0</v>
      </c>
    </row>
    <row r="69" spans="1:22">
      <c r="A69" s="994">
        <v>63</v>
      </c>
      <c r="B69" s="995" t="s">
        <v>156</v>
      </c>
      <c r="C69" s="1196">
        <v>0</v>
      </c>
      <c r="D69" s="1003">
        <f>'Table 3 Levels 1&amp;2'!BN71+'Table 3 Levels 1&amp;2'!BV71</f>
        <v>4318.8609300898834</v>
      </c>
      <c r="E69" s="1102">
        <f t="shared" si="2"/>
        <v>0</v>
      </c>
      <c r="F69" s="1102">
        <f>'Table 4 Level 3'!N68</f>
        <v>756.79</v>
      </c>
      <c r="G69" s="1102">
        <f t="shared" si="3"/>
        <v>0</v>
      </c>
      <c r="H69" s="1059">
        <f t="shared" si="4"/>
        <v>0</v>
      </c>
      <c r="I69" s="1112">
        <f t="shared" si="5"/>
        <v>0</v>
      </c>
      <c r="J69" s="1059">
        <f t="shared" si="6"/>
        <v>0</v>
      </c>
      <c r="K69" s="1059">
        <v>0</v>
      </c>
      <c r="L69" s="1059">
        <f t="shared" si="7"/>
        <v>0</v>
      </c>
      <c r="M69" s="1059">
        <f t="shared" si="8"/>
        <v>0</v>
      </c>
      <c r="N69" s="1051">
        <f>'[18]FY2012-13 Final'!K70</f>
        <v>7182</v>
      </c>
      <c r="O69" s="1053">
        <f t="shared" si="9"/>
        <v>0</v>
      </c>
      <c r="P69" s="1118">
        <f t="shared" si="10"/>
        <v>0</v>
      </c>
      <c r="Q69" s="1053">
        <f t="shared" si="11"/>
        <v>0</v>
      </c>
      <c r="R69" s="1053">
        <v>0</v>
      </c>
      <c r="S69" s="1053">
        <f t="shared" si="12"/>
        <v>0</v>
      </c>
      <c r="T69" s="1053">
        <f t="shared" si="13"/>
        <v>0</v>
      </c>
      <c r="U69" s="1054">
        <f t="shared" si="14"/>
        <v>0</v>
      </c>
      <c r="V69" s="1054">
        <f t="shared" si="14"/>
        <v>0</v>
      </c>
    </row>
    <row r="70" spans="1:22">
      <c r="A70" s="994">
        <v>64</v>
      </c>
      <c r="B70" s="995" t="s">
        <v>157</v>
      </c>
      <c r="C70" s="1196">
        <v>0</v>
      </c>
      <c r="D70" s="1003">
        <f>'Table 3 Levels 1&amp;2'!BN72+'Table 3 Levels 1&amp;2'!BV72</f>
        <v>5921.7418933384488</v>
      </c>
      <c r="E70" s="1102">
        <f t="shared" si="2"/>
        <v>0</v>
      </c>
      <c r="F70" s="1102">
        <f>'Table 4 Level 3'!N69</f>
        <v>592.66</v>
      </c>
      <c r="G70" s="1102">
        <f t="shared" si="3"/>
        <v>0</v>
      </c>
      <c r="H70" s="1059">
        <f t="shared" si="4"/>
        <v>0</v>
      </c>
      <c r="I70" s="1112">
        <f t="shared" si="5"/>
        <v>0</v>
      </c>
      <c r="J70" s="1059">
        <f t="shared" si="6"/>
        <v>0</v>
      </c>
      <c r="K70" s="1059">
        <v>0</v>
      </c>
      <c r="L70" s="1059">
        <f t="shared" si="7"/>
        <v>0</v>
      </c>
      <c r="M70" s="1059">
        <f t="shared" si="8"/>
        <v>0</v>
      </c>
      <c r="N70" s="1051">
        <f>'[18]FY2012-13 Final'!K71</f>
        <v>2701</v>
      </c>
      <c r="O70" s="1053">
        <f t="shared" si="9"/>
        <v>0</v>
      </c>
      <c r="P70" s="1118">
        <f t="shared" si="10"/>
        <v>0</v>
      </c>
      <c r="Q70" s="1053">
        <f t="shared" si="11"/>
        <v>0</v>
      </c>
      <c r="R70" s="1053">
        <v>0</v>
      </c>
      <c r="S70" s="1053">
        <f t="shared" si="12"/>
        <v>0</v>
      </c>
      <c r="T70" s="1053">
        <f t="shared" si="13"/>
        <v>0</v>
      </c>
      <c r="U70" s="1054">
        <f t="shared" si="14"/>
        <v>0</v>
      </c>
      <c r="V70" s="1054">
        <f t="shared" si="14"/>
        <v>0</v>
      </c>
    </row>
    <row r="71" spans="1:22">
      <c r="A71" s="998">
        <v>65</v>
      </c>
      <c r="B71" s="999" t="s">
        <v>158</v>
      </c>
      <c r="C71" s="1197">
        <v>0</v>
      </c>
      <c r="D71" s="1005">
        <f>'Table 3 Levels 1&amp;2'!BN73+'Table 3 Levels 1&amp;2'!BV73</f>
        <v>4578.9201269671275</v>
      </c>
      <c r="E71" s="1103">
        <f t="shared" si="2"/>
        <v>0</v>
      </c>
      <c r="F71" s="1103">
        <f>'Table 4 Level 3'!N70</f>
        <v>829.12</v>
      </c>
      <c r="G71" s="1103">
        <f t="shared" si="3"/>
        <v>0</v>
      </c>
      <c r="H71" s="1060">
        <f t="shared" si="4"/>
        <v>0</v>
      </c>
      <c r="I71" s="1113">
        <f t="shared" si="5"/>
        <v>0</v>
      </c>
      <c r="J71" s="1060">
        <f t="shared" si="6"/>
        <v>0</v>
      </c>
      <c r="K71" s="1060">
        <v>0</v>
      </c>
      <c r="L71" s="1060">
        <f t="shared" si="7"/>
        <v>0</v>
      </c>
      <c r="M71" s="1060">
        <f t="shared" si="8"/>
        <v>0</v>
      </c>
      <c r="N71" s="1056">
        <f>'[18]FY2012-13 Final'!K72</f>
        <v>4813</v>
      </c>
      <c r="O71" s="1057">
        <f t="shared" si="9"/>
        <v>0</v>
      </c>
      <c r="P71" s="1119">
        <f t="shared" si="10"/>
        <v>0</v>
      </c>
      <c r="Q71" s="1057">
        <f t="shared" si="11"/>
        <v>0</v>
      </c>
      <c r="R71" s="1057">
        <v>0</v>
      </c>
      <c r="S71" s="1057">
        <f t="shared" si="12"/>
        <v>0</v>
      </c>
      <c r="T71" s="1057">
        <f t="shared" si="13"/>
        <v>0</v>
      </c>
      <c r="U71" s="1058">
        <f t="shared" si="14"/>
        <v>0</v>
      </c>
      <c r="V71" s="1058">
        <f t="shared" si="14"/>
        <v>0</v>
      </c>
    </row>
    <row r="72" spans="1:22">
      <c r="A72" s="987">
        <v>66</v>
      </c>
      <c r="B72" s="988" t="s">
        <v>159</v>
      </c>
      <c r="C72" s="1198">
        <v>0</v>
      </c>
      <c r="D72" s="1007">
        <f>'Table 3 Levels 1&amp;2'!BN74+'Table 3 Levels 1&amp;2'!BV74</f>
        <v>6340.8763293271122</v>
      </c>
      <c r="E72" s="1104">
        <f t="shared" ref="E72:E75" si="15">C72*D72</f>
        <v>0</v>
      </c>
      <c r="F72" s="1104">
        <f>'Table 4 Level 3'!N71</f>
        <v>730.06</v>
      </c>
      <c r="G72" s="1104">
        <f t="shared" ref="G72:G75" si="16">C72*F72</f>
        <v>0</v>
      </c>
      <c r="H72" s="1061">
        <f t="shared" ref="H72:H75" si="17">E72+G72</f>
        <v>0</v>
      </c>
      <c r="I72" s="1114">
        <f t="shared" ref="I72:I75" si="18">-(0.25%*H72)</f>
        <v>0</v>
      </c>
      <c r="J72" s="1061">
        <f t="shared" ref="J72:J75" si="19">SUM(H72:I72)</f>
        <v>0</v>
      </c>
      <c r="K72" s="1061">
        <v>0</v>
      </c>
      <c r="L72" s="1061">
        <f t="shared" ref="L72:L75" si="20">SUM(J72:K72)</f>
        <v>0</v>
      </c>
      <c r="M72" s="1061">
        <f t="shared" ref="M72:M75" si="21">L72/12</f>
        <v>0</v>
      </c>
      <c r="N72" s="1051">
        <f>'[18]FY2012-13 Final'!K73</f>
        <v>3516</v>
      </c>
      <c r="O72" s="992">
        <f t="shared" ref="O72:O75" si="22">C72*N72</f>
        <v>0</v>
      </c>
      <c r="P72" s="1117">
        <f t="shared" ref="P72:P75" si="23">-(0.25%*O72)</f>
        <v>0</v>
      </c>
      <c r="Q72" s="992">
        <f t="shared" ref="Q72:Q75" si="24">SUM(O72:P72)</f>
        <v>0</v>
      </c>
      <c r="R72" s="992">
        <v>0</v>
      </c>
      <c r="S72" s="992">
        <f t="shared" ref="S72:S75" si="25">SUM(Q72:R72)</f>
        <v>0</v>
      </c>
      <c r="T72" s="992">
        <f t="shared" ref="T72:T75" si="26">S72/12</f>
        <v>0</v>
      </c>
      <c r="U72" s="993">
        <f t="shared" ref="U72:V75" si="27">L72+S72</f>
        <v>0</v>
      </c>
      <c r="V72" s="993">
        <f t="shared" si="27"/>
        <v>0</v>
      </c>
    </row>
    <row r="73" spans="1:22">
      <c r="A73" s="994">
        <v>67</v>
      </c>
      <c r="B73" s="995" t="s">
        <v>32</v>
      </c>
      <c r="C73" s="1196">
        <v>0</v>
      </c>
      <c r="D73" s="1003">
        <f>'Table 3 Levels 1&amp;2'!BN75+'Table 3 Levels 1&amp;2'!BV75</f>
        <v>4984.1100297034172</v>
      </c>
      <c r="E73" s="1102">
        <f t="shared" si="15"/>
        <v>0</v>
      </c>
      <c r="F73" s="1102">
        <f>'Table 4 Level 3'!N72</f>
        <v>715.61</v>
      </c>
      <c r="G73" s="1102">
        <f t="shared" si="16"/>
        <v>0</v>
      </c>
      <c r="H73" s="1059">
        <f t="shared" si="17"/>
        <v>0</v>
      </c>
      <c r="I73" s="1112">
        <f t="shared" si="18"/>
        <v>0</v>
      </c>
      <c r="J73" s="1059">
        <f t="shared" si="19"/>
        <v>0</v>
      </c>
      <c r="K73" s="1059">
        <v>0</v>
      </c>
      <c r="L73" s="1059">
        <f t="shared" si="20"/>
        <v>0</v>
      </c>
      <c r="M73" s="1059">
        <f t="shared" si="21"/>
        <v>0</v>
      </c>
      <c r="N73" s="1051">
        <f>'[18]FY2012-13 Final'!K74</f>
        <v>5052</v>
      </c>
      <c r="O73" s="1053">
        <f t="shared" si="22"/>
        <v>0</v>
      </c>
      <c r="P73" s="1118">
        <f t="shared" si="23"/>
        <v>0</v>
      </c>
      <c r="Q73" s="1053">
        <f t="shared" si="24"/>
        <v>0</v>
      </c>
      <c r="R73" s="1053">
        <v>0</v>
      </c>
      <c r="S73" s="1053">
        <f t="shared" si="25"/>
        <v>0</v>
      </c>
      <c r="T73" s="1053">
        <f t="shared" si="26"/>
        <v>0</v>
      </c>
      <c r="U73" s="1054">
        <f t="shared" si="27"/>
        <v>0</v>
      </c>
      <c r="V73" s="1054">
        <f t="shared" si="27"/>
        <v>0</v>
      </c>
    </row>
    <row r="74" spans="1:22">
      <c r="A74" s="994">
        <v>68</v>
      </c>
      <c r="B74" s="995" t="s">
        <v>30</v>
      </c>
      <c r="C74" s="1196">
        <v>0</v>
      </c>
      <c r="D74" s="1003">
        <f>'Table 3 Levels 1&amp;2'!BN76+'Table 3 Levels 1&amp;2'!BV76</f>
        <v>6012.7854305239725</v>
      </c>
      <c r="E74" s="1102">
        <f t="shared" si="15"/>
        <v>0</v>
      </c>
      <c r="F74" s="1102">
        <f>'Table 4 Level 3'!N73</f>
        <v>798.7</v>
      </c>
      <c r="G74" s="1102">
        <f t="shared" si="16"/>
        <v>0</v>
      </c>
      <c r="H74" s="1059">
        <f t="shared" si="17"/>
        <v>0</v>
      </c>
      <c r="I74" s="1112">
        <f t="shared" si="18"/>
        <v>0</v>
      </c>
      <c r="J74" s="1059">
        <f t="shared" si="19"/>
        <v>0</v>
      </c>
      <c r="K74" s="1059">
        <v>0</v>
      </c>
      <c r="L74" s="1059">
        <f t="shared" si="20"/>
        <v>0</v>
      </c>
      <c r="M74" s="1059">
        <f t="shared" si="21"/>
        <v>0</v>
      </c>
      <c r="N74" s="1051">
        <f>'[18]FY2012-13 Final'!K75</f>
        <v>2763</v>
      </c>
      <c r="O74" s="1053">
        <f t="shared" si="22"/>
        <v>0</v>
      </c>
      <c r="P74" s="1118">
        <f t="shared" si="23"/>
        <v>0</v>
      </c>
      <c r="Q74" s="1053">
        <f t="shared" si="24"/>
        <v>0</v>
      </c>
      <c r="R74" s="1053">
        <v>0</v>
      </c>
      <c r="S74" s="1053">
        <f t="shared" si="25"/>
        <v>0</v>
      </c>
      <c r="T74" s="1053">
        <f t="shared" si="26"/>
        <v>0</v>
      </c>
      <c r="U74" s="1054">
        <f t="shared" si="27"/>
        <v>0</v>
      </c>
      <c r="V74" s="1054">
        <f t="shared" si="27"/>
        <v>0</v>
      </c>
    </row>
    <row r="75" spans="1:22">
      <c r="A75" s="1008">
        <v>69</v>
      </c>
      <c r="B75" s="1009" t="s">
        <v>213</v>
      </c>
      <c r="C75" s="1199">
        <v>0</v>
      </c>
      <c r="D75" s="1011">
        <f>'Table 3 Levels 1&amp;2'!BN77+'Table 3 Levels 1&amp;2'!BV77</f>
        <v>5559.7139008686299</v>
      </c>
      <c r="E75" s="1105">
        <f t="shared" si="15"/>
        <v>0</v>
      </c>
      <c r="F75" s="1105">
        <f>'Table 4 Level 3'!N74</f>
        <v>705.67</v>
      </c>
      <c r="G75" s="1105">
        <f t="shared" si="16"/>
        <v>0</v>
      </c>
      <c r="H75" s="1062">
        <f t="shared" si="17"/>
        <v>0</v>
      </c>
      <c r="I75" s="1115">
        <f t="shared" si="18"/>
        <v>0</v>
      </c>
      <c r="J75" s="1062">
        <f t="shared" si="19"/>
        <v>0</v>
      </c>
      <c r="K75" s="1062">
        <v>0</v>
      </c>
      <c r="L75" s="1062">
        <f t="shared" si="20"/>
        <v>0</v>
      </c>
      <c r="M75" s="1062">
        <f t="shared" si="21"/>
        <v>0</v>
      </c>
      <c r="N75" s="1051">
        <f>'[18]FY2012-13 Final'!K76</f>
        <v>3327</v>
      </c>
      <c r="O75" s="1063">
        <f t="shared" si="22"/>
        <v>0</v>
      </c>
      <c r="P75" s="1120">
        <f t="shared" si="23"/>
        <v>0</v>
      </c>
      <c r="Q75" s="1063">
        <f t="shared" si="24"/>
        <v>0</v>
      </c>
      <c r="R75" s="1063">
        <v>0</v>
      </c>
      <c r="S75" s="1063">
        <f t="shared" si="25"/>
        <v>0</v>
      </c>
      <c r="T75" s="1063">
        <f t="shared" si="26"/>
        <v>0</v>
      </c>
      <c r="U75" s="1064">
        <f t="shared" si="27"/>
        <v>0</v>
      </c>
      <c r="V75" s="1064">
        <f t="shared" si="27"/>
        <v>0</v>
      </c>
    </row>
    <row r="76" spans="1:22" ht="13.5" thickBot="1">
      <c r="A76" s="1012"/>
      <c r="B76" s="1013" t="s">
        <v>160</v>
      </c>
      <c r="C76" s="1014">
        <f>SUM(C7:C75)</f>
        <v>300</v>
      </c>
      <c r="D76" s="1015"/>
      <c r="E76" s="1106">
        <f>SUM(E7:E75)</f>
        <v>1253839.2495871426</v>
      </c>
      <c r="F76" s="1106">
        <f>'[23]Table 4 Level 3'!P75</f>
        <v>703.90028204588873</v>
      </c>
      <c r="G76" s="1106">
        <f t="shared" ref="G76:L76" si="28">SUM(G7:G75)</f>
        <v>182412.00000000003</v>
      </c>
      <c r="H76" s="1016">
        <f t="shared" si="28"/>
        <v>1436251.2495871426</v>
      </c>
      <c r="I76" s="1116">
        <f t="shared" si="28"/>
        <v>-3590.6281239678565</v>
      </c>
      <c r="J76" s="1016">
        <f t="shared" si="28"/>
        <v>1432660.6214631747</v>
      </c>
      <c r="K76" s="1016">
        <f t="shared" si="28"/>
        <v>0</v>
      </c>
      <c r="L76" s="1016">
        <f t="shared" si="28"/>
        <v>1432660.6214631747</v>
      </c>
      <c r="M76" s="1016">
        <f>SUM(M7:M75)</f>
        <v>119388.38512193122</v>
      </c>
      <c r="N76" s="1065"/>
      <c r="O76" s="1017">
        <f t="shared" ref="O76:V76" si="29">SUM(O7:O75)</f>
        <v>1317300</v>
      </c>
      <c r="P76" s="1121">
        <f t="shared" si="29"/>
        <v>-3293.25</v>
      </c>
      <c r="Q76" s="1017">
        <f t="shared" si="29"/>
        <v>1314006.75</v>
      </c>
      <c r="R76" s="1017">
        <f t="shared" si="29"/>
        <v>0</v>
      </c>
      <c r="S76" s="1017">
        <f t="shared" si="29"/>
        <v>1314006.75</v>
      </c>
      <c r="T76" s="1017">
        <f t="shared" si="29"/>
        <v>109500.5625</v>
      </c>
      <c r="U76" s="1018">
        <f t="shared" si="29"/>
        <v>2746667.3714631749</v>
      </c>
      <c r="V76" s="1018">
        <f t="shared" si="29"/>
        <v>228888.94762193121</v>
      </c>
    </row>
    <row r="77" spans="1:22" ht="13.5" thickTop="1"/>
  </sheetData>
  <mergeCells count="19">
    <mergeCell ref="L3:L4"/>
    <mergeCell ref="M3:M4"/>
    <mergeCell ref="N3:N4"/>
    <mergeCell ref="A2:B4"/>
    <mergeCell ref="C2:M2"/>
    <mergeCell ref="N2:T2"/>
    <mergeCell ref="U2:U4"/>
    <mergeCell ref="V2:V4"/>
    <mergeCell ref="C3:C4"/>
    <mergeCell ref="D3:D4"/>
    <mergeCell ref="E3:E4"/>
    <mergeCell ref="F3:F4"/>
    <mergeCell ref="G3:G4"/>
    <mergeCell ref="Q3:Q4"/>
    <mergeCell ref="R3:R4"/>
    <mergeCell ref="S3:S4"/>
    <mergeCell ref="H3:H4"/>
    <mergeCell ref="J3:J4"/>
    <mergeCell ref="K3:K4"/>
  </mergeCells>
  <pageMargins left="0.34" right="0.46" top="0.75" bottom="0.75" header="0.3" footer="0.3"/>
  <pageSetup paperSize="5" scale="60" firstPageNumber="86" orientation="portrait" useFirstPageNumber="1" r:id="rId1"/>
  <headerFooter>
    <oddHeader>&amp;L&amp;"Arial,Bold"&amp;20Table 5C1-O: FY2013-14 MFP Budget Letter (Projection)
Lake Charles Charter High School</oddHeader>
    <oddFooter>&amp;R&amp;P</oddFooter>
  </headerFooter>
  <colBreaks count="1" manualBreakCount="1">
    <brk id="13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7"/>
  <sheetViews>
    <sheetView view="pageBreakPreview" zoomScale="90" zoomScaleNormal="100" zoomScaleSheetLayoutView="90" workbookViewId="0">
      <pane xSplit="2" ySplit="6" topLeftCell="C7" activePane="bottomRight" state="frozen"/>
      <selection activeCell="B1" sqref="B1:B2"/>
      <selection pane="topRight" activeCell="B1" sqref="B1:B2"/>
      <selection pane="bottomLeft" activeCell="B1" sqref="B1:B2"/>
      <selection pane="bottomRight" activeCell="A2" sqref="A2:B4"/>
    </sheetView>
  </sheetViews>
  <sheetFormatPr defaultRowHeight="12.75"/>
  <cols>
    <col min="1" max="1" width="4.28515625" style="1192" customWidth="1"/>
    <col min="2" max="2" width="17.85546875" style="1192" bestFit="1" customWidth="1"/>
    <col min="3" max="3" width="12.7109375" style="1192" customWidth="1"/>
    <col min="4" max="4" width="17" style="1192" customWidth="1"/>
    <col min="5" max="5" width="11" style="1192" bestFit="1" customWidth="1"/>
    <col min="6" max="6" width="12" style="1192" customWidth="1"/>
    <col min="7" max="7" width="13.28515625" style="1192" customWidth="1"/>
    <col min="8" max="8" width="14.5703125" style="1192" customWidth="1"/>
    <col min="9" max="9" width="12.28515625" style="1192" customWidth="1"/>
    <col min="10" max="10" width="12" style="1192" bestFit="1" customWidth="1"/>
    <col min="11" max="11" width="13.42578125" style="1192" bestFit="1" customWidth="1"/>
    <col min="12" max="12" width="14" style="1192" customWidth="1"/>
    <col min="13" max="13" width="9.28515625" style="1192" bestFit="1" customWidth="1"/>
    <col min="14" max="14" width="17.28515625" style="1192" customWidth="1"/>
    <col min="15" max="15" width="16.7109375" style="1192" customWidth="1"/>
    <col min="16" max="16" width="13.7109375" style="1192" customWidth="1"/>
    <col min="17" max="17" width="17" style="1192" customWidth="1"/>
    <col min="18" max="18" width="15.28515625" style="1192" customWidth="1"/>
    <col min="19" max="19" width="13.140625" style="1192" customWidth="1"/>
    <col min="20" max="20" width="12" style="1192" customWidth="1"/>
    <col min="21" max="21" width="11" style="1192" customWidth="1"/>
    <col min="22" max="22" width="12.140625" style="1192" customWidth="1"/>
    <col min="23" max="16384" width="9.140625" style="1192"/>
  </cols>
  <sheetData>
    <row r="1" spans="1:22">
      <c r="C1" s="1392"/>
      <c r="D1" s="1392"/>
      <c r="E1" s="1392"/>
      <c r="F1" s="1392"/>
      <c r="G1" s="1392"/>
      <c r="H1" s="1392"/>
      <c r="I1" s="1392"/>
      <c r="J1" s="1392"/>
      <c r="K1" s="1392"/>
      <c r="L1" s="1392"/>
      <c r="M1" s="1392"/>
    </row>
    <row r="2" spans="1:22" ht="45" customHeight="1">
      <c r="A2" s="2082" t="s">
        <v>1223</v>
      </c>
      <c r="B2" s="2083"/>
      <c r="C2" s="2065" t="s">
        <v>1394</v>
      </c>
      <c r="D2" s="2017"/>
      <c r="E2" s="2017"/>
      <c r="F2" s="2017"/>
      <c r="G2" s="2017"/>
      <c r="H2" s="2017"/>
      <c r="I2" s="2017"/>
      <c r="J2" s="2017"/>
      <c r="K2" s="2017"/>
      <c r="L2" s="2017"/>
      <c r="M2" s="2018"/>
      <c r="N2" s="1992" t="s">
        <v>1357</v>
      </c>
      <c r="O2" s="1993"/>
      <c r="P2" s="1993"/>
      <c r="Q2" s="1993"/>
      <c r="R2" s="1993"/>
      <c r="S2" s="1993"/>
      <c r="T2" s="1994"/>
      <c r="U2" s="1995" t="s">
        <v>1403</v>
      </c>
      <c r="V2" s="1995" t="s">
        <v>1355</v>
      </c>
    </row>
    <row r="3" spans="1:22" ht="106.5" customHeight="1">
      <c r="A3" s="2084"/>
      <c r="B3" s="2085"/>
      <c r="C3" s="2088" t="s">
        <v>1177</v>
      </c>
      <c r="D3" s="2008" t="s">
        <v>1393</v>
      </c>
      <c r="E3" s="2008" t="s">
        <v>1395</v>
      </c>
      <c r="F3" s="2006" t="s">
        <v>662</v>
      </c>
      <c r="G3" s="2006" t="s">
        <v>492</v>
      </c>
      <c r="H3" s="2006" t="s">
        <v>1396</v>
      </c>
      <c r="I3" s="1742" t="s">
        <v>510</v>
      </c>
      <c r="J3" s="2006" t="s">
        <v>1397</v>
      </c>
      <c r="K3" s="2006" t="s">
        <v>1230</v>
      </c>
      <c r="L3" s="2006" t="s">
        <v>1398</v>
      </c>
      <c r="M3" s="2008" t="s">
        <v>1356</v>
      </c>
      <c r="N3" s="2019" t="s">
        <v>694</v>
      </c>
      <c r="O3" s="1743" t="s">
        <v>1399</v>
      </c>
      <c r="P3" s="1743" t="s">
        <v>512</v>
      </c>
      <c r="Q3" s="2019" t="s">
        <v>1400</v>
      </c>
      <c r="R3" s="2019" t="s">
        <v>1230</v>
      </c>
      <c r="S3" s="2019" t="s">
        <v>1401</v>
      </c>
      <c r="T3" s="1743" t="s">
        <v>1402</v>
      </c>
      <c r="U3" s="1996"/>
      <c r="V3" s="1996"/>
    </row>
    <row r="4" spans="1:22" ht="30.75" customHeight="1">
      <c r="A4" s="2086"/>
      <c r="B4" s="2087"/>
      <c r="C4" s="2089"/>
      <c r="D4" s="2008"/>
      <c r="E4" s="2008"/>
      <c r="F4" s="2007"/>
      <c r="G4" s="2007"/>
      <c r="H4" s="2007"/>
      <c r="I4" s="1107">
        <v>2.5000000000000001E-3</v>
      </c>
      <c r="J4" s="2007"/>
      <c r="K4" s="2007"/>
      <c r="L4" s="2007"/>
      <c r="M4" s="2008"/>
      <c r="N4" s="1999"/>
      <c r="O4" s="1741"/>
      <c r="P4" s="1108">
        <v>2.5000000000000001E-3</v>
      </c>
      <c r="Q4" s="1999"/>
      <c r="R4" s="1999"/>
      <c r="S4" s="1999"/>
      <c r="T4" s="1741"/>
      <c r="U4" s="1997"/>
      <c r="V4" s="1997"/>
    </row>
    <row r="5" spans="1:22" ht="14.25" customHeight="1">
      <c r="A5" s="978"/>
      <c r="B5" s="979"/>
      <c r="C5" s="980">
        <v>1</v>
      </c>
      <c r="D5" s="980">
        <f t="shared" ref="D5" si="0">C5+1</f>
        <v>2</v>
      </c>
      <c r="E5" s="980">
        <f>D5+1</f>
        <v>3</v>
      </c>
      <c r="F5" s="980">
        <f t="shared" ref="F5:V5" si="1">E5+1</f>
        <v>4</v>
      </c>
      <c r="G5" s="980">
        <f t="shared" si="1"/>
        <v>5</v>
      </c>
      <c r="H5" s="980">
        <f t="shared" si="1"/>
        <v>6</v>
      </c>
      <c r="I5" s="980">
        <f t="shared" si="1"/>
        <v>7</v>
      </c>
      <c r="J5" s="980">
        <f t="shared" si="1"/>
        <v>8</v>
      </c>
      <c r="K5" s="980">
        <f t="shared" si="1"/>
        <v>9</v>
      </c>
      <c r="L5" s="980">
        <f t="shared" si="1"/>
        <v>10</v>
      </c>
      <c r="M5" s="980">
        <f t="shared" si="1"/>
        <v>11</v>
      </c>
      <c r="N5" s="980">
        <f t="shared" si="1"/>
        <v>12</v>
      </c>
      <c r="O5" s="980">
        <f t="shared" si="1"/>
        <v>13</v>
      </c>
      <c r="P5" s="980">
        <f t="shared" si="1"/>
        <v>14</v>
      </c>
      <c r="Q5" s="980">
        <f t="shared" si="1"/>
        <v>15</v>
      </c>
      <c r="R5" s="980">
        <f t="shared" si="1"/>
        <v>16</v>
      </c>
      <c r="S5" s="980">
        <f t="shared" si="1"/>
        <v>17</v>
      </c>
      <c r="T5" s="980">
        <f t="shared" si="1"/>
        <v>18</v>
      </c>
      <c r="U5" s="980">
        <f t="shared" si="1"/>
        <v>19</v>
      </c>
      <c r="V5" s="980">
        <f t="shared" si="1"/>
        <v>20</v>
      </c>
    </row>
    <row r="6" spans="1:22" ht="27" customHeight="1">
      <c r="A6" s="1041"/>
      <c r="B6" s="1042"/>
      <c r="C6" s="1042"/>
      <c r="D6" s="1042"/>
      <c r="E6" s="1042"/>
      <c r="F6" s="1042"/>
      <c r="G6" s="1042"/>
      <c r="H6" s="1042"/>
      <c r="I6" s="1042"/>
      <c r="J6" s="1042"/>
      <c r="K6" s="1042"/>
      <c r="L6" s="1042"/>
      <c r="M6" s="1042"/>
      <c r="N6" s="1042"/>
      <c r="O6" s="1042"/>
      <c r="P6" s="1042"/>
      <c r="Q6" s="1042"/>
      <c r="R6" s="1042"/>
      <c r="S6" s="1042"/>
      <c r="T6" s="1042"/>
      <c r="U6" s="1042"/>
      <c r="V6" s="1042"/>
    </row>
    <row r="7" spans="1:22">
      <c r="A7" s="987">
        <v>1</v>
      </c>
      <c r="B7" s="988" t="s">
        <v>95</v>
      </c>
      <c r="C7" s="989">
        <v>0</v>
      </c>
      <c r="D7" s="990">
        <f>'Table 3 Levels 1&amp;2'!BN9+'Table 3 Levels 1&amp;2'!BV9</f>
        <v>4565.2108060165392</v>
      </c>
      <c r="E7" s="1099">
        <f>C7*D7</f>
        <v>0</v>
      </c>
      <c r="F7" s="1099">
        <f>'Table 4 Level 3'!N6</f>
        <v>777.48</v>
      </c>
      <c r="G7" s="1099">
        <f>C7*F7</f>
        <v>0</v>
      </c>
      <c r="H7" s="991">
        <f>E7+G7</f>
        <v>0</v>
      </c>
      <c r="I7" s="1109">
        <f>-(0.25%*H7)</f>
        <v>0</v>
      </c>
      <c r="J7" s="991">
        <f>SUM(H7:I7)</f>
        <v>0</v>
      </c>
      <c r="K7" s="991">
        <v>0</v>
      </c>
      <c r="L7" s="991">
        <f>SUM(J7:K7)</f>
        <v>0</v>
      </c>
      <c r="M7" s="991">
        <f>L7/12</f>
        <v>0</v>
      </c>
      <c r="N7" s="1051">
        <f>'[18]FY2012-13 Final'!K8</f>
        <v>2112</v>
      </c>
      <c r="O7" s="992">
        <f>C7*N7</f>
        <v>0</v>
      </c>
      <c r="P7" s="1117">
        <f>-(0.25%*O7)</f>
        <v>0</v>
      </c>
      <c r="Q7" s="992">
        <f>SUM(O7:P7)</f>
        <v>0</v>
      </c>
      <c r="R7" s="992">
        <v>0</v>
      </c>
      <c r="S7" s="992">
        <f>SUM(Q7:R7)</f>
        <v>0</v>
      </c>
      <c r="T7" s="992">
        <f>S7/12</f>
        <v>0</v>
      </c>
      <c r="U7" s="993">
        <f>L7+S7</f>
        <v>0</v>
      </c>
      <c r="V7" s="993">
        <f>M7+T7</f>
        <v>0</v>
      </c>
    </row>
    <row r="8" spans="1:22">
      <c r="A8" s="994">
        <v>2</v>
      </c>
      <c r="B8" s="995" t="s">
        <v>96</v>
      </c>
      <c r="C8" s="1193">
        <v>0</v>
      </c>
      <c r="D8" s="997">
        <f>'Table 3 Levels 1&amp;2'!BN10+'Table 3 Levels 1&amp;2'!BV10</f>
        <v>6132.0480322513831</v>
      </c>
      <c r="E8" s="1100">
        <f t="shared" ref="E8:E71" si="2">C8*D8</f>
        <v>0</v>
      </c>
      <c r="F8" s="1100">
        <f>'Table 4 Level 3'!N7</f>
        <v>842.32</v>
      </c>
      <c r="G8" s="1100">
        <f t="shared" ref="G8:G71" si="3">C8*F8</f>
        <v>0</v>
      </c>
      <c r="H8" s="1052">
        <f t="shared" ref="H8:H71" si="4">E8+G8</f>
        <v>0</v>
      </c>
      <c r="I8" s="1110">
        <f t="shared" ref="I8:I71" si="5">-(0.25%*H8)</f>
        <v>0</v>
      </c>
      <c r="J8" s="1052">
        <f t="shared" ref="J8:J71" si="6">SUM(H8:I8)</f>
        <v>0</v>
      </c>
      <c r="K8" s="1052">
        <v>0</v>
      </c>
      <c r="L8" s="1052">
        <f t="shared" ref="L8:L71" si="7">SUM(J8:K8)</f>
        <v>0</v>
      </c>
      <c r="M8" s="1052">
        <f t="shared" ref="M8:M71" si="8">L8/12</f>
        <v>0</v>
      </c>
      <c r="N8" s="1051">
        <f>'[18]FY2012-13 Final'!K9</f>
        <v>2584</v>
      </c>
      <c r="O8" s="1053">
        <f t="shared" ref="O8:O71" si="9">C8*N8</f>
        <v>0</v>
      </c>
      <c r="P8" s="1118">
        <f t="shared" ref="P8:P71" si="10">-(0.25%*O8)</f>
        <v>0</v>
      </c>
      <c r="Q8" s="1053">
        <f t="shared" ref="Q8:Q71" si="11">SUM(O8:P8)</f>
        <v>0</v>
      </c>
      <c r="R8" s="1053">
        <v>0</v>
      </c>
      <c r="S8" s="1053">
        <f t="shared" ref="S8:S71" si="12">SUM(Q8:R8)</f>
        <v>0</v>
      </c>
      <c r="T8" s="1053">
        <f t="shared" ref="T8:T71" si="13">S8/12</f>
        <v>0</v>
      </c>
      <c r="U8" s="1054">
        <f t="shared" ref="U8:V71" si="14">L8+S8</f>
        <v>0</v>
      </c>
      <c r="V8" s="1054">
        <f t="shared" si="14"/>
        <v>0</v>
      </c>
    </row>
    <row r="9" spans="1:22">
      <c r="A9" s="994">
        <v>3</v>
      </c>
      <c r="B9" s="995" t="s">
        <v>97</v>
      </c>
      <c r="C9" s="1193">
        <v>0</v>
      </c>
      <c r="D9" s="997">
        <f>'Table 3 Levels 1&amp;2'!BN11+'Table 3 Levels 1&amp;2'!BV11</f>
        <v>4186.9626187036429</v>
      </c>
      <c r="E9" s="1100">
        <f t="shared" si="2"/>
        <v>0</v>
      </c>
      <c r="F9" s="1100">
        <f>'Table 4 Level 3'!N8</f>
        <v>596.84</v>
      </c>
      <c r="G9" s="1100">
        <f t="shared" si="3"/>
        <v>0</v>
      </c>
      <c r="H9" s="1052">
        <f t="shared" si="4"/>
        <v>0</v>
      </c>
      <c r="I9" s="1110">
        <f t="shared" si="5"/>
        <v>0</v>
      </c>
      <c r="J9" s="1052">
        <f t="shared" si="6"/>
        <v>0</v>
      </c>
      <c r="K9" s="1052">
        <v>0</v>
      </c>
      <c r="L9" s="1052">
        <f t="shared" si="7"/>
        <v>0</v>
      </c>
      <c r="M9" s="1052">
        <f t="shared" si="8"/>
        <v>0</v>
      </c>
      <c r="N9" s="1051">
        <f>'[18]FY2012-13 Final'!K10</f>
        <v>4966</v>
      </c>
      <c r="O9" s="1053">
        <f t="shared" si="9"/>
        <v>0</v>
      </c>
      <c r="P9" s="1118">
        <f t="shared" si="10"/>
        <v>0</v>
      </c>
      <c r="Q9" s="1053">
        <f t="shared" si="11"/>
        <v>0</v>
      </c>
      <c r="R9" s="1053">
        <v>0</v>
      </c>
      <c r="S9" s="1053">
        <f t="shared" si="12"/>
        <v>0</v>
      </c>
      <c r="T9" s="1053">
        <f t="shared" si="13"/>
        <v>0</v>
      </c>
      <c r="U9" s="1054">
        <f t="shared" si="14"/>
        <v>0</v>
      </c>
      <c r="V9" s="1054">
        <f t="shared" si="14"/>
        <v>0</v>
      </c>
    </row>
    <row r="10" spans="1:22">
      <c r="A10" s="994">
        <v>4</v>
      </c>
      <c r="B10" s="995" t="s">
        <v>98</v>
      </c>
      <c r="C10" s="1193">
        <v>0</v>
      </c>
      <c r="D10" s="997">
        <f>'Table 3 Levels 1&amp;2'!BN12+'Table 3 Levels 1&amp;2'!BV12</f>
        <v>5918.8798759182582</v>
      </c>
      <c r="E10" s="1100">
        <f t="shared" si="2"/>
        <v>0</v>
      </c>
      <c r="F10" s="1100">
        <f>'Table 4 Level 3'!N9</f>
        <v>585.76</v>
      </c>
      <c r="G10" s="1100">
        <f t="shared" si="3"/>
        <v>0</v>
      </c>
      <c r="H10" s="1052">
        <f t="shared" si="4"/>
        <v>0</v>
      </c>
      <c r="I10" s="1110">
        <f t="shared" si="5"/>
        <v>0</v>
      </c>
      <c r="J10" s="1052">
        <f t="shared" si="6"/>
        <v>0</v>
      </c>
      <c r="K10" s="1052">
        <v>0</v>
      </c>
      <c r="L10" s="1052">
        <f t="shared" si="7"/>
        <v>0</v>
      </c>
      <c r="M10" s="1052">
        <f t="shared" si="8"/>
        <v>0</v>
      </c>
      <c r="N10" s="1051">
        <f>'[18]FY2012-13 Final'!K11</f>
        <v>3445</v>
      </c>
      <c r="O10" s="1053">
        <f t="shared" si="9"/>
        <v>0</v>
      </c>
      <c r="P10" s="1118">
        <f t="shared" si="10"/>
        <v>0</v>
      </c>
      <c r="Q10" s="1053">
        <f t="shared" si="11"/>
        <v>0</v>
      </c>
      <c r="R10" s="1053">
        <v>0</v>
      </c>
      <c r="S10" s="1053">
        <f t="shared" si="12"/>
        <v>0</v>
      </c>
      <c r="T10" s="1053">
        <f t="shared" si="13"/>
        <v>0</v>
      </c>
      <c r="U10" s="1054">
        <f t="shared" si="14"/>
        <v>0</v>
      </c>
      <c r="V10" s="1054">
        <f t="shared" si="14"/>
        <v>0</v>
      </c>
    </row>
    <row r="11" spans="1:22">
      <c r="A11" s="998">
        <v>5</v>
      </c>
      <c r="B11" s="999" t="s">
        <v>99</v>
      </c>
      <c r="C11" s="1194">
        <v>0</v>
      </c>
      <c r="D11" s="1001">
        <f>'Table 3 Levels 1&amp;2'!BN13+'Table 3 Levels 1&amp;2'!BV13</f>
        <v>4880.3484353147733</v>
      </c>
      <c r="E11" s="1101">
        <f t="shared" si="2"/>
        <v>0</v>
      </c>
      <c r="F11" s="1101">
        <f>'Table 4 Level 3'!N10</f>
        <v>555.91</v>
      </c>
      <c r="G11" s="1101">
        <f t="shared" si="3"/>
        <v>0</v>
      </c>
      <c r="H11" s="1055">
        <f t="shared" si="4"/>
        <v>0</v>
      </c>
      <c r="I11" s="1111">
        <f t="shared" si="5"/>
        <v>0</v>
      </c>
      <c r="J11" s="1055">
        <f t="shared" si="6"/>
        <v>0</v>
      </c>
      <c r="K11" s="1055">
        <v>0</v>
      </c>
      <c r="L11" s="1055">
        <f t="shared" si="7"/>
        <v>0</v>
      </c>
      <c r="M11" s="1055">
        <f t="shared" si="8"/>
        <v>0</v>
      </c>
      <c r="N11" s="1056">
        <f>'[18]FY2012-13 Final'!K12</f>
        <v>1353</v>
      </c>
      <c r="O11" s="1057">
        <f t="shared" si="9"/>
        <v>0</v>
      </c>
      <c r="P11" s="1119">
        <f t="shared" si="10"/>
        <v>0</v>
      </c>
      <c r="Q11" s="1057">
        <f t="shared" si="11"/>
        <v>0</v>
      </c>
      <c r="R11" s="1057">
        <v>0</v>
      </c>
      <c r="S11" s="1057">
        <f t="shared" si="12"/>
        <v>0</v>
      </c>
      <c r="T11" s="1057">
        <f t="shared" si="13"/>
        <v>0</v>
      </c>
      <c r="U11" s="1058">
        <f t="shared" si="14"/>
        <v>0</v>
      </c>
      <c r="V11" s="1058">
        <f t="shared" si="14"/>
        <v>0</v>
      </c>
    </row>
    <row r="12" spans="1:22">
      <c r="A12" s="987">
        <v>6</v>
      </c>
      <c r="B12" s="988" t="s">
        <v>100</v>
      </c>
      <c r="C12" s="1195">
        <v>0</v>
      </c>
      <c r="D12" s="990">
        <f>'Table 3 Levels 1&amp;2'!BN14+'Table 3 Levels 1&amp;2'!BV14</f>
        <v>5379.7759718479856</v>
      </c>
      <c r="E12" s="1099">
        <f t="shared" si="2"/>
        <v>0</v>
      </c>
      <c r="F12" s="1099">
        <f>'Table 4 Level 3'!N11</f>
        <v>545.4799999999999</v>
      </c>
      <c r="G12" s="1099">
        <f t="shared" si="3"/>
        <v>0</v>
      </c>
      <c r="H12" s="991">
        <f t="shared" si="4"/>
        <v>0</v>
      </c>
      <c r="I12" s="1109">
        <f t="shared" si="5"/>
        <v>0</v>
      </c>
      <c r="J12" s="991">
        <f t="shared" si="6"/>
        <v>0</v>
      </c>
      <c r="K12" s="991">
        <v>0</v>
      </c>
      <c r="L12" s="991">
        <f t="shared" si="7"/>
        <v>0</v>
      </c>
      <c r="M12" s="991">
        <f t="shared" si="8"/>
        <v>0</v>
      </c>
      <c r="N12" s="1051">
        <f>'[18]FY2012-13 Final'!K13</f>
        <v>3576</v>
      </c>
      <c r="O12" s="992">
        <f t="shared" si="9"/>
        <v>0</v>
      </c>
      <c r="P12" s="1117">
        <f t="shared" si="10"/>
        <v>0</v>
      </c>
      <c r="Q12" s="992">
        <f t="shared" si="11"/>
        <v>0</v>
      </c>
      <c r="R12" s="992">
        <v>0</v>
      </c>
      <c r="S12" s="992">
        <f t="shared" si="12"/>
        <v>0</v>
      </c>
      <c r="T12" s="992">
        <f t="shared" si="13"/>
        <v>0</v>
      </c>
      <c r="U12" s="993">
        <f t="shared" si="14"/>
        <v>0</v>
      </c>
      <c r="V12" s="993">
        <f t="shared" si="14"/>
        <v>0</v>
      </c>
    </row>
    <row r="13" spans="1:22">
      <c r="A13" s="994">
        <v>7</v>
      </c>
      <c r="B13" s="995" t="s">
        <v>101</v>
      </c>
      <c r="C13" s="1193">
        <v>0</v>
      </c>
      <c r="D13" s="997">
        <f>'Table 3 Levels 1&amp;2'!BN15+'Table 3 Levels 1&amp;2'!BV15</f>
        <v>1698.1351763907733</v>
      </c>
      <c r="E13" s="1100">
        <f t="shared" si="2"/>
        <v>0</v>
      </c>
      <c r="F13" s="1100">
        <f>'Table 4 Level 3'!N12</f>
        <v>756.91999999999985</v>
      </c>
      <c r="G13" s="1100">
        <f t="shared" si="3"/>
        <v>0</v>
      </c>
      <c r="H13" s="1052">
        <f t="shared" si="4"/>
        <v>0</v>
      </c>
      <c r="I13" s="1110">
        <f t="shared" si="5"/>
        <v>0</v>
      </c>
      <c r="J13" s="1052">
        <f t="shared" si="6"/>
        <v>0</v>
      </c>
      <c r="K13" s="1052">
        <v>0</v>
      </c>
      <c r="L13" s="1052">
        <f t="shared" si="7"/>
        <v>0</v>
      </c>
      <c r="M13" s="1052">
        <f t="shared" si="8"/>
        <v>0</v>
      </c>
      <c r="N13" s="1051">
        <f>'[18]FY2012-13 Final'!K14</f>
        <v>12465</v>
      </c>
      <c r="O13" s="1053">
        <f t="shared" si="9"/>
        <v>0</v>
      </c>
      <c r="P13" s="1118">
        <f t="shared" si="10"/>
        <v>0</v>
      </c>
      <c r="Q13" s="1053">
        <f t="shared" si="11"/>
        <v>0</v>
      </c>
      <c r="R13" s="1053">
        <v>0</v>
      </c>
      <c r="S13" s="1053">
        <f t="shared" si="12"/>
        <v>0</v>
      </c>
      <c r="T13" s="1053">
        <f t="shared" si="13"/>
        <v>0</v>
      </c>
      <c r="U13" s="1054">
        <f t="shared" si="14"/>
        <v>0</v>
      </c>
      <c r="V13" s="1054">
        <f t="shared" si="14"/>
        <v>0</v>
      </c>
    </row>
    <row r="14" spans="1:22">
      <c r="A14" s="994">
        <v>8</v>
      </c>
      <c r="B14" s="995" t="s">
        <v>102</v>
      </c>
      <c r="C14" s="1193">
        <v>0</v>
      </c>
      <c r="D14" s="997">
        <f>'Table 3 Levels 1&amp;2'!BN16+'Table 3 Levels 1&amp;2'!BV16</f>
        <v>4239.8578920718974</v>
      </c>
      <c r="E14" s="1100">
        <f t="shared" si="2"/>
        <v>0</v>
      </c>
      <c r="F14" s="1100">
        <f>'Table 4 Level 3'!N13</f>
        <v>725.76</v>
      </c>
      <c r="G14" s="1100">
        <f t="shared" si="3"/>
        <v>0</v>
      </c>
      <c r="H14" s="1052">
        <f t="shared" si="4"/>
        <v>0</v>
      </c>
      <c r="I14" s="1110">
        <f t="shared" si="5"/>
        <v>0</v>
      </c>
      <c r="J14" s="1052">
        <f t="shared" si="6"/>
        <v>0</v>
      </c>
      <c r="K14" s="1052">
        <v>0</v>
      </c>
      <c r="L14" s="1052">
        <f t="shared" si="7"/>
        <v>0</v>
      </c>
      <c r="M14" s="1052">
        <f t="shared" si="8"/>
        <v>0</v>
      </c>
      <c r="N14" s="1051">
        <f>'[18]FY2012-13 Final'!K15</f>
        <v>4184</v>
      </c>
      <c r="O14" s="1053">
        <f t="shared" si="9"/>
        <v>0</v>
      </c>
      <c r="P14" s="1118">
        <f t="shared" si="10"/>
        <v>0</v>
      </c>
      <c r="Q14" s="1053">
        <f t="shared" si="11"/>
        <v>0</v>
      </c>
      <c r="R14" s="1053">
        <v>0</v>
      </c>
      <c r="S14" s="1053">
        <f t="shared" si="12"/>
        <v>0</v>
      </c>
      <c r="T14" s="1053">
        <f t="shared" si="13"/>
        <v>0</v>
      </c>
      <c r="U14" s="1054">
        <f t="shared" si="14"/>
        <v>0</v>
      </c>
      <c r="V14" s="1054">
        <f t="shared" si="14"/>
        <v>0</v>
      </c>
    </row>
    <row r="15" spans="1:22">
      <c r="A15" s="994">
        <v>9</v>
      </c>
      <c r="B15" s="995" t="s">
        <v>103</v>
      </c>
      <c r="C15" s="1193">
        <v>0</v>
      </c>
      <c r="D15" s="997">
        <f>'Table 3 Levels 1&amp;2'!BN17+'Table 3 Levels 1&amp;2'!BV17</f>
        <v>4361.2752875373017</v>
      </c>
      <c r="E15" s="1100">
        <f t="shared" si="2"/>
        <v>0</v>
      </c>
      <c r="F15" s="1100">
        <f>'Table 4 Level 3'!N14</f>
        <v>744.76</v>
      </c>
      <c r="G15" s="1100">
        <f t="shared" si="3"/>
        <v>0</v>
      </c>
      <c r="H15" s="1052">
        <f t="shared" si="4"/>
        <v>0</v>
      </c>
      <c r="I15" s="1110">
        <f t="shared" si="5"/>
        <v>0</v>
      </c>
      <c r="J15" s="1052">
        <f t="shared" si="6"/>
        <v>0</v>
      </c>
      <c r="K15" s="1052">
        <v>0</v>
      </c>
      <c r="L15" s="1052">
        <f t="shared" si="7"/>
        <v>0</v>
      </c>
      <c r="M15" s="1052">
        <f t="shared" si="8"/>
        <v>0</v>
      </c>
      <c r="N15" s="1051">
        <f>'[18]FY2012-13 Final'!K16</f>
        <v>4640</v>
      </c>
      <c r="O15" s="1053">
        <f t="shared" si="9"/>
        <v>0</v>
      </c>
      <c r="P15" s="1118">
        <f t="shared" si="10"/>
        <v>0</v>
      </c>
      <c r="Q15" s="1053">
        <f t="shared" si="11"/>
        <v>0</v>
      </c>
      <c r="R15" s="1053">
        <v>0</v>
      </c>
      <c r="S15" s="1053">
        <f t="shared" si="12"/>
        <v>0</v>
      </c>
      <c r="T15" s="1053">
        <f t="shared" si="13"/>
        <v>0</v>
      </c>
      <c r="U15" s="1054">
        <f t="shared" si="14"/>
        <v>0</v>
      </c>
      <c r="V15" s="1054">
        <f t="shared" si="14"/>
        <v>0</v>
      </c>
    </row>
    <row r="16" spans="1:22">
      <c r="A16" s="998">
        <v>10</v>
      </c>
      <c r="B16" s="999" t="s">
        <v>104</v>
      </c>
      <c r="C16" s="1194">
        <v>0</v>
      </c>
      <c r="D16" s="1001">
        <f>'Table 3 Levels 1&amp;2'!BN18+'Table 3 Levels 1&amp;2'!BV18</f>
        <v>4179.4641652904756</v>
      </c>
      <c r="E16" s="1101">
        <f t="shared" si="2"/>
        <v>0</v>
      </c>
      <c r="F16" s="1101">
        <f>'Table 4 Level 3'!N15</f>
        <v>608.04000000000008</v>
      </c>
      <c r="G16" s="1101">
        <f t="shared" si="3"/>
        <v>0</v>
      </c>
      <c r="H16" s="1055">
        <f t="shared" si="4"/>
        <v>0</v>
      </c>
      <c r="I16" s="1111">
        <f t="shared" si="5"/>
        <v>0</v>
      </c>
      <c r="J16" s="1055">
        <f t="shared" si="6"/>
        <v>0</v>
      </c>
      <c r="K16" s="1055">
        <v>0</v>
      </c>
      <c r="L16" s="1055">
        <f t="shared" si="7"/>
        <v>0</v>
      </c>
      <c r="M16" s="1055">
        <f t="shared" si="8"/>
        <v>0</v>
      </c>
      <c r="N16" s="1056">
        <f>'[18]FY2012-13 Final'!K17</f>
        <v>4391</v>
      </c>
      <c r="O16" s="1057">
        <f t="shared" si="9"/>
        <v>0</v>
      </c>
      <c r="P16" s="1119">
        <f t="shared" si="10"/>
        <v>0</v>
      </c>
      <c r="Q16" s="1057">
        <f t="shared" si="11"/>
        <v>0</v>
      </c>
      <c r="R16" s="1057">
        <v>0</v>
      </c>
      <c r="S16" s="1057">
        <f t="shared" si="12"/>
        <v>0</v>
      </c>
      <c r="T16" s="1057">
        <f t="shared" si="13"/>
        <v>0</v>
      </c>
      <c r="U16" s="1058">
        <f t="shared" si="14"/>
        <v>0</v>
      </c>
      <c r="V16" s="1058">
        <f t="shared" si="14"/>
        <v>0</v>
      </c>
    </row>
    <row r="17" spans="1:22">
      <c r="A17" s="987">
        <v>11</v>
      </c>
      <c r="B17" s="988" t="s">
        <v>105</v>
      </c>
      <c r="C17" s="1195">
        <v>0</v>
      </c>
      <c r="D17" s="990">
        <f>'Table 3 Levels 1&amp;2'!BN19+'Table 3 Levels 1&amp;2'!BV19</f>
        <v>6825.0221851487568</v>
      </c>
      <c r="E17" s="1099">
        <f t="shared" si="2"/>
        <v>0</v>
      </c>
      <c r="F17" s="1099">
        <f>'Table 4 Level 3'!N16</f>
        <v>706.55</v>
      </c>
      <c r="G17" s="1099">
        <f t="shared" si="3"/>
        <v>0</v>
      </c>
      <c r="H17" s="991">
        <f t="shared" si="4"/>
        <v>0</v>
      </c>
      <c r="I17" s="1109">
        <f t="shared" si="5"/>
        <v>0</v>
      </c>
      <c r="J17" s="991">
        <f t="shared" si="6"/>
        <v>0</v>
      </c>
      <c r="K17" s="991">
        <v>0</v>
      </c>
      <c r="L17" s="991">
        <f t="shared" si="7"/>
        <v>0</v>
      </c>
      <c r="M17" s="991">
        <f t="shared" si="8"/>
        <v>0</v>
      </c>
      <c r="N17" s="1051">
        <f>'[18]FY2012-13 Final'!K18</f>
        <v>3430</v>
      </c>
      <c r="O17" s="992">
        <f t="shared" si="9"/>
        <v>0</v>
      </c>
      <c r="P17" s="1117">
        <f t="shared" si="10"/>
        <v>0</v>
      </c>
      <c r="Q17" s="992">
        <f t="shared" si="11"/>
        <v>0</v>
      </c>
      <c r="R17" s="992">
        <v>0</v>
      </c>
      <c r="S17" s="992">
        <f t="shared" si="12"/>
        <v>0</v>
      </c>
      <c r="T17" s="992">
        <f t="shared" si="13"/>
        <v>0</v>
      </c>
      <c r="U17" s="993">
        <f t="shared" si="14"/>
        <v>0</v>
      </c>
      <c r="V17" s="993">
        <f t="shared" si="14"/>
        <v>0</v>
      </c>
    </row>
    <row r="18" spans="1:22">
      <c r="A18" s="994">
        <v>12</v>
      </c>
      <c r="B18" s="995" t="s">
        <v>106</v>
      </c>
      <c r="C18" s="1193">
        <v>0</v>
      </c>
      <c r="D18" s="997">
        <f>'Table 3 Levels 1&amp;2'!BN20+'Table 3 Levels 1&amp;2'!BV20</f>
        <v>1688.0492586490939</v>
      </c>
      <c r="E18" s="1100">
        <f t="shared" si="2"/>
        <v>0</v>
      </c>
      <c r="F18" s="1100">
        <f>'Table 4 Level 3'!N17</f>
        <v>1063.31</v>
      </c>
      <c r="G18" s="1100">
        <f t="shared" si="3"/>
        <v>0</v>
      </c>
      <c r="H18" s="1052">
        <f t="shared" si="4"/>
        <v>0</v>
      </c>
      <c r="I18" s="1110">
        <f t="shared" si="5"/>
        <v>0</v>
      </c>
      <c r="J18" s="1052">
        <f t="shared" si="6"/>
        <v>0</v>
      </c>
      <c r="K18" s="1052">
        <v>0</v>
      </c>
      <c r="L18" s="1052">
        <f t="shared" si="7"/>
        <v>0</v>
      </c>
      <c r="M18" s="1052">
        <f t="shared" si="8"/>
        <v>0</v>
      </c>
      <c r="N18" s="1051">
        <f>'[18]FY2012-13 Final'!K19</f>
        <v>12558</v>
      </c>
      <c r="O18" s="1053">
        <f t="shared" si="9"/>
        <v>0</v>
      </c>
      <c r="P18" s="1118">
        <f t="shared" si="10"/>
        <v>0</v>
      </c>
      <c r="Q18" s="1053">
        <f t="shared" si="11"/>
        <v>0</v>
      </c>
      <c r="R18" s="1053">
        <v>0</v>
      </c>
      <c r="S18" s="1053">
        <f t="shared" si="12"/>
        <v>0</v>
      </c>
      <c r="T18" s="1053">
        <f t="shared" si="13"/>
        <v>0</v>
      </c>
      <c r="U18" s="1054">
        <f t="shared" si="14"/>
        <v>0</v>
      </c>
      <c r="V18" s="1054">
        <f t="shared" si="14"/>
        <v>0</v>
      </c>
    </row>
    <row r="19" spans="1:22">
      <c r="A19" s="994">
        <v>13</v>
      </c>
      <c r="B19" s="995" t="s">
        <v>107</v>
      </c>
      <c r="C19" s="1193">
        <v>0</v>
      </c>
      <c r="D19" s="997">
        <f>'Table 3 Levels 1&amp;2'!BN21+'Table 3 Levels 1&amp;2'!BV21</f>
        <v>6187.1651272387344</v>
      </c>
      <c r="E19" s="1100">
        <f t="shared" si="2"/>
        <v>0</v>
      </c>
      <c r="F19" s="1100">
        <f>'Table 4 Level 3'!N18</f>
        <v>749.43000000000006</v>
      </c>
      <c r="G19" s="1100">
        <f t="shared" si="3"/>
        <v>0</v>
      </c>
      <c r="H19" s="1052">
        <f t="shared" si="4"/>
        <v>0</v>
      </c>
      <c r="I19" s="1110">
        <f t="shared" si="5"/>
        <v>0</v>
      </c>
      <c r="J19" s="1052">
        <f t="shared" si="6"/>
        <v>0</v>
      </c>
      <c r="K19" s="1052">
        <v>0</v>
      </c>
      <c r="L19" s="1052">
        <f t="shared" si="7"/>
        <v>0</v>
      </c>
      <c r="M19" s="1052">
        <f t="shared" si="8"/>
        <v>0</v>
      </c>
      <c r="N19" s="1051">
        <f>'[18]FY2012-13 Final'!K20</f>
        <v>2536</v>
      </c>
      <c r="O19" s="1053">
        <f t="shared" si="9"/>
        <v>0</v>
      </c>
      <c r="P19" s="1118">
        <f t="shared" si="10"/>
        <v>0</v>
      </c>
      <c r="Q19" s="1053">
        <f t="shared" si="11"/>
        <v>0</v>
      </c>
      <c r="R19" s="1053">
        <v>0</v>
      </c>
      <c r="S19" s="1053">
        <f t="shared" si="12"/>
        <v>0</v>
      </c>
      <c r="T19" s="1053">
        <f t="shared" si="13"/>
        <v>0</v>
      </c>
      <c r="U19" s="1054">
        <f t="shared" si="14"/>
        <v>0</v>
      </c>
      <c r="V19" s="1054">
        <f t="shared" si="14"/>
        <v>0</v>
      </c>
    </row>
    <row r="20" spans="1:22">
      <c r="A20" s="994">
        <v>14</v>
      </c>
      <c r="B20" s="995" t="s">
        <v>108</v>
      </c>
      <c r="C20" s="1193">
        <v>0</v>
      </c>
      <c r="D20" s="997">
        <f>'Table 3 Levels 1&amp;2'!BN22+'Table 3 Levels 1&amp;2'!BV22</f>
        <v>5339.1887414618923</v>
      </c>
      <c r="E20" s="1100">
        <f t="shared" si="2"/>
        <v>0</v>
      </c>
      <c r="F20" s="1100">
        <f>'Table 4 Level 3'!N19</f>
        <v>809.9799999999999</v>
      </c>
      <c r="G20" s="1100">
        <f t="shared" si="3"/>
        <v>0</v>
      </c>
      <c r="H20" s="1052">
        <f t="shared" si="4"/>
        <v>0</v>
      </c>
      <c r="I20" s="1110">
        <f t="shared" si="5"/>
        <v>0</v>
      </c>
      <c r="J20" s="1052">
        <f t="shared" si="6"/>
        <v>0</v>
      </c>
      <c r="K20" s="1052">
        <v>0</v>
      </c>
      <c r="L20" s="1052">
        <f t="shared" si="7"/>
        <v>0</v>
      </c>
      <c r="M20" s="1052">
        <f t="shared" si="8"/>
        <v>0</v>
      </c>
      <c r="N20" s="1051">
        <f>'[18]FY2012-13 Final'!K21</f>
        <v>3888</v>
      </c>
      <c r="O20" s="1053">
        <f t="shared" si="9"/>
        <v>0</v>
      </c>
      <c r="P20" s="1118">
        <f t="shared" si="10"/>
        <v>0</v>
      </c>
      <c r="Q20" s="1053">
        <f t="shared" si="11"/>
        <v>0</v>
      </c>
      <c r="R20" s="1053">
        <v>0</v>
      </c>
      <c r="S20" s="1053">
        <f t="shared" si="12"/>
        <v>0</v>
      </c>
      <c r="T20" s="1053">
        <f t="shared" si="13"/>
        <v>0</v>
      </c>
      <c r="U20" s="1054">
        <f t="shared" si="14"/>
        <v>0</v>
      </c>
      <c r="V20" s="1054">
        <f t="shared" si="14"/>
        <v>0</v>
      </c>
    </row>
    <row r="21" spans="1:22">
      <c r="A21" s="998">
        <v>15</v>
      </c>
      <c r="B21" s="999" t="s">
        <v>109</v>
      </c>
      <c r="C21" s="1194">
        <v>230</v>
      </c>
      <c r="D21" s="1001">
        <f>'Table 3 Levels 1&amp;2'!BN23+'Table 3 Levels 1&amp;2'!BV23</f>
        <v>5492.5789412344011</v>
      </c>
      <c r="E21" s="1101">
        <f t="shared" si="2"/>
        <v>1263293.1564839121</v>
      </c>
      <c r="F21" s="1101">
        <f>'Table 4 Level 3'!N20</f>
        <v>553.79999999999995</v>
      </c>
      <c r="G21" s="1101">
        <f t="shared" si="3"/>
        <v>127373.99999999999</v>
      </c>
      <c r="H21" s="1055">
        <f t="shared" si="4"/>
        <v>1390667.1564839121</v>
      </c>
      <c r="I21" s="1111">
        <f t="shared" si="5"/>
        <v>-3476.6678912097805</v>
      </c>
      <c r="J21" s="1055">
        <f t="shared" si="6"/>
        <v>1387190.4885927024</v>
      </c>
      <c r="K21" s="1055">
        <v>0</v>
      </c>
      <c r="L21" s="1055">
        <f t="shared" si="7"/>
        <v>1387190.4885927024</v>
      </c>
      <c r="M21" s="1055">
        <f t="shared" si="8"/>
        <v>115599.2073827252</v>
      </c>
      <c r="N21" s="1056">
        <f>'[18]FY2012-13 Final'!K22</f>
        <v>2752</v>
      </c>
      <c r="O21" s="1057">
        <f t="shared" si="9"/>
        <v>632960</v>
      </c>
      <c r="P21" s="1119">
        <f t="shared" si="10"/>
        <v>-1582.4</v>
      </c>
      <c r="Q21" s="1057">
        <f t="shared" si="11"/>
        <v>631377.6</v>
      </c>
      <c r="R21" s="1057">
        <v>0</v>
      </c>
      <c r="S21" s="1057">
        <f t="shared" si="12"/>
        <v>631377.6</v>
      </c>
      <c r="T21" s="1057">
        <f t="shared" si="13"/>
        <v>52614.799999999996</v>
      </c>
      <c r="U21" s="1058">
        <f t="shared" si="14"/>
        <v>2018568.0885927025</v>
      </c>
      <c r="V21" s="1058">
        <f t="shared" si="14"/>
        <v>168214.00738272519</v>
      </c>
    </row>
    <row r="22" spans="1:22">
      <c r="A22" s="987">
        <v>16</v>
      </c>
      <c r="B22" s="988" t="s">
        <v>110</v>
      </c>
      <c r="C22" s="1195">
        <v>0</v>
      </c>
      <c r="D22" s="990">
        <f>'Table 3 Levels 1&amp;2'!BN24+'Table 3 Levels 1&amp;2'!BV24</f>
        <v>1506.1153407945151</v>
      </c>
      <c r="E22" s="1099">
        <f t="shared" si="2"/>
        <v>0</v>
      </c>
      <c r="F22" s="1099">
        <f>'Table 4 Level 3'!N21</f>
        <v>686.73</v>
      </c>
      <c r="G22" s="1099">
        <f t="shared" si="3"/>
        <v>0</v>
      </c>
      <c r="H22" s="991">
        <f t="shared" si="4"/>
        <v>0</v>
      </c>
      <c r="I22" s="1109">
        <f t="shared" si="5"/>
        <v>0</v>
      </c>
      <c r="J22" s="991">
        <f t="shared" si="6"/>
        <v>0</v>
      </c>
      <c r="K22" s="991">
        <v>0</v>
      </c>
      <c r="L22" s="991">
        <f t="shared" si="7"/>
        <v>0</v>
      </c>
      <c r="M22" s="991">
        <f t="shared" si="8"/>
        <v>0</v>
      </c>
      <c r="N22" s="1051">
        <f>'[18]FY2012-13 Final'!K23</f>
        <v>15092</v>
      </c>
      <c r="O22" s="992">
        <f t="shared" si="9"/>
        <v>0</v>
      </c>
      <c r="P22" s="1117">
        <f t="shared" si="10"/>
        <v>0</v>
      </c>
      <c r="Q22" s="992">
        <f t="shared" si="11"/>
        <v>0</v>
      </c>
      <c r="R22" s="992">
        <v>0</v>
      </c>
      <c r="S22" s="992">
        <f t="shared" si="12"/>
        <v>0</v>
      </c>
      <c r="T22" s="992">
        <f t="shared" si="13"/>
        <v>0</v>
      </c>
      <c r="U22" s="993">
        <f t="shared" si="14"/>
        <v>0</v>
      </c>
      <c r="V22" s="993">
        <f t="shared" si="14"/>
        <v>0</v>
      </c>
    </row>
    <row r="23" spans="1:22">
      <c r="A23" s="994">
        <v>17</v>
      </c>
      <c r="B23" s="995" t="s">
        <v>111</v>
      </c>
      <c r="C23" s="1193">
        <v>0</v>
      </c>
      <c r="D23" s="997">
        <f>'Table 3 Levels 1&amp;2'!BN25+'Table 3 Levels 1&amp;2'!BV25</f>
        <v>3311.610845996096</v>
      </c>
      <c r="E23" s="1100">
        <f t="shared" si="2"/>
        <v>0</v>
      </c>
      <c r="F23" s="1100">
        <f>'Table 4 Level 3'!N22</f>
        <v>801.47762416806802</v>
      </c>
      <c r="G23" s="1100">
        <f t="shared" si="3"/>
        <v>0</v>
      </c>
      <c r="H23" s="1052">
        <f t="shared" si="4"/>
        <v>0</v>
      </c>
      <c r="I23" s="1110">
        <f t="shared" si="5"/>
        <v>0</v>
      </c>
      <c r="J23" s="1052">
        <f t="shared" si="6"/>
        <v>0</v>
      </c>
      <c r="K23" s="1052">
        <v>0</v>
      </c>
      <c r="L23" s="1052">
        <f t="shared" si="7"/>
        <v>0</v>
      </c>
      <c r="M23" s="1052">
        <f t="shared" si="8"/>
        <v>0</v>
      </c>
      <c r="N23" s="1051">
        <f>'[18]FY2012-13 Final'!K24</f>
        <v>6551</v>
      </c>
      <c r="O23" s="1053">
        <f t="shared" si="9"/>
        <v>0</v>
      </c>
      <c r="P23" s="1118">
        <f t="shared" si="10"/>
        <v>0</v>
      </c>
      <c r="Q23" s="1053">
        <f t="shared" si="11"/>
        <v>0</v>
      </c>
      <c r="R23" s="1053">
        <v>0</v>
      </c>
      <c r="S23" s="1053">
        <f t="shared" si="12"/>
        <v>0</v>
      </c>
      <c r="T23" s="1053">
        <f t="shared" si="13"/>
        <v>0</v>
      </c>
      <c r="U23" s="1054">
        <f t="shared" si="14"/>
        <v>0</v>
      </c>
      <c r="V23" s="1054">
        <f t="shared" si="14"/>
        <v>0</v>
      </c>
    </row>
    <row r="24" spans="1:22">
      <c r="A24" s="994">
        <v>18</v>
      </c>
      <c r="B24" s="995" t="s">
        <v>112</v>
      </c>
      <c r="C24" s="1193">
        <v>0</v>
      </c>
      <c r="D24" s="997">
        <f>'Table 3 Levels 1&amp;2'!BN26+'Table 3 Levels 1&amp;2'!BV26</f>
        <v>5964.3490202032081</v>
      </c>
      <c r="E24" s="1100">
        <f t="shared" si="2"/>
        <v>0</v>
      </c>
      <c r="F24" s="1100">
        <f>'Table 4 Level 3'!N23</f>
        <v>845.94999999999993</v>
      </c>
      <c r="G24" s="1100">
        <f t="shared" si="3"/>
        <v>0</v>
      </c>
      <c r="H24" s="1052">
        <f t="shared" si="4"/>
        <v>0</v>
      </c>
      <c r="I24" s="1110">
        <f t="shared" si="5"/>
        <v>0</v>
      </c>
      <c r="J24" s="1052">
        <f t="shared" si="6"/>
        <v>0</v>
      </c>
      <c r="K24" s="1052">
        <v>0</v>
      </c>
      <c r="L24" s="1052">
        <f t="shared" si="7"/>
        <v>0</v>
      </c>
      <c r="M24" s="1052">
        <f t="shared" si="8"/>
        <v>0</v>
      </c>
      <c r="N24" s="1051">
        <f>'[18]FY2012-13 Final'!K25</f>
        <v>2165</v>
      </c>
      <c r="O24" s="1053">
        <f t="shared" si="9"/>
        <v>0</v>
      </c>
      <c r="P24" s="1118">
        <f t="shared" si="10"/>
        <v>0</v>
      </c>
      <c r="Q24" s="1053">
        <f t="shared" si="11"/>
        <v>0</v>
      </c>
      <c r="R24" s="1053">
        <v>0</v>
      </c>
      <c r="S24" s="1053">
        <f t="shared" si="12"/>
        <v>0</v>
      </c>
      <c r="T24" s="1053">
        <f t="shared" si="13"/>
        <v>0</v>
      </c>
      <c r="U24" s="1054">
        <f t="shared" si="14"/>
        <v>0</v>
      </c>
      <c r="V24" s="1054">
        <f t="shared" si="14"/>
        <v>0</v>
      </c>
    </row>
    <row r="25" spans="1:22">
      <c r="A25" s="994">
        <v>19</v>
      </c>
      <c r="B25" s="995" t="s">
        <v>113</v>
      </c>
      <c r="C25" s="1193">
        <v>0</v>
      </c>
      <c r="D25" s="997">
        <f>'Table 3 Levels 1&amp;2'!BN27+'Table 3 Levels 1&amp;2'!BV27</f>
        <v>5283.1088158476596</v>
      </c>
      <c r="E25" s="1100">
        <f t="shared" si="2"/>
        <v>0</v>
      </c>
      <c r="F25" s="1100">
        <f>'Table 4 Level 3'!N24</f>
        <v>905.43</v>
      </c>
      <c r="G25" s="1100">
        <f t="shared" si="3"/>
        <v>0</v>
      </c>
      <c r="H25" s="1052">
        <f t="shared" si="4"/>
        <v>0</v>
      </c>
      <c r="I25" s="1110">
        <f t="shared" si="5"/>
        <v>0</v>
      </c>
      <c r="J25" s="1052">
        <f t="shared" si="6"/>
        <v>0</v>
      </c>
      <c r="K25" s="1052">
        <v>0</v>
      </c>
      <c r="L25" s="1052">
        <f t="shared" si="7"/>
        <v>0</v>
      </c>
      <c r="M25" s="1052">
        <f t="shared" si="8"/>
        <v>0</v>
      </c>
      <c r="N25" s="1051">
        <f>'[18]FY2012-13 Final'!K26</f>
        <v>2729</v>
      </c>
      <c r="O25" s="1053">
        <f t="shared" si="9"/>
        <v>0</v>
      </c>
      <c r="P25" s="1118">
        <f t="shared" si="10"/>
        <v>0</v>
      </c>
      <c r="Q25" s="1053">
        <f t="shared" si="11"/>
        <v>0</v>
      </c>
      <c r="R25" s="1053">
        <v>0</v>
      </c>
      <c r="S25" s="1053">
        <f t="shared" si="12"/>
        <v>0</v>
      </c>
      <c r="T25" s="1053">
        <f t="shared" si="13"/>
        <v>0</v>
      </c>
      <c r="U25" s="1054">
        <f t="shared" si="14"/>
        <v>0</v>
      </c>
      <c r="V25" s="1054">
        <f t="shared" si="14"/>
        <v>0</v>
      </c>
    </row>
    <row r="26" spans="1:22">
      <c r="A26" s="998">
        <v>20</v>
      </c>
      <c r="B26" s="999" t="s">
        <v>114</v>
      </c>
      <c r="C26" s="1194">
        <v>0</v>
      </c>
      <c r="D26" s="1001">
        <f>'Table 3 Levels 1&amp;2'!BN28+'Table 3 Levels 1&amp;2'!BV28</f>
        <v>5389.6047094824808</v>
      </c>
      <c r="E26" s="1101">
        <f t="shared" si="2"/>
        <v>0</v>
      </c>
      <c r="F26" s="1101">
        <f>'Table 4 Level 3'!N25</f>
        <v>586.16999999999996</v>
      </c>
      <c r="G26" s="1101">
        <f t="shared" si="3"/>
        <v>0</v>
      </c>
      <c r="H26" s="1055">
        <f t="shared" si="4"/>
        <v>0</v>
      </c>
      <c r="I26" s="1111">
        <f t="shared" si="5"/>
        <v>0</v>
      </c>
      <c r="J26" s="1055">
        <f t="shared" si="6"/>
        <v>0</v>
      </c>
      <c r="K26" s="1055">
        <v>0</v>
      </c>
      <c r="L26" s="1055">
        <f t="shared" si="7"/>
        <v>0</v>
      </c>
      <c r="M26" s="1055">
        <f t="shared" si="8"/>
        <v>0</v>
      </c>
      <c r="N26" s="1056">
        <f>'[18]FY2012-13 Final'!K27</f>
        <v>2334</v>
      </c>
      <c r="O26" s="1057">
        <f t="shared" si="9"/>
        <v>0</v>
      </c>
      <c r="P26" s="1119">
        <f t="shared" si="10"/>
        <v>0</v>
      </c>
      <c r="Q26" s="1057">
        <f t="shared" si="11"/>
        <v>0</v>
      </c>
      <c r="R26" s="1057">
        <v>0</v>
      </c>
      <c r="S26" s="1057">
        <f t="shared" si="12"/>
        <v>0</v>
      </c>
      <c r="T26" s="1057">
        <f t="shared" si="13"/>
        <v>0</v>
      </c>
      <c r="U26" s="1058">
        <f t="shared" si="14"/>
        <v>0</v>
      </c>
      <c r="V26" s="1058">
        <f t="shared" si="14"/>
        <v>0</v>
      </c>
    </row>
    <row r="27" spans="1:22">
      <c r="A27" s="987">
        <v>21</v>
      </c>
      <c r="B27" s="988" t="s">
        <v>115</v>
      </c>
      <c r="C27" s="1195">
        <v>0</v>
      </c>
      <c r="D27" s="990">
        <f>'Table 3 Levels 1&amp;2'!BN29+'Table 3 Levels 1&amp;2'!BV29</f>
        <v>5659.8229810652783</v>
      </c>
      <c r="E27" s="1099">
        <f t="shared" si="2"/>
        <v>0</v>
      </c>
      <c r="F27" s="1099">
        <f>'Table 4 Level 3'!N26</f>
        <v>610.35</v>
      </c>
      <c r="G27" s="1099">
        <f t="shared" si="3"/>
        <v>0</v>
      </c>
      <c r="H27" s="991">
        <f t="shared" si="4"/>
        <v>0</v>
      </c>
      <c r="I27" s="1109">
        <f t="shared" si="5"/>
        <v>0</v>
      </c>
      <c r="J27" s="991">
        <f t="shared" si="6"/>
        <v>0</v>
      </c>
      <c r="K27" s="991">
        <v>0</v>
      </c>
      <c r="L27" s="991">
        <f t="shared" si="7"/>
        <v>0</v>
      </c>
      <c r="M27" s="991">
        <f t="shared" si="8"/>
        <v>0</v>
      </c>
      <c r="N27" s="1051">
        <f>'[18]FY2012-13 Final'!K28</f>
        <v>2233</v>
      </c>
      <c r="O27" s="992">
        <f t="shared" si="9"/>
        <v>0</v>
      </c>
      <c r="P27" s="1117">
        <f t="shared" si="10"/>
        <v>0</v>
      </c>
      <c r="Q27" s="992">
        <f t="shared" si="11"/>
        <v>0</v>
      </c>
      <c r="R27" s="992">
        <v>0</v>
      </c>
      <c r="S27" s="992">
        <f t="shared" si="12"/>
        <v>0</v>
      </c>
      <c r="T27" s="992">
        <f t="shared" si="13"/>
        <v>0</v>
      </c>
      <c r="U27" s="993">
        <f t="shared" si="14"/>
        <v>0</v>
      </c>
      <c r="V27" s="993">
        <f t="shared" si="14"/>
        <v>0</v>
      </c>
    </row>
    <row r="28" spans="1:22">
      <c r="A28" s="994">
        <v>22</v>
      </c>
      <c r="B28" s="995" t="s">
        <v>116</v>
      </c>
      <c r="C28" s="1193">
        <v>0</v>
      </c>
      <c r="D28" s="997">
        <f>'Table 3 Levels 1&amp;2'!BN30+'Table 3 Levels 1&amp;2'!BV30</f>
        <v>6191.1997628958306</v>
      </c>
      <c r="E28" s="1100">
        <f t="shared" si="2"/>
        <v>0</v>
      </c>
      <c r="F28" s="1100">
        <f>'Table 4 Level 3'!N27</f>
        <v>496.36</v>
      </c>
      <c r="G28" s="1100">
        <f t="shared" si="3"/>
        <v>0</v>
      </c>
      <c r="H28" s="1052">
        <f t="shared" si="4"/>
        <v>0</v>
      </c>
      <c r="I28" s="1110">
        <f t="shared" si="5"/>
        <v>0</v>
      </c>
      <c r="J28" s="1052">
        <f t="shared" si="6"/>
        <v>0</v>
      </c>
      <c r="K28" s="1052">
        <v>0</v>
      </c>
      <c r="L28" s="1052">
        <f t="shared" si="7"/>
        <v>0</v>
      </c>
      <c r="M28" s="1052">
        <f t="shared" si="8"/>
        <v>0</v>
      </c>
      <c r="N28" s="1051">
        <f>'[18]FY2012-13 Final'!K29</f>
        <v>1410</v>
      </c>
      <c r="O28" s="1053">
        <f t="shared" si="9"/>
        <v>0</v>
      </c>
      <c r="P28" s="1118">
        <f t="shared" si="10"/>
        <v>0</v>
      </c>
      <c r="Q28" s="1053">
        <f t="shared" si="11"/>
        <v>0</v>
      </c>
      <c r="R28" s="1053">
        <v>0</v>
      </c>
      <c r="S28" s="1053">
        <f t="shared" si="12"/>
        <v>0</v>
      </c>
      <c r="T28" s="1053">
        <f t="shared" si="13"/>
        <v>0</v>
      </c>
      <c r="U28" s="1054">
        <f t="shared" si="14"/>
        <v>0</v>
      </c>
      <c r="V28" s="1054">
        <f t="shared" si="14"/>
        <v>0</v>
      </c>
    </row>
    <row r="29" spans="1:22">
      <c r="A29" s="994">
        <v>23</v>
      </c>
      <c r="B29" s="995" t="s">
        <v>117</v>
      </c>
      <c r="C29" s="1193">
        <v>0</v>
      </c>
      <c r="D29" s="997">
        <f>'Table 3 Levels 1&amp;2'!BN31+'Table 3 Levels 1&amp;2'!BV31</f>
        <v>4788.2881021645453</v>
      </c>
      <c r="E29" s="1100">
        <f t="shared" si="2"/>
        <v>0</v>
      </c>
      <c r="F29" s="1100">
        <f>'Table 4 Level 3'!N28</f>
        <v>688.58</v>
      </c>
      <c r="G29" s="1100">
        <f t="shared" si="3"/>
        <v>0</v>
      </c>
      <c r="H29" s="1052">
        <f t="shared" si="4"/>
        <v>0</v>
      </c>
      <c r="I29" s="1110">
        <f t="shared" si="5"/>
        <v>0</v>
      </c>
      <c r="J29" s="1052">
        <f t="shared" si="6"/>
        <v>0</v>
      </c>
      <c r="K29" s="1052">
        <v>0</v>
      </c>
      <c r="L29" s="1052">
        <f t="shared" si="7"/>
        <v>0</v>
      </c>
      <c r="M29" s="1052">
        <f t="shared" si="8"/>
        <v>0</v>
      </c>
      <c r="N29" s="1051">
        <f>'[18]FY2012-13 Final'!K30</f>
        <v>3258</v>
      </c>
      <c r="O29" s="1053">
        <f t="shared" si="9"/>
        <v>0</v>
      </c>
      <c r="P29" s="1118">
        <f t="shared" si="10"/>
        <v>0</v>
      </c>
      <c r="Q29" s="1053">
        <f t="shared" si="11"/>
        <v>0</v>
      </c>
      <c r="R29" s="1053">
        <v>0</v>
      </c>
      <c r="S29" s="1053">
        <f t="shared" si="12"/>
        <v>0</v>
      </c>
      <c r="T29" s="1053">
        <f t="shared" si="13"/>
        <v>0</v>
      </c>
      <c r="U29" s="1054">
        <f t="shared" si="14"/>
        <v>0</v>
      </c>
      <c r="V29" s="1054">
        <f t="shared" si="14"/>
        <v>0</v>
      </c>
    </row>
    <row r="30" spans="1:22">
      <c r="A30" s="994">
        <v>24</v>
      </c>
      <c r="B30" s="995" t="s">
        <v>118</v>
      </c>
      <c r="C30" s="1193">
        <v>0</v>
      </c>
      <c r="D30" s="997">
        <f>'Table 3 Levels 1&amp;2'!BN32+'Table 3 Levels 1&amp;2'!BV32</f>
        <v>2743.328175824176</v>
      </c>
      <c r="E30" s="1100">
        <f t="shared" si="2"/>
        <v>0</v>
      </c>
      <c r="F30" s="1100">
        <f>'Table 4 Level 3'!N29</f>
        <v>854.24999999999989</v>
      </c>
      <c r="G30" s="1100">
        <f t="shared" si="3"/>
        <v>0</v>
      </c>
      <c r="H30" s="1052">
        <f t="shared" si="4"/>
        <v>0</v>
      </c>
      <c r="I30" s="1110">
        <f t="shared" si="5"/>
        <v>0</v>
      </c>
      <c r="J30" s="1052">
        <f t="shared" si="6"/>
        <v>0</v>
      </c>
      <c r="K30" s="1052">
        <v>0</v>
      </c>
      <c r="L30" s="1052">
        <f t="shared" si="7"/>
        <v>0</v>
      </c>
      <c r="M30" s="1052">
        <f t="shared" si="8"/>
        <v>0</v>
      </c>
      <c r="N30" s="1051">
        <f>'[18]FY2012-13 Final'!K31</f>
        <v>9280</v>
      </c>
      <c r="O30" s="1053">
        <f t="shared" si="9"/>
        <v>0</v>
      </c>
      <c r="P30" s="1118">
        <f t="shared" si="10"/>
        <v>0</v>
      </c>
      <c r="Q30" s="1053">
        <f t="shared" si="11"/>
        <v>0</v>
      </c>
      <c r="R30" s="1053">
        <v>0</v>
      </c>
      <c r="S30" s="1053">
        <f t="shared" si="12"/>
        <v>0</v>
      </c>
      <c r="T30" s="1053">
        <f t="shared" si="13"/>
        <v>0</v>
      </c>
      <c r="U30" s="1054">
        <f t="shared" si="14"/>
        <v>0</v>
      </c>
      <c r="V30" s="1054">
        <f t="shared" si="14"/>
        <v>0</v>
      </c>
    </row>
    <row r="31" spans="1:22">
      <c r="A31" s="998">
        <v>25</v>
      </c>
      <c r="B31" s="999" t="s">
        <v>119</v>
      </c>
      <c r="C31" s="1194">
        <v>0</v>
      </c>
      <c r="D31" s="1001">
        <f>'Table 3 Levels 1&amp;2'!BN33+'Table 3 Levels 1&amp;2'!BV33</f>
        <v>3799.3890273447178</v>
      </c>
      <c r="E31" s="1101">
        <f t="shared" si="2"/>
        <v>0</v>
      </c>
      <c r="F31" s="1101">
        <f>'Table 4 Level 3'!N30</f>
        <v>653.73</v>
      </c>
      <c r="G31" s="1101">
        <f t="shared" si="3"/>
        <v>0</v>
      </c>
      <c r="H31" s="1055">
        <f t="shared" si="4"/>
        <v>0</v>
      </c>
      <c r="I31" s="1111">
        <f t="shared" si="5"/>
        <v>0</v>
      </c>
      <c r="J31" s="1055">
        <f t="shared" si="6"/>
        <v>0</v>
      </c>
      <c r="K31" s="1055">
        <v>0</v>
      </c>
      <c r="L31" s="1055">
        <f t="shared" si="7"/>
        <v>0</v>
      </c>
      <c r="M31" s="1055">
        <f t="shared" si="8"/>
        <v>0</v>
      </c>
      <c r="N31" s="1056">
        <f>'[18]FY2012-13 Final'!K32</f>
        <v>5351</v>
      </c>
      <c r="O31" s="1057">
        <f t="shared" si="9"/>
        <v>0</v>
      </c>
      <c r="P31" s="1119">
        <f t="shared" si="10"/>
        <v>0</v>
      </c>
      <c r="Q31" s="1057">
        <f t="shared" si="11"/>
        <v>0</v>
      </c>
      <c r="R31" s="1057">
        <v>0</v>
      </c>
      <c r="S31" s="1057">
        <f t="shared" si="12"/>
        <v>0</v>
      </c>
      <c r="T31" s="1057">
        <f t="shared" si="13"/>
        <v>0</v>
      </c>
      <c r="U31" s="1058">
        <f t="shared" si="14"/>
        <v>0</v>
      </c>
      <c r="V31" s="1058">
        <f t="shared" si="14"/>
        <v>0</v>
      </c>
    </row>
    <row r="32" spans="1:22">
      <c r="A32" s="987">
        <v>26</v>
      </c>
      <c r="B32" s="988" t="s">
        <v>120</v>
      </c>
      <c r="C32" s="1195">
        <v>0</v>
      </c>
      <c r="D32" s="990">
        <f>'Table 3 Levels 1&amp;2'!BN34+'Table 3 Levels 1&amp;2'!BV34</f>
        <v>3320.7842100822745</v>
      </c>
      <c r="E32" s="1099">
        <f t="shared" si="2"/>
        <v>0</v>
      </c>
      <c r="F32" s="1099">
        <f>'Table 4 Level 3'!N31</f>
        <v>836.83</v>
      </c>
      <c r="G32" s="1099">
        <f t="shared" si="3"/>
        <v>0</v>
      </c>
      <c r="H32" s="991">
        <f t="shared" si="4"/>
        <v>0</v>
      </c>
      <c r="I32" s="1109">
        <f t="shared" si="5"/>
        <v>0</v>
      </c>
      <c r="J32" s="991">
        <f t="shared" si="6"/>
        <v>0</v>
      </c>
      <c r="K32" s="991">
        <v>0</v>
      </c>
      <c r="L32" s="991">
        <f t="shared" si="7"/>
        <v>0</v>
      </c>
      <c r="M32" s="991">
        <f t="shared" si="8"/>
        <v>0</v>
      </c>
      <c r="N32" s="1051">
        <f>'[18]FY2012-13 Final'!K33</f>
        <v>5100</v>
      </c>
      <c r="O32" s="992">
        <f t="shared" si="9"/>
        <v>0</v>
      </c>
      <c r="P32" s="1117">
        <f t="shared" si="10"/>
        <v>0</v>
      </c>
      <c r="Q32" s="992">
        <f t="shared" si="11"/>
        <v>0</v>
      </c>
      <c r="R32" s="992">
        <v>0</v>
      </c>
      <c r="S32" s="992">
        <f t="shared" si="12"/>
        <v>0</v>
      </c>
      <c r="T32" s="992">
        <f t="shared" si="13"/>
        <v>0</v>
      </c>
      <c r="U32" s="993">
        <f t="shared" si="14"/>
        <v>0</v>
      </c>
      <c r="V32" s="993">
        <f t="shared" si="14"/>
        <v>0</v>
      </c>
    </row>
    <row r="33" spans="1:22">
      <c r="A33" s="994">
        <v>27</v>
      </c>
      <c r="B33" s="995" t="s">
        <v>121</v>
      </c>
      <c r="C33" s="1196">
        <v>0</v>
      </c>
      <c r="D33" s="1003">
        <f>'Table 3 Levels 1&amp;2'!BN35+'Table 3 Levels 1&amp;2'!BV35</f>
        <v>5636.5919457972805</v>
      </c>
      <c r="E33" s="1102">
        <f t="shared" si="2"/>
        <v>0</v>
      </c>
      <c r="F33" s="1102">
        <f>'Table 4 Level 3'!N32</f>
        <v>693.06</v>
      </c>
      <c r="G33" s="1102">
        <f t="shared" si="3"/>
        <v>0</v>
      </c>
      <c r="H33" s="1059">
        <f t="shared" si="4"/>
        <v>0</v>
      </c>
      <c r="I33" s="1112">
        <f t="shared" si="5"/>
        <v>0</v>
      </c>
      <c r="J33" s="1059">
        <f t="shared" si="6"/>
        <v>0</v>
      </c>
      <c r="K33" s="1059">
        <v>0</v>
      </c>
      <c r="L33" s="1059">
        <f t="shared" si="7"/>
        <v>0</v>
      </c>
      <c r="M33" s="1059">
        <f t="shared" si="8"/>
        <v>0</v>
      </c>
      <c r="N33" s="1051">
        <f>'[18]FY2012-13 Final'!K34</f>
        <v>3091</v>
      </c>
      <c r="O33" s="1053">
        <f t="shared" si="9"/>
        <v>0</v>
      </c>
      <c r="P33" s="1118">
        <f t="shared" si="10"/>
        <v>0</v>
      </c>
      <c r="Q33" s="1053">
        <f t="shared" si="11"/>
        <v>0</v>
      </c>
      <c r="R33" s="1053">
        <v>0</v>
      </c>
      <c r="S33" s="1053">
        <f t="shared" si="12"/>
        <v>0</v>
      </c>
      <c r="T33" s="1053">
        <f t="shared" si="13"/>
        <v>0</v>
      </c>
      <c r="U33" s="1054">
        <f t="shared" si="14"/>
        <v>0</v>
      </c>
      <c r="V33" s="1054">
        <f t="shared" si="14"/>
        <v>0</v>
      </c>
    </row>
    <row r="34" spans="1:22">
      <c r="A34" s="994">
        <v>28</v>
      </c>
      <c r="B34" s="995" t="s">
        <v>122</v>
      </c>
      <c r="C34" s="1196">
        <v>0</v>
      </c>
      <c r="D34" s="1003">
        <f>'Table 3 Levels 1&amp;2'!BN36+'Table 3 Levels 1&amp;2'!BV36</f>
        <v>3106.8056522508969</v>
      </c>
      <c r="E34" s="1102">
        <f t="shared" si="2"/>
        <v>0</v>
      </c>
      <c r="F34" s="1102">
        <f>'Table 4 Level 3'!N33</f>
        <v>694.4</v>
      </c>
      <c r="G34" s="1102">
        <f t="shared" si="3"/>
        <v>0</v>
      </c>
      <c r="H34" s="1059">
        <f t="shared" si="4"/>
        <v>0</v>
      </c>
      <c r="I34" s="1112">
        <f t="shared" si="5"/>
        <v>0</v>
      </c>
      <c r="J34" s="1059">
        <f t="shared" si="6"/>
        <v>0</v>
      </c>
      <c r="K34" s="1059">
        <v>0</v>
      </c>
      <c r="L34" s="1059">
        <f t="shared" si="7"/>
        <v>0</v>
      </c>
      <c r="M34" s="1059">
        <f t="shared" si="8"/>
        <v>0</v>
      </c>
      <c r="N34" s="1051">
        <f>'[18]FY2012-13 Final'!K35</f>
        <v>5323</v>
      </c>
      <c r="O34" s="1053">
        <f t="shared" si="9"/>
        <v>0</v>
      </c>
      <c r="P34" s="1118">
        <f t="shared" si="10"/>
        <v>0</v>
      </c>
      <c r="Q34" s="1053">
        <f t="shared" si="11"/>
        <v>0</v>
      </c>
      <c r="R34" s="1053">
        <v>0</v>
      </c>
      <c r="S34" s="1053">
        <f t="shared" si="12"/>
        <v>0</v>
      </c>
      <c r="T34" s="1053">
        <f t="shared" si="13"/>
        <v>0</v>
      </c>
      <c r="U34" s="1054">
        <f t="shared" si="14"/>
        <v>0</v>
      </c>
      <c r="V34" s="1054">
        <f t="shared" si="14"/>
        <v>0</v>
      </c>
    </row>
    <row r="35" spans="1:22">
      <c r="A35" s="994">
        <v>29</v>
      </c>
      <c r="B35" s="995" t="s">
        <v>123</v>
      </c>
      <c r="C35" s="1196">
        <v>0</v>
      </c>
      <c r="D35" s="1003">
        <f>'Table 3 Levels 1&amp;2'!BN37+'Table 3 Levels 1&amp;2'!BV37</f>
        <v>3912.1846976122315</v>
      </c>
      <c r="E35" s="1102">
        <f t="shared" si="2"/>
        <v>0</v>
      </c>
      <c r="F35" s="1102">
        <f>'Table 4 Level 3'!N34</f>
        <v>754.94999999999993</v>
      </c>
      <c r="G35" s="1102">
        <f t="shared" si="3"/>
        <v>0</v>
      </c>
      <c r="H35" s="1059">
        <f t="shared" si="4"/>
        <v>0</v>
      </c>
      <c r="I35" s="1112">
        <f t="shared" si="5"/>
        <v>0</v>
      </c>
      <c r="J35" s="1059">
        <f t="shared" si="6"/>
        <v>0</v>
      </c>
      <c r="K35" s="1059">
        <v>0</v>
      </c>
      <c r="L35" s="1059">
        <f t="shared" si="7"/>
        <v>0</v>
      </c>
      <c r="M35" s="1059">
        <f t="shared" si="8"/>
        <v>0</v>
      </c>
      <c r="N35" s="1051">
        <f>'[18]FY2012-13 Final'!K36</f>
        <v>4388</v>
      </c>
      <c r="O35" s="1053">
        <f t="shared" si="9"/>
        <v>0</v>
      </c>
      <c r="P35" s="1118">
        <f t="shared" si="10"/>
        <v>0</v>
      </c>
      <c r="Q35" s="1053">
        <f t="shared" si="11"/>
        <v>0</v>
      </c>
      <c r="R35" s="1053">
        <v>0</v>
      </c>
      <c r="S35" s="1053">
        <f t="shared" si="12"/>
        <v>0</v>
      </c>
      <c r="T35" s="1053">
        <f t="shared" si="13"/>
        <v>0</v>
      </c>
      <c r="U35" s="1054">
        <f t="shared" si="14"/>
        <v>0</v>
      </c>
      <c r="V35" s="1054">
        <f t="shared" si="14"/>
        <v>0</v>
      </c>
    </row>
    <row r="36" spans="1:22">
      <c r="A36" s="998">
        <v>30</v>
      </c>
      <c r="B36" s="999" t="s">
        <v>124</v>
      </c>
      <c r="C36" s="1197">
        <v>0</v>
      </c>
      <c r="D36" s="1005">
        <f>'Table 3 Levels 1&amp;2'!BN38+'Table 3 Levels 1&amp;2'!BV38</f>
        <v>5594.0091640611508</v>
      </c>
      <c r="E36" s="1103">
        <f t="shared" si="2"/>
        <v>0</v>
      </c>
      <c r="F36" s="1103">
        <f>'Table 4 Level 3'!N35</f>
        <v>727.17</v>
      </c>
      <c r="G36" s="1103">
        <f t="shared" si="3"/>
        <v>0</v>
      </c>
      <c r="H36" s="1060">
        <f t="shared" si="4"/>
        <v>0</v>
      </c>
      <c r="I36" s="1113">
        <f t="shared" si="5"/>
        <v>0</v>
      </c>
      <c r="J36" s="1060">
        <f t="shared" si="6"/>
        <v>0</v>
      </c>
      <c r="K36" s="1060">
        <v>0</v>
      </c>
      <c r="L36" s="1060">
        <f t="shared" si="7"/>
        <v>0</v>
      </c>
      <c r="M36" s="1060">
        <f t="shared" si="8"/>
        <v>0</v>
      </c>
      <c r="N36" s="1056">
        <f>'[18]FY2012-13 Final'!K37</f>
        <v>3702</v>
      </c>
      <c r="O36" s="1057">
        <f t="shared" si="9"/>
        <v>0</v>
      </c>
      <c r="P36" s="1119">
        <f t="shared" si="10"/>
        <v>0</v>
      </c>
      <c r="Q36" s="1057">
        <f t="shared" si="11"/>
        <v>0</v>
      </c>
      <c r="R36" s="1057">
        <v>0</v>
      </c>
      <c r="S36" s="1057">
        <f t="shared" si="12"/>
        <v>0</v>
      </c>
      <c r="T36" s="1057">
        <f t="shared" si="13"/>
        <v>0</v>
      </c>
      <c r="U36" s="1058">
        <f t="shared" si="14"/>
        <v>0</v>
      </c>
      <c r="V36" s="1058">
        <f t="shared" si="14"/>
        <v>0</v>
      </c>
    </row>
    <row r="37" spans="1:22">
      <c r="A37" s="987">
        <v>31</v>
      </c>
      <c r="B37" s="988" t="s">
        <v>125</v>
      </c>
      <c r="C37" s="1198">
        <v>0</v>
      </c>
      <c r="D37" s="1007">
        <f>'Table 3 Levels 1&amp;2'!BN39+'Table 3 Levels 1&amp;2'!BV39</f>
        <v>4320.114188911979</v>
      </c>
      <c r="E37" s="1104">
        <f t="shared" si="2"/>
        <v>0</v>
      </c>
      <c r="F37" s="1104">
        <f>'Table 4 Level 3'!N36</f>
        <v>620.83000000000004</v>
      </c>
      <c r="G37" s="1104">
        <f t="shared" si="3"/>
        <v>0</v>
      </c>
      <c r="H37" s="1061">
        <f t="shared" si="4"/>
        <v>0</v>
      </c>
      <c r="I37" s="1114">
        <f t="shared" si="5"/>
        <v>0</v>
      </c>
      <c r="J37" s="1061">
        <f t="shared" si="6"/>
        <v>0</v>
      </c>
      <c r="K37" s="1061">
        <v>0</v>
      </c>
      <c r="L37" s="1061">
        <f t="shared" si="7"/>
        <v>0</v>
      </c>
      <c r="M37" s="1061">
        <f t="shared" si="8"/>
        <v>0</v>
      </c>
      <c r="N37" s="1051">
        <f>'[18]FY2012-13 Final'!K38</f>
        <v>4669</v>
      </c>
      <c r="O37" s="992">
        <f t="shared" si="9"/>
        <v>0</v>
      </c>
      <c r="P37" s="1117">
        <f t="shared" si="10"/>
        <v>0</v>
      </c>
      <c r="Q37" s="992">
        <f t="shared" si="11"/>
        <v>0</v>
      </c>
      <c r="R37" s="992">
        <v>0</v>
      </c>
      <c r="S37" s="992">
        <f t="shared" si="12"/>
        <v>0</v>
      </c>
      <c r="T37" s="992">
        <f t="shared" si="13"/>
        <v>0</v>
      </c>
      <c r="U37" s="993">
        <f t="shared" si="14"/>
        <v>0</v>
      </c>
      <c r="V37" s="993">
        <f t="shared" si="14"/>
        <v>0</v>
      </c>
    </row>
    <row r="38" spans="1:22">
      <c r="A38" s="994">
        <v>32</v>
      </c>
      <c r="B38" s="995" t="s">
        <v>126</v>
      </c>
      <c r="C38" s="1196">
        <v>0</v>
      </c>
      <c r="D38" s="1003">
        <f>'Table 3 Levels 1&amp;2'!BN40+'Table 3 Levels 1&amp;2'!BV40</f>
        <v>5504.4479209353676</v>
      </c>
      <c r="E38" s="1102">
        <f t="shared" si="2"/>
        <v>0</v>
      </c>
      <c r="F38" s="1102">
        <f>'Table 4 Level 3'!N37</f>
        <v>559.77</v>
      </c>
      <c r="G38" s="1102">
        <f t="shared" si="3"/>
        <v>0</v>
      </c>
      <c r="H38" s="1059">
        <f t="shared" si="4"/>
        <v>0</v>
      </c>
      <c r="I38" s="1112">
        <f t="shared" si="5"/>
        <v>0</v>
      </c>
      <c r="J38" s="1059">
        <f t="shared" si="6"/>
        <v>0</v>
      </c>
      <c r="K38" s="1059">
        <v>0</v>
      </c>
      <c r="L38" s="1059">
        <f t="shared" si="7"/>
        <v>0</v>
      </c>
      <c r="M38" s="1059">
        <f t="shared" si="8"/>
        <v>0</v>
      </c>
      <c r="N38" s="1051">
        <f>'[18]FY2012-13 Final'!K39</f>
        <v>1965</v>
      </c>
      <c r="O38" s="1053">
        <f t="shared" si="9"/>
        <v>0</v>
      </c>
      <c r="P38" s="1118">
        <f t="shared" si="10"/>
        <v>0</v>
      </c>
      <c r="Q38" s="1053">
        <f t="shared" si="11"/>
        <v>0</v>
      </c>
      <c r="R38" s="1053">
        <v>0</v>
      </c>
      <c r="S38" s="1053">
        <f t="shared" si="12"/>
        <v>0</v>
      </c>
      <c r="T38" s="1053">
        <f t="shared" si="13"/>
        <v>0</v>
      </c>
      <c r="U38" s="1054">
        <f t="shared" si="14"/>
        <v>0</v>
      </c>
      <c r="V38" s="1054">
        <f t="shared" si="14"/>
        <v>0</v>
      </c>
    </row>
    <row r="39" spans="1:22">
      <c r="A39" s="994">
        <v>33</v>
      </c>
      <c r="B39" s="995" t="s">
        <v>127</v>
      </c>
      <c r="C39" s="1196">
        <v>0</v>
      </c>
      <c r="D39" s="1003">
        <f>'Table 3 Levels 1&amp;2'!BN41+'Table 3 Levels 1&amp;2'!BV41</f>
        <v>5322.07272511876</v>
      </c>
      <c r="E39" s="1102">
        <f t="shared" si="2"/>
        <v>0</v>
      </c>
      <c r="F39" s="1102">
        <f>'Table 4 Level 3'!N38</f>
        <v>655.31000000000006</v>
      </c>
      <c r="G39" s="1102">
        <f t="shared" si="3"/>
        <v>0</v>
      </c>
      <c r="H39" s="1059">
        <f t="shared" si="4"/>
        <v>0</v>
      </c>
      <c r="I39" s="1112">
        <f t="shared" si="5"/>
        <v>0</v>
      </c>
      <c r="J39" s="1059">
        <f t="shared" si="6"/>
        <v>0</v>
      </c>
      <c r="K39" s="1059">
        <v>0</v>
      </c>
      <c r="L39" s="1059">
        <f t="shared" si="7"/>
        <v>0</v>
      </c>
      <c r="M39" s="1059">
        <f t="shared" si="8"/>
        <v>0</v>
      </c>
      <c r="N39" s="1051">
        <f>'[18]FY2012-13 Final'!K40</f>
        <v>2771</v>
      </c>
      <c r="O39" s="1053">
        <f t="shared" si="9"/>
        <v>0</v>
      </c>
      <c r="P39" s="1118">
        <f t="shared" si="10"/>
        <v>0</v>
      </c>
      <c r="Q39" s="1053">
        <f t="shared" si="11"/>
        <v>0</v>
      </c>
      <c r="R39" s="1053">
        <v>0</v>
      </c>
      <c r="S39" s="1053">
        <f t="shared" si="12"/>
        <v>0</v>
      </c>
      <c r="T39" s="1053">
        <f t="shared" si="13"/>
        <v>0</v>
      </c>
      <c r="U39" s="1054">
        <f t="shared" si="14"/>
        <v>0</v>
      </c>
      <c r="V39" s="1054">
        <f t="shared" si="14"/>
        <v>0</v>
      </c>
    </row>
    <row r="40" spans="1:22">
      <c r="A40" s="994">
        <v>34</v>
      </c>
      <c r="B40" s="995" t="s">
        <v>128</v>
      </c>
      <c r="C40" s="1196">
        <v>0</v>
      </c>
      <c r="D40" s="1003">
        <f>'Table 3 Levels 1&amp;2'!BN42+'Table 3 Levels 1&amp;2'!BV42</f>
        <v>5959.062840731639</v>
      </c>
      <c r="E40" s="1102">
        <f t="shared" si="2"/>
        <v>0</v>
      </c>
      <c r="F40" s="1102">
        <f>'Table 4 Level 3'!N39</f>
        <v>644.11000000000013</v>
      </c>
      <c r="G40" s="1102">
        <f t="shared" si="3"/>
        <v>0</v>
      </c>
      <c r="H40" s="1059">
        <f t="shared" si="4"/>
        <v>0</v>
      </c>
      <c r="I40" s="1112">
        <f t="shared" si="5"/>
        <v>0</v>
      </c>
      <c r="J40" s="1059">
        <f t="shared" si="6"/>
        <v>0</v>
      </c>
      <c r="K40" s="1059">
        <v>0</v>
      </c>
      <c r="L40" s="1059">
        <f t="shared" si="7"/>
        <v>0</v>
      </c>
      <c r="M40" s="1059">
        <f t="shared" si="8"/>
        <v>0</v>
      </c>
      <c r="N40" s="1051">
        <f>'[18]FY2012-13 Final'!K41</f>
        <v>2758</v>
      </c>
      <c r="O40" s="1053">
        <f t="shared" si="9"/>
        <v>0</v>
      </c>
      <c r="P40" s="1118">
        <f t="shared" si="10"/>
        <v>0</v>
      </c>
      <c r="Q40" s="1053">
        <f t="shared" si="11"/>
        <v>0</v>
      </c>
      <c r="R40" s="1053">
        <v>0</v>
      </c>
      <c r="S40" s="1053">
        <f t="shared" si="12"/>
        <v>0</v>
      </c>
      <c r="T40" s="1053">
        <f t="shared" si="13"/>
        <v>0</v>
      </c>
      <c r="U40" s="1054">
        <f t="shared" si="14"/>
        <v>0</v>
      </c>
      <c r="V40" s="1054">
        <f t="shared" si="14"/>
        <v>0</v>
      </c>
    </row>
    <row r="41" spans="1:22">
      <c r="A41" s="998">
        <v>35</v>
      </c>
      <c r="B41" s="999" t="s">
        <v>129</v>
      </c>
      <c r="C41" s="1197">
        <v>0</v>
      </c>
      <c r="D41" s="1005">
        <f>'Table 3 Levels 1&amp;2'!BN43+'Table 3 Levels 1&amp;2'!BV43</f>
        <v>4571.947611490059</v>
      </c>
      <c r="E41" s="1103">
        <f t="shared" si="2"/>
        <v>0</v>
      </c>
      <c r="F41" s="1103">
        <f>'Table 4 Level 3'!N40</f>
        <v>537.96</v>
      </c>
      <c r="G41" s="1103">
        <f t="shared" si="3"/>
        <v>0</v>
      </c>
      <c r="H41" s="1060">
        <f t="shared" si="4"/>
        <v>0</v>
      </c>
      <c r="I41" s="1113">
        <f t="shared" si="5"/>
        <v>0</v>
      </c>
      <c r="J41" s="1060">
        <f t="shared" si="6"/>
        <v>0</v>
      </c>
      <c r="K41" s="1060">
        <v>0</v>
      </c>
      <c r="L41" s="1060">
        <f t="shared" si="7"/>
        <v>0</v>
      </c>
      <c r="M41" s="1060">
        <f t="shared" si="8"/>
        <v>0</v>
      </c>
      <c r="N41" s="1056">
        <f>'[18]FY2012-13 Final'!K42</f>
        <v>3603</v>
      </c>
      <c r="O41" s="1057">
        <f t="shared" si="9"/>
        <v>0</v>
      </c>
      <c r="P41" s="1119">
        <f t="shared" si="10"/>
        <v>0</v>
      </c>
      <c r="Q41" s="1057">
        <f t="shared" si="11"/>
        <v>0</v>
      </c>
      <c r="R41" s="1057">
        <v>0</v>
      </c>
      <c r="S41" s="1057">
        <f t="shared" si="12"/>
        <v>0</v>
      </c>
      <c r="T41" s="1057">
        <f t="shared" si="13"/>
        <v>0</v>
      </c>
      <c r="U41" s="1058">
        <f t="shared" si="14"/>
        <v>0</v>
      </c>
      <c r="V41" s="1058">
        <f t="shared" si="14"/>
        <v>0</v>
      </c>
    </row>
    <row r="42" spans="1:22">
      <c r="A42" s="987">
        <v>36</v>
      </c>
      <c r="B42" s="988" t="s">
        <v>130</v>
      </c>
      <c r="C42" s="1198">
        <v>0</v>
      </c>
      <c r="D42" s="1007">
        <f>'Table 3 Levels 1&amp;2'!BN44+'Table 3 Levels 1&amp;2'!BV44</f>
        <v>3666.4136012725312</v>
      </c>
      <c r="E42" s="1104">
        <f t="shared" si="2"/>
        <v>0</v>
      </c>
      <c r="F42" s="1104">
        <f>'Table 4 Level 3'!N41</f>
        <v>727.23177743956114</v>
      </c>
      <c r="G42" s="1104">
        <f t="shared" si="3"/>
        <v>0</v>
      </c>
      <c r="H42" s="1061">
        <f t="shared" si="4"/>
        <v>0</v>
      </c>
      <c r="I42" s="1114">
        <f t="shared" si="5"/>
        <v>0</v>
      </c>
      <c r="J42" s="1061">
        <f t="shared" si="6"/>
        <v>0</v>
      </c>
      <c r="K42" s="1061">
        <v>0</v>
      </c>
      <c r="L42" s="1061">
        <f t="shared" si="7"/>
        <v>0</v>
      </c>
      <c r="M42" s="1061">
        <f t="shared" si="8"/>
        <v>0</v>
      </c>
      <c r="N42" s="1051">
        <f>'[18]FY2012-13 Final'!K43</f>
        <v>4601</v>
      </c>
      <c r="O42" s="992">
        <f t="shared" si="9"/>
        <v>0</v>
      </c>
      <c r="P42" s="1117">
        <f t="shared" si="10"/>
        <v>0</v>
      </c>
      <c r="Q42" s="992">
        <f t="shared" si="11"/>
        <v>0</v>
      </c>
      <c r="R42" s="992">
        <v>0</v>
      </c>
      <c r="S42" s="992">
        <f t="shared" si="12"/>
        <v>0</v>
      </c>
      <c r="T42" s="992">
        <f t="shared" si="13"/>
        <v>0</v>
      </c>
      <c r="U42" s="993">
        <f t="shared" si="14"/>
        <v>0</v>
      </c>
      <c r="V42" s="993">
        <f t="shared" si="14"/>
        <v>0</v>
      </c>
    </row>
    <row r="43" spans="1:22">
      <c r="A43" s="994">
        <v>37</v>
      </c>
      <c r="B43" s="995" t="s">
        <v>131</v>
      </c>
      <c r="C43" s="1196">
        <v>0</v>
      </c>
      <c r="D43" s="1003">
        <f>'Table 3 Levels 1&amp;2'!BN45+'Table 3 Levels 1&amp;2'!BV45</f>
        <v>5484.8089042263191</v>
      </c>
      <c r="E43" s="1102">
        <f t="shared" si="2"/>
        <v>0</v>
      </c>
      <c r="F43" s="1102">
        <f>'Table 4 Level 3'!N42</f>
        <v>653.61</v>
      </c>
      <c r="G43" s="1102">
        <f t="shared" si="3"/>
        <v>0</v>
      </c>
      <c r="H43" s="1059">
        <f t="shared" si="4"/>
        <v>0</v>
      </c>
      <c r="I43" s="1112">
        <f t="shared" si="5"/>
        <v>0</v>
      </c>
      <c r="J43" s="1059">
        <f t="shared" si="6"/>
        <v>0</v>
      </c>
      <c r="K43" s="1059">
        <v>0</v>
      </c>
      <c r="L43" s="1059">
        <f t="shared" si="7"/>
        <v>0</v>
      </c>
      <c r="M43" s="1059">
        <f t="shared" si="8"/>
        <v>0</v>
      </c>
      <c r="N43" s="1051">
        <f>'[18]FY2012-13 Final'!K44</f>
        <v>3099</v>
      </c>
      <c r="O43" s="1053">
        <f t="shared" si="9"/>
        <v>0</v>
      </c>
      <c r="P43" s="1118">
        <f t="shared" si="10"/>
        <v>0</v>
      </c>
      <c r="Q43" s="1053">
        <f t="shared" si="11"/>
        <v>0</v>
      </c>
      <c r="R43" s="1053">
        <v>0</v>
      </c>
      <c r="S43" s="1053">
        <f t="shared" si="12"/>
        <v>0</v>
      </c>
      <c r="T43" s="1053">
        <f t="shared" si="13"/>
        <v>0</v>
      </c>
      <c r="U43" s="1054">
        <f t="shared" si="14"/>
        <v>0</v>
      </c>
      <c r="V43" s="1054">
        <f t="shared" si="14"/>
        <v>0</v>
      </c>
    </row>
    <row r="44" spans="1:22">
      <c r="A44" s="994">
        <v>38</v>
      </c>
      <c r="B44" s="995" t="s">
        <v>132</v>
      </c>
      <c r="C44" s="1196">
        <v>0</v>
      </c>
      <c r="D44" s="1003">
        <f>'Table 3 Levels 1&amp;2'!BN46+'Table 3 Levels 1&amp;2'!BV46</f>
        <v>2078.5917829727841</v>
      </c>
      <c r="E44" s="1102">
        <f t="shared" si="2"/>
        <v>0</v>
      </c>
      <c r="F44" s="1102">
        <f>'Table 4 Level 3'!N43</f>
        <v>829.92000000000007</v>
      </c>
      <c r="G44" s="1102">
        <f t="shared" si="3"/>
        <v>0</v>
      </c>
      <c r="H44" s="1059">
        <f t="shared" si="4"/>
        <v>0</v>
      </c>
      <c r="I44" s="1112">
        <f t="shared" si="5"/>
        <v>0</v>
      </c>
      <c r="J44" s="1059">
        <f t="shared" si="6"/>
        <v>0</v>
      </c>
      <c r="K44" s="1059">
        <v>0</v>
      </c>
      <c r="L44" s="1059">
        <f t="shared" si="7"/>
        <v>0</v>
      </c>
      <c r="M44" s="1059">
        <f t="shared" si="8"/>
        <v>0</v>
      </c>
      <c r="N44" s="1051">
        <f>'[18]FY2012-13 Final'!K45</f>
        <v>9674</v>
      </c>
      <c r="O44" s="1053">
        <f t="shared" si="9"/>
        <v>0</v>
      </c>
      <c r="P44" s="1118">
        <f t="shared" si="10"/>
        <v>0</v>
      </c>
      <c r="Q44" s="1053">
        <f t="shared" si="11"/>
        <v>0</v>
      </c>
      <c r="R44" s="1053">
        <v>0</v>
      </c>
      <c r="S44" s="1053">
        <f t="shared" si="12"/>
        <v>0</v>
      </c>
      <c r="T44" s="1053">
        <f t="shared" si="13"/>
        <v>0</v>
      </c>
      <c r="U44" s="1054">
        <f t="shared" si="14"/>
        <v>0</v>
      </c>
      <c r="V44" s="1054">
        <f t="shared" si="14"/>
        <v>0</v>
      </c>
    </row>
    <row r="45" spans="1:22">
      <c r="A45" s="994">
        <v>39</v>
      </c>
      <c r="B45" s="995" t="s">
        <v>133</v>
      </c>
      <c r="C45" s="1196">
        <v>0</v>
      </c>
      <c r="D45" s="1003">
        <f>'Table 3 Levels 1&amp;2'!BN47+'Table 3 Levels 1&amp;2'!BV47</f>
        <v>3622.4878999042335</v>
      </c>
      <c r="E45" s="1102">
        <f t="shared" si="2"/>
        <v>0</v>
      </c>
      <c r="F45" s="1102">
        <f>'Table 4 Level 3'!N44</f>
        <v>779.65573042776441</v>
      </c>
      <c r="G45" s="1102">
        <f t="shared" si="3"/>
        <v>0</v>
      </c>
      <c r="H45" s="1059">
        <f t="shared" si="4"/>
        <v>0</v>
      </c>
      <c r="I45" s="1112">
        <f t="shared" si="5"/>
        <v>0</v>
      </c>
      <c r="J45" s="1059">
        <f t="shared" si="6"/>
        <v>0</v>
      </c>
      <c r="K45" s="1059">
        <v>0</v>
      </c>
      <c r="L45" s="1059">
        <f t="shared" si="7"/>
        <v>0</v>
      </c>
      <c r="M45" s="1059">
        <f t="shared" si="8"/>
        <v>0</v>
      </c>
      <c r="N45" s="1051">
        <f>'[18]FY2012-13 Final'!K46</f>
        <v>4277</v>
      </c>
      <c r="O45" s="1053">
        <f t="shared" si="9"/>
        <v>0</v>
      </c>
      <c r="P45" s="1118">
        <f t="shared" si="10"/>
        <v>0</v>
      </c>
      <c r="Q45" s="1053">
        <f t="shared" si="11"/>
        <v>0</v>
      </c>
      <c r="R45" s="1053">
        <v>0</v>
      </c>
      <c r="S45" s="1053">
        <f t="shared" si="12"/>
        <v>0</v>
      </c>
      <c r="T45" s="1053">
        <f t="shared" si="13"/>
        <v>0</v>
      </c>
      <c r="U45" s="1054">
        <f t="shared" si="14"/>
        <v>0</v>
      </c>
      <c r="V45" s="1054">
        <f t="shared" si="14"/>
        <v>0</v>
      </c>
    </row>
    <row r="46" spans="1:22">
      <c r="A46" s="998">
        <v>40</v>
      </c>
      <c r="B46" s="999" t="s">
        <v>134</v>
      </c>
      <c r="C46" s="1197">
        <v>0</v>
      </c>
      <c r="D46" s="1005">
        <f>'Table 3 Levels 1&amp;2'!BN48+'Table 3 Levels 1&amp;2'!BV48</f>
        <v>4885.6387343180086</v>
      </c>
      <c r="E46" s="1103">
        <f t="shared" si="2"/>
        <v>0</v>
      </c>
      <c r="F46" s="1103">
        <f>'Table 4 Level 3'!N45</f>
        <v>700.2700000000001</v>
      </c>
      <c r="G46" s="1103">
        <f t="shared" si="3"/>
        <v>0</v>
      </c>
      <c r="H46" s="1060">
        <f t="shared" si="4"/>
        <v>0</v>
      </c>
      <c r="I46" s="1113">
        <f t="shared" si="5"/>
        <v>0</v>
      </c>
      <c r="J46" s="1060">
        <f t="shared" si="6"/>
        <v>0</v>
      </c>
      <c r="K46" s="1060">
        <v>0</v>
      </c>
      <c r="L46" s="1060">
        <f t="shared" si="7"/>
        <v>0</v>
      </c>
      <c r="M46" s="1060">
        <f t="shared" si="8"/>
        <v>0</v>
      </c>
      <c r="N46" s="1056">
        <f>'[18]FY2012-13 Final'!K47</f>
        <v>2921</v>
      </c>
      <c r="O46" s="1057">
        <f t="shared" si="9"/>
        <v>0</v>
      </c>
      <c r="P46" s="1119">
        <f t="shared" si="10"/>
        <v>0</v>
      </c>
      <c r="Q46" s="1057">
        <f t="shared" si="11"/>
        <v>0</v>
      </c>
      <c r="R46" s="1057">
        <v>0</v>
      </c>
      <c r="S46" s="1057">
        <f t="shared" si="12"/>
        <v>0</v>
      </c>
      <c r="T46" s="1057">
        <f t="shared" si="13"/>
        <v>0</v>
      </c>
      <c r="U46" s="1058">
        <f t="shared" si="14"/>
        <v>0</v>
      </c>
      <c r="V46" s="1058">
        <f t="shared" si="14"/>
        <v>0</v>
      </c>
    </row>
    <row r="47" spans="1:22">
      <c r="A47" s="987">
        <v>41</v>
      </c>
      <c r="B47" s="988" t="s">
        <v>135</v>
      </c>
      <c r="C47" s="1198">
        <v>0</v>
      </c>
      <c r="D47" s="1007">
        <f>'Table 3 Levels 1&amp;2'!BN49+'Table 3 Levels 1&amp;2'!BV49</f>
        <v>1602.0398121899364</v>
      </c>
      <c r="E47" s="1104">
        <f t="shared" si="2"/>
        <v>0</v>
      </c>
      <c r="F47" s="1104">
        <f>'Table 4 Level 3'!N46</f>
        <v>886.22</v>
      </c>
      <c r="G47" s="1104">
        <f t="shared" si="3"/>
        <v>0</v>
      </c>
      <c r="H47" s="1061">
        <f t="shared" si="4"/>
        <v>0</v>
      </c>
      <c r="I47" s="1114">
        <f t="shared" si="5"/>
        <v>0</v>
      </c>
      <c r="J47" s="1061">
        <f t="shared" si="6"/>
        <v>0</v>
      </c>
      <c r="K47" s="1061">
        <v>0</v>
      </c>
      <c r="L47" s="1061">
        <f t="shared" si="7"/>
        <v>0</v>
      </c>
      <c r="M47" s="1061">
        <f t="shared" si="8"/>
        <v>0</v>
      </c>
      <c r="N47" s="1051">
        <f>'[18]FY2012-13 Final'!K48</f>
        <v>12026</v>
      </c>
      <c r="O47" s="992">
        <f t="shared" si="9"/>
        <v>0</v>
      </c>
      <c r="P47" s="1117">
        <f t="shared" si="10"/>
        <v>0</v>
      </c>
      <c r="Q47" s="992">
        <f t="shared" si="11"/>
        <v>0</v>
      </c>
      <c r="R47" s="992">
        <v>0</v>
      </c>
      <c r="S47" s="992">
        <f t="shared" si="12"/>
        <v>0</v>
      </c>
      <c r="T47" s="992">
        <f t="shared" si="13"/>
        <v>0</v>
      </c>
      <c r="U47" s="993">
        <f t="shared" si="14"/>
        <v>0</v>
      </c>
      <c r="V47" s="993">
        <f t="shared" si="14"/>
        <v>0</v>
      </c>
    </row>
    <row r="48" spans="1:22">
      <c r="A48" s="994">
        <v>42</v>
      </c>
      <c r="B48" s="995" t="s">
        <v>136</v>
      </c>
      <c r="C48" s="1196">
        <v>0</v>
      </c>
      <c r="D48" s="1003">
        <f>'Table 3 Levels 1&amp;2'!BN50+'Table 3 Levels 1&amp;2'!BV50</f>
        <v>5098.6172346404755</v>
      </c>
      <c r="E48" s="1102">
        <f t="shared" si="2"/>
        <v>0</v>
      </c>
      <c r="F48" s="1102">
        <f>'Table 4 Level 3'!N47</f>
        <v>534.28</v>
      </c>
      <c r="G48" s="1102">
        <f t="shared" si="3"/>
        <v>0</v>
      </c>
      <c r="H48" s="1059">
        <f t="shared" si="4"/>
        <v>0</v>
      </c>
      <c r="I48" s="1112">
        <f t="shared" si="5"/>
        <v>0</v>
      </c>
      <c r="J48" s="1059">
        <f t="shared" si="6"/>
        <v>0</v>
      </c>
      <c r="K48" s="1059">
        <v>0</v>
      </c>
      <c r="L48" s="1059">
        <f t="shared" si="7"/>
        <v>0</v>
      </c>
      <c r="M48" s="1059">
        <f t="shared" si="8"/>
        <v>0</v>
      </c>
      <c r="N48" s="1051">
        <f>'[18]FY2012-13 Final'!K49</f>
        <v>2554</v>
      </c>
      <c r="O48" s="1053">
        <f t="shared" si="9"/>
        <v>0</v>
      </c>
      <c r="P48" s="1118">
        <f t="shared" si="10"/>
        <v>0</v>
      </c>
      <c r="Q48" s="1053">
        <f t="shared" si="11"/>
        <v>0</v>
      </c>
      <c r="R48" s="1053">
        <v>0</v>
      </c>
      <c r="S48" s="1053">
        <f t="shared" si="12"/>
        <v>0</v>
      </c>
      <c r="T48" s="1053">
        <f t="shared" si="13"/>
        <v>0</v>
      </c>
      <c r="U48" s="1054">
        <f t="shared" si="14"/>
        <v>0</v>
      </c>
      <c r="V48" s="1054">
        <f t="shared" si="14"/>
        <v>0</v>
      </c>
    </row>
    <row r="49" spans="1:22">
      <c r="A49" s="994">
        <v>43</v>
      </c>
      <c r="B49" s="995" t="s">
        <v>137</v>
      </c>
      <c r="C49" s="1196">
        <v>0</v>
      </c>
      <c r="D49" s="1003">
        <f>'Table 3 Levels 1&amp;2'!BN51+'Table 3 Levels 1&amp;2'!BV51</f>
        <v>4701.3362575004667</v>
      </c>
      <c r="E49" s="1102">
        <f t="shared" si="2"/>
        <v>0</v>
      </c>
      <c r="F49" s="1102">
        <f>'Table 4 Level 3'!N48</f>
        <v>574.6099999999999</v>
      </c>
      <c r="G49" s="1102">
        <f t="shared" si="3"/>
        <v>0</v>
      </c>
      <c r="H49" s="1059">
        <f t="shared" si="4"/>
        <v>0</v>
      </c>
      <c r="I49" s="1112">
        <f t="shared" si="5"/>
        <v>0</v>
      </c>
      <c r="J49" s="1059">
        <f t="shared" si="6"/>
        <v>0</v>
      </c>
      <c r="K49" s="1059">
        <v>0</v>
      </c>
      <c r="L49" s="1059">
        <f t="shared" si="7"/>
        <v>0</v>
      </c>
      <c r="M49" s="1059">
        <f t="shared" si="8"/>
        <v>0</v>
      </c>
      <c r="N49" s="1051">
        <f>'[18]FY2012-13 Final'!K50</f>
        <v>5265</v>
      </c>
      <c r="O49" s="1053">
        <f t="shared" si="9"/>
        <v>0</v>
      </c>
      <c r="P49" s="1118">
        <f t="shared" si="10"/>
        <v>0</v>
      </c>
      <c r="Q49" s="1053">
        <f t="shared" si="11"/>
        <v>0</v>
      </c>
      <c r="R49" s="1053">
        <v>0</v>
      </c>
      <c r="S49" s="1053">
        <f t="shared" si="12"/>
        <v>0</v>
      </c>
      <c r="T49" s="1053">
        <f t="shared" si="13"/>
        <v>0</v>
      </c>
      <c r="U49" s="1054">
        <f t="shared" si="14"/>
        <v>0</v>
      </c>
      <c r="V49" s="1054">
        <f t="shared" si="14"/>
        <v>0</v>
      </c>
    </row>
    <row r="50" spans="1:22">
      <c r="A50" s="994">
        <v>44</v>
      </c>
      <c r="B50" s="995" t="s">
        <v>138</v>
      </c>
      <c r="C50" s="1196">
        <v>0</v>
      </c>
      <c r="D50" s="1003">
        <f>'Table 3 Levels 1&amp;2'!BN52+'Table 3 Levels 1&amp;2'!BV52</f>
        <v>4649.5559521248724</v>
      </c>
      <c r="E50" s="1102">
        <f t="shared" si="2"/>
        <v>0</v>
      </c>
      <c r="F50" s="1102">
        <f>'Table 4 Level 3'!N49</f>
        <v>663.16000000000008</v>
      </c>
      <c r="G50" s="1102">
        <f t="shared" si="3"/>
        <v>0</v>
      </c>
      <c r="H50" s="1059">
        <f t="shared" si="4"/>
        <v>0</v>
      </c>
      <c r="I50" s="1112">
        <f t="shared" si="5"/>
        <v>0</v>
      </c>
      <c r="J50" s="1059">
        <f t="shared" si="6"/>
        <v>0</v>
      </c>
      <c r="K50" s="1059">
        <v>0</v>
      </c>
      <c r="L50" s="1059">
        <f t="shared" si="7"/>
        <v>0</v>
      </c>
      <c r="M50" s="1059">
        <f t="shared" si="8"/>
        <v>0</v>
      </c>
      <c r="N50" s="1051">
        <f>'[18]FY2012-13 Final'!K51</f>
        <v>4109</v>
      </c>
      <c r="O50" s="1053">
        <f t="shared" si="9"/>
        <v>0</v>
      </c>
      <c r="P50" s="1118">
        <f t="shared" si="10"/>
        <v>0</v>
      </c>
      <c r="Q50" s="1053">
        <f t="shared" si="11"/>
        <v>0</v>
      </c>
      <c r="R50" s="1053">
        <v>0</v>
      </c>
      <c r="S50" s="1053">
        <f t="shared" si="12"/>
        <v>0</v>
      </c>
      <c r="T50" s="1053">
        <f t="shared" si="13"/>
        <v>0</v>
      </c>
      <c r="U50" s="1054">
        <f t="shared" si="14"/>
        <v>0</v>
      </c>
      <c r="V50" s="1054">
        <f t="shared" si="14"/>
        <v>0</v>
      </c>
    </row>
    <row r="51" spans="1:22">
      <c r="A51" s="998">
        <v>45</v>
      </c>
      <c r="B51" s="999" t="s">
        <v>139</v>
      </c>
      <c r="C51" s="1197">
        <v>0</v>
      </c>
      <c r="D51" s="1005">
        <f>'Table 3 Levels 1&amp;2'!BN53+'Table 3 Levels 1&amp;2'!BV53</f>
        <v>2159.257884231537</v>
      </c>
      <c r="E51" s="1103">
        <f t="shared" si="2"/>
        <v>0</v>
      </c>
      <c r="F51" s="1103">
        <f>'Table 4 Level 3'!N50</f>
        <v>753.96000000000015</v>
      </c>
      <c r="G51" s="1103">
        <f t="shared" si="3"/>
        <v>0</v>
      </c>
      <c r="H51" s="1060">
        <f t="shared" si="4"/>
        <v>0</v>
      </c>
      <c r="I51" s="1113">
        <f t="shared" si="5"/>
        <v>0</v>
      </c>
      <c r="J51" s="1060">
        <f t="shared" si="6"/>
        <v>0</v>
      </c>
      <c r="K51" s="1060">
        <v>0</v>
      </c>
      <c r="L51" s="1060">
        <f t="shared" si="7"/>
        <v>0</v>
      </c>
      <c r="M51" s="1060">
        <f t="shared" si="8"/>
        <v>0</v>
      </c>
      <c r="N51" s="1056">
        <f>'[18]FY2012-13 Final'!K52</f>
        <v>12427</v>
      </c>
      <c r="O51" s="1057">
        <f t="shared" si="9"/>
        <v>0</v>
      </c>
      <c r="P51" s="1119">
        <f t="shared" si="10"/>
        <v>0</v>
      </c>
      <c r="Q51" s="1057">
        <f t="shared" si="11"/>
        <v>0</v>
      </c>
      <c r="R51" s="1057">
        <v>0</v>
      </c>
      <c r="S51" s="1057">
        <f t="shared" si="12"/>
        <v>0</v>
      </c>
      <c r="T51" s="1057">
        <f t="shared" si="13"/>
        <v>0</v>
      </c>
      <c r="U51" s="1058">
        <f t="shared" si="14"/>
        <v>0</v>
      </c>
      <c r="V51" s="1058">
        <f t="shared" si="14"/>
        <v>0</v>
      </c>
    </row>
    <row r="52" spans="1:22">
      <c r="A52" s="987">
        <v>46</v>
      </c>
      <c r="B52" s="988" t="s">
        <v>140</v>
      </c>
      <c r="C52" s="1198">
        <v>0</v>
      </c>
      <c r="D52" s="1007">
        <f>'Table 3 Levels 1&amp;2'!BN54+'Table 3 Levels 1&amp;2'!BV54</f>
        <v>5578.7258135108641</v>
      </c>
      <c r="E52" s="1104">
        <f t="shared" si="2"/>
        <v>0</v>
      </c>
      <c r="F52" s="1104">
        <f>'Table 4 Level 3'!N51</f>
        <v>728.06</v>
      </c>
      <c r="G52" s="1104">
        <f t="shared" si="3"/>
        <v>0</v>
      </c>
      <c r="H52" s="1061">
        <f t="shared" si="4"/>
        <v>0</v>
      </c>
      <c r="I52" s="1114">
        <f t="shared" si="5"/>
        <v>0</v>
      </c>
      <c r="J52" s="1061">
        <f t="shared" si="6"/>
        <v>0</v>
      </c>
      <c r="K52" s="1061">
        <v>0</v>
      </c>
      <c r="L52" s="1061">
        <f t="shared" si="7"/>
        <v>0</v>
      </c>
      <c r="M52" s="1061">
        <f t="shared" si="8"/>
        <v>0</v>
      </c>
      <c r="N52" s="1051">
        <f>'[18]FY2012-13 Final'!K53</f>
        <v>1968</v>
      </c>
      <c r="O52" s="992">
        <f t="shared" si="9"/>
        <v>0</v>
      </c>
      <c r="P52" s="1117">
        <f t="shared" si="10"/>
        <v>0</v>
      </c>
      <c r="Q52" s="992">
        <f t="shared" si="11"/>
        <v>0</v>
      </c>
      <c r="R52" s="992">
        <v>0</v>
      </c>
      <c r="S52" s="992">
        <f t="shared" si="12"/>
        <v>0</v>
      </c>
      <c r="T52" s="992">
        <f t="shared" si="13"/>
        <v>0</v>
      </c>
      <c r="U52" s="993">
        <f t="shared" si="14"/>
        <v>0</v>
      </c>
      <c r="V52" s="993">
        <f t="shared" si="14"/>
        <v>0</v>
      </c>
    </row>
    <row r="53" spans="1:22">
      <c r="A53" s="994">
        <v>47</v>
      </c>
      <c r="B53" s="995" t="s">
        <v>141</v>
      </c>
      <c r="C53" s="1196">
        <v>0</v>
      </c>
      <c r="D53" s="1003">
        <f>'Table 3 Levels 1&amp;2'!BN55+'Table 3 Levels 1&amp;2'!BV55</f>
        <v>2709.058014721415</v>
      </c>
      <c r="E53" s="1102">
        <f t="shared" si="2"/>
        <v>0</v>
      </c>
      <c r="F53" s="1102">
        <f>'Table 4 Level 3'!N52</f>
        <v>910.76</v>
      </c>
      <c r="G53" s="1102">
        <f t="shared" si="3"/>
        <v>0</v>
      </c>
      <c r="H53" s="1059">
        <f t="shared" si="4"/>
        <v>0</v>
      </c>
      <c r="I53" s="1112">
        <f t="shared" si="5"/>
        <v>0</v>
      </c>
      <c r="J53" s="1059">
        <f t="shared" si="6"/>
        <v>0</v>
      </c>
      <c r="K53" s="1059">
        <v>0</v>
      </c>
      <c r="L53" s="1059">
        <f t="shared" si="7"/>
        <v>0</v>
      </c>
      <c r="M53" s="1059">
        <f t="shared" si="8"/>
        <v>0</v>
      </c>
      <c r="N53" s="1051">
        <f>'[18]FY2012-13 Final'!K54</f>
        <v>10049</v>
      </c>
      <c r="O53" s="1053">
        <f t="shared" si="9"/>
        <v>0</v>
      </c>
      <c r="P53" s="1118">
        <f t="shared" si="10"/>
        <v>0</v>
      </c>
      <c r="Q53" s="1053">
        <f t="shared" si="11"/>
        <v>0</v>
      </c>
      <c r="R53" s="1053">
        <v>0</v>
      </c>
      <c r="S53" s="1053">
        <f t="shared" si="12"/>
        <v>0</v>
      </c>
      <c r="T53" s="1053">
        <f t="shared" si="13"/>
        <v>0</v>
      </c>
      <c r="U53" s="1054">
        <f t="shared" si="14"/>
        <v>0</v>
      </c>
      <c r="V53" s="1054">
        <f t="shared" si="14"/>
        <v>0</v>
      </c>
    </row>
    <row r="54" spans="1:22">
      <c r="A54" s="994">
        <v>48</v>
      </c>
      <c r="B54" s="995" t="s">
        <v>202</v>
      </c>
      <c r="C54" s="1196">
        <v>0</v>
      </c>
      <c r="D54" s="1003">
        <f>'Table 3 Levels 1&amp;2'!BN56+'Table 3 Levels 1&amp;2'!BV56</f>
        <v>4259.4136153508553</v>
      </c>
      <c r="E54" s="1102">
        <f t="shared" si="2"/>
        <v>0</v>
      </c>
      <c r="F54" s="1102">
        <f>'Table 4 Level 3'!N53</f>
        <v>871.07</v>
      </c>
      <c r="G54" s="1102">
        <f t="shared" si="3"/>
        <v>0</v>
      </c>
      <c r="H54" s="1059">
        <f t="shared" si="4"/>
        <v>0</v>
      </c>
      <c r="I54" s="1112">
        <f t="shared" si="5"/>
        <v>0</v>
      </c>
      <c r="J54" s="1059">
        <f t="shared" si="6"/>
        <v>0</v>
      </c>
      <c r="K54" s="1059">
        <v>0</v>
      </c>
      <c r="L54" s="1059">
        <f t="shared" si="7"/>
        <v>0</v>
      </c>
      <c r="M54" s="1059">
        <f t="shared" si="8"/>
        <v>0</v>
      </c>
      <c r="N54" s="1051">
        <f>'[18]FY2012-13 Final'!K55</f>
        <v>5755</v>
      </c>
      <c r="O54" s="1053">
        <f t="shared" si="9"/>
        <v>0</v>
      </c>
      <c r="P54" s="1118">
        <f t="shared" si="10"/>
        <v>0</v>
      </c>
      <c r="Q54" s="1053">
        <f t="shared" si="11"/>
        <v>0</v>
      </c>
      <c r="R54" s="1053">
        <v>0</v>
      </c>
      <c r="S54" s="1053">
        <f t="shared" si="12"/>
        <v>0</v>
      </c>
      <c r="T54" s="1053">
        <f t="shared" si="13"/>
        <v>0</v>
      </c>
      <c r="U54" s="1054">
        <f t="shared" si="14"/>
        <v>0</v>
      </c>
      <c r="V54" s="1054">
        <f t="shared" si="14"/>
        <v>0</v>
      </c>
    </row>
    <row r="55" spans="1:22">
      <c r="A55" s="994">
        <v>49</v>
      </c>
      <c r="B55" s="995" t="s">
        <v>142</v>
      </c>
      <c r="C55" s="1196">
        <v>0</v>
      </c>
      <c r="D55" s="1003">
        <f>'Table 3 Levels 1&amp;2'!BN57+'Table 3 Levels 1&amp;2'!BV57</f>
        <v>4790.0513947378495</v>
      </c>
      <c r="E55" s="1102">
        <f t="shared" si="2"/>
        <v>0</v>
      </c>
      <c r="F55" s="1102">
        <f>'Table 4 Level 3'!N54</f>
        <v>574.43999999999994</v>
      </c>
      <c r="G55" s="1102">
        <f t="shared" si="3"/>
        <v>0</v>
      </c>
      <c r="H55" s="1059">
        <f t="shared" si="4"/>
        <v>0</v>
      </c>
      <c r="I55" s="1112">
        <f t="shared" si="5"/>
        <v>0</v>
      </c>
      <c r="J55" s="1059">
        <f t="shared" si="6"/>
        <v>0</v>
      </c>
      <c r="K55" s="1059">
        <v>0</v>
      </c>
      <c r="L55" s="1059">
        <f t="shared" si="7"/>
        <v>0</v>
      </c>
      <c r="M55" s="1059">
        <f t="shared" si="8"/>
        <v>0</v>
      </c>
      <c r="N55" s="1051">
        <f>'[18]FY2012-13 Final'!K56</f>
        <v>2335</v>
      </c>
      <c r="O55" s="1053">
        <f t="shared" si="9"/>
        <v>0</v>
      </c>
      <c r="P55" s="1118">
        <f t="shared" si="10"/>
        <v>0</v>
      </c>
      <c r="Q55" s="1053">
        <f t="shared" si="11"/>
        <v>0</v>
      </c>
      <c r="R55" s="1053">
        <v>0</v>
      </c>
      <c r="S55" s="1053">
        <f t="shared" si="12"/>
        <v>0</v>
      </c>
      <c r="T55" s="1053">
        <f t="shared" si="13"/>
        <v>0</v>
      </c>
      <c r="U55" s="1054">
        <f t="shared" si="14"/>
        <v>0</v>
      </c>
      <c r="V55" s="1054">
        <f t="shared" si="14"/>
        <v>0</v>
      </c>
    </row>
    <row r="56" spans="1:22">
      <c r="A56" s="998">
        <v>50</v>
      </c>
      <c r="B56" s="999" t="s">
        <v>143</v>
      </c>
      <c r="C56" s="1197">
        <v>0</v>
      </c>
      <c r="D56" s="1005">
        <f>'Table 3 Levels 1&amp;2'!BN58+'Table 3 Levels 1&amp;2'!BV58</f>
        <v>4954.3375045905796</v>
      </c>
      <c r="E56" s="1103">
        <f t="shared" si="2"/>
        <v>0</v>
      </c>
      <c r="F56" s="1103">
        <f>'Table 4 Level 3'!N55</f>
        <v>634.46</v>
      </c>
      <c r="G56" s="1103">
        <f t="shared" si="3"/>
        <v>0</v>
      </c>
      <c r="H56" s="1060">
        <f t="shared" si="4"/>
        <v>0</v>
      </c>
      <c r="I56" s="1113">
        <f t="shared" si="5"/>
        <v>0</v>
      </c>
      <c r="J56" s="1060">
        <f t="shared" si="6"/>
        <v>0</v>
      </c>
      <c r="K56" s="1060">
        <v>0</v>
      </c>
      <c r="L56" s="1060">
        <f t="shared" si="7"/>
        <v>0</v>
      </c>
      <c r="M56" s="1060">
        <f t="shared" si="8"/>
        <v>0</v>
      </c>
      <c r="N56" s="1056">
        <f>'[18]FY2012-13 Final'!K57</f>
        <v>2801</v>
      </c>
      <c r="O56" s="1057">
        <f t="shared" si="9"/>
        <v>0</v>
      </c>
      <c r="P56" s="1119">
        <f t="shared" si="10"/>
        <v>0</v>
      </c>
      <c r="Q56" s="1057">
        <f t="shared" si="11"/>
        <v>0</v>
      </c>
      <c r="R56" s="1057">
        <v>0</v>
      </c>
      <c r="S56" s="1057">
        <f t="shared" si="12"/>
        <v>0</v>
      </c>
      <c r="T56" s="1057">
        <f t="shared" si="13"/>
        <v>0</v>
      </c>
      <c r="U56" s="1058">
        <f t="shared" si="14"/>
        <v>0</v>
      </c>
      <c r="V56" s="1058">
        <f t="shared" si="14"/>
        <v>0</v>
      </c>
    </row>
    <row r="57" spans="1:22">
      <c r="A57" s="987">
        <v>51</v>
      </c>
      <c r="B57" s="988" t="s">
        <v>144</v>
      </c>
      <c r="C57" s="1198">
        <v>0</v>
      </c>
      <c r="D57" s="1007">
        <f>'Table 3 Levels 1&amp;2'!BN59+'Table 3 Levels 1&amp;2'!BV59</f>
        <v>4290.3461727150461</v>
      </c>
      <c r="E57" s="1104">
        <f t="shared" si="2"/>
        <v>0</v>
      </c>
      <c r="F57" s="1104">
        <f>'Table 4 Level 3'!N56</f>
        <v>706.66</v>
      </c>
      <c r="G57" s="1104">
        <f t="shared" si="3"/>
        <v>0</v>
      </c>
      <c r="H57" s="1061">
        <f t="shared" si="4"/>
        <v>0</v>
      </c>
      <c r="I57" s="1114">
        <f t="shared" si="5"/>
        <v>0</v>
      </c>
      <c r="J57" s="1061">
        <f t="shared" si="6"/>
        <v>0</v>
      </c>
      <c r="K57" s="1061">
        <v>0</v>
      </c>
      <c r="L57" s="1061">
        <f t="shared" si="7"/>
        <v>0</v>
      </c>
      <c r="M57" s="1061">
        <f t="shared" si="8"/>
        <v>0</v>
      </c>
      <c r="N57" s="1051">
        <f>'[18]FY2012-13 Final'!K58</f>
        <v>4053</v>
      </c>
      <c r="O57" s="992">
        <f t="shared" si="9"/>
        <v>0</v>
      </c>
      <c r="P57" s="1117">
        <f t="shared" si="10"/>
        <v>0</v>
      </c>
      <c r="Q57" s="992">
        <f t="shared" si="11"/>
        <v>0</v>
      </c>
      <c r="R57" s="992">
        <v>0</v>
      </c>
      <c r="S57" s="992">
        <f t="shared" si="12"/>
        <v>0</v>
      </c>
      <c r="T57" s="992">
        <f t="shared" si="13"/>
        <v>0</v>
      </c>
      <c r="U57" s="993">
        <f t="shared" si="14"/>
        <v>0</v>
      </c>
      <c r="V57" s="993">
        <f t="shared" si="14"/>
        <v>0</v>
      </c>
    </row>
    <row r="58" spans="1:22">
      <c r="A58" s="994">
        <v>52</v>
      </c>
      <c r="B58" s="995" t="s">
        <v>145</v>
      </c>
      <c r="C58" s="1196">
        <v>0</v>
      </c>
      <c r="D58" s="1003">
        <f>'Table 3 Levels 1&amp;2'!BN60+'Table 3 Levels 1&amp;2'!BV60</f>
        <v>4988.6415961118701</v>
      </c>
      <c r="E58" s="1102">
        <f t="shared" si="2"/>
        <v>0</v>
      </c>
      <c r="F58" s="1102">
        <f>'Table 4 Level 3'!N57</f>
        <v>658.37</v>
      </c>
      <c r="G58" s="1102">
        <f t="shared" si="3"/>
        <v>0</v>
      </c>
      <c r="H58" s="1059">
        <f t="shared" si="4"/>
        <v>0</v>
      </c>
      <c r="I58" s="1112">
        <f t="shared" si="5"/>
        <v>0</v>
      </c>
      <c r="J58" s="1059">
        <f t="shared" si="6"/>
        <v>0</v>
      </c>
      <c r="K58" s="1059">
        <v>0</v>
      </c>
      <c r="L58" s="1059">
        <f t="shared" si="7"/>
        <v>0</v>
      </c>
      <c r="M58" s="1059">
        <f t="shared" si="8"/>
        <v>0</v>
      </c>
      <c r="N58" s="1051">
        <f>'[18]FY2012-13 Final'!K59</f>
        <v>4886</v>
      </c>
      <c r="O58" s="1053">
        <f t="shared" si="9"/>
        <v>0</v>
      </c>
      <c r="P58" s="1118">
        <f t="shared" si="10"/>
        <v>0</v>
      </c>
      <c r="Q58" s="1053">
        <f t="shared" si="11"/>
        <v>0</v>
      </c>
      <c r="R58" s="1053">
        <v>0</v>
      </c>
      <c r="S58" s="1053">
        <f t="shared" si="12"/>
        <v>0</v>
      </c>
      <c r="T58" s="1053">
        <f t="shared" si="13"/>
        <v>0</v>
      </c>
      <c r="U58" s="1054">
        <f t="shared" si="14"/>
        <v>0</v>
      </c>
      <c r="V58" s="1054">
        <f t="shared" si="14"/>
        <v>0</v>
      </c>
    </row>
    <row r="59" spans="1:22">
      <c r="A59" s="994">
        <v>53</v>
      </c>
      <c r="B59" s="995" t="s">
        <v>146</v>
      </c>
      <c r="C59" s="1196">
        <v>0</v>
      </c>
      <c r="D59" s="1003">
        <f>'Table 3 Levels 1&amp;2'!BN61+'Table 3 Levels 1&amp;2'!BV61</f>
        <v>4739.7077057162423</v>
      </c>
      <c r="E59" s="1102">
        <f t="shared" si="2"/>
        <v>0</v>
      </c>
      <c r="F59" s="1102">
        <f>'Table 4 Level 3'!N58</f>
        <v>689.74</v>
      </c>
      <c r="G59" s="1102">
        <f t="shared" si="3"/>
        <v>0</v>
      </c>
      <c r="H59" s="1059">
        <f t="shared" si="4"/>
        <v>0</v>
      </c>
      <c r="I59" s="1112">
        <f t="shared" si="5"/>
        <v>0</v>
      </c>
      <c r="J59" s="1059">
        <f t="shared" si="6"/>
        <v>0</v>
      </c>
      <c r="K59" s="1059">
        <v>0</v>
      </c>
      <c r="L59" s="1059">
        <f t="shared" si="7"/>
        <v>0</v>
      </c>
      <c r="M59" s="1059">
        <f t="shared" si="8"/>
        <v>0</v>
      </c>
      <c r="N59" s="1051">
        <f>'[18]FY2012-13 Final'!K60</f>
        <v>1929</v>
      </c>
      <c r="O59" s="1053">
        <f t="shared" si="9"/>
        <v>0</v>
      </c>
      <c r="P59" s="1118">
        <f t="shared" si="10"/>
        <v>0</v>
      </c>
      <c r="Q59" s="1053">
        <f t="shared" si="11"/>
        <v>0</v>
      </c>
      <c r="R59" s="1053">
        <v>0</v>
      </c>
      <c r="S59" s="1053">
        <f t="shared" si="12"/>
        <v>0</v>
      </c>
      <c r="T59" s="1053">
        <f t="shared" si="13"/>
        <v>0</v>
      </c>
      <c r="U59" s="1054">
        <f t="shared" si="14"/>
        <v>0</v>
      </c>
      <c r="V59" s="1054">
        <f t="shared" si="14"/>
        <v>0</v>
      </c>
    </row>
    <row r="60" spans="1:22">
      <c r="A60" s="994">
        <v>54</v>
      </c>
      <c r="B60" s="995" t="s">
        <v>147</v>
      </c>
      <c r="C60" s="1196">
        <v>0</v>
      </c>
      <c r="D60" s="1003">
        <f>'Table 3 Levels 1&amp;2'!BN62+'Table 3 Levels 1&amp;2'!BV62</f>
        <v>5907.1276437932838</v>
      </c>
      <c r="E60" s="1102">
        <f t="shared" si="2"/>
        <v>0</v>
      </c>
      <c r="F60" s="1102">
        <f>'Table 4 Level 3'!N59</f>
        <v>951.45</v>
      </c>
      <c r="G60" s="1102">
        <f t="shared" si="3"/>
        <v>0</v>
      </c>
      <c r="H60" s="1059">
        <f t="shared" si="4"/>
        <v>0</v>
      </c>
      <c r="I60" s="1112">
        <f t="shared" si="5"/>
        <v>0</v>
      </c>
      <c r="J60" s="1059">
        <f t="shared" si="6"/>
        <v>0</v>
      </c>
      <c r="K60" s="1059">
        <v>0</v>
      </c>
      <c r="L60" s="1059">
        <f t="shared" si="7"/>
        <v>0</v>
      </c>
      <c r="M60" s="1059">
        <f t="shared" si="8"/>
        <v>0</v>
      </c>
      <c r="N60" s="1051">
        <f>'[18]FY2012-13 Final'!K61</f>
        <v>3382</v>
      </c>
      <c r="O60" s="1053">
        <f t="shared" si="9"/>
        <v>0</v>
      </c>
      <c r="P60" s="1118">
        <f t="shared" si="10"/>
        <v>0</v>
      </c>
      <c r="Q60" s="1053">
        <f t="shared" si="11"/>
        <v>0</v>
      </c>
      <c r="R60" s="1053">
        <v>0</v>
      </c>
      <c r="S60" s="1053">
        <f t="shared" si="12"/>
        <v>0</v>
      </c>
      <c r="T60" s="1053">
        <f t="shared" si="13"/>
        <v>0</v>
      </c>
      <c r="U60" s="1054">
        <f t="shared" si="14"/>
        <v>0</v>
      </c>
      <c r="V60" s="1054">
        <f t="shared" si="14"/>
        <v>0</v>
      </c>
    </row>
    <row r="61" spans="1:22">
      <c r="A61" s="998">
        <v>55</v>
      </c>
      <c r="B61" s="999" t="s">
        <v>148</v>
      </c>
      <c r="C61" s="1197">
        <v>0</v>
      </c>
      <c r="D61" s="1005">
        <f>'Table 3 Levels 1&amp;2'!BN63+'Table 3 Levels 1&amp;2'!BV63</f>
        <v>4115.0954812679902</v>
      </c>
      <c r="E61" s="1103">
        <f t="shared" si="2"/>
        <v>0</v>
      </c>
      <c r="F61" s="1103">
        <f>'Table 4 Level 3'!N60</f>
        <v>795.14</v>
      </c>
      <c r="G61" s="1103">
        <f t="shared" si="3"/>
        <v>0</v>
      </c>
      <c r="H61" s="1060">
        <f t="shared" si="4"/>
        <v>0</v>
      </c>
      <c r="I61" s="1113">
        <f t="shared" si="5"/>
        <v>0</v>
      </c>
      <c r="J61" s="1060">
        <f t="shared" si="6"/>
        <v>0</v>
      </c>
      <c r="K61" s="1060">
        <v>0</v>
      </c>
      <c r="L61" s="1060">
        <f t="shared" si="7"/>
        <v>0</v>
      </c>
      <c r="M61" s="1060">
        <f t="shared" si="8"/>
        <v>0</v>
      </c>
      <c r="N61" s="1056">
        <f>'[18]FY2012-13 Final'!K62</f>
        <v>3127</v>
      </c>
      <c r="O61" s="1057">
        <f t="shared" si="9"/>
        <v>0</v>
      </c>
      <c r="P61" s="1119">
        <f t="shared" si="10"/>
        <v>0</v>
      </c>
      <c r="Q61" s="1057">
        <f t="shared" si="11"/>
        <v>0</v>
      </c>
      <c r="R61" s="1057">
        <v>0</v>
      </c>
      <c r="S61" s="1057">
        <f t="shared" si="12"/>
        <v>0</v>
      </c>
      <c r="T61" s="1057">
        <f t="shared" si="13"/>
        <v>0</v>
      </c>
      <c r="U61" s="1058">
        <f t="shared" si="14"/>
        <v>0</v>
      </c>
      <c r="V61" s="1058">
        <f t="shared" si="14"/>
        <v>0</v>
      </c>
    </row>
    <row r="62" spans="1:22">
      <c r="A62" s="987">
        <v>56</v>
      </c>
      <c r="B62" s="988" t="s">
        <v>149</v>
      </c>
      <c r="C62" s="1198">
        <v>0</v>
      </c>
      <c r="D62" s="1007">
        <f>'Table 3 Levels 1&amp;2'!BN64+'Table 3 Levels 1&amp;2'!BV64</f>
        <v>4924.9032059941637</v>
      </c>
      <c r="E62" s="1104">
        <f t="shared" si="2"/>
        <v>0</v>
      </c>
      <c r="F62" s="1104">
        <f>'Table 4 Level 3'!N61</f>
        <v>614.66000000000008</v>
      </c>
      <c r="G62" s="1104">
        <f t="shared" si="3"/>
        <v>0</v>
      </c>
      <c r="H62" s="1061">
        <f t="shared" si="4"/>
        <v>0</v>
      </c>
      <c r="I62" s="1114">
        <f t="shared" si="5"/>
        <v>0</v>
      </c>
      <c r="J62" s="1061">
        <f t="shared" si="6"/>
        <v>0</v>
      </c>
      <c r="K62" s="1061">
        <v>0</v>
      </c>
      <c r="L62" s="1061">
        <f t="shared" si="7"/>
        <v>0</v>
      </c>
      <c r="M62" s="1061">
        <f t="shared" si="8"/>
        <v>0</v>
      </c>
      <c r="N62" s="1051">
        <f>'[18]FY2012-13 Final'!K63</f>
        <v>2768</v>
      </c>
      <c r="O62" s="992">
        <f t="shared" si="9"/>
        <v>0</v>
      </c>
      <c r="P62" s="1117">
        <f t="shared" si="10"/>
        <v>0</v>
      </c>
      <c r="Q62" s="992">
        <f t="shared" si="11"/>
        <v>0</v>
      </c>
      <c r="R62" s="992">
        <v>0</v>
      </c>
      <c r="S62" s="992">
        <f t="shared" si="12"/>
        <v>0</v>
      </c>
      <c r="T62" s="992">
        <f t="shared" si="13"/>
        <v>0</v>
      </c>
      <c r="U62" s="993">
        <f t="shared" si="14"/>
        <v>0</v>
      </c>
      <c r="V62" s="993">
        <f t="shared" si="14"/>
        <v>0</v>
      </c>
    </row>
    <row r="63" spans="1:22">
      <c r="A63" s="994">
        <v>57</v>
      </c>
      <c r="B63" s="995" t="s">
        <v>150</v>
      </c>
      <c r="C63" s="1196">
        <v>0</v>
      </c>
      <c r="D63" s="1003">
        <f>'Table 3 Levels 1&amp;2'!BN65+'Table 3 Levels 1&amp;2'!BV65</f>
        <v>4434.5516744018987</v>
      </c>
      <c r="E63" s="1102">
        <f t="shared" si="2"/>
        <v>0</v>
      </c>
      <c r="F63" s="1102">
        <f>'Table 4 Level 3'!N62</f>
        <v>764.51</v>
      </c>
      <c r="G63" s="1102">
        <f t="shared" si="3"/>
        <v>0</v>
      </c>
      <c r="H63" s="1059">
        <f t="shared" si="4"/>
        <v>0</v>
      </c>
      <c r="I63" s="1112">
        <f t="shared" si="5"/>
        <v>0</v>
      </c>
      <c r="J63" s="1059">
        <f t="shared" si="6"/>
        <v>0</v>
      </c>
      <c r="K63" s="1059">
        <v>0</v>
      </c>
      <c r="L63" s="1059">
        <f t="shared" si="7"/>
        <v>0</v>
      </c>
      <c r="M63" s="1059">
        <f t="shared" si="8"/>
        <v>0</v>
      </c>
      <c r="N63" s="1051">
        <f>'[18]FY2012-13 Final'!K64</f>
        <v>2987</v>
      </c>
      <c r="O63" s="1053">
        <f t="shared" si="9"/>
        <v>0</v>
      </c>
      <c r="P63" s="1118">
        <f t="shared" si="10"/>
        <v>0</v>
      </c>
      <c r="Q63" s="1053">
        <f t="shared" si="11"/>
        <v>0</v>
      </c>
      <c r="R63" s="1053">
        <v>0</v>
      </c>
      <c r="S63" s="1053">
        <f t="shared" si="12"/>
        <v>0</v>
      </c>
      <c r="T63" s="1053">
        <f t="shared" si="13"/>
        <v>0</v>
      </c>
      <c r="U63" s="1054">
        <f t="shared" si="14"/>
        <v>0</v>
      </c>
      <c r="V63" s="1054">
        <f t="shared" si="14"/>
        <v>0</v>
      </c>
    </row>
    <row r="64" spans="1:22">
      <c r="A64" s="994">
        <v>58</v>
      </c>
      <c r="B64" s="995" t="s">
        <v>151</v>
      </c>
      <c r="C64" s="1196">
        <v>0</v>
      </c>
      <c r="D64" s="1003">
        <f>'Table 3 Levels 1&amp;2'!BN66+'Table 3 Levels 1&amp;2'!BV66</f>
        <v>5434.7170435013286</v>
      </c>
      <c r="E64" s="1102">
        <f t="shared" si="2"/>
        <v>0</v>
      </c>
      <c r="F64" s="1102">
        <f>'Table 4 Level 3'!N63</f>
        <v>697.04</v>
      </c>
      <c r="G64" s="1102">
        <f t="shared" si="3"/>
        <v>0</v>
      </c>
      <c r="H64" s="1059">
        <f t="shared" si="4"/>
        <v>0</v>
      </c>
      <c r="I64" s="1112">
        <f t="shared" si="5"/>
        <v>0</v>
      </c>
      <c r="J64" s="1059">
        <f t="shared" si="6"/>
        <v>0</v>
      </c>
      <c r="K64" s="1059">
        <v>0</v>
      </c>
      <c r="L64" s="1059">
        <f t="shared" si="7"/>
        <v>0</v>
      </c>
      <c r="M64" s="1059">
        <f t="shared" si="8"/>
        <v>0</v>
      </c>
      <c r="N64" s="1051">
        <f>'[18]FY2012-13 Final'!K65</f>
        <v>2055</v>
      </c>
      <c r="O64" s="1053">
        <f t="shared" si="9"/>
        <v>0</v>
      </c>
      <c r="P64" s="1118">
        <f t="shared" si="10"/>
        <v>0</v>
      </c>
      <c r="Q64" s="1053">
        <f t="shared" si="11"/>
        <v>0</v>
      </c>
      <c r="R64" s="1053">
        <v>0</v>
      </c>
      <c r="S64" s="1053">
        <f t="shared" si="12"/>
        <v>0</v>
      </c>
      <c r="T64" s="1053">
        <f t="shared" si="13"/>
        <v>0</v>
      </c>
      <c r="U64" s="1054">
        <f t="shared" si="14"/>
        <v>0</v>
      </c>
      <c r="V64" s="1054">
        <f t="shared" si="14"/>
        <v>0</v>
      </c>
    </row>
    <row r="65" spans="1:22">
      <c r="A65" s="994">
        <v>59</v>
      </c>
      <c r="B65" s="995" t="s">
        <v>152</v>
      </c>
      <c r="C65" s="1196">
        <v>0</v>
      </c>
      <c r="D65" s="1003">
        <f>'Table 3 Levels 1&amp;2'!BN67+'Table 3 Levels 1&amp;2'!BV67</f>
        <v>6252.2385330184643</v>
      </c>
      <c r="E65" s="1102">
        <f t="shared" si="2"/>
        <v>0</v>
      </c>
      <c r="F65" s="1102">
        <f>'Table 4 Level 3'!N64</f>
        <v>689.52</v>
      </c>
      <c r="G65" s="1102">
        <f t="shared" si="3"/>
        <v>0</v>
      </c>
      <c r="H65" s="1059">
        <f t="shared" si="4"/>
        <v>0</v>
      </c>
      <c r="I65" s="1112">
        <f t="shared" si="5"/>
        <v>0</v>
      </c>
      <c r="J65" s="1059">
        <f t="shared" si="6"/>
        <v>0</v>
      </c>
      <c r="K65" s="1059">
        <v>0</v>
      </c>
      <c r="L65" s="1059">
        <f t="shared" si="7"/>
        <v>0</v>
      </c>
      <c r="M65" s="1059">
        <f t="shared" si="8"/>
        <v>0</v>
      </c>
      <c r="N65" s="1051">
        <f>'[18]FY2012-13 Final'!K66</f>
        <v>1528</v>
      </c>
      <c r="O65" s="1053">
        <f t="shared" si="9"/>
        <v>0</v>
      </c>
      <c r="P65" s="1118">
        <f t="shared" si="10"/>
        <v>0</v>
      </c>
      <c r="Q65" s="1053">
        <f t="shared" si="11"/>
        <v>0</v>
      </c>
      <c r="R65" s="1053">
        <v>0</v>
      </c>
      <c r="S65" s="1053">
        <f t="shared" si="12"/>
        <v>0</v>
      </c>
      <c r="T65" s="1053">
        <f t="shared" si="13"/>
        <v>0</v>
      </c>
      <c r="U65" s="1054">
        <f t="shared" si="14"/>
        <v>0</v>
      </c>
      <c r="V65" s="1054">
        <f t="shared" si="14"/>
        <v>0</v>
      </c>
    </row>
    <row r="66" spans="1:22">
      <c r="A66" s="998">
        <v>60</v>
      </c>
      <c r="B66" s="999" t="s">
        <v>153</v>
      </c>
      <c r="C66" s="1197">
        <v>0</v>
      </c>
      <c r="D66" s="1005">
        <f>'Table 3 Levels 1&amp;2'!BN68+'Table 3 Levels 1&amp;2'!BV68</f>
        <v>4902.6575100268701</v>
      </c>
      <c r="E66" s="1103">
        <f t="shared" si="2"/>
        <v>0</v>
      </c>
      <c r="F66" s="1103">
        <f>'Table 4 Level 3'!N65</f>
        <v>594.04</v>
      </c>
      <c r="G66" s="1103">
        <f t="shared" si="3"/>
        <v>0</v>
      </c>
      <c r="H66" s="1060">
        <f t="shared" si="4"/>
        <v>0</v>
      </c>
      <c r="I66" s="1113">
        <f t="shared" si="5"/>
        <v>0</v>
      </c>
      <c r="J66" s="1060">
        <f t="shared" si="6"/>
        <v>0</v>
      </c>
      <c r="K66" s="1060">
        <v>0</v>
      </c>
      <c r="L66" s="1060">
        <f t="shared" si="7"/>
        <v>0</v>
      </c>
      <c r="M66" s="1060">
        <f t="shared" si="8"/>
        <v>0</v>
      </c>
      <c r="N66" s="1056">
        <f>'[18]FY2012-13 Final'!K67</f>
        <v>3918</v>
      </c>
      <c r="O66" s="1057">
        <f t="shared" si="9"/>
        <v>0</v>
      </c>
      <c r="P66" s="1119">
        <f t="shared" si="10"/>
        <v>0</v>
      </c>
      <c r="Q66" s="1057">
        <f t="shared" si="11"/>
        <v>0</v>
      </c>
      <c r="R66" s="1057">
        <v>0</v>
      </c>
      <c r="S66" s="1057">
        <f t="shared" si="12"/>
        <v>0</v>
      </c>
      <c r="T66" s="1057">
        <f t="shared" si="13"/>
        <v>0</v>
      </c>
      <c r="U66" s="1058">
        <f t="shared" si="14"/>
        <v>0</v>
      </c>
      <c r="V66" s="1058">
        <f t="shared" si="14"/>
        <v>0</v>
      </c>
    </row>
    <row r="67" spans="1:22">
      <c r="A67" s="987">
        <v>61</v>
      </c>
      <c r="B67" s="988" t="s">
        <v>154</v>
      </c>
      <c r="C67" s="1198">
        <v>0</v>
      </c>
      <c r="D67" s="1007">
        <f>'Table 3 Levels 1&amp;2'!BN69+'Table 3 Levels 1&amp;2'!BV69</f>
        <v>2872.7719101339244</v>
      </c>
      <c r="E67" s="1104">
        <f t="shared" si="2"/>
        <v>0</v>
      </c>
      <c r="F67" s="1104">
        <f>'Table 4 Level 3'!N66</f>
        <v>833.70999999999992</v>
      </c>
      <c r="G67" s="1104">
        <f t="shared" si="3"/>
        <v>0</v>
      </c>
      <c r="H67" s="1061">
        <f t="shared" si="4"/>
        <v>0</v>
      </c>
      <c r="I67" s="1114">
        <f t="shared" si="5"/>
        <v>0</v>
      </c>
      <c r="J67" s="1061">
        <f t="shared" si="6"/>
        <v>0</v>
      </c>
      <c r="K67" s="1061">
        <v>0</v>
      </c>
      <c r="L67" s="1061">
        <f t="shared" si="7"/>
        <v>0</v>
      </c>
      <c r="M67" s="1061">
        <f t="shared" si="8"/>
        <v>0</v>
      </c>
      <c r="N67" s="1051">
        <f>'[18]FY2012-13 Final'!K68</f>
        <v>6680</v>
      </c>
      <c r="O67" s="992">
        <f t="shared" si="9"/>
        <v>0</v>
      </c>
      <c r="P67" s="1117">
        <f t="shared" si="10"/>
        <v>0</v>
      </c>
      <c r="Q67" s="992">
        <f t="shared" si="11"/>
        <v>0</v>
      </c>
      <c r="R67" s="992">
        <v>0</v>
      </c>
      <c r="S67" s="992">
        <f t="shared" si="12"/>
        <v>0</v>
      </c>
      <c r="T67" s="992">
        <f t="shared" si="13"/>
        <v>0</v>
      </c>
      <c r="U67" s="993">
        <f t="shared" si="14"/>
        <v>0</v>
      </c>
      <c r="V67" s="993">
        <f t="shared" si="14"/>
        <v>0</v>
      </c>
    </row>
    <row r="68" spans="1:22">
      <c r="A68" s="994">
        <v>62</v>
      </c>
      <c r="B68" s="995" t="s">
        <v>155</v>
      </c>
      <c r="C68" s="1196">
        <v>0</v>
      </c>
      <c r="D68" s="1003">
        <f>'Table 3 Levels 1&amp;2'!BN70+'Table 3 Levels 1&amp;2'!BV70</f>
        <v>5594.25143978908</v>
      </c>
      <c r="E68" s="1102">
        <f t="shared" si="2"/>
        <v>0</v>
      </c>
      <c r="F68" s="1102">
        <f>'Table 4 Level 3'!N67</f>
        <v>516.08000000000004</v>
      </c>
      <c r="G68" s="1102">
        <f t="shared" si="3"/>
        <v>0</v>
      </c>
      <c r="H68" s="1059">
        <f t="shared" si="4"/>
        <v>0</v>
      </c>
      <c r="I68" s="1112">
        <f t="shared" si="5"/>
        <v>0</v>
      </c>
      <c r="J68" s="1059">
        <f t="shared" si="6"/>
        <v>0</v>
      </c>
      <c r="K68" s="1059">
        <v>0</v>
      </c>
      <c r="L68" s="1059">
        <f t="shared" si="7"/>
        <v>0</v>
      </c>
      <c r="M68" s="1059">
        <f t="shared" si="8"/>
        <v>0</v>
      </c>
      <c r="N68" s="1051">
        <f>'[18]FY2012-13 Final'!K69</f>
        <v>1754</v>
      </c>
      <c r="O68" s="1053">
        <f t="shared" si="9"/>
        <v>0</v>
      </c>
      <c r="P68" s="1118">
        <f t="shared" si="10"/>
        <v>0</v>
      </c>
      <c r="Q68" s="1053">
        <f t="shared" si="11"/>
        <v>0</v>
      </c>
      <c r="R68" s="1053">
        <v>0</v>
      </c>
      <c r="S68" s="1053">
        <f t="shared" si="12"/>
        <v>0</v>
      </c>
      <c r="T68" s="1053">
        <f t="shared" si="13"/>
        <v>0</v>
      </c>
      <c r="U68" s="1054">
        <f t="shared" si="14"/>
        <v>0</v>
      </c>
      <c r="V68" s="1054">
        <f t="shared" si="14"/>
        <v>0</v>
      </c>
    </row>
    <row r="69" spans="1:22">
      <c r="A69" s="994">
        <v>63</v>
      </c>
      <c r="B69" s="995" t="s">
        <v>156</v>
      </c>
      <c r="C69" s="1196">
        <v>0</v>
      </c>
      <c r="D69" s="1003">
        <f>'Table 3 Levels 1&amp;2'!BN71+'Table 3 Levels 1&amp;2'!BV71</f>
        <v>4318.8609300898834</v>
      </c>
      <c r="E69" s="1102">
        <f t="shared" si="2"/>
        <v>0</v>
      </c>
      <c r="F69" s="1102">
        <f>'Table 4 Level 3'!N68</f>
        <v>756.79</v>
      </c>
      <c r="G69" s="1102">
        <f t="shared" si="3"/>
        <v>0</v>
      </c>
      <c r="H69" s="1059">
        <f t="shared" si="4"/>
        <v>0</v>
      </c>
      <c r="I69" s="1112">
        <f t="shared" si="5"/>
        <v>0</v>
      </c>
      <c r="J69" s="1059">
        <f t="shared" si="6"/>
        <v>0</v>
      </c>
      <c r="K69" s="1059">
        <v>0</v>
      </c>
      <c r="L69" s="1059">
        <f t="shared" si="7"/>
        <v>0</v>
      </c>
      <c r="M69" s="1059">
        <f t="shared" si="8"/>
        <v>0</v>
      </c>
      <c r="N69" s="1051">
        <f>'[18]FY2012-13 Final'!K70</f>
        <v>7182</v>
      </c>
      <c r="O69" s="1053">
        <f t="shared" si="9"/>
        <v>0</v>
      </c>
      <c r="P69" s="1118">
        <f t="shared" si="10"/>
        <v>0</v>
      </c>
      <c r="Q69" s="1053">
        <f t="shared" si="11"/>
        <v>0</v>
      </c>
      <c r="R69" s="1053">
        <v>0</v>
      </c>
      <c r="S69" s="1053">
        <f t="shared" si="12"/>
        <v>0</v>
      </c>
      <c r="T69" s="1053">
        <f t="shared" si="13"/>
        <v>0</v>
      </c>
      <c r="U69" s="1054">
        <f t="shared" si="14"/>
        <v>0</v>
      </c>
      <c r="V69" s="1054">
        <f t="shared" si="14"/>
        <v>0</v>
      </c>
    </row>
    <row r="70" spans="1:22">
      <c r="A70" s="994">
        <v>64</v>
      </c>
      <c r="B70" s="995" t="s">
        <v>157</v>
      </c>
      <c r="C70" s="1196">
        <v>0</v>
      </c>
      <c r="D70" s="1003">
        <f>'Table 3 Levels 1&amp;2'!BN72+'Table 3 Levels 1&amp;2'!BV72</f>
        <v>5921.7418933384488</v>
      </c>
      <c r="E70" s="1102">
        <f t="shared" si="2"/>
        <v>0</v>
      </c>
      <c r="F70" s="1102">
        <f>'Table 4 Level 3'!N69</f>
        <v>592.66</v>
      </c>
      <c r="G70" s="1102">
        <f t="shared" si="3"/>
        <v>0</v>
      </c>
      <c r="H70" s="1059">
        <f t="shared" si="4"/>
        <v>0</v>
      </c>
      <c r="I70" s="1112">
        <f t="shared" si="5"/>
        <v>0</v>
      </c>
      <c r="J70" s="1059">
        <f t="shared" si="6"/>
        <v>0</v>
      </c>
      <c r="K70" s="1059">
        <v>0</v>
      </c>
      <c r="L70" s="1059">
        <f t="shared" si="7"/>
        <v>0</v>
      </c>
      <c r="M70" s="1059">
        <f t="shared" si="8"/>
        <v>0</v>
      </c>
      <c r="N70" s="1051">
        <f>'[18]FY2012-13 Final'!K71</f>
        <v>2701</v>
      </c>
      <c r="O70" s="1053">
        <f t="shared" si="9"/>
        <v>0</v>
      </c>
      <c r="P70" s="1118">
        <f t="shared" si="10"/>
        <v>0</v>
      </c>
      <c r="Q70" s="1053">
        <f t="shared" si="11"/>
        <v>0</v>
      </c>
      <c r="R70" s="1053">
        <v>0</v>
      </c>
      <c r="S70" s="1053">
        <f t="shared" si="12"/>
        <v>0</v>
      </c>
      <c r="T70" s="1053">
        <f t="shared" si="13"/>
        <v>0</v>
      </c>
      <c r="U70" s="1054">
        <f t="shared" si="14"/>
        <v>0</v>
      </c>
      <c r="V70" s="1054">
        <f t="shared" si="14"/>
        <v>0</v>
      </c>
    </row>
    <row r="71" spans="1:22">
      <c r="A71" s="998">
        <v>65</v>
      </c>
      <c r="B71" s="999" t="s">
        <v>158</v>
      </c>
      <c r="C71" s="1197">
        <v>0</v>
      </c>
      <c r="D71" s="1005">
        <f>'Table 3 Levels 1&amp;2'!BN73+'Table 3 Levels 1&amp;2'!BV73</f>
        <v>4578.9201269671275</v>
      </c>
      <c r="E71" s="1103">
        <f t="shared" si="2"/>
        <v>0</v>
      </c>
      <c r="F71" s="1103">
        <f>'Table 4 Level 3'!N70</f>
        <v>829.12</v>
      </c>
      <c r="G71" s="1103">
        <f t="shared" si="3"/>
        <v>0</v>
      </c>
      <c r="H71" s="1060">
        <f t="shared" si="4"/>
        <v>0</v>
      </c>
      <c r="I71" s="1113">
        <f t="shared" si="5"/>
        <v>0</v>
      </c>
      <c r="J71" s="1060">
        <f t="shared" si="6"/>
        <v>0</v>
      </c>
      <c r="K71" s="1060">
        <v>0</v>
      </c>
      <c r="L71" s="1060">
        <f t="shared" si="7"/>
        <v>0</v>
      </c>
      <c r="M71" s="1060">
        <f t="shared" si="8"/>
        <v>0</v>
      </c>
      <c r="N71" s="1056">
        <f>'[18]FY2012-13 Final'!K72</f>
        <v>4813</v>
      </c>
      <c r="O71" s="1057">
        <f t="shared" si="9"/>
        <v>0</v>
      </c>
      <c r="P71" s="1119">
        <f t="shared" si="10"/>
        <v>0</v>
      </c>
      <c r="Q71" s="1057">
        <f t="shared" si="11"/>
        <v>0</v>
      </c>
      <c r="R71" s="1057">
        <v>0</v>
      </c>
      <c r="S71" s="1057">
        <f t="shared" si="12"/>
        <v>0</v>
      </c>
      <c r="T71" s="1057">
        <f t="shared" si="13"/>
        <v>0</v>
      </c>
      <c r="U71" s="1058">
        <f t="shared" si="14"/>
        <v>0</v>
      </c>
      <c r="V71" s="1058">
        <f t="shared" si="14"/>
        <v>0</v>
      </c>
    </row>
    <row r="72" spans="1:22">
      <c r="A72" s="987">
        <v>66</v>
      </c>
      <c r="B72" s="988" t="s">
        <v>159</v>
      </c>
      <c r="C72" s="1198">
        <v>0</v>
      </c>
      <c r="D72" s="1007">
        <f>'Table 3 Levels 1&amp;2'!BN74+'Table 3 Levels 1&amp;2'!BV74</f>
        <v>6340.8763293271122</v>
      </c>
      <c r="E72" s="1104">
        <f t="shared" ref="E72:E75" si="15">C72*D72</f>
        <v>0</v>
      </c>
      <c r="F72" s="1104">
        <f>'Table 4 Level 3'!N71</f>
        <v>730.06</v>
      </c>
      <c r="G72" s="1104">
        <f t="shared" ref="G72:G75" si="16">C72*F72</f>
        <v>0</v>
      </c>
      <c r="H72" s="1061">
        <f t="shared" ref="H72:H75" si="17">E72+G72</f>
        <v>0</v>
      </c>
      <c r="I72" s="1114">
        <f t="shared" ref="I72:I75" si="18">-(0.25%*H72)</f>
        <v>0</v>
      </c>
      <c r="J72" s="1061">
        <f t="shared" ref="J72:J75" si="19">SUM(H72:I72)</f>
        <v>0</v>
      </c>
      <c r="K72" s="1061">
        <v>0</v>
      </c>
      <c r="L72" s="1061">
        <f t="shared" ref="L72:L75" si="20">SUM(J72:K72)</f>
        <v>0</v>
      </c>
      <c r="M72" s="1061">
        <f t="shared" ref="M72:M75" si="21">L72/12</f>
        <v>0</v>
      </c>
      <c r="N72" s="1051">
        <f>'[18]FY2012-13 Final'!K73</f>
        <v>3516</v>
      </c>
      <c r="O72" s="992">
        <f t="shared" ref="O72:O75" si="22">C72*N72</f>
        <v>0</v>
      </c>
      <c r="P72" s="1117">
        <f t="shared" ref="P72:P75" si="23">-(0.25%*O72)</f>
        <v>0</v>
      </c>
      <c r="Q72" s="992">
        <f t="shared" ref="Q72:Q75" si="24">SUM(O72:P72)</f>
        <v>0</v>
      </c>
      <c r="R72" s="992">
        <v>0</v>
      </c>
      <c r="S72" s="992">
        <f t="shared" ref="S72:S75" si="25">SUM(Q72:R72)</f>
        <v>0</v>
      </c>
      <c r="T72" s="992">
        <f t="shared" ref="T72:T75" si="26">S72/12</f>
        <v>0</v>
      </c>
      <c r="U72" s="993">
        <f t="shared" ref="U72:V75" si="27">L72+S72</f>
        <v>0</v>
      </c>
      <c r="V72" s="993">
        <f t="shared" si="27"/>
        <v>0</v>
      </c>
    </row>
    <row r="73" spans="1:22">
      <c r="A73" s="994">
        <v>67</v>
      </c>
      <c r="B73" s="995" t="s">
        <v>32</v>
      </c>
      <c r="C73" s="1196">
        <v>0</v>
      </c>
      <c r="D73" s="1003">
        <f>'Table 3 Levels 1&amp;2'!BN75+'Table 3 Levels 1&amp;2'!BV75</f>
        <v>4984.1100297034172</v>
      </c>
      <c r="E73" s="1102">
        <f t="shared" si="15"/>
        <v>0</v>
      </c>
      <c r="F73" s="1102">
        <f>'Table 4 Level 3'!N72</f>
        <v>715.61</v>
      </c>
      <c r="G73" s="1102">
        <f t="shared" si="16"/>
        <v>0</v>
      </c>
      <c r="H73" s="1059">
        <f t="shared" si="17"/>
        <v>0</v>
      </c>
      <c r="I73" s="1112">
        <f t="shared" si="18"/>
        <v>0</v>
      </c>
      <c r="J73" s="1059">
        <f t="shared" si="19"/>
        <v>0</v>
      </c>
      <c r="K73" s="1059">
        <v>0</v>
      </c>
      <c r="L73" s="1059">
        <f t="shared" si="20"/>
        <v>0</v>
      </c>
      <c r="M73" s="1059">
        <f t="shared" si="21"/>
        <v>0</v>
      </c>
      <c r="N73" s="1051">
        <f>'[18]FY2012-13 Final'!K74</f>
        <v>5052</v>
      </c>
      <c r="O73" s="1053">
        <f t="shared" si="22"/>
        <v>0</v>
      </c>
      <c r="P73" s="1118">
        <f t="shared" si="23"/>
        <v>0</v>
      </c>
      <c r="Q73" s="1053">
        <f t="shared" si="24"/>
        <v>0</v>
      </c>
      <c r="R73" s="1053">
        <v>0</v>
      </c>
      <c r="S73" s="1053">
        <f t="shared" si="25"/>
        <v>0</v>
      </c>
      <c r="T73" s="1053">
        <f t="shared" si="26"/>
        <v>0</v>
      </c>
      <c r="U73" s="1054">
        <f t="shared" si="27"/>
        <v>0</v>
      </c>
      <c r="V73" s="1054">
        <f t="shared" si="27"/>
        <v>0</v>
      </c>
    </row>
    <row r="74" spans="1:22">
      <c r="A74" s="994">
        <v>68</v>
      </c>
      <c r="B74" s="995" t="s">
        <v>30</v>
      </c>
      <c r="C74" s="1196">
        <v>0</v>
      </c>
      <c r="D74" s="1003">
        <f>'Table 3 Levels 1&amp;2'!BN76+'Table 3 Levels 1&amp;2'!BV76</f>
        <v>6012.7854305239725</v>
      </c>
      <c r="E74" s="1102">
        <f t="shared" si="15"/>
        <v>0</v>
      </c>
      <c r="F74" s="1102">
        <f>'Table 4 Level 3'!N73</f>
        <v>798.7</v>
      </c>
      <c r="G74" s="1102">
        <f t="shared" si="16"/>
        <v>0</v>
      </c>
      <c r="H74" s="1059">
        <f t="shared" si="17"/>
        <v>0</v>
      </c>
      <c r="I74" s="1112">
        <f t="shared" si="18"/>
        <v>0</v>
      </c>
      <c r="J74" s="1059">
        <f t="shared" si="19"/>
        <v>0</v>
      </c>
      <c r="K74" s="1059">
        <v>0</v>
      </c>
      <c r="L74" s="1059">
        <f t="shared" si="20"/>
        <v>0</v>
      </c>
      <c r="M74" s="1059">
        <f t="shared" si="21"/>
        <v>0</v>
      </c>
      <c r="N74" s="1051">
        <f>'[18]FY2012-13 Final'!K75</f>
        <v>2763</v>
      </c>
      <c r="O74" s="1053">
        <f t="shared" si="22"/>
        <v>0</v>
      </c>
      <c r="P74" s="1118">
        <f t="shared" si="23"/>
        <v>0</v>
      </c>
      <c r="Q74" s="1053">
        <f t="shared" si="24"/>
        <v>0</v>
      </c>
      <c r="R74" s="1053">
        <v>0</v>
      </c>
      <c r="S74" s="1053">
        <f t="shared" si="25"/>
        <v>0</v>
      </c>
      <c r="T74" s="1053">
        <f t="shared" si="26"/>
        <v>0</v>
      </c>
      <c r="U74" s="1054">
        <f t="shared" si="27"/>
        <v>0</v>
      </c>
      <c r="V74" s="1054">
        <f t="shared" si="27"/>
        <v>0</v>
      </c>
    </row>
    <row r="75" spans="1:22">
      <c r="A75" s="1008">
        <v>69</v>
      </c>
      <c r="B75" s="1009" t="s">
        <v>213</v>
      </c>
      <c r="C75" s="1199">
        <v>0</v>
      </c>
      <c r="D75" s="1011">
        <f>'Table 3 Levels 1&amp;2'!BN77+'Table 3 Levels 1&amp;2'!BV77</f>
        <v>5559.7139008686299</v>
      </c>
      <c r="E75" s="1105">
        <f t="shared" si="15"/>
        <v>0</v>
      </c>
      <c r="F75" s="1105">
        <f>'Table 4 Level 3'!N74</f>
        <v>705.67</v>
      </c>
      <c r="G75" s="1105">
        <f t="shared" si="16"/>
        <v>0</v>
      </c>
      <c r="H75" s="1062">
        <f t="shared" si="17"/>
        <v>0</v>
      </c>
      <c r="I75" s="1115">
        <f t="shared" si="18"/>
        <v>0</v>
      </c>
      <c r="J75" s="1062">
        <f t="shared" si="19"/>
        <v>0</v>
      </c>
      <c r="K75" s="1062">
        <v>0</v>
      </c>
      <c r="L75" s="1062">
        <f t="shared" si="20"/>
        <v>0</v>
      </c>
      <c r="M75" s="1062">
        <f t="shared" si="21"/>
        <v>0</v>
      </c>
      <c r="N75" s="1051">
        <f>'[18]FY2012-13 Final'!K76</f>
        <v>3327</v>
      </c>
      <c r="O75" s="1063">
        <f t="shared" si="22"/>
        <v>0</v>
      </c>
      <c r="P75" s="1120">
        <f t="shared" si="23"/>
        <v>0</v>
      </c>
      <c r="Q75" s="1063">
        <f t="shared" si="24"/>
        <v>0</v>
      </c>
      <c r="R75" s="1063">
        <v>0</v>
      </c>
      <c r="S75" s="1063">
        <f t="shared" si="25"/>
        <v>0</v>
      </c>
      <c r="T75" s="1063">
        <f t="shared" si="26"/>
        <v>0</v>
      </c>
      <c r="U75" s="1064">
        <f t="shared" si="27"/>
        <v>0</v>
      </c>
      <c r="V75" s="1064">
        <f t="shared" si="27"/>
        <v>0</v>
      </c>
    </row>
    <row r="76" spans="1:22" ht="13.5" thickBot="1">
      <c r="A76" s="1012"/>
      <c r="B76" s="1013" t="s">
        <v>160</v>
      </c>
      <c r="C76" s="1014">
        <f>SUM(C7:C75)</f>
        <v>230</v>
      </c>
      <c r="D76" s="1015"/>
      <c r="E76" s="1106">
        <f>SUM(E7:E75)</f>
        <v>1263293.1564839121</v>
      </c>
      <c r="F76" s="1106">
        <f>'[23]Table 4 Level 3'!P75</f>
        <v>703.90028204588873</v>
      </c>
      <c r="G76" s="1106">
        <f t="shared" ref="G76:L76" si="28">SUM(G7:G75)</f>
        <v>127373.99999999999</v>
      </c>
      <c r="H76" s="1016">
        <f t="shared" si="28"/>
        <v>1390667.1564839121</v>
      </c>
      <c r="I76" s="1116">
        <f t="shared" si="28"/>
        <v>-3476.6678912097805</v>
      </c>
      <c r="J76" s="1016">
        <f t="shared" si="28"/>
        <v>1387190.4885927024</v>
      </c>
      <c r="K76" s="1016">
        <f t="shared" si="28"/>
        <v>0</v>
      </c>
      <c r="L76" s="1016">
        <f t="shared" si="28"/>
        <v>1387190.4885927024</v>
      </c>
      <c r="M76" s="1016">
        <f>SUM(M7:M75)</f>
        <v>115599.2073827252</v>
      </c>
      <c r="N76" s="1065"/>
      <c r="O76" s="1017">
        <f t="shared" ref="O76:V76" si="29">SUM(O7:O75)</f>
        <v>632960</v>
      </c>
      <c r="P76" s="1121">
        <f t="shared" si="29"/>
        <v>-1582.4</v>
      </c>
      <c r="Q76" s="1017">
        <f t="shared" si="29"/>
        <v>631377.6</v>
      </c>
      <c r="R76" s="1017">
        <f t="shared" si="29"/>
        <v>0</v>
      </c>
      <c r="S76" s="1017">
        <f t="shared" si="29"/>
        <v>631377.6</v>
      </c>
      <c r="T76" s="1017">
        <f t="shared" si="29"/>
        <v>52614.799999999996</v>
      </c>
      <c r="U76" s="1018">
        <f t="shared" si="29"/>
        <v>2018568.0885927025</v>
      </c>
      <c r="V76" s="1018">
        <f t="shared" si="29"/>
        <v>168214.00738272519</v>
      </c>
    </row>
    <row r="77" spans="1:22" ht="13.5" thickTop="1"/>
  </sheetData>
  <mergeCells count="19">
    <mergeCell ref="L3:L4"/>
    <mergeCell ref="M3:M4"/>
    <mergeCell ref="N3:N4"/>
    <mergeCell ref="A2:B4"/>
    <mergeCell ref="C2:M2"/>
    <mergeCell ref="N2:T2"/>
    <mergeCell ref="U2:U4"/>
    <mergeCell ref="V2:V4"/>
    <mergeCell ref="C3:C4"/>
    <mergeCell ref="D3:D4"/>
    <mergeCell ref="E3:E4"/>
    <mergeCell ref="F3:F4"/>
    <mergeCell ref="G3:G4"/>
    <mergeCell ref="Q3:Q4"/>
    <mergeCell ref="R3:R4"/>
    <mergeCell ref="S3:S4"/>
    <mergeCell ref="H3:H4"/>
    <mergeCell ref="J3:J4"/>
    <mergeCell ref="K3:K4"/>
  </mergeCells>
  <pageMargins left="0.34" right="0.46" top="0.75" bottom="0.75" header="0.3" footer="0.3"/>
  <pageSetup paperSize="5" scale="60" firstPageNumber="88" orientation="portrait" useFirstPageNumber="1" r:id="rId1"/>
  <headerFooter>
    <oddHeader>&amp;L&amp;"Arial,Bold"&amp;20Table 5C1-P: FY2013-14 MFP Budget Letter (Projection)
Delta Charter School</oddHeader>
    <oddFooter>&amp;R&amp;P</oddFooter>
  </headerFooter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81"/>
  <sheetViews>
    <sheetView view="pageBreakPreview" zoomScaleNormal="70" zoomScaleSheetLayoutView="100" workbookViewId="0">
      <pane xSplit="2" ySplit="4" topLeftCell="C5" activePane="bottomRight" state="frozen"/>
      <selection activeCell="B3" sqref="B3:B5"/>
      <selection pane="topRight" activeCell="B3" sqref="B3:B5"/>
      <selection pane="bottomLeft" activeCell="B3" sqref="B3:B5"/>
      <selection pane="bottomRight" activeCell="B1" sqref="B1:B4"/>
    </sheetView>
  </sheetViews>
  <sheetFormatPr defaultRowHeight="12.75"/>
  <cols>
    <col min="1" max="1" width="3.42578125" bestFit="1" customWidth="1"/>
    <col min="2" max="2" width="17.85546875" customWidth="1"/>
    <col min="3" max="3" width="17.7109375" customWidth="1"/>
    <col min="4" max="4" width="11.85546875" customWidth="1"/>
    <col min="5" max="6" width="10.5703125" bestFit="1" customWidth="1"/>
    <col min="7" max="7" width="12" customWidth="1"/>
    <col min="8" max="8" width="13.28515625" bestFit="1" customWidth="1"/>
    <col min="9" max="9" width="14.5703125" bestFit="1" customWidth="1"/>
    <col min="10" max="13" width="12.85546875" bestFit="1" customWidth="1"/>
    <col min="14" max="14" width="13.28515625" customWidth="1"/>
    <col min="15" max="15" width="12.85546875" bestFit="1" customWidth="1"/>
    <col min="16" max="16" width="14.28515625" customWidth="1"/>
    <col min="17" max="17" width="13.140625" customWidth="1"/>
    <col min="18" max="26" width="12.42578125" customWidth="1"/>
    <col min="27" max="27" width="12.85546875" bestFit="1" customWidth="1"/>
    <col min="28" max="28" width="14.42578125" bestFit="1" customWidth="1"/>
    <col min="29" max="29" width="15" bestFit="1" customWidth="1"/>
    <col min="30" max="30" width="14" bestFit="1" customWidth="1"/>
    <col min="31" max="32" width="14.42578125" bestFit="1" customWidth="1"/>
    <col min="33" max="33" width="14" bestFit="1" customWidth="1"/>
    <col min="34" max="34" width="15.7109375" bestFit="1" customWidth="1"/>
    <col min="35" max="35" width="14" bestFit="1" customWidth="1"/>
    <col min="36" max="36" width="13.140625" customWidth="1"/>
    <col min="37" max="37" width="15.5703125" customWidth="1"/>
    <col min="38" max="38" width="18.5703125" bestFit="1" customWidth="1"/>
    <col min="40" max="40" width="9.140625" customWidth="1"/>
    <col min="41" max="41" width="12.5703125" bestFit="1" customWidth="1"/>
    <col min="44" max="44" width="9.140625" style="49"/>
    <col min="53" max="53" width="9.140625" style="47"/>
  </cols>
  <sheetData>
    <row r="1" spans="1:53" ht="12.75" customHeight="1">
      <c r="A1" s="1865" t="s">
        <v>425</v>
      </c>
      <c r="B1" s="1865" t="s">
        <v>255</v>
      </c>
      <c r="C1" s="1844" t="s">
        <v>1258</v>
      </c>
      <c r="D1" s="1874" t="s">
        <v>1259</v>
      </c>
      <c r="E1" s="1874" t="s">
        <v>1260</v>
      </c>
      <c r="F1" s="1874" t="s">
        <v>1261</v>
      </c>
      <c r="G1" s="1874" t="s">
        <v>1262</v>
      </c>
      <c r="H1" s="1859" t="s">
        <v>1263</v>
      </c>
      <c r="I1" s="1859" t="s">
        <v>1264</v>
      </c>
      <c r="J1" s="1877" t="s">
        <v>1265</v>
      </c>
      <c r="K1" s="1877" t="s">
        <v>1266</v>
      </c>
      <c r="L1" s="1877" t="s">
        <v>1267</v>
      </c>
      <c r="M1" s="1877" t="s">
        <v>1268</v>
      </c>
      <c r="N1" s="1877" t="s">
        <v>1269</v>
      </c>
      <c r="O1" s="1877" t="s">
        <v>1270</v>
      </c>
      <c r="P1" s="1877" t="s">
        <v>1271</v>
      </c>
      <c r="Q1" s="1877" t="s">
        <v>1272</v>
      </c>
      <c r="R1" s="1877" t="s">
        <v>1273</v>
      </c>
      <c r="S1" s="1877" t="s">
        <v>1274</v>
      </c>
      <c r="T1" s="1877" t="s">
        <v>1275</v>
      </c>
      <c r="U1" s="1877" t="s">
        <v>1276</v>
      </c>
      <c r="V1" s="1877" t="s">
        <v>1277</v>
      </c>
      <c r="W1" s="1877" t="s">
        <v>1278</v>
      </c>
      <c r="X1" s="1877" t="s">
        <v>1279</v>
      </c>
      <c r="Y1" s="1877" t="s">
        <v>1280</v>
      </c>
      <c r="Z1" s="1877" t="s">
        <v>1281</v>
      </c>
      <c r="AA1" s="1874" t="s">
        <v>1282</v>
      </c>
      <c r="AB1" s="1874" t="s">
        <v>1283</v>
      </c>
      <c r="AC1" s="1874" t="s">
        <v>1284</v>
      </c>
      <c r="AD1" s="1874" t="s">
        <v>1285</v>
      </c>
      <c r="AE1" s="1874" t="s">
        <v>1286</v>
      </c>
      <c r="AF1" s="1874" t="s">
        <v>1287</v>
      </c>
      <c r="AG1" s="1874" t="s">
        <v>1288</v>
      </c>
      <c r="AH1" s="1874" t="s">
        <v>1289</v>
      </c>
      <c r="AI1" s="1881" t="s">
        <v>1290</v>
      </c>
      <c r="AJ1" s="1881" t="s">
        <v>1291</v>
      </c>
      <c r="AK1" s="1884" t="s">
        <v>1292</v>
      </c>
      <c r="AL1" s="1877" t="s">
        <v>1293</v>
      </c>
      <c r="AR1"/>
      <c r="BA1"/>
    </row>
    <row r="2" spans="1:53" ht="21" customHeight="1">
      <c r="A2" s="1856"/>
      <c r="B2" s="1856"/>
      <c r="C2" s="1844"/>
      <c r="D2" s="1875"/>
      <c r="E2" s="1875"/>
      <c r="F2" s="1875"/>
      <c r="G2" s="1875"/>
      <c r="H2" s="1860"/>
      <c r="I2" s="1860"/>
      <c r="J2" s="1878"/>
      <c r="K2" s="1878"/>
      <c r="L2" s="1878"/>
      <c r="M2" s="1878"/>
      <c r="N2" s="1878"/>
      <c r="O2" s="1878"/>
      <c r="P2" s="1878"/>
      <c r="Q2" s="1878"/>
      <c r="R2" s="1878"/>
      <c r="S2" s="1878"/>
      <c r="T2" s="1878"/>
      <c r="U2" s="1878"/>
      <c r="V2" s="1878"/>
      <c r="W2" s="1878"/>
      <c r="X2" s="1878"/>
      <c r="Y2" s="1878"/>
      <c r="Z2" s="1878"/>
      <c r="AA2" s="1875"/>
      <c r="AB2" s="1875"/>
      <c r="AC2" s="1875"/>
      <c r="AD2" s="1875"/>
      <c r="AE2" s="1875"/>
      <c r="AF2" s="1875"/>
      <c r="AG2" s="1875"/>
      <c r="AH2" s="1875"/>
      <c r="AI2" s="1882"/>
      <c r="AJ2" s="1882"/>
      <c r="AK2" s="1885"/>
      <c r="AL2" s="1878"/>
      <c r="AR2"/>
      <c r="BA2"/>
    </row>
    <row r="3" spans="1:53" ht="24" customHeight="1">
      <c r="A3" s="1856"/>
      <c r="B3" s="1856"/>
      <c r="C3" s="1844"/>
      <c r="D3" s="1875"/>
      <c r="E3" s="1875"/>
      <c r="F3" s="1875"/>
      <c r="G3" s="1875"/>
      <c r="H3" s="1860"/>
      <c r="I3" s="1860"/>
      <c r="J3" s="1878"/>
      <c r="K3" s="1878"/>
      <c r="L3" s="1878"/>
      <c r="M3" s="1878"/>
      <c r="N3" s="1878"/>
      <c r="O3" s="1878"/>
      <c r="P3" s="1878"/>
      <c r="Q3" s="1878"/>
      <c r="R3" s="1878"/>
      <c r="S3" s="1878"/>
      <c r="T3" s="1878"/>
      <c r="U3" s="1878"/>
      <c r="V3" s="1878"/>
      <c r="W3" s="1878"/>
      <c r="X3" s="1878"/>
      <c r="Y3" s="1878"/>
      <c r="Z3" s="1878"/>
      <c r="AA3" s="1875"/>
      <c r="AB3" s="1875"/>
      <c r="AC3" s="1875"/>
      <c r="AD3" s="1875"/>
      <c r="AE3" s="1875"/>
      <c r="AF3" s="1875"/>
      <c r="AG3" s="1875"/>
      <c r="AH3" s="1875"/>
      <c r="AI3" s="1882"/>
      <c r="AJ3" s="1882"/>
      <c r="AK3" s="1885"/>
      <c r="AL3" s="1878"/>
      <c r="AR3"/>
      <c r="BA3"/>
    </row>
    <row r="4" spans="1:53" ht="117.75" customHeight="1">
      <c r="A4" s="1857"/>
      <c r="B4" s="1857"/>
      <c r="C4" s="1844"/>
      <c r="D4" s="1876"/>
      <c r="E4" s="1876"/>
      <c r="F4" s="1876"/>
      <c r="G4" s="1876"/>
      <c r="H4" s="1861"/>
      <c r="I4" s="1861"/>
      <c r="J4" s="1879"/>
      <c r="K4" s="1879"/>
      <c r="L4" s="1879"/>
      <c r="M4" s="1879"/>
      <c r="N4" s="1879"/>
      <c r="O4" s="1879"/>
      <c r="P4" s="1879"/>
      <c r="Q4" s="1879"/>
      <c r="R4" s="1879"/>
      <c r="S4" s="1879"/>
      <c r="T4" s="1879"/>
      <c r="U4" s="1879"/>
      <c r="V4" s="1879"/>
      <c r="W4" s="1879"/>
      <c r="X4" s="1879"/>
      <c r="Y4" s="1879"/>
      <c r="Z4" s="1879"/>
      <c r="AA4" s="1876"/>
      <c r="AB4" s="1876"/>
      <c r="AC4" s="1876"/>
      <c r="AD4" s="1876"/>
      <c r="AE4" s="1876"/>
      <c r="AF4" s="1876"/>
      <c r="AG4" s="1876"/>
      <c r="AH4" s="1876"/>
      <c r="AI4" s="1883"/>
      <c r="AJ4" s="1883"/>
      <c r="AK4" s="1886"/>
      <c r="AL4" s="1879"/>
      <c r="AR4"/>
      <c r="BA4"/>
    </row>
    <row r="5" spans="1:53" s="749" customFormat="1">
      <c r="A5" s="746"/>
      <c r="B5" s="747"/>
      <c r="C5" s="748">
        <v>1</v>
      </c>
      <c r="D5" s="748">
        <f>1+C5</f>
        <v>2</v>
      </c>
      <c r="E5" s="748">
        <f t="shared" ref="E5:L5" si="0">1+D5</f>
        <v>3</v>
      </c>
      <c r="F5" s="748">
        <f t="shared" si="0"/>
        <v>4</v>
      </c>
      <c r="G5" s="748">
        <f t="shared" si="0"/>
        <v>5</v>
      </c>
      <c r="H5" s="748">
        <f t="shared" si="0"/>
        <v>6</v>
      </c>
      <c r="I5" s="748">
        <f t="shared" si="0"/>
        <v>7</v>
      </c>
      <c r="J5" s="748">
        <f t="shared" si="0"/>
        <v>8</v>
      </c>
      <c r="K5" s="748">
        <f t="shared" si="0"/>
        <v>9</v>
      </c>
      <c r="L5" s="748">
        <f t="shared" si="0"/>
        <v>10</v>
      </c>
      <c r="M5" s="748">
        <f t="shared" ref="M5" si="1">L5+1</f>
        <v>11</v>
      </c>
      <c r="N5" s="748">
        <f t="shared" ref="N5" si="2">M5+1</f>
        <v>12</v>
      </c>
      <c r="O5" s="748">
        <f t="shared" ref="O5" si="3">N5+1</f>
        <v>13</v>
      </c>
      <c r="P5" s="748">
        <f t="shared" ref="P5" si="4">O5+1</f>
        <v>14</v>
      </c>
      <c r="Q5" s="748">
        <f t="shared" ref="Q5" si="5">P5+1</f>
        <v>15</v>
      </c>
      <c r="R5" s="748">
        <f t="shared" ref="R5" si="6">Q5+1</f>
        <v>16</v>
      </c>
      <c r="S5" s="748">
        <f t="shared" ref="S5" si="7">R5+1</f>
        <v>17</v>
      </c>
      <c r="T5" s="748">
        <f t="shared" ref="T5" si="8">S5+1</f>
        <v>18</v>
      </c>
      <c r="U5" s="748">
        <f t="shared" ref="U5" si="9">T5+1</f>
        <v>19</v>
      </c>
      <c r="V5" s="748">
        <f t="shared" ref="V5" si="10">U5+1</f>
        <v>20</v>
      </c>
      <c r="W5" s="748">
        <f t="shared" ref="W5" si="11">V5+1</f>
        <v>21</v>
      </c>
      <c r="X5" s="748">
        <f t="shared" ref="X5" si="12">W5+1</f>
        <v>22</v>
      </c>
      <c r="Y5" s="748">
        <f t="shared" ref="Y5" si="13">X5+1</f>
        <v>23</v>
      </c>
      <c r="Z5" s="748">
        <f t="shared" ref="Z5" si="14">Y5+1</f>
        <v>24</v>
      </c>
      <c r="AA5" s="748">
        <f t="shared" ref="AA5" si="15">Z5+1</f>
        <v>25</v>
      </c>
      <c r="AB5" s="748">
        <f t="shared" ref="AB5" si="16">AA5+1</f>
        <v>26</v>
      </c>
      <c r="AC5" s="748">
        <f t="shared" ref="AC5" si="17">AB5+1</f>
        <v>27</v>
      </c>
      <c r="AD5" s="748">
        <f t="shared" ref="AD5" si="18">AC5+1</f>
        <v>28</v>
      </c>
      <c r="AE5" s="748">
        <f t="shared" ref="AE5" si="19">AD5+1</f>
        <v>29</v>
      </c>
      <c r="AF5" s="748">
        <f t="shared" ref="AF5" si="20">AE5+1</f>
        <v>30</v>
      </c>
      <c r="AG5" s="748">
        <f t="shared" ref="AG5" si="21">AF5+1</f>
        <v>31</v>
      </c>
      <c r="AH5" s="748">
        <f t="shared" ref="AH5" si="22">AG5+1</f>
        <v>32</v>
      </c>
      <c r="AI5" s="748">
        <f t="shared" ref="AI5" si="23">AH5+1</f>
        <v>33</v>
      </c>
      <c r="AJ5" s="748">
        <f t="shared" ref="AJ5" si="24">AI5+1</f>
        <v>34</v>
      </c>
      <c r="AK5" s="748">
        <f t="shared" ref="AK5" si="25">AJ5+1</f>
        <v>35</v>
      </c>
      <c r="AL5" s="748">
        <f t="shared" ref="AL5" si="26">AK5+1</f>
        <v>36</v>
      </c>
    </row>
    <row r="6" spans="1:53">
      <c r="A6" s="99">
        <v>1</v>
      </c>
      <c r="B6" s="1143" t="s">
        <v>95</v>
      </c>
      <c r="C6" s="722">
        <f>'Table 2_State Distrib and Adjs'!AM7</f>
        <v>51036169</v>
      </c>
      <c r="D6" s="361">
        <f>-'Table 5A2 LSMSA'!M7</f>
        <v>-10715.1</v>
      </c>
      <c r="E6" s="361">
        <f>-'Table 5A3 NOCCA'!K7</f>
        <v>0</v>
      </c>
      <c r="F6" s="361">
        <f>-'Table 5A4_LSDVI'!K7</f>
        <v>-4286.04</v>
      </c>
      <c r="G6" s="361">
        <f>-'Table 5A5_SSD'!K7</f>
        <v>-10715.1</v>
      </c>
      <c r="H6" s="1144"/>
      <c r="I6" s="1144"/>
      <c r="J6" s="1144">
        <f>-'Table 5C1A-Madison Prep'!Q7-'Table 5C1A-Madison Prep'!T7</f>
        <v>0</v>
      </c>
      <c r="K6" s="361">
        <f>-'Table 5C1B-DArbonne'!O7-'Table 5C1B-DArbonne'!R7</f>
        <v>0</v>
      </c>
      <c r="L6" s="1144">
        <f>-'Table 5C1C-Intl_VIBE'!O7-'Table 5C1C-Intl_VIBE'!R7</f>
        <v>0</v>
      </c>
      <c r="M6" s="361">
        <f>-'Table 5C1D-NOMMA'!O7-'Table 5C1D-NOMMA'!R7</f>
        <v>0</v>
      </c>
      <c r="N6" s="1144">
        <f>-'Table 5C1E-LFNO'!Q7-'Table 5C1E-LFNO'!T7</f>
        <v>0</v>
      </c>
      <c r="O6" s="1247">
        <f>-'Table 5C1F-Lake Charles Charter'!O7-'Table 5C1F-Lake Charles Charter'!R7</f>
        <v>0</v>
      </c>
      <c r="P6" s="361">
        <f>-'Table 5C1G-JS Clark Academy'!O7-'Table 5C1G-JS Clark Academy'!R7</f>
        <v>0</v>
      </c>
      <c r="Q6" s="361">
        <f>-'Table 5C1H-Southwest LA Charter'!O7-'Table 5C1H-Southwest LA Charter'!R7</f>
        <v>0</v>
      </c>
      <c r="R6" s="361">
        <f>-'Table 5C1J-LA Key Academy'!O7+'Table 5C1J-LA Key Academy'!R7</f>
        <v>0</v>
      </c>
      <c r="S6" s="361">
        <f>-'Table 5C1K-Jefferson Chamber'!O7+'Table 5C1K-Jefferson Chamber'!R7</f>
        <v>0</v>
      </c>
      <c r="T6" s="361">
        <f>-'Table 5C1L-Tallulah Charter'!O7+'Table 5C1L-Tallulah Charter'!R7</f>
        <v>0</v>
      </c>
      <c r="U6" s="361">
        <f>-'Table 5C1M-Northshore Charter'!O7+'Table 5C1M-Northshore Charter'!R7</f>
        <v>0</v>
      </c>
      <c r="V6" s="361">
        <f>-'Table 5C1N-EBR Charter'!O7+'Table 5C1N-EBR Charter'!R7</f>
        <v>0</v>
      </c>
      <c r="W6" s="361">
        <f>-'Table 5C1O-Lake Charles HS'!O7+'Table 5C1O-Lake Charles HS'!R7</f>
        <v>0</v>
      </c>
      <c r="X6" s="361">
        <f>-'Table 5C1P-Delta Charter'!O7+'Table 5C1P-Delta Charter'!R7</f>
        <v>0</v>
      </c>
      <c r="Y6" s="361">
        <f>-'Table 5C2 - LA Virtual Admy'!P4-'Table 5C2 - LA Virtual Admy'!S4</f>
        <v>-35346.9</v>
      </c>
      <c r="Z6" s="361">
        <f>-'Table 5C3 - LA Connections EBR'!P4-'Table 5C3 - LA Connections EBR'!S4</f>
        <v>-36326.400000000001</v>
      </c>
      <c r="AA6" s="361">
        <f>-'Table 5D1 - New Vision'!N7-'Table 5D1 - New Vision'!Q7</f>
        <v>0</v>
      </c>
      <c r="AB6" s="361">
        <f>-'Table 5D2 - Glencoe'!N7-'Table 5D2 - Glencoe'!Q7</f>
        <v>0</v>
      </c>
      <c r="AC6" s="361">
        <f>-'Table 5D3 - International'!P7-'Table 5D3 - International'!S7</f>
        <v>0</v>
      </c>
      <c r="AD6" s="361">
        <f>-'Table 5D4 - Avoyelles'!N7-'Table 5D4 - Avoyelles'!Q7</f>
        <v>0</v>
      </c>
      <c r="AE6" s="361">
        <f>-'Table 5D5 - Delhi'!N7-'Table 5D5 - Delhi'!Q7</f>
        <v>0</v>
      </c>
      <c r="AF6" s="361">
        <f>-'Table 5D6 - Milestone'!N7-'Table 5D6 - Milestone'!Q7</f>
        <v>0</v>
      </c>
      <c r="AG6" s="361">
        <f>-'Table 5D7 - Max'!N7-'Table 5D7 - Max'!Q7</f>
        <v>0</v>
      </c>
      <c r="AH6" s="361">
        <f>-'Table 5D8 - Belle Chasse'!P7-'Table 5D8 - Belle Chasse'!U7</f>
        <v>0</v>
      </c>
      <c r="AI6" s="361">
        <f>-'Table 5E_OJJ'!P7-'Table 5E_OJJ'!Q7</f>
        <v>-4904.3325378375102</v>
      </c>
      <c r="AJ6" s="361">
        <f>-'Table 5F Scholarships '!T15</f>
        <v>-6303.4805947362183</v>
      </c>
      <c r="AK6" s="361">
        <f t="shared" ref="AK6:AK37" si="27">SUM(D6:AJ6)</f>
        <v>-108597.35313257374</v>
      </c>
      <c r="AL6" s="750">
        <f t="shared" ref="AL6:AL37" si="28">SUM(C6:AJ6)</f>
        <v>50927571.646867424</v>
      </c>
      <c r="AO6" s="49"/>
      <c r="AR6"/>
      <c r="BA6"/>
    </row>
    <row r="7" spans="1:53">
      <c r="A7" s="99">
        <v>2</v>
      </c>
      <c r="B7" s="1143" t="s">
        <v>96</v>
      </c>
      <c r="C7" s="722">
        <f>'Table 2_State Distrib and Adjs'!AM8</f>
        <v>28433926</v>
      </c>
      <c r="D7" s="361">
        <f>-'Table 5A2 LSMSA'!M8</f>
        <v>0</v>
      </c>
      <c r="E7" s="361">
        <f>-'Table 5A3 NOCCA'!K8</f>
        <v>0</v>
      </c>
      <c r="F7" s="361">
        <f>-'Table 5A4_LSDVI'!K8</f>
        <v>0</v>
      </c>
      <c r="G7" s="361">
        <f>-'Table 5A5_SSD'!K8</f>
        <v>0</v>
      </c>
      <c r="H7" s="1144"/>
      <c r="I7" s="1144"/>
      <c r="J7" s="1144">
        <f>-'Table 5C1A-Madison Prep'!Q8-'Table 5C1A-Madison Prep'!T8</f>
        <v>0</v>
      </c>
      <c r="K7" s="1144">
        <f>-'Table 5C1B-DArbonne'!O8-'Table 5C1B-DArbonne'!R8</f>
        <v>0</v>
      </c>
      <c r="L7" s="1144">
        <f>-'Table 5C1C-Intl_VIBE'!O8-'Table 5C1C-Intl_VIBE'!R8</f>
        <v>0</v>
      </c>
      <c r="M7" s="1144">
        <f>-'Table 5C1D-NOMMA'!O8-'Table 5C1D-NOMMA'!R8</f>
        <v>0</v>
      </c>
      <c r="N7" s="1144">
        <f>-'Table 5C1E-LFNO'!Q8-'Table 5C1E-LFNO'!T8</f>
        <v>0</v>
      </c>
      <c r="O7" s="1144">
        <f>-'Table 5C1F-Lake Charles Charter'!O8-'Table 5C1F-Lake Charles Charter'!R8</f>
        <v>0</v>
      </c>
      <c r="P7" s="361">
        <f>-'Table 5C1G-JS Clark Academy'!O8-'Table 5C1G-JS Clark Academy'!R8</f>
        <v>0</v>
      </c>
      <c r="Q7" s="361">
        <f>-'Table 5C1H-Southwest LA Charter'!O8-'Table 5C1H-Southwest LA Charter'!R8</f>
        <v>0</v>
      </c>
      <c r="R7" s="361">
        <f>-'Table 5C1J-LA Key Academy'!O8+'Table 5C1J-LA Key Academy'!R8</f>
        <v>0</v>
      </c>
      <c r="S7" s="361">
        <f>-'Table 5C1K-Jefferson Chamber'!O8+'Table 5C1K-Jefferson Chamber'!R8</f>
        <v>0</v>
      </c>
      <c r="T7" s="361">
        <f>-'Table 5C1L-Tallulah Charter'!O8+'Table 5C1L-Tallulah Charter'!R8</f>
        <v>0</v>
      </c>
      <c r="U7" s="361">
        <f>-'Table 5C1M-Northshore Charter'!O8+'Table 5C1M-Northshore Charter'!R8</f>
        <v>0</v>
      </c>
      <c r="V7" s="361">
        <f>-'Table 5C1N-EBR Charter'!O8+'Table 5C1N-EBR Charter'!R8</f>
        <v>0</v>
      </c>
      <c r="W7" s="361">
        <f>-'Table 5C1O-Lake Charles HS'!O8+'Table 5C1O-Lake Charles HS'!R8</f>
        <v>0</v>
      </c>
      <c r="X7" s="361">
        <f>-'Table 5C1P-Delta Charter'!O8+'Table 5C1P-Delta Charter'!R8</f>
        <v>0</v>
      </c>
      <c r="Y7" s="361">
        <f>-'Table 5C2 - LA Virtual Admy'!P5-'Table 5C2 - LA Virtual Admy'!S5</f>
        <v>-10456.65</v>
      </c>
      <c r="Z7" s="361">
        <f>-'Table 5C3 - LA Connections EBR'!P5-'Table 5C3 - LA Connections EBR'!S5</f>
        <v>-7235.2</v>
      </c>
      <c r="AA7" s="361">
        <f>-'Table 5D1 - New Vision'!N8-'Table 5D1 - New Vision'!Q8</f>
        <v>0</v>
      </c>
      <c r="AB7" s="361">
        <f>-'Table 5D2 - Glencoe'!N8-'Table 5D2 - Glencoe'!Q8</f>
        <v>0</v>
      </c>
      <c r="AC7" s="361">
        <f>-'Table 5D3 - International'!P8-'Table 5D3 - International'!S8</f>
        <v>0</v>
      </c>
      <c r="AD7" s="361">
        <f>-'Table 5D4 - Avoyelles'!N8-'Table 5D4 - Avoyelles'!Q8</f>
        <v>0</v>
      </c>
      <c r="AE7" s="361">
        <f>-'Table 5D5 - Delhi'!N8-'Table 5D5 - Delhi'!Q8</f>
        <v>0</v>
      </c>
      <c r="AF7" s="361">
        <f>-'Table 5D6 - Milestone'!N8-'Table 5D6 - Milestone'!Q8</f>
        <v>0</v>
      </c>
      <c r="AG7" s="361">
        <f>-'Table 5D7 - Max'!N8-'Table 5D7 - Max'!Q8</f>
        <v>0</v>
      </c>
      <c r="AH7" s="361">
        <f>-'Table 5D8 - Belle Chasse'!P8-'Table 5D8 - Belle Chasse'!U8</f>
        <v>0</v>
      </c>
      <c r="AI7" s="361">
        <f>-'Table 5E_OJJ'!P8-'Table 5E_OJJ'!Q8</f>
        <v>0</v>
      </c>
      <c r="AJ7" s="361">
        <v>0</v>
      </c>
      <c r="AK7" s="361">
        <f t="shared" si="27"/>
        <v>-17691.849999999999</v>
      </c>
      <c r="AL7" s="750">
        <f t="shared" si="28"/>
        <v>28416234.150000002</v>
      </c>
      <c r="AO7" s="49"/>
      <c r="AR7"/>
      <c r="BA7"/>
    </row>
    <row r="8" spans="1:53">
      <c r="A8" s="99">
        <v>3</v>
      </c>
      <c r="B8" s="1143" t="s">
        <v>97</v>
      </c>
      <c r="C8" s="722">
        <f>'Table 2_State Distrib and Adjs'!AM9</f>
        <v>98175840</v>
      </c>
      <c r="D8" s="361">
        <f>-'Table 5A2 LSMSA'!M9</f>
        <v>-62047.44</v>
      </c>
      <c r="E8" s="361">
        <f>-'Table 5A3 NOCCA'!K9</f>
        <v>-3447.08</v>
      </c>
      <c r="F8" s="361">
        <f>-'Table 5A4_LSDVI'!K9</f>
        <v>-24129.559999999998</v>
      </c>
      <c r="G8" s="361">
        <f>-'Table 5A5_SSD'!K9</f>
        <v>-27576.639999999999</v>
      </c>
      <c r="H8" s="1144"/>
      <c r="I8" s="1144"/>
      <c r="J8" s="1144">
        <f>-'Table 5C1A-Madison Prep'!Q9-'Table 5C1A-Madison Prep'!T9</f>
        <v>0</v>
      </c>
      <c r="K8" s="1144">
        <f>-'Table 5C1B-DArbonne'!O9-'Table 5C1B-DArbonne'!R9</f>
        <v>0</v>
      </c>
      <c r="L8" s="1144">
        <f>-'Table 5C1C-Intl_VIBE'!O9-'Table 5C1C-Intl_VIBE'!R9</f>
        <v>0</v>
      </c>
      <c r="M8" s="1144">
        <f>-'Table 5C1D-NOMMA'!O9-'Table 5C1D-NOMMA'!R9</f>
        <v>0</v>
      </c>
      <c r="N8" s="1144">
        <f>-'Table 5C1E-LFNO'!Q9-'Table 5C1E-LFNO'!T9</f>
        <v>0</v>
      </c>
      <c r="O8" s="1144">
        <f>-'Table 5C1F-Lake Charles Charter'!O9-'Table 5C1F-Lake Charles Charter'!R9</f>
        <v>0</v>
      </c>
      <c r="P8" s="361">
        <f>-'Table 5C1G-JS Clark Academy'!O9-'Table 5C1G-JS Clark Academy'!R9</f>
        <v>0</v>
      </c>
      <c r="Q8" s="361">
        <f>-'Table 5C1H-Southwest LA Charter'!O9-'Table 5C1H-Southwest LA Charter'!R9</f>
        <v>0</v>
      </c>
      <c r="R8" s="361">
        <f>-'Table 5C1J-LA Key Academy'!O9+'Table 5C1J-LA Key Academy'!R9</f>
        <v>-102299.6</v>
      </c>
      <c r="S8" s="361">
        <f>-'Table 5C1K-Jefferson Chamber'!O9+'Table 5C1K-Jefferson Chamber'!R9</f>
        <v>0</v>
      </c>
      <c r="T8" s="361">
        <f>-'Table 5C1L-Tallulah Charter'!O9+'Table 5C1L-Tallulah Charter'!R9</f>
        <v>0</v>
      </c>
      <c r="U8" s="361">
        <f>-'Table 5C1M-Northshore Charter'!O9+'Table 5C1M-Northshore Charter'!R9</f>
        <v>0</v>
      </c>
      <c r="V8" s="361">
        <f>-'Table 5C1N-EBR Charter'!O9+'Table 5C1N-EBR Charter'!R9</f>
        <v>0</v>
      </c>
      <c r="W8" s="361">
        <f>-'Table 5C1O-Lake Charles HS'!O9+'Table 5C1O-Lake Charles HS'!R9</f>
        <v>0</v>
      </c>
      <c r="X8" s="361">
        <f>-'Table 5C1P-Delta Charter'!O9+'Table 5C1P-Delta Charter'!R9</f>
        <v>0</v>
      </c>
      <c r="Y8" s="361">
        <f>-'Table 5C2 - LA Virtual Admy'!P6-'Table 5C2 - LA Virtual Admy'!S6</f>
        <v>-184987.35000000003</v>
      </c>
      <c r="Z8" s="361">
        <f>-'Table 5C3 - LA Connections EBR'!P6-'Table 5C3 - LA Connections EBR'!S6</f>
        <v>-120673.80000000002</v>
      </c>
      <c r="AA8" s="361">
        <f>-'Table 5D1 - New Vision'!N9-'Table 5D1 - New Vision'!Q9</f>
        <v>0</v>
      </c>
      <c r="AB8" s="361">
        <f>-'Table 5D2 - Glencoe'!N9-'Table 5D2 - Glencoe'!Q9</f>
        <v>0</v>
      </c>
      <c r="AC8" s="361">
        <f>-'Table 5D3 - International'!P9-'Table 5D3 - International'!S9</f>
        <v>0</v>
      </c>
      <c r="AD8" s="361">
        <f>-'Table 5D4 - Avoyelles'!N9-'Table 5D4 - Avoyelles'!Q9</f>
        <v>0</v>
      </c>
      <c r="AE8" s="361">
        <f>-'Table 5D5 - Delhi'!N9-'Table 5D5 - Delhi'!Q9</f>
        <v>0</v>
      </c>
      <c r="AF8" s="361">
        <f>-'Table 5D6 - Milestone'!N9-'Table 5D6 - Milestone'!Q9</f>
        <v>0</v>
      </c>
      <c r="AG8" s="361">
        <f>-'Table 5D7 - Max'!N9-'Table 5D7 - Max'!Q9</f>
        <v>-4966</v>
      </c>
      <c r="AH8" s="361">
        <f>-'Table 5D8 - Belle Chasse'!P9-'Table 5D8 - Belle Chasse'!U9</f>
        <v>0</v>
      </c>
      <c r="AI8" s="361">
        <f>-'Table 5E_OJJ'!P9-'Table 5E_OJJ'!Q9</f>
        <v>-6893.4896791030351</v>
      </c>
      <c r="AJ8" s="361">
        <f>-('Table 5F Scholarships '!T41)</f>
        <v>-145603.53345071661</v>
      </c>
      <c r="AK8" s="361">
        <f t="shared" si="27"/>
        <v>-682624.49312981975</v>
      </c>
      <c r="AL8" s="750">
        <f t="shared" si="28"/>
        <v>97493215.506870195</v>
      </c>
      <c r="AO8" s="49"/>
      <c r="AR8"/>
      <c r="BA8"/>
    </row>
    <row r="9" spans="1:53">
      <c r="A9" s="99">
        <v>4</v>
      </c>
      <c r="B9" s="1143" t="s">
        <v>98</v>
      </c>
      <c r="C9" s="722">
        <f>'Table 2_State Distrib and Adjs'!AM10</f>
        <v>23163170</v>
      </c>
      <c r="D9" s="361">
        <f>-'Table 5A2 LSMSA'!M10</f>
        <v>0</v>
      </c>
      <c r="E9" s="361">
        <f>-'Table 5A3 NOCCA'!K10</f>
        <v>0</v>
      </c>
      <c r="F9" s="361">
        <f>-'Table 5A4_LSDVI'!K10</f>
        <v>-3169.66</v>
      </c>
      <c r="G9" s="361">
        <f>-'Table 5A5_SSD'!K10</f>
        <v>0</v>
      </c>
      <c r="H9" s="1144"/>
      <c r="I9" s="1144"/>
      <c r="J9" s="1144">
        <f>-'Table 5C1A-Madison Prep'!Q10-'Table 5C1A-Madison Prep'!T10</f>
        <v>0</v>
      </c>
      <c r="K9" s="1144">
        <f>-'Table 5C1B-DArbonne'!O10-'Table 5C1B-DArbonne'!R10</f>
        <v>0</v>
      </c>
      <c r="L9" s="1144">
        <f>-'Table 5C1C-Intl_VIBE'!O10-'Table 5C1C-Intl_VIBE'!R10</f>
        <v>0</v>
      </c>
      <c r="M9" s="1144">
        <f>-'Table 5C1D-NOMMA'!O10-'Table 5C1D-NOMMA'!R10</f>
        <v>0</v>
      </c>
      <c r="N9" s="1144">
        <f>-'Table 5C1E-LFNO'!Q10-'Table 5C1E-LFNO'!T10</f>
        <v>0</v>
      </c>
      <c r="O9" s="1144">
        <f>-'Table 5C1F-Lake Charles Charter'!O10-'Table 5C1F-Lake Charles Charter'!R10</f>
        <v>0</v>
      </c>
      <c r="P9" s="361">
        <f>-'Table 5C1G-JS Clark Academy'!O10-'Table 5C1G-JS Clark Academy'!R10</f>
        <v>0</v>
      </c>
      <c r="Q9" s="361">
        <f>-'Table 5C1H-Southwest LA Charter'!O10-'Table 5C1H-Southwest LA Charter'!R10</f>
        <v>0</v>
      </c>
      <c r="R9" s="361">
        <f>-'Table 5C1J-LA Key Academy'!O10+'Table 5C1J-LA Key Academy'!R10</f>
        <v>0</v>
      </c>
      <c r="S9" s="361">
        <f>-'Table 5C1K-Jefferson Chamber'!O10+'Table 5C1K-Jefferson Chamber'!R10</f>
        <v>0</v>
      </c>
      <c r="T9" s="361">
        <f>-'Table 5C1L-Tallulah Charter'!O10+'Table 5C1L-Tallulah Charter'!R10</f>
        <v>0</v>
      </c>
      <c r="U9" s="361">
        <f>-'Table 5C1M-Northshore Charter'!O10+'Table 5C1M-Northshore Charter'!R10</f>
        <v>0</v>
      </c>
      <c r="V9" s="361">
        <f>-'Table 5C1N-EBR Charter'!O10+'Table 5C1N-EBR Charter'!R10</f>
        <v>0</v>
      </c>
      <c r="W9" s="361">
        <f>-'Table 5C1O-Lake Charles HS'!O10+'Table 5C1O-Lake Charles HS'!R10</f>
        <v>0</v>
      </c>
      <c r="X9" s="361">
        <f>-'Table 5C1P-Delta Charter'!O10+'Table 5C1P-Delta Charter'!R10</f>
        <v>0</v>
      </c>
      <c r="Y9" s="361">
        <f>-'Table 5C2 - LA Virtual Admy'!P7-'Table 5C2 - LA Virtual Admy'!S7</f>
        <v>2200.5</v>
      </c>
      <c r="Z9" s="361">
        <f>-'Table 5C3 - LA Connections EBR'!P7-'Table 5C3 - LA Connections EBR'!S7</f>
        <v>-16191.5</v>
      </c>
      <c r="AA9" s="361">
        <f>-'Table 5D1 - New Vision'!N10-'Table 5D1 - New Vision'!Q10</f>
        <v>0</v>
      </c>
      <c r="AB9" s="361">
        <f>-'Table 5D2 - Glencoe'!N10-'Table 5D2 - Glencoe'!Q10</f>
        <v>0</v>
      </c>
      <c r="AC9" s="361">
        <f>-'Table 5D3 - International'!P10-'Table 5D3 - International'!S10</f>
        <v>0</v>
      </c>
      <c r="AD9" s="361">
        <f>-'Table 5D4 - Avoyelles'!N10-'Table 5D4 - Avoyelles'!Q10</f>
        <v>0</v>
      </c>
      <c r="AE9" s="361">
        <f>-'Table 5D5 - Delhi'!N10-'Table 5D5 - Delhi'!Q10</f>
        <v>0</v>
      </c>
      <c r="AF9" s="361">
        <f>-'Table 5D6 - Milestone'!N10-'Table 5D6 - Milestone'!Q10</f>
        <v>0</v>
      </c>
      <c r="AG9" s="361">
        <f>-'Table 5D7 - Max'!N10-'Table 5D7 - Max'!Q10</f>
        <v>-6890</v>
      </c>
      <c r="AH9" s="361">
        <f>-'Table 5D8 - Belle Chasse'!P10-'Table 5D8 - Belle Chasse'!U10</f>
        <v>0</v>
      </c>
      <c r="AI9" s="361">
        <f>-'Table 5E_OJJ'!P10-'Table 5E_OJJ'!Q10</f>
        <v>-2725.2494467664928</v>
      </c>
      <c r="AJ9" s="361">
        <f>-('Table 5F Scholarships '!T49)</f>
        <v>-21084.160041089075</v>
      </c>
      <c r="AK9" s="361">
        <f t="shared" si="27"/>
        <v>-47860.069487855566</v>
      </c>
      <c r="AL9" s="750">
        <f t="shared" si="28"/>
        <v>23115309.930512141</v>
      </c>
      <c r="AO9" s="49"/>
      <c r="AR9"/>
      <c r="BA9"/>
    </row>
    <row r="10" spans="1:53">
      <c r="A10" s="100">
        <v>5</v>
      </c>
      <c r="B10" s="1145" t="s">
        <v>99</v>
      </c>
      <c r="C10" s="723">
        <f>'Table 2_State Distrib and Adjs'!AM11</f>
        <v>31092200</v>
      </c>
      <c r="D10" s="362">
        <f>-'Table 5A2 LSMSA'!M11</f>
        <v>-1381.35</v>
      </c>
      <c r="E10" s="362">
        <f>-'Table 5A3 NOCCA'!K11</f>
        <v>0</v>
      </c>
      <c r="F10" s="362">
        <f>-'Table 5A4_LSDVI'!K11</f>
        <v>-4144.0499999999993</v>
      </c>
      <c r="G10" s="362">
        <f>-'Table 5A5_SSD'!K11</f>
        <v>-4144.0499999999993</v>
      </c>
      <c r="H10" s="1146"/>
      <c r="I10" s="1146"/>
      <c r="J10" s="1146">
        <f>-'Table 5C1A-Madison Prep'!Q11-'Table 5C1A-Madison Prep'!T11</f>
        <v>0</v>
      </c>
      <c r="K10" s="1146">
        <f>-'Table 5C1B-DArbonne'!O11-'Table 5C1B-DArbonne'!R11</f>
        <v>0</v>
      </c>
      <c r="L10" s="1146">
        <f>-'Table 5C1C-Intl_VIBE'!O11-'Table 5C1C-Intl_VIBE'!R11</f>
        <v>0</v>
      </c>
      <c r="M10" s="1146">
        <f>-'Table 5C1D-NOMMA'!O11-'Table 5C1D-NOMMA'!R11</f>
        <v>0</v>
      </c>
      <c r="N10" s="1146">
        <f>-'Table 5C1E-LFNO'!Q11-'Table 5C1E-LFNO'!T11</f>
        <v>0</v>
      </c>
      <c r="O10" s="1146">
        <f>-'Table 5C1F-Lake Charles Charter'!O11-'Table 5C1F-Lake Charles Charter'!R11</f>
        <v>0</v>
      </c>
      <c r="P10" s="362">
        <f>-'Table 5C1G-JS Clark Academy'!O11-'Table 5C1G-JS Clark Academy'!R11</f>
        <v>0</v>
      </c>
      <c r="Q10" s="362">
        <f>-'Table 5C1H-Southwest LA Charter'!O11-'Table 5C1H-Southwest LA Charter'!R11</f>
        <v>0</v>
      </c>
      <c r="R10" s="362">
        <f>-'Table 5C1J-LA Key Academy'!O11+'Table 5C1J-LA Key Academy'!R11</f>
        <v>0</v>
      </c>
      <c r="S10" s="362">
        <f>-'Table 5C1K-Jefferson Chamber'!O11+'Table 5C1K-Jefferson Chamber'!R11</f>
        <v>0</v>
      </c>
      <c r="T10" s="362">
        <f>-'Table 5C1L-Tallulah Charter'!O11+'Table 5C1L-Tallulah Charter'!R11</f>
        <v>0</v>
      </c>
      <c r="U10" s="362">
        <f>-'Table 5C1M-Northshore Charter'!O11+'Table 5C1M-Northshore Charter'!R11</f>
        <v>0</v>
      </c>
      <c r="V10" s="362">
        <f>-'Table 5C1N-EBR Charter'!O11+'Table 5C1N-EBR Charter'!R11</f>
        <v>0</v>
      </c>
      <c r="W10" s="362">
        <f>-'Table 5C1O-Lake Charles HS'!O11+'Table 5C1O-Lake Charles HS'!R11</f>
        <v>0</v>
      </c>
      <c r="X10" s="362">
        <f>-'Table 5C1P-Delta Charter'!O11+'Table 5C1P-Delta Charter'!R11</f>
        <v>0</v>
      </c>
      <c r="Y10" s="362">
        <f>-'Table 5C2 - LA Virtual Admy'!P8-'Table 5C2 - LA Virtual Admy'!S8</f>
        <v>-27254.25</v>
      </c>
      <c r="Z10" s="362">
        <f>-'Table 5C3 - LA Connections EBR'!P8-'Table 5C3 - LA Connections EBR'!S8</f>
        <v>-17047.8</v>
      </c>
      <c r="AA10" s="362">
        <f>-'Table 5D1 - New Vision'!N11-'Table 5D1 - New Vision'!Q11</f>
        <v>0</v>
      </c>
      <c r="AB10" s="362">
        <f>-'Table 5D2 - Glencoe'!N11-'Table 5D2 - Glencoe'!Q11</f>
        <v>0</v>
      </c>
      <c r="AC10" s="362">
        <f>-'Table 5D3 - International'!P11-'Table 5D3 - International'!S11</f>
        <v>0</v>
      </c>
      <c r="AD10" s="362">
        <f>-'Table 5D4 - Avoyelles'!N11-'Table 5D4 - Avoyelles'!Q11</f>
        <v>-929511</v>
      </c>
      <c r="AE10" s="362">
        <f>-'Table 5D5 - Delhi'!N11-'Table 5D5 - Delhi'!Q11</f>
        <v>0</v>
      </c>
      <c r="AF10" s="362">
        <f>-'Table 5D6 - Milestone'!N11-'Table 5D6 - Milestone'!Q11</f>
        <v>0</v>
      </c>
      <c r="AG10" s="362">
        <f>-'Table 5D7 - Max'!N11-'Table 5D7 - Max'!Q11</f>
        <v>0</v>
      </c>
      <c r="AH10" s="362">
        <f>-'Table 5D8 - Belle Chasse'!P11-'Table 5D8 - Belle Chasse'!U11</f>
        <v>0</v>
      </c>
      <c r="AI10" s="362">
        <f>-'Table 5E_OJJ'!P11-'Table 5E_OJJ'!Q11</f>
        <v>-5715.1835624428923</v>
      </c>
      <c r="AJ10" s="362">
        <v>0</v>
      </c>
      <c r="AK10" s="362">
        <f t="shared" si="27"/>
        <v>-989197.68356244289</v>
      </c>
      <c r="AL10" s="751">
        <f t="shared" si="28"/>
        <v>30103002.316437554</v>
      </c>
      <c r="AO10" s="49"/>
      <c r="AR10"/>
      <c r="BA10"/>
    </row>
    <row r="11" spans="1:53">
      <c r="A11" s="99">
        <v>6</v>
      </c>
      <c r="B11" s="1143" t="s">
        <v>100</v>
      </c>
      <c r="C11" s="722">
        <f>'Table 2_State Distrib and Adjs'!AM12</f>
        <v>35089315</v>
      </c>
      <c r="D11" s="361">
        <f>-'Table 5A2 LSMSA'!M12</f>
        <v>-19020.599999999999</v>
      </c>
      <c r="E11" s="361">
        <f>-'Table 5A3 NOCCA'!K12</f>
        <v>0</v>
      </c>
      <c r="F11" s="361">
        <f>-'Table 5A4_LSDVI'!K12</f>
        <v>0</v>
      </c>
      <c r="G11" s="361">
        <f>-'Table 5A5_SSD'!K12</f>
        <v>-3170.1</v>
      </c>
      <c r="H11" s="1144"/>
      <c r="I11" s="1144"/>
      <c r="J11" s="1144">
        <f>-'Table 5C1A-Madison Prep'!Q12-'Table 5C1A-Madison Prep'!T12</f>
        <v>0</v>
      </c>
      <c r="K11" s="1144">
        <f>-'Table 5C1B-DArbonne'!O12-'Table 5C1B-DArbonne'!R12</f>
        <v>0</v>
      </c>
      <c r="L11" s="1144">
        <f>-'Table 5C1C-Intl_VIBE'!O12-'Table 5C1C-Intl_VIBE'!R12</f>
        <v>0</v>
      </c>
      <c r="M11" s="1144">
        <f>-'Table 5C1D-NOMMA'!O12-'Table 5C1D-NOMMA'!R12</f>
        <v>0</v>
      </c>
      <c r="N11" s="1144">
        <f>-'Table 5C1E-LFNO'!Q12-'Table 5C1E-LFNO'!T12</f>
        <v>0</v>
      </c>
      <c r="O11" s="1144">
        <f>-'Table 5C1F-Lake Charles Charter'!O12-'Table 5C1F-Lake Charles Charter'!R12</f>
        <v>0</v>
      </c>
      <c r="P11" s="361">
        <f>-'Table 5C1G-JS Clark Academy'!O12-'Table 5C1G-JS Clark Academy'!R12</f>
        <v>0</v>
      </c>
      <c r="Q11" s="361">
        <f>-'Table 5C1H-Southwest LA Charter'!O12-'Table 5C1H-Southwest LA Charter'!R12</f>
        <v>0</v>
      </c>
      <c r="R11" s="361">
        <f>-'Table 5C1J-LA Key Academy'!O12+'Table 5C1J-LA Key Academy'!R12</f>
        <v>0</v>
      </c>
      <c r="S11" s="361">
        <f>-'Table 5C1K-Jefferson Chamber'!O12+'Table 5C1K-Jefferson Chamber'!R12</f>
        <v>0</v>
      </c>
      <c r="T11" s="361">
        <f>-'Table 5C1L-Tallulah Charter'!O12+'Table 5C1L-Tallulah Charter'!R12</f>
        <v>0</v>
      </c>
      <c r="U11" s="361">
        <f>-'Table 5C1M-Northshore Charter'!O12+'Table 5C1M-Northshore Charter'!R12</f>
        <v>0</v>
      </c>
      <c r="V11" s="361">
        <f>-'Table 5C1N-EBR Charter'!O12+'Table 5C1N-EBR Charter'!R12</f>
        <v>0</v>
      </c>
      <c r="W11" s="361">
        <f>-'Table 5C1O-Lake Charles HS'!O12+'Table 5C1O-Lake Charles HS'!R12</f>
        <v>0</v>
      </c>
      <c r="X11" s="361">
        <f>-'Table 5C1P-Delta Charter'!O12+'Table 5C1P-Delta Charter'!R12</f>
        <v>0</v>
      </c>
      <c r="Y11" s="361">
        <f>-'Table 5C2 - LA Virtual Admy'!P9-'Table 5C2 - LA Virtual Admy'!S9</f>
        <v>-54712.800000000003</v>
      </c>
      <c r="Z11" s="361">
        <f>-'Table 5C3 - LA Connections EBR'!P9-'Table 5C3 - LA Connections EBR'!S9</f>
        <v>-67228.800000000003</v>
      </c>
      <c r="AA11" s="361">
        <f>-'Table 5D1 - New Vision'!N12-'Table 5D1 - New Vision'!Q12</f>
        <v>0</v>
      </c>
      <c r="AB11" s="361">
        <f>-'Table 5D2 - Glencoe'!N12-'Table 5D2 - Glencoe'!Q12</f>
        <v>0</v>
      </c>
      <c r="AC11" s="361">
        <f>-'Table 5D3 - International'!P12-'Table 5D3 - International'!S12</f>
        <v>0</v>
      </c>
      <c r="AD11" s="361">
        <f>-'Table 5D4 - Avoyelles'!N12-'Table 5D4 - Avoyelles'!Q12</f>
        <v>0</v>
      </c>
      <c r="AE11" s="361">
        <f>-'Table 5D5 - Delhi'!N12-'Table 5D5 - Delhi'!Q12</f>
        <v>0</v>
      </c>
      <c r="AF11" s="361">
        <f>-'Table 5D6 - Milestone'!N12-'Table 5D6 - Milestone'!Q12</f>
        <v>0</v>
      </c>
      <c r="AG11" s="361">
        <f>-'Table 5D7 - Max'!N12-'Table 5D7 - Max'!Q12</f>
        <v>0</v>
      </c>
      <c r="AH11" s="361">
        <f>-'Table 5D8 - Belle Chasse'!P12-'Table 5D8 - Belle Chasse'!U12</f>
        <v>0</v>
      </c>
      <c r="AI11" s="361">
        <f>-'Table 5E_OJJ'!P12-'Table 5E_OJJ'!Q12</f>
        <v>-5079.3832136057972</v>
      </c>
      <c r="AJ11" s="361">
        <f>-('Table 5F Scholarships '!T51)</f>
        <v>0</v>
      </c>
      <c r="AK11" s="361">
        <f t="shared" si="27"/>
        <v>-149211.68321360578</v>
      </c>
      <c r="AL11" s="750">
        <f t="shared" si="28"/>
        <v>34940103.316786394</v>
      </c>
      <c r="AO11" s="49"/>
      <c r="AR11"/>
      <c r="BA11"/>
    </row>
    <row r="12" spans="1:53">
      <c r="A12" s="99">
        <v>7</v>
      </c>
      <c r="B12" s="1143" t="s">
        <v>101</v>
      </c>
      <c r="C12" s="722">
        <f>'Table 2_State Distrib and Adjs'!AM13</f>
        <v>5376922</v>
      </c>
      <c r="D12" s="361">
        <f>-'Table 5A2 LSMSA'!M13</f>
        <v>0</v>
      </c>
      <c r="E12" s="361">
        <f>-'Table 5A3 NOCCA'!K13</f>
        <v>0</v>
      </c>
      <c r="F12" s="361">
        <f>-'Table 5A4_LSDVI'!K13</f>
        <v>0</v>
      </c>
      <c r="G12" s="361">
        <f>-'Table 5A5_SSD'!K13</f>
        <v>-5999.02</v>
      </c>
      <c r="H12" s="1144"/>
      <c r="I12" s="1144"/>
      <c r="J12" s="1144">
        <f>-'Table 5C1A-Madison Prep'!Q13-'Table 5C1A-Madison Prep'!T13</f>
        <v>0</v>
      </c>
      <c r="K12" s="1144">
        <f>-'Table 5C1B-DArbonne'!O13-'Table 5C1B-DArbonne'!R13</f>
        <v>0</v>
      </c>
      <c r="L12" s="1144">
        <f>-'Table 5C1C-Intl_VIBE'!O13-'Table 5C1C-Intl_VIBE'!R13</f>
        <v>0</v>
      </c>
      <c r="M12" s="1144">
        <f>-'Table 5C1D-NOMMA'!O13-'Table 5C1D-NOMMA'!R13</f>
        <v>0</v>
      </c>
      <c r="N12" s="1144">
        <f>-'Table 5C1E-LFNO'!Q13-'Table 5C1E-LFNO'!T13</f>
        <v>0</v>
      </c>
      <c r="O12" s="1144">
        <f>-'Table 5C1F-Lake Charles Charter'!O13-'Table 5C1F-Lake Charles Charter'!R13</f>
        <v>0</v>
      </c>
      <c r="P12" s="361">
        <f>-'Table 5C1G-JS Clark Academy'!O13-'Table 5C1G-JS Clark Academy'!R13</f>
        <v>0</v>
      </c>
      <c r="Q12" s="361">
        <f>-'Table 5C1H-Southwest LA Charter'!O13-'Table 5C1H-Southwest LA Charter'!R13</f>
        <v>0</v>
      </c>
      <c r="R12" s="361">
        <f>-'Table 5C1J-LA Key Academy'!O13+'Table 5C1J-LA Key Academy'!R13</f>
        <v>0</v>
      </c>
      <c r="S12" s="361">
        <f>-'Table 5C1K-Jefferson Chamber'!O13+'Table 5C1K-Jefferson Chamber'!R13</f>
        <v>0</v>
      </c>
      <c r="T12" s="361">
        <f>-'Table 5C1L-Tallulah Charter'!O13+'Table 5C1L-Tallulah Charter'!R13</f>
        <v>0</v>
      </c>
      <c r="U12" s="361">
        <f>-'Table 5C1M-Northshore Charter'!O13+'Table 5C1M-Northshore Charter'!R13</f>
        <v>0</v>
      </c>
      <c r="V12" s="361">
        <f>-'Table 5C1N-EBR Charter'!O13+'Table 5C1N-EBR Charter'!R13</f>
        <v>0</v>
      </c>
      <c r="W12" s="361">
        <f>-'Table 5C1O-Lake Charles HS'!O13+'Table 5C1O-Lake Charles HS'!R13</f>
        <v>0</v>
      </c>
      <c r="X12" s="361">
        <f>-'Table 5C1P-Delta Charter'!O13+'Table 5C1P-Delta Charter'!R13</f>
        <v>0</v>
      </c>
      <c r="Y12" s="361">
        <f>-'Table 5C2 - LA Virtual Admy'!P10-'Table 5C2 - LA Virtual Admy'!S10</f>
        <v>-28968.75</v>
      </c>
      <c r="Z12" s="361">
        <f>-'Table 5C3 - LA Connections EBR'!P10-'Table 5C3 - LA Connections EBR'!S10</f>
        <v>-89748</v>
      </c>
      <c r="AA12" s="361">
        <f>-'Table 5D1 - New Vision'!N13-'Table 5D1 - New Vision'!Q13</f>
        <v>0</v>
      </c>
      <c r="AB12" s="361">
        <f>-'Table 5D2 - Glencoe'!N13-'Table 5D2 - Glencoe'!Q13</f>
        <v>0</v>
      </c>
      <c r="AC12" s="361">
        <f>-'Table 5D3 - International'!P13-'Table 5D3 - International'!S13</f>
        <v>0</v>
      </c>
      <c r="AD12" s="361">
        <f>-'Table 5D4 - Avoyelles'!N13-'Table 5D4 - Avoyelles'!Q13</f>
        <v>0</v>
      </c>
      <c r="AE12" s="361">
        <f>-'Table 5D5 - Delhi'!N13-'Table 5D5 - Delhi'!Q13</f>
        <v>0</v>
      </c>
      <c r="AF12" s="361">
        <f>-'Table 5D6 - Milestone'!N13-'Table 5D6 - Milestone'!Q13</f>
        <v>0</v>
      </c>
      <c r="AG12" s="361">
        <f>-'Table 5D7 - Max'!N13-'Table 5D7 - Max'!Q13</f>
        <v>0</v>
      </c>
      <c r="AH12" s="361">
        <f>-'Table 5D8 - Belle Chasse'!P13-'Table 5D8 - Belle Chasse'!U13</f>
        <v>0</v>
      </c>
      <c r="AI12" s="361">
        <f>-'Table 5E_OJJ'!P13-'Table 5E_OJJ'!Q13</f>
        <v>0</v>
      </c>
      <c r="AJ12" s="361">
        <f>-('Table 5F Scholarships '!T58)</f>
        <v>-30465.209984994966</v>
      </c>
      <c r="AK12" s="361">
        <f t="shared" si="27"/>
        <v>-155180.97998499498</v>
      </c>
      <c r="AL12" s="750">
        <f t="shared" si="28"/>
        <v>5221741.020015005</v>
      </c>
      <c r="AO12" s="49"/>
      <c r="AR12"/>
      <c r="BA12"/>
    </row>
    <row r="13" spans="1:53">
      <c r="A13" s="99">
        <v>8</v>
      </c>
      <c r="B13" s="1143" t="s">
        <v>102</v>
      </c>
      <c r="C13" s="722">
        <f>'Table 2_State Distrib and Adjs'!AM14</f>
        <v>104910810</v>
      </c>
      <c r="D13" s="361">
        <f>-'Table 5A2 LSMSA'!M14</f>
        <v>-41726.879999999997</v>
      </c>
      <c r="E13" s="361">
        <f>-'Table 5A3 NOCCA'!K14</f>
        <v>0</v>
      </c>
      <c r="F13" s="361">
        <f>-'Table 5A4_LSDVI'!K14</f>
        <v>-3477.24</v>
      </c>
      <c r="G13" s="361">
        <f>-'Table 5A5_SSD'!K14</f>
        <v>-27817.919999999998</v>
      </c>
      <c r="H13" s="1144"/>
      <c r="I13" s="1144"/>
      <c r="J13" s="1144">
        <f>-'Table 5C1A-Madison Prep'!Q14-'Table 5C1A-Madison Prep'!T14</f>
        <v>0</v>
      </c>
      <c r="K13" s="1144">
        <f>-'Table 5C1B-DArbonne'!O14-'Table 5C1B-DArbonne'!R14</f>
        <v>0</v>
      </c>
      <c r="L13" s="1144">
        <f>-'Table 5C1C-Intl_VIBE'!O14-'Table 5C1C-Intl_VIBE'!R14</f>
        <v>0</v>
      </c>
      <c r="M13" s="1144">
        <f>-'Table 5C1D-NOMMA'!O14-'Table 5C1D-NOMMA'!R14</f>
        <v>0</v>
      </c>
      <c r="N13" s="1144">
        <f>-'Table 5C1E-LFNO'!Q14-'Table 5C1E-LFNO'!T14</f>
        <v>0</v>
      </c>
      <c r="O13" s="1144">
        <f>-'Table 5C1F-Lake Charles Charter'!O14-'Table 5C1F-Lake Charles Charter'!R14</f>
        <v>0</v>
      </c>
      <c r="P13" s="361">
        <f>-'Table 5C1G-JS Clark Academy'!O14-'Table 5C1G-JS Clark Academy'!R14</f>
        <v>0</v>
      </c>
      <c r="Q13" s="361">
        <f>-'Table 5C1H-Southwest LA Charter'!O14-'Table 5C1H-Southwest LA Charter'!R14</f>
        <v>0</v>
      </c>
      <c r="R13" s="361">
        <f>-'Table 5C1J-LA Key Academy'!O14+'Table 5C1J-LA Key Academy'!R14</f>
        <v>0</v>
      </c>
      <c r="S13" s="361">
        <f>-'Table 5C1K-Jefferson Chamber'!O14+'Table 5C1K-Jefferson Chamber'!R14</f>
        <v>0</v>
      </c>
      <c r="T13" s="361">
        <f>-'Table 5C1L-Tallulah Charter'!O14+'Table 5C1L-Tallulah Charter'!R14</f>
        <v>0</v>
      </c>
      <c r="U13" s="361">
        <f>-'Table 5C1M-Northshore Charter'!O14+'Table 5C1M-Northshore Charter'!R14</f>
        <v>0</v>
      </c>
      <c r="V13" s="361">
        <f>-'Table 5C1N-EBR Charter'!O14+'Table 5C1N-EBR Charter'!R14</f>
        <v>0</v>
      </c>
      <c r="W13" s="361">
        <f>-'Table 5C1O-Lake Charles HS'!O14+'Table 5C1O-Lake Charles HS'!R14</f>
        <v>0</v>
      </c>
      <c r="X13" s="361">
        <f>-'Table 5C1P-Delta Charter'!O14+'Table 5C1P-Delta Charter'!R14</f>
        <v>0</v>
      </c>
      <c r="Y13" s="361">
        <f>-'Table 5C2 - LA Virtual Admy'!P11-'Table 5C2 - LA Virtual Admy'!S11</f>
        <v>-131796</v>
      </c>
      <c r="Z13" s="361">
        <f>-'Table 5C3 - LA Connections EBR'!P11-'Table 5C3 - LA Connections EBR'!S11</f>
        <v>-169452</v>
      </c>
      <c r="AA13" s="361">
        <f>-'Table 5D1 - New Vision'!N14-'Table 5D1 - New Vision'!Q14</f>
        <v>0</v>
      </c>
      <c r="AB13" s="361">
        <f>-'Table 5D2 - Glencoe'!N14-'Table 5D2 - Glencoe'!Q14</f>
        <v>0</v>
      </c>
      <c r="AC13" s="361">
        <f>-'Table 5D3 - International'!P14-'Table 5D3 - International'!S14</f>
        <v>0</v>
      </c>
      <c r="AD13" s="361">
        <f>-'Table 5D4 - Avoyelles'!N14-'Table 5D4 - Avoyelles'!Q14</f>
        <v>0</v>
      </c>
      <c r="AE13" s="361">
        <f>-'Table 5D5 - Delhi'!N14-'Table 5D5 - Delhi'!Q14</f>
        <v>0</v>
      </c>
      <c r="AF13" s="361">
        <f>-'Table 5D6 - Milestone'!N14-'Table 5D6 - Milestone'!Q14</f>
        <v>0</v>
      </c>
      <c r="AG13" s="361">
        <f>-'Table 5D7 - Max'!N14-'Table 5D7 - Max'!Q14</f>
        <v>0</v>
      </c>
      <c r="AH13" s="361">
        <f>-'Table 5D8 - Belle Chasse'!P14-'Table 5D8 - Belle Chasse'!U14</f>
        <v>0</v>
      </c>
      <c r="AI13" s="361">
        <f>-'Table 5E_OJJ'!P14-'Table 5E_OJJ'!Q14</f>
        <v>-18449.901567016674</v>
      </c>
      <c r="AJ13" s="361">
        <f>-('Table 5F Scholarships '!T61)</f>
        <v>-5080.2723994862672</v>
      </c>
      <c r="AK13" s="361">
        <f t="shared" si="27"/>
        <v>-397800.21396650292</v>
      </c>
      <c r="AL13" s="750">
        <f t="shared" si="28"/>
        <v>104513009.78603351</v>
      </c>
      <c r="AO13" s="49"/>
      <c r="AR13"/>
      <c r="BA13"/>
    </row>
    <row r="14" spans="1:53">
      <c r="A14" s="99">
        <v>9</v>
      </c>
      <c r="B14" s="1143" t="s">
        <v>103</v>
      </c>
      <c r="C14" s="722">
        <f>'Table 2_State Distrib and Adjs'!AM15</f>
        <v>204584801</v>
      </c>
      <c r="D14" s="361">
        <f>-'Table 5A2 LSMSA'!M15</f>
        <v>-13813.16</v>
      </c>
      <c r="E14" s="361">
        <f>-'Table 5A3 NOCCA'!K15</f>
        <v>0</v>
      </c>
      <c r="F14" s="361">
        <f>-'Table 5A4_LSDVI'!K15</f>
        <v>-24173.03</v>
      </c>
      <c r="G14" s="361">
        <f>-'Table 5A5_SSD'!K15</f>
        <v>-107051.99</v>
      </c>
      <c r="H14" s="1144">
        <f>-'Table 5B2_RSD_LA'!Q30-'Table 5B2_RSD_LA'!V30</f>
        <v>-2568223</v>
      </c>
      <c r="I14" s="1144"/>
      <c r="J14" s="1144">
        <f>-'Table 5C1A-Madison Prep'!Q15-'Table 5C1A-Madison Prep'!T15</f>
        <v>0</v>
      </c>
      <c r="K14" s="1144">
        <f>-'Table 5C1B-DArbonne'!O15-'Table 5C1B-DArbonne'!R15</f>
        <v>0</v>
      </c>
      <c r="L14" s="1144">
        <f>-'Table 5C1C-Intl_VIBE'!O15-'Table 5C1C-Intl_VIBE'!R15</f>
        <v>0</v>
      </c>
      <c r="M14" s="1144">
        <f>-'Table 5C1D-NOMMA'!O15-'Table 5C1D-NOMMA'!R15</f>
        <v>0</v>
      </c>
      <c r="N14" s="1144">
        <f>-'Table 5C1E-LFNO'!Q15-'Table 5C1E-LFNO'!T15</f>
        <v>0</v>
      </c>
      <c r="O14" s="1144">
        <f>-'Table 5C1F-Lake Charles Charter'!O15-'Table 5C1F-Lake Charles Charter'!R15</f>
        <v>0</v>
      </c>
      <c r="P14" s="361">
        <f>-'Table 5C1G-JS Clark Academy'!O15-'Table 5C1G-JS Clark Academy'!R15</f>
        <v>0</v>
      </c>
      <c r="Q14" s="361">
        <f>-'Table 5C1H-Southwest LA Charter'!O15-'Table 5C1H-Southwest LA Charter'!R15</f>
        <v>0</v>
      </c>
      <c r="R14" s="361">
        <f>-'Table 5C1J-LA Key Academy'!O15+'Table 5C1J-LA Key Academy'!R15</f>
        <v>0</v>
      </c>
      <c r="S14" s="361">
        <f>-'Table 5C1K-Jefferson Chamber'!O15+'Table 5C1K-Jefferson Chamber'!R15</f>
        <v>0</v>
      </c>
      <c r="T14" s="361">
        <f>-'Table 5C1L-Tallulah Charter'!O15+'Table 5C1L-Tallulah Charter'!R15</f>
        <v>0</v>
      </c>
      <c r="U14" s="361">
        <f>-'Table 5C1M-Northshore Charter'!O15+'Table 5C1M-Northshore Charter'!R15</f>
        <v>0</v>
      </c>
      <c r="V14" s="361">
        <f>-'Table 5C1N-EBR Charter'!O15+'Table 5C1N-EBR Charter'!R15</f>
        <v>0</v>
      </c>
      <c r="W14" s="361">
        <f>-'Table 5C1O-Lake Charles HS'!O15+'Table 5C1O-Lake Charles HS'!R15</f>
        <v>0</v>
      </c>
      <c r="X14" s="361">
        <f>-'Table 5C1P-Delta Charter'!O15+'Table 5C1P-Delta Charter'!R15</f>
        <v>0</v>
      </c>
      <c r="Y14" s="361">
        <f>-'Table 5C2 - LA Virtual Admy'!P12-'Table 5C2 - LA Virtual Admy'!S12</f>
        <v>-372074</v>
      </c>
      <c r="Z14" s="361">
        <f>-'Table 5C3 - LA Connections EBR'!P12-'Table 5C3 - LA Connections EBR'!S12</f>
        <v>-276080</v>
      </c>
      <c r="AA14" s="361">
        <f>-'Table 5D1 - New Vision'!N15-'Table 5D1 - New Vision'!Q15</f>
        <v>0</v>
      </c>
      <c r="AB14" s="361">
        <f>-'Table 5D2 - Glencoe'!N15-'Table 5D2 - Glencoe'!Q15</f>
        <v>0</v>
      </c>
      <c r="AC14" s="361">
        <f>-'Table 5D3 - International'!P15-'Table 5D3 - International'!S15</f>
        <v>0</v>
      </c>
      <c r="AD14" s="361">
        <f>-'Table 5D4 - Avoyelles'!N15-'Table 5D4 - Avoyelles'!Q15</f>
        <v>0</v>
      </c>
      <c r="AE14" s="361">
        <f>-'Table 5D5 - Delhi'!N15-'Table 5D5 - Delhi'!Q15</f>
        <v>0</v>
      </c>
      <c r="AF14" s="361">
        <f>-'Table 5D6 - Milestone'!N15-'Table 5D6 - Milestone'!Q15</f>
        <v>0</v>
      </c>
      <c r="AG14" s="361">
        <f>-'Table 5D7 - Max'!N15-'Table 5D7 - Max'!Q15</f>
        <v>0</v>
      </c>
      <c r="AH14" s="361">
        <f>-'Table 5D8 - Belle Chasse'!P15-'Table 5D8 - Belle Chasse'!U15</f>
        <v>0</v>
      </c>
      <c r="AI14" s="361">
        <f>-'Table 5E_OJJ'!P15-'Table 5E_OJJ'!Q15</f>
        <v>-111980.84939782259</v>
      </c>
      <c r="AJ14" s="361">
        <f>-('Table 5F Scholarships '!T79)</f>
        <v>-201309.0612038963</v>
      </c>
      <c r="AK14" s="361">
        <f t="shared" si="27"/>
        <v>-3674705.090601719</v>
      </c>
      <c r="AL14" s="750">
        <f t="shared" si="28"/>
        <v>200910095.90939829</v>
      </c>
      <c r="AO14" s="49"/>
      <c r="AR14"/>
      <c r="BA14"/>
    </row>
    <row r="15" spans="1:53">
      <c r="A15" s="100">
        <v>10</v>
      </c>
      <c r="B15" s="1145" t="s">
        <v>104</v>
      </c>
      <c r="C15" s="723">
        <f>'Table 2_State Distrib and Adjs'!AM16</f>
        <v>147295480</v>
      </c>
      <c r="D15" s="362">
        <f>-'Table 5A2 LSMSA'!M16</f>
        <v>-46095.479999999996</v>
      </c>
      <c r="E15" s="362">
        <f>-'Table 5A3 NOCCA'!K16</f>
        <v>0</v>
      </c>
      <c r="F15" s="362">
        <f>-'Table 5A4_LSDVI'!K16</f>
        <v>-42254.19</v>
      </c>
      <c r="G15" s="362">
        <f>-'Table 5A5_SSD'!K16</f>
        <v>-11523.869999999999</v>
      </c>
      <c r="H15" s="1146"/>
      <c r="I15" s="1146"/>
      <c r="J15" s="1146">
        <f>-'Table 5C1A-Madison Prep'!Q16-'Table 5C1A-Madison Prep'!T16</f>
        <v>0</v>
      </c>
      <c r="K15" s="1146">
        <f>-'Table 5C1B-DArbonne'!O16-'Table 5C1B-DArbonne'!R16</f>
        <v>0</v>
      </c>
      <c r="L15" s="1146">
        <f>-'Table 5C1C-Intl_VIBE'!O16-'Table 5C1C-Intl_VIBE'!R16</f>
        <v>0</v>
      </c>
      <c r="M15" s="1146">
        <f>-'Table 5C1D-NOMMA'!O16-'Table 5C1D-NOMMA'!R16</f>
        <v>0</v>
      </c>
      <c r="N15" s="1146">
        <f>-'Table 5C1E-LFNO'!Q16-'Table 5C1E-LFNO'!T16</f>
        <v>0</v>
      </c>
      <c r="O15" s="1146">
        <f>-'Table 5C1F-Lake Charles Charter'!O16-'Table 5C1F-Lake Charles Charter'!R16</f>
        <v>-3315205</v>
      </c>
      <c r="P15" s="362">
        <f>-'Table 5C1G-JS Clark Academy'!O16-'Table 5C1G-JS Clark Academy'!R16</f>
        <v>0</v>
      </c>
      <c r="Q15" s="362">
        <f>-'Table 5C1H-Southwest LA Charter'!O16-'Table 5C1H-Southwest LA Charter'!R16</f>
        <v>-2296493</v>
      </c>
      <c r="R15" s="362">
        <f>-'Table 5C1J-LA Key Academy'!O16+'Table 5C1J-LA Key Academy'!R16</f>
        <v>0</v>
      </c>
      <c r="S15" s="362">
        <f>-'Table 5C1K-Jefferson Chamber'!O16+'Table 5C1K-Jefferson Chamber'!R16</f>
        <v>0</v>
      </c>
      <c r="T15" s="362">
        <f>-'Table 5C1L-Tallulah Charter'!O16+'Table 5C1L-Tallulah Charter'!R16</f>
        <v>0</v>
      </c>
      <c r="U15" s="362">
        <f>-'Table 5C1M-Northshore Charter'!O16+'Table 5C1M-Northshore Charter'!R16</f>
        <v>0</v>
      </c>
      <c r="V15" s="362">
        <f>-'Table 5C1N-EBR Charter'!O16+'Table 5C1N-EBR Charter'!R16</f>
        <v>0</v>
      </c>
      <c r="W15" s="362">
        <f>-'Table 5C1O-Lake Charles HS'!O16+'Table 5C1O-Lake Charles HS'!R16</f>
        <v>-1317300</v>
      </c>
      <c r="X15" s="362">
        <f>-'Table 5C1P-Delta Charter'!O16+'Table 5C1P-Delta Charter'!R16</f>
        <v>0</v>
      </c>
      <c r="Y15" s="362">
        <f>-'Table 5C2 - LA Virtual Admy'!P13-'Table 5C2 - LA Virtual Admy'!S13</f>
        <v>-222800.2</v>
      </c>
      <c r="Z15" s="362">
        <f>-'Table 5C3 - LA Connections EBR'!P13-'Table 5C3 - LA Connections EBR'!S13</f>
        <v>-200668.7</v>
      </c>
      <c r="AA15" s="362">
        <f>-'Table 5D1 - New Vision'!N16-'Table 5D1 - New Vision'!Q16</f>
        <v>0</v>
      </c>
      <c r="AB15" s="362">
        <f>-'Table 5D2 - Glencoe'!N16-'Table 5D2 - Glencoe'!Q16</f>
        <v>0</v>
      </c>
      <c r="AC15" s="362">
        <f>-'Table 5D3 - International'!P16-'Table 5D3 - International'!S16</f>
        <v>0</v>
      </c>
      <c r="AD15" s="362">
        <f>-'Table 5D4 - Avoyelles'!N16-'Table 5D4 - Avoyelles'!Q16</f>
        <v>0</v>
      </c>
      <c r="AE15" s="362">
        <f>-'Table 5D5 - Delhi'!N16-'Table 5D5 - Delhi'!Q16</f>
        <v>0</v>
      </c>
      <c r="AF15" s="362">
        <f>-'Table 5D6 - Milestone'!N16-'Table 5D6 - Milestone'!Q16</f>
        <v>0</v>
      </c>
      <c r="AG15" s="362">
        <f>-'Table 5D7 - Max'!N16-'Table 5D7 - Max'!Q16</f>
        <v>0</v>
      </c>
      <c r="AH15" s="362">
        <f>-'Table 5D8 - Belle Chasse'!P16-'Table 5D8 - Belle Chasse'!U16</f>
        <v>0</v>
      </c>
      <c r="AI15" s="362">
        <f>-'Table 5E_OJJ'!P16-'Table 5E_OJJ'!Q16</f>
        <v>-30158.42334411999</v>
      </c>
      <c r="AJ15" s="362">
        <f>-('Table 5F Scholarships '!T91)</f>
        <v>-52146.859082238356</v>
      </c>
      <c r="AK15" s="362">
        <f t="shared" si="27"/>
        <v>-7534645.7224263595</v>
      </c>
      <c r="AL15" s="751">
        <f t="shared" si="28"/>
        <v>139760834.27757367</v>
      </c>
      <c r="AO15" s="49"/>
      <c r="AR15"/>
      <c r="BA15"/>
    </row>
    <row r="16" spans="1:53">
      <c r="A16" s="99">
        <v>11</v>
      </c>
      <c r="B16" s="1143" t="s">
        <v>105</v>
      </c>
      <c r="C16" s="722">
        <f>'Table 2_State Distrib and Adjs'!AM17</f>
        <v>11606224</v>
      </c>
      <c r="D16" s="361">
        <f>-'Table 5A2 LSMSA'!M17</f>
        <v>-6543.52</v>
      </c>
      <c r="E16" s="361">
        <f>-'Table 5A3 NOCCA'!K17</f>
        <v>0</v>
      </c>
      <c r="F16" s="361">
        <f>-'Table 5A4_LSDVI'!K17</f>
        <v>0</v>
      </c>
      <c r="G16" s="361">
        <f>-'Table 5A5_SSD'!K17</f>
        <v>-3271.76</v>
      </c>
      <c r="H16" s="1144"/>
      <c r="I16" s="1144"/>
      <c r="J16" s="1144">
        <f>-'Table 5C1A-Madison Prep'!Q17-'Table 5C1A-Madison Prep'!T17</f>
        <v>0</v>
      </c>
      <c r="K16" s="1144">
        <f>-'Table 5C1B-DArbonne'!O17-'Table 5C1B-DArbonne'!R17</f>
        <v>0</v>
      </c>
      <c r="L16" s="1144">
        <f>-'Table 5C1C-Intl_VIBE'!O17-'Table 5C1C-Intl_VIBE'!R17</f>
        <v>0</v>
      </c>
      <c r="M16" s="1144">
        <f>-'Table 5C1D-NOMMA'!O17-'Table 5C1D-NOMMA'!R17</f>
        <v>0</v>
      </c>
      <c r="N16" s="1144">
        <f>-'Table 5C1E-LFNO'!Q17-'Table 5C1E-LFNO'!T17</f>
        <v>0</v>
      </c>
      <c r="O16" s="1144">
        <f>-'Table 5C1F-Lake Charles Charter'!O17-'Table 5C1F-Lake Charles Charter'!R17</f>
        <v>0</v>
      </c>
      <c r="P16" s="361">
        <f>-'Table 5C1G-JS Clark Academy'!O17-'Table 5C1G-JS Clark Academy'!R17</f>
        <v>0</v>
      </c>
      <c r="Q16" s="361">
        <f>-'Table 5C1H-Southwest LA Charter'!O17-'Table 5C1H-Southwest LA Charter'!R17</f>
        <v>0</v>
      </c>
      <c r="R16" s="361">
        <f>-'Table 5C1J-LA Key Academy'!O17+'Table 5C1J-LA Key Academy'!R17</f>
        <v>0</v>
      </c>
      <c r="S16" s="361">
        <f>-'Table 5C1K-Jefferson Chamber'!O17+'Table 5C1K-Jefferson Chamber'!R17</f>
        <v>0</v>
      </c>
      <c r="T16" s="361">
        <f>-'Table 5C1L-Tallulah Charter'!O17+'Table 5C1L-Tallulah Charter'!R17</f>
        <v>0</v>
      </c>
      <c r="U16" s="361">
        <f>-'Table 5C1M-Northshore Charter'!O17+'Table 5C1M-Northshore Charter'!R17</f>
        <v>0</v>
      </c>
      <c r="V16" s="361">
        <f>-'Table 5C1N-EBR Charter'!O17+'Table 5C1N-EBR Charter'!R17</f>
        <v>0</v>
      </c>
      <c r="W16" s="361">
        <f>-'Table 5C1O-Lake Charles HS'!O17+'Table 5C1O-Lake Charles HS'!R17</f>
        <v>0</v>
      </c>
      <c r="X16" s="361">
        <f>-'Table 5C1P-Delta Charter'!O17+'Table 5C1P-Delta Charter'!R17</f>
        <v>0</v>
      </c>
      <c r="Y16" s="361">
        <f>-'Table 5C2 - LA Virtual Admy'!P14-'Table 5C2 - LA Virtual Admy'!S14</f>
        <v>-23093.1</v>
      </c>
      <c r="Z16" s="361">
        <f>-'Table 5C3 - LA Connections EBR'!P14-'Table 5C3 - LA Connections EBR'!S14</f>
        <v>-6174</v>
      </c>
      <c r="AA16" s="361">
        <f>-'Table 5D1 - New Vision'!N17-'Table 5D1 - New Vision'!Q17</f>
        <v>0</v>
      </c>
      <c r="AB16" s="361">
        <f>-'Table 5D2 - Glencoe'!N17-'Table 5D2 - Glencoe'!Q17</f>
        <v>0</v>
      </c>
      <c r="AC16" s="361">
        <f>-'Table 5D3 - International'!P17-'Table 5D3 - International'!S17</f>
        <v>0</v>
      </c>
      <c r="AD16" s="361">
        <f>-'Table 5D4 - Avoyelles'!N17-'Table 5D4 - Avoyelles'!Q17</f>
        <v>0</v>
      </c>
      <c r="AE16" s="361">
        <f>-'Table 5D5 - Delhi'!N17-'Table 5D5 - Delhi'!Q17</f>
        <v>0</v>
      </c>
      <c r="AF16" s="361">
        <f>-'Table 5D6 - Milestone'!N17-'Table 5D6 - Milestone'!Q17</f>
        <v>0</v>
      </c>
      <c r="AG16" s="361">
        <f>-'Table 5D7 - Max'!N17-'Table 5D7 - Max'!Q17</f>
        <v>0</v>
      </c>
      <c r="AH16" s="361">
        <f>-'Table 5D8 - Belle Chasse'!P17-'Table 5D8 - Belle Chasse'!U17</f>
        <v>0</v>
      </c>
      <c r="AI16" s="361">
        <f>-'Table 5E_OJJ'!P17-'Table 5E_OJJ'!Q17</f>
        <v>0</v>
      </c>
      <c r="AJ16" s="361">
        <f>-('Table 5F Scholarships '!T99)</f>
        <v>-28350.436107515394</v>
      </c>
      <c r="AK16" s="361">
        <f t="shared" si="27"/>
        <v>-67432.816107515391</v>
      </c>
      <c r="AL16" s="750">
        <f t="shared" si="28"/>
        <v>11538791.183892485</v>
      </c>
      <c r="AO16" s="49"/>
      <c r="AR16"/>
      <c r="BA16"/>
    </row>
    <row r="17" spans="1:53">
      <c r="A17" s="99">
        <v>12</v>
      </c>
      <c r="B17" s="1143" t="s">
        <v>106</v>
      </c>
      <c r="C17" s="722">
        <f>'Table 2_State Distrib and Adjs'!AM18</f>
        <v>3374541</v>
      </c>
      <c r="D17" s="361">
        <f>-'Table 5A2 LSMSA'!M18</f>
        <v>0</v>
      </c>
      <c r="E17" s="361">
        <f>-'Table 5A3 NOCCA'!K18</f>
        <v>0</v>
      </c>
      <c r="F17" s="361">
        <f>-'Table 5A4_LSDVI'!K18</f>
        <v>-6440.56</v>
      </c>
      <c r="G17" s="361">
        <f>-'Table 5A5_SSD'!K18</f>
        <v>0</v>
      </c>
      <c r="H17" s="1144"/>
      <c r="I17" s="1144"/>
      <c r="J17" s="1144">
        <f>-'Table 5C1A-Madison Prep'!Q18-'Table 5C1A-Madison Prep'!T18</f>
        <v>0</v>
      </c>
      <c r="K17" s="1144">
        <f>-'Table 5C1B-DArbonne'!O18-'Table 5C1B-DArbonne'!R18</f>
        <v>0</v>
      </c>
      <c r="L17" s="1144">
        <f>-'Table 5C1C-Intl_VIBE'!O18-'Table 5C1C-Intl_VIBE'!R18</f>
        <v>0</v>
      </c>
      <c r="M17" s="1144">
        <f>-'Table 5C1D-NOMMA'!O18-'Table 5C1D-NOMMA'!R18</f>
        <v>0</v>
      </c>
      <c r="N17" s="1144">
        <f>-'Table 5C1E-LFNO'!Q18-'Table 5C1E-LFNO'!T18</f>
        <v>0</v>
      </c>
      <c r="O17" s="1144">
        <f>-'Table 5C1F-Lake Charles Charter'!O18-'Table 5C1F-Lake Charles Charter'!R18</f>
        <v>0</v>
      </c>
      <c r="P17" s="361">
        <f>-'Table 5C1G-JS Clark Academy'!O18-'Table 5C1G-JS Clark Academy'!R18</f>
        <v>0</v>
      </c>
      <c r="Q17" s="361">
        <f>-'Table 5C1H-Southwest LA Charter'!O18-'Table 5C1H-Southwest LA Charter'!R18</f>
        <v>0</v>
      </c>
      <c r="R17" s="361">
        <f>-'Table 5C1J-LA Key Academy'!O18+'Table 5C1J-LA Key Academy'!R18</f>
        <v>0</v>
      </c>
      <c r="S17" s="361">
        <f>-'Table 5C1K-Jefferson Chamber'!O18+'Table 5C1K-Jefferson Chamber'!R18</f>
        <v>0</v>
      </c>
      <c r="T17" s="361">
        <f>-'Table 5C1L-Tallulah Charter'!O18+'Table 5C1L-Tallulah Charter'!R18</f>
        <v>0</v>
      </c>
      <c r="U17" s="361">
        <f>-'Table 5C1M-Northshore Charter'!O18+'Table 5C1M-Northshore Charter'!R18</f>
        <v>0</v>
      </c>
      <c r="V17" s="361">
        <f>-'Table 5C1N-EBR Charter'!O18+'Table 5C1N-EBR Charter'!R18</f>
        <v>0</v>
      </c>
      <c r="W17" s="361">
        <f>-'Table 5C1O-Lake Charles HS'!O18+'Table 5C1O-Lake Charles HS'!R18</f>
        <v>0</v>
      </c>
      <c r="X17" s="361">
        <f>-'Table 5C1P-Delta Charter'!O18+'Table 5C1P-Delta Charter'!R18</f>
        <v>0</v>
      </c>
      <c r="Y17" s="361">
        <f>-'Table 5C2 - LA Virtual Admy'!P15-'Table 5C2 - LA Virtual Admy'!S15</f>
        <v>0</v>
      </c>
      <c r="Z17" s="361">
        <f>-'Table 5C3 - LA Connections EBR'!P15-'Table 5C3 - LA Connections EBR'!S15</f>
        <v>-36418.199999999997</v>
      </c>
      <c r="AA17" s="361">
        <f>-'Table 5D1 - New Vision'!N18-'Table 5D1 - New Vision'!Q18</f>
        <v>0</v>
      </c>
      <c r="AB17" s="361">
        <f>-'Table 5D2 - Glencoe'!N18-'Table 5D2 - Glencoe'!Q18</f>
        <v>0</v>
      </c>
      <c r="AC17" s="361">
        <f>-'Table 5D3 - International'!P18-'Table 5D3 - International'!S18</f>
        <v>0</v>
      </c>
      <c r="AD17" s="361">
        <f>-'Table 5D4 - Avoyelles'!N18-'Table 5D4 - Avoyelles'!Q18</f>
        <v>0</v>
      </c>
      <c r="AE17" s="361">
        <f>-'Table 5D5 - Delhi'!N18-'Table 5D5 - Delhi'!Q18</f>
        <v>0</v>
      </c>
      <c r="AF17" s="361">
        <f>-'Table 5D6 - Milestone'!N18-'Table 5D6 - Milestone'!Q18</f>
        <v>0</v>
      </c>
      <c r="AG17" s="361">
        <f>-'Table 5D7 - Max'!N18-'Table 5D7 - Max'!Q18</f>
        <v>0</v>
      </c>
      <c r="AH17" s="361">
        <f>-'Table 5D8 - Belle Chasse'!P18-'Table 5D8 - Belle Chasse'!U18</f>
        <v>0</v>
      </c>
      <c r="AI17" s="361">
        <f>-'Table 5E_OJJ'!P18-'Table 5E_OJJ'!Q18</f>
        <v>0</v>
      </c>
      <c r="AJ17" s="361">
        <v>0</v>
      </c>
      <c r="AK17" s="361">
        <f t="shared" si="27"/>
        <v>-42858.759999999995</v>
      </c>
      <c r="AL17" s="750">
        <f t="shared" si="28"/>
        <v>3331682.2399999998</v>
      </c>
      <c r="AO17" s="49"/>
      <c r="AR17"/>
      <c r="BA17"/>
    </row>
    <row r="18" spans="1:53">
      <c r="A18" s="99">
        <v>13</v>
      </c>
      <c r="B18" s="1143" t="s">
        <v>107</v>
      </c>
      <c r="C18" s="722">
        <f>'Table 2_State Distrib and Adjs'!AM19</f>
        <v>10426014</v>
      </c>
      <c r="D18" s="361">
        <f>-'Table 5A2 LSMSA'!M19</f>
        <v>0</v>
      </c>
      <c r="E18" s="361">
        <f>-'Table 5A3 NOCCA'!K19</f>
        <v>0</v>
      </c>
      <c r="F18" s="361">
        <f>-'Table 5A4_LSDVI'!K19</f>
        <v>0</v>
      </c>
      <c r="G18" s="361">
        <f>-'Table 5A5_SSD'!K19</f>
        <v>-5052.4399999999996</v>
      </c>
      <c r="H18" s="1144"/>
      <c r="I18" s="1144"/>
      <c r="J18" s="1144">
        <f>-'Table 5C1A-Madison Prep'!Q19-'Table 5C1A-Madison Prep'!T19</f>
        <v>0</v>
      </c>
      <c r="K18" s="1144">
        <f>-'Table 5C1B-DArbonne'!O19-'Table 5C1B-DArbonne'!R19</f>
        <v>0</v>
      </c>
      <c r="L18" s="1144">
        <f>-'Table 5C1C-Intl_VIBE'!O19-'Table 5C1C-Intl_VIBE'!R19</f>
        <v>0</v>
      </c>
      <c r="M18" s="1144">
        <f>-'Table 5C1D-NOMMA'!O19-'Table 5C1D-NOMMA'!R19</f>
        <v>0</v>
      </c>
      <c r="N18" s="1144">
        <f>-'Table 5C1E-LFNO'!Q19-'Table 5C1E-LFNO'!T19</f>
        <v>0</v>
      </c>
      <c r="O18" s="1144">
        <f>-'Table 5C1F-Lake Charles Charter'!O19-'Table 5C1F-Lake Charles Charter'!R19</f>
        <v>0</v>
      </c>
      <c r="P18" s="361">
        <f>-'Table 5C1G-JS Clark Academy'!O19-'Table 5C1G-JS Clark Academy'!R19</f>
        <v>0</v>
      </c>
      <c r="Q18" s="361">
        <f>-'Table 5C1H-Southwest LA Charter'!O19-'Table 5C1H-Southwest LA Charter'!R19</f>
        <v>0</v>
      </c>
      <c r="R18" s="361">
        <f>-'Table 5C1J-LA Key Academy'!O19+'Table 5C1J-LA Key Academy'!R19</f>
        <v>0</v>
      </c>
      <c r="S18" s="361">
        <f>-'Table 5C1K-Jefferson Chamber'!O19+'Table 5C1K-Jefferson Chamber'!R19</f>
        <v>0</v>
      </c>
      <c r="T18" s="361">
        <f>-'Table 5C1L-Tallulah Charter'!O19+'Table 5C1L-Tallulah Charter'!R19</f>
        <v>0</v>
      </c>
      <c r="U18" s="361">
        <f>-'Table 5C1M-Northshore Charter'!O19+'Table 5C1M-Northshore Charter'!R19</f>
        <v>0</v>
      </c>
      <c r="V18" s="361">
        <f>-'Table 5C1N-EBR Charter'!O19+'Table 5C1N-EBR Charter'!R19</f>
        <v>0</v>
      </c>
      <c r="W18" s="361">
        <f>-'Table 5C1O-Lake Charles HS'!O19+'Table 5C1O-Lake Charles HS'!R19</f>
        <v>0</v>
      </c>
      <c r="X18" s="361">
        <f>-'Table 5C1P-Delta Charter'!O19+'Table 5C1P-Delta Charter'!R19</f>
        <v>0</v>
      </c>
      <c r="Y18" s="361">
        <f>-'Table 5C2 - LA Virtual Admy'!P16-'Table 5C2 - LA Virtual Admy'!S16</f>
        <v>-10195.899999999998</v>
      </c>
      <c r="Z18" s="361">
        <f>-'Table 5C3 - LA Connections EBR'!P16-'Table 5C3 - LA Connections EBR'!S16</f>
        <v>-4311.2000000000007</v>
      </c>
      <c r="AA18" s="361">
        <f>-'Table 5D1 - New Vision'!N19-'Table 5D1 - New Vision'!Q19</f>
        <v>0</v>
      </c>
      <c r="AB18" s="361">
        <f>-'Table 5D2 - Glencoe'!N19-'Table 5D2 - Glencoe'!Q19</f>
        <v>0</v>
      </c>
      <c r="AC18" s="361">
        <f>-'Table 5D3 - International'!P19-'Table 5D3 - International'!S19</f>
        <v>0</v>
      </c>
      <c r="AD18" s="361">
        <f>-'Table 5D4 - Avoyelles'!N19-'Table 5D4 - Avoyelles'!Q19</f>
        <v>0</v>
      </c>
      <c r="AE18" s="361">
        <f>-'Table 5D5 - Delhi'!N19-'Table 5D5 - Delhi'!Q19</f>
        <v>0</v>
      </c>
      <c r="AF18" s="361">
        <f>-'Table 5D6 - Milestone'!N19-'Table 5D6 - Milestone'!Q19</f>
        <v>0</v>
      </c>
      <c r="AG18" s="361">
        <f>-'Table 5D7 - Max'!N19-'Table 5D7 - Max'!Q19</f>
        <v>0</v>
      </c>
      <c r="AH18" s="361">
        <f>-'Table 5D8 - Belle Chasse'!P19-'Table 5D8 - Belle Chasse'!U19</f>
        <v>0</v>
      </c>
      <c r="AI18" s="361">
        <f>-'Table 5E_OJJ'!P19-'Table 5E_OJJ'!Q19</f>
        <v>0</v>
      </c>
      <c r="AJ18" s="361">
        <v>0</v>
      </c>
      <c r="AK18" s="361">
        <f t="shared" si="27"/>
        <v>-19559.539999999997</v>
      </c>
      <c r="AL18" s="750">
        <f t="shared" si="28"/>
        <v>10406454.460000001</v>
      </c>
      <c r="AO18" s="49"/>
      <c r="AR18"/>
      <c r="BA18"/>
    </row>
    <row r="19" spans="1:53">
      <c r="A19" s="99">
        <v>14</v>
      </c>
      <c r="B19" s="1143" t="s">
        <v>108</v>
      </c>
      <c r="C19" s="722">
        <f>'Table 2_State Distrib and Adjs'!AM20</f>
        <v>11409895</v>
      </c>
      <c r="D19" s="361">
        <f>-'Table 5A2 LSMSA'!M20</f>
        <v>-4046.06</v>
      </c>
      <c r="E19" s="361">
        <f>-'Table 5A3 NOCCA'!K20</f>
        <v>0</v>
      </c>
      <c r="F19" s="361">
        <f>-'Table 5A4_LSDVI'!K20</f>
        <v>0</v>
      </c>
      <c r="G19" s="361">
        <f>-'Table 5A5_SSD'!K20</f>
        <v>0</v>
      </c>
      <c r="H19" s="1144"/>
      <c r="I19" s="1144"/>
      <c r="J19" s="1144">
        <f>-'Table 5C1A-Madison Prep'!Q20-'Table 5C1A-Madison Prep'!T20</f>
        <v>0</v>
      </c>
      <c r="K19" s="1144">
        <f>-'Table 5C1B-DArbonne'!O20-'Table 5C1B-DArbonne'!R20</f>
        <v>-7776</v>
      </c>
      <c r="L19" s="1144">
        <f>-'Table 5C1C-Intl_VIBE'!O20-'Table 5C1C-Intl_VIBE'!R20</f>
        <v>0</v>
      </c>
      <c r="M19" s="1144">
        <f>-'Table 5C1D-NOMMA'!O20-'Table 5C1D-NOMMA'!R20</f>
        <v>0</v>
      </c>
      <c r="N19" s="1144">
        <f>-'Table 5C1E-LFNO'!Q20-'Table 5C1E-LFNO'!T20</f>
        <v>0</v>
      </c>
      <c r="O19" s="1144">
        <f>-'Table 5C1F-Lake Charles Charter'!O20-'Table 5C1F-Lake Charles Charter'!R20</f>
        <v>0</v>
      </c>
      <c r="P19" s="361">
        <f>-'Table 5C1G-JS Clark Academy'!O20-'Table 5C1G-JS Clark Academy'!R20</f>
        <v>0</v>
      </c>
      <c r="Q19" s="361">
        <f>-'Table 5C1H-Southwest LA Charter'!O20-'Table 5C1H-Southwest LA Charter'!R20</f>
        <v>0</v>
      </c>
      <c r="R19" s="361">
        <f>-'Table 5C1J-LA Key Academy'!O20+'Table 5C1J-LA Key Academy'!R20</f>
        <v>0</v>
      </c>
      <c r="S19" s="361">
        <f>-'Table 5C1K-Jefferson Chamber'!O20+'Table 5C1K-Jefferson Chamber'!R20</f>
        <v>0</v>
      </c>
      <c r="T19" s="361">
        <f>-'Table 5C1L-Tallulah Charter'!O20+'Table 5C1L-Tallulah Charter'!R20</f>
        <v>0</v>
      </c>
      <c r="U19" s="361">
        <f>-'Table 5C1M-Northshore Charter'!O20+'Table 5C1M-Northshore Charter'!R20</f>
        <v>0</v>
      </c>
      <c r="V19" s="361">
        <f>-'Table 5C1N-EBR Charter'!O20+'Table 5C1N-EBR Charter'!R20</f>
        <v>0</v>
      </c>
      <c r="W19" s="361">
        <f>-'Table 5C1O-Lake Charles HS'!O20+'Table 5C1O-Lake Charles HS'!R20</f>
        <v>0</v>
      </c>
      <c r="X19" s="361">
        <f>-'Table 5C1P-Delta Charter'!O20+'Table 5C1P-Delta Charter'!R20</f>
        <v>0</v>
      </c>
      <c r="Y19" s="361">
        <f>-'Table 5C2 - LA Virtual Admy'!P17-'Table 5C2 - LA Virtual Admy'!S17</f>
        <v>-1990.8000000000002</v>
      </c>
      <c r="Z19" s="361">
        <f>-'Table 5C3 - LA Connections EBR'!P17-'Table 5C3 - LA Connections EBR'!S17</f>
        <v>-38491.200000000004</v>
      </c>
      <c r="AA19" s="361">
        <f>-'Table 5D1 - New Vision'!N20-'Table 5D1 - New Vision'!Q20</f>
        <v>0</v>
      </c>
      <c r="AB19" s="361">
        <f>-'Table 5D2 - Glencoe'!N20-'Table 5D2 - Glencoe'!Q20</f>
        <v>0</v>
      </c>
      <c r="AC19" s="361">
        <f>-'Table 5D3 - International'!P20-'Table 5D3 - International'!S20</f>
        <v>0</v>
      </c>
      <c r="AD19" s="361">
        <f>-'Table 5D4 - Avoyelles'!N20-'Table 5D4 - Avoyelles'!Q20</f>
        <v>0</v>
      </c>
      <c r="AE19" s="361">
        <f>-'Table 5D5 - Delhi'!N20-'Table 5D5 - Delhi'!Q20</f>
        <v>0</v>
      </c>
      <c r="AF19" s="361">
        <f>-'Table 5D6 - Milestone'!N20-'Table 5D6 - Milestone'!Q20</f>
        <v>0</v>
      </c>
      <c r="AG19" s="361">
        <f>-'Table 5D7 - Max'!N20-'Table 5D7 - Max'!Q20</f>
        <v>0</v>
      </c>
      <c r="AH19" s="361">
        <f>-'Table 5D8 - Belle Chasse'!P20-'Table 5D8 - Belle Chasse'!U20</f>
        <v>0</v>
      </c>
      <c r="AI19" s="361">
        <f>-'Table 5E_OJJ'!P20-'Table 5E_OJJ'!Q20</f>
        <v>0</v>
      </c>
      <c r="AJ19" s="361">
        <v>0</v>
      </c>
      <c r="AK19" s="361">
        <f t="shared" si="27"/>
        <v>-52304.060000000005</v>
      </c>
      <c r="AL19" s="750">
        <f t="shared" si="28"/>
        <v>11357590.939999999</v>
      </c>
      <c r="AO19" s="49"/>
      <c r="AR19"/>
      <c r="BA19"/>
    </row>
    <row r="20" spans="1:53">
      <c r="A20" s="100">
        <v>15</v>
      </c>
      <c r="B20" s="1145" t="s">
        <v>109</v>
      </c>
      <c r="C20" s="723">
        <f>'Table 2_State Distrib and Adjs'!AM21</f>
        <v>21933504</v>
      </c>
      <c r="D20" s="362">
        <f>-'Table 5A2 LSMSA'!M21</f>
        <v>-2811.01</v>
      </c>
      <c r="E20" s="362">
        <f>-'Table 5A3 NOCCA'!K21</f>
        <v>0</v>
      </c>
      <c r="F20" s="362">
        <f>-'Table 5A4_LSDVI'!K21</f>
        <v>0</v>
      </c>
      <c r="G20" s="362">
        <f>-'Table 5A5_SSD'!K21</f>
        <v>0</v>
      </c>
      <c r="H20" s="1146"/>
      <c r="I20" s="1146"/>
      <c r="J20" s="1146">
        <f>-'Table 5C1A-Madison Prep'!Q21-'Table 5C1A-Madison Prep'!T21</f>
        <v>0</v>
      </c>
      <c r="K20" s="1146">
        <f>-'Table 5C1B-DArbonne'!O21-'Table 5C1B-DArbonne'!R21</f>
        <v>0</v>
      </c>
      <c r="L20" s="1146">
        <f>-'Table 5C1C-Intl_VIBE'!O21-'Table 5C1C-Intl_VIBE'!R21</f>
        <v>0</v>
      </c>
      <c r="M20" s="1146">
        <f>-'Table 5C1D-NOMMA'!O21-'Table 5C1D-NOMMA'!R21</f>
        <v>0</v>
      </c>
      <c r="N20" s="1146">
        <f>-'Table 5C1E-LFNO'!Q21-'Table 5C1E-LFNO'!T21</f>
        <v>0</v>
      </c>
      <c r="O20" s="1146">
        <f>-'Table 5C1F-Lake Charles Charter'!O21-'Table 5C1F-Lake Charles Charter'!R21</f>
        <v>0</v>
      </c>
      <c r="P20" s="362">
        <f>-'Table 5C1G-JS Clark Academy'!O21-'Table 5C1G-JS Clark Academy'!R21</f>
        <v>0</v>
      </c>
      <c r="Q20" s="362">
        <f>-'Table 5C1H-Southwest LA Charter'!O21-'Table 5C1H-Southwest LA Charter'!R21</f>
        <v>0</v>
      </c>
      <c r="R20" s="362">
        <f>-'Table 5C1J-LA Key Academy'!O21+'Table 5C1J-LA Key Academy'!R21</f>
        <v>0</v>
      </c>
      <c r="S20" s="362">
        <f>-'Table 5C1K-Jefferson Chamber'!O21+'Table 5C1K-Jefferson Chamber'!R21</f>
        <v>0</v>
      </c>
      <c r="T20" s="362">
        <f>-'Table 5C1L-Tallulah Charter'!O21+'Table 5C1L-Tallulah Charter'!R21</f>
        <v>0</v>
      </c>
      <c r="U20" s="362">
        <f>-'Table 5C1M-Northshore Charter'!O21+'Table 5C1M-Northshore Charter'!R21</f>
        <v>0</v>
      </c>
      <c r="V20" s="362">
        <f>-'Table 5C1N-EBR Charter'!O21+'Table 5C1N-EBR Charter'!R21</f>
        <v>0</v>
      </c>
      <c r="W20" s="362">
        <f>-'Table 5C1O-Lake Charles HS'!O21+'Table 5C1O-Lake Charles HS'!R21</f>
        <v>0</v>
      </c>
      <c r="X20" s="362">
        <f>-'Table 5C1P-Delta Charter'!O21+'Table 5C1P-Delta Charter'!R21</f>
        <v>-632960</v>
      </c>
      <c r="Y20" s="362">
        <f>-'Table 5C2 - LA Virtual Admy'!P18-'Table 5C2 - LA Virtual Admy'!S18</f>
        <v>-7612.2000000000007</v>
      </c>
      <c r="Z20" s="362">
        <f>-'Table 5C3 - LA Connections EBR'!P18-'Table 5C3 - LA Connections EBR'!S18</f>
        <v>-10182.400000000001</v>
      </c>
      <c r="AA20" s="362">
        <f>-'Table 5D1 - New Vision'!N21-'Table 5D1 - New Vision'!Q21</f>
        <v>0</v>
      </c>
      <c r="AB20" s="362">
        <f>-'Table 5D2 - Glencoe'!N21-'Table 5D2 - Glencoe'!Q21</f>
        <v>0</v>
      </c>
      <c r="AC20" s="362">
        <f>-'Table 5D3 - International'!P21-'Table 5D3 - International'!S21</f>
        <v>0</v>
      </c>
      <c r="AD20" s="362">
        <f>-'Table 5D4 - Avoyelles'!N21-'Table 5D4 - Avoyelles'!Q21</f>
        <v>0</v>
      </c>
      <c r="AE20" s="362">
        <f>-'Table 5D5 - Delhi'!N21-'Table 5D5 - Delhi'!Q21</f>
        <v>0</v>
      </c>
      <c r="AF20" s="362">
        <f>-'Table 5D6 - Milestone'!N21-'Table 5D6 - Milestone'!Q21</f>
        <v>0</v>
      </c>
      <c r="AG20" s="362">
        <f>-'Table 5D7 - Max'!N21-'Table 5D7 - Max'!Q21</f>
        <v>0</v>
      </c>
      <c r="AH20" s="362">
        <f>-'Table 5D8 - Belle Chasse'!P21-'Table 5D8 - Belle Chasse'!U21</f>
        <v>0</v>
      </c>
      <c r="AI20" s="362">
        <f>-'Table 5E_OJJ'!P21-'Table 5E_OJJ'!Q21</f>
        <v>-6539.8269511735571</v>
      </c>
      <c r="AJ20" s="362">
        <v>0</v>
      </c>
      <c r="AK20" s="362">
        <f t="shared" si="27"/>
        <v>-660105.43695117359</v>
      </c>
      <c r="AL20" s="751">
        <f t="shared" si="28"/>
        <v>21273398.563048828</v>
      </c>
      <c r="AO20" s="49"/>
      <c r="AR20"/>
      <c r="BA20"/>
    </row>
    <row r="21" spans="1:53">
      <c r="A21" s="99">
        <v>16</v>
      </c>
      <c r="B21" s="1143" t="s">
        <v>110</v>
      </c>
      <c r="C21" s="722">
        <f>'Table 2_State Distrib and Adjs'!AM22</f>
        <v>10848210</v>
      </c>
      <c r="D21" s="361">
        <f>-'Table 5A2 LSMSA'!M22</f>
        <v>0</v>
      </c>
      <c r="E21" s="361">
        <f>-'Table 5A3 NOCCA'!K22</f>
        <v>0</v>
      </c>
      <c r="F21" s="361">
        <f>-'Table 5A4_LSDVI'!K22</f>
        <v>0</v>
      </c>
      <c r="G21" s="361">
        <f>-'Table 5A5_SSD'!K22</f>
        <v>-29885.200000000001</v>
      </c>
      <c r="H21" s="1144"/>
      <c r="I21" s="1144"/>
      <c r="J21" s="1144">
        <f>-'Table 5C1A-Madison Prep'!Q22-'Table 5C1A-Madison Prep'!T22</f>
        <v>0</v>
      </c>
      <c r="K21" s="1144">
        <f>-'Table 5C1B-DArbonne'!O22-'Table 5C1B-DArbonne'!R22</f>
        <v>0</v>
      </c>
      <c r="L21" s="1144">
        <f>-'Table 5C1C-Intl_VIBE'!O22-'Table 5C1C-Intl_VIBE'!R22</f>
        <v>0</v>
      </c>
      <c r="M21" s="1144">
        <f>-'Table 5C1D-NOMMA'!O22-'Table 5C1D-NOMMA'!R22</f>
        <v>0</v>
      </c>
      <c r="N21" s="1144">
        <f>-'Table 5C1E-LFNO'!Q22-'Table 5C1E-LFNO'!T22</f>
        <v>0</v>
      </c>
      <c r="O21" s="1144">
        <f>-'Table 5C1F-Lake Charles Charter'!O22-'Table 5C1F-Lake Charles Charter'!R22</f>
        <v>0</v>
      </c>
      <c r="P21" s="361">
        <f>-'Table 5C1G-JS Clark Academy'!O22-'Table 5C1G-JS Clark Academy'!R22</f>
        <v>0</v>
      </c>
      <c r="Q21" s="361">
        <f>-'Table 5C1H-Southwest LA Charter'!O22-'Table 5C1H-Southwest LA Charter'!R22</f>
        <v>0</v>
      </c>
      <c r="R21" s="361">
        <f>-'Table 5C1J-LA Key Academy'!O22+'Table 5C1J-LA Key Academy'!R22</f>
        <v>0</v>
      </c>
      <c r="S21" s="361">
        <f>-'Table 5C1K-Jefferson Chamber'!O22+'Table 5C1K-Jefferson Chamber'!R22</f>
        <v>0</v>
      </c>
      <c r="T21" s="361">
        <f>-'Table 5C1L-Tallulah Charter'!O22+'Table 5C1L-Tallulah Charter'!R22</f>
        <v>0</v>
      </c>
      <c r="U21" s="361">
        <f>-'Table 5C1M-Northshore Charter'!O22+'Table 5C1M-Northshore Charter'!R22</f>
        <v>0</v>
      </c>
      <c r="V21" s="361">
        <f>-'Table 5C1N-EBR Charter'!O22+'Table 5C1N-EBR Charter'!R22</f>
        <v>0</v>
      </c>
      <c r="W21" s="361">
        <f>-'Table 5C1O-Lake Charles HS'!O22+'Table 5C1O-Lake Charles HS'!R22</f>
        <v>0</v>
      </c>
      <c r="X21" s="361">
        <f>-'Table 5C1P-Delta Charter'!O22+'Table 5C1P-Delta Charter'!R22</f>
        <v>0</v>
      </c>
      <c r="Y21" s="361">
        <f>-'Table 5C2 - LA Virtual Admy'!P19-'Table 5C2 - LA Virtual Admy'!S19</f>
        <v>-149410.80000000002</v>
      </c>
      <c r="Z21" s="361">
        <f>-'Table 5C3 - LA Connections EBR'!P19-'Table 5C3 - LA Connections EBR'!S19</f>
        <v>-66404.800000000003</v>
      </c>
      <c r="AA21" s="361">
        <f>-'Table 5D1 - New Vision'!N22-'Table 5D1 - New Vision'!Q22</f>
        <v>0</v>
      </c>
      <c r="AB21" s="361">
        <f>-'Table 5D2 - Glencoe'!N22-'Table 5D2 - Glencoe'!Q22</f>
        <v>0</v>
      </c>
      <c r="AC21" s="361">
        <f>-'Table 5D3 - International'!P22-'Table 5D3 - International'!S22</f>
        <v>0</v>
      </c>
      <c r="AD21" s="361">
        <f>-'Table 5D4 - Avoyelles'!N22-'Table 5D4 - Avoyelles'!Q22</f>
        <v>0</v>
      </c>
      <c r="AE21" s="361">
        <f>-'Table 5D5 - Delhi'!N22-'Table 5D5 - Delhi'!Q22</f>
        <v>0</v>
      </c>
      <c r="AF21" s="361">
        <f>-'Table 5D6 - Milestone'!N22-'Table 5D6 - Milestone'!Q22</f>
        <v>0</v>
      </c>
      <c r="AG21" s="361">
        <f>-'Table 5D7 - Max'!N22-'Table 5D7 - Max'!Q22</f>
        <v>0</v>
      </c>
      <c r="AH21" s="361">
        <f>-'Table 5D8 - Belle Chasse'!P22-'Table 5D8 - Belle Chasse'!U22</f>
        <v>0</v>
      </c>
      <c r="AI21" s="361">
        <f>-'Table 5E_OJJ'!P22-'Table 5E_OJJ'!Q22</f>
        <v>-13397.863224793442</v>
      </c>
      <c r="AJ21" s="361">
        <v>0</v>
      </c>
      <c r="AK21" s="361">
        <f t="shared" si="27"/>
        <v>-259098.66322479348</v>
      </c>
      <c r="AL21" s="750">
        <f t="shared" si="28"/>
        <v>10589111.336775206</v>
      </c>
      <c r="AO21" s="49"/>
      <c r="AR21"/>
      <c r="BA21"/>
    </row>
    <row r="22" spans="1:53">
      <c r="A22" s="99">
        <v>17</v>
      </c>
      <c r="B22" s="1143" t="s">
        <v>111</v>
      </c>
      <c r="C22" s="722">
        <f>'Table 2_State Distrib and Adjs'!AM23</f>
        <v>166167270</v>
      </c>
      <c r="D22" s="361">
        <f>-'Table 5A2 LSMSA'!M23</f>
        <v>-123532.02</v>
      </c>
      <c r="E22" s="361">
        <f>-'Table 5A3 NOCCA'!K23</f>
        <v>0</v>
      </c>
      <c r="F22" s="361">
        <f>-'Table 5A4_LSDVI'!K23</f>
        <v>-242488.78</v>
      </c>
      <c r="G22" s="361">
        <f>-'Table 5A5_SSD'!K23</f>
        <v>-77779.42</v>
      </c>
      <c r="H22" s="1144">
        <f>-'Table 5B2_RSD_LA'!Q18-'Table 5B2_RSD_LA'!V18</f>
        <v>-12644900</v>
      </c>
      <c r="I22" s="1144"/>
      <c r="J22" s="1144">
        <f>-'Table 5C1A-Madison Prep'!Q23-'Table 5C1A-Madison Prep'!T23</f>
        <v>-1349506</v>
      </c>
      <c r="K22" s="1144">
        <f>-'Table 5C1B-DArbonne'!O23-'Table 5C1B-DArbonne'!R23</f>
        <v>0</v>
      </c>
      <c r="L22" s="1144">
        <f>-'Table 5C1C-Intl_VIBE'!O23-'Table 5C1C-Intl_VIBE'!R23</f>
        <v>0</v>
      </c>
      <c r="M22" s="1144">
        <f>-'Table 5C1D-NOMMA'!O23-'Table 5C1D-NOMMA'!R23</f>
        <v>0</v>
      </c>
      <c r="N22" s="1144">
        <f>-'Table 5C1E-LFNO'!Q23-'Table 5C1E-LFNO'!T23</f>
        <v>0</v>
      </c>
      <c r="O22" s="1144">
        <f>-'Table 5C1F-Lake Charles Charter'!O23-'Table 5C1F-Lake Charles Charter'!R23</f>
        <v>0</v>
      </c>
      <c r="P22" s="361">
        <f>-'Table 5C1G-JS Clark Academy'!O23-'Table 5C1G-JS Clark Academy'!R23</f>
        <v>0</v>
      </c>
      <c r="Q22" s="361">
        <f>-'Table 5C1H-Southwest LA Charter'!O23-'Table 5C1H-Southwest LA Charter'!R23</f>
        <v>0</v>
      </c>
      <c r="R22" s="361">
        <f>-'Table 5C1J-LA Key Academy'!O23+'Table 5C1J-LA Key Academy'!R23</f>
        <v>-2024259</v>
      </c>
      <c r="S22" s="361">
        <f>-'Table 5C1K-Jefferson Chamber'!O23+'Table 5C1K-Jefferson Chamber'!R23</f>
        <v>0</v>
      </c>
      <c r="T22" s="361">
        <f>-'Table 5C1L-Tallulah Charter'!O23+'Table 5C1L-Tallulah Charter'!R23</f>
        <v>0</v>
      </c>
      <c r="U22" s="361">
        <f>-'Table 5C1M-Northshore Charter'!O23+'Table 5C1M-Northshore Charter'!R23</f>
        <v>0</v>
      </c>
      <c r="V22" s="361">
        <f>-'Table 5C1N-EBR Charter'!O23+'Table 5C1N-EBR Charter'!R23</f>
        <v>-1781872</v>
      </c>
      <c r="W22" s="361">
        <f>-'Table 5C1O-Lake Charles HS'!O23+'Table 5C1O-Lake Charles HS'!R23</f>
        <v>0</v>
      </c>
      <c r="X22" s="361">
        <f>-'Table 5C1P-Delta Charter'!O23+'Table 5C1P-Delta Charter'!R23</f>
        <v>0</v>
      </c>
      <c r="Y22" s="361">
        <f>-'Table 5C2 - LA Virtual Admy'!P20-'Table 5C2 - LA Virtual Admy'!S20</f>
        <v>-439594.00000000006</v>
      </c>
      <c r="Z22" s="361">
        <f>-'Table 5C3 - LA Connections EBR'!P20-'Table 5C3 - LA Connections EBR'!S20</f>
        <v>-415333.4</v>
      </c>
      <c r="AA22" s="361">
        <f>-'Table 5D1 - New Vision'!N23-'Table 5D1 - New Vision'!Q23</f>
        <v>0</v>
      </c>
      <c r="AB22" s="361">
        <f>-'Table 5D2 - Glencoe'!N23-'Table 5D2 - Glencoe'!Q23</f>
        <v>0</v>
      </c>
      <c r="AC22" s="361">
        <f>-'Table 5D3 - International'!P23-'Table 5D3 - International'!S23</f>
        <v>0</v>
      </c>
      <c r="AD22" s="361">
        <f>-'Table 5D4 - Avoyelles'!N23-'Table 5D4 - Avoyelles'!Q23</f>
        <v>0</v>
      </c>
      <c r="AE22" s="361">
        <f>-'Table 5D5 - Delhi'!N23-'Table 5D5 - Delhi'!Q23</f>
        <v>0</v>
      </c>
      <c r="AF22" s="361">
        <f>-'Table 5D6 - Milestone'!N23-'Table 5D6 - Milestone'!Q23</f>
        <v>0</v>
      </c>
      <c r="AG22" s="361">
        <f>-'Table 5D7 - Max'!N23-'Table 5D7 - Max'!Q23</f>
        <v>0</v>
      </c>
      <c r="AH22" s="361">
        <f>-'Table 5D8 - Belle Chasse'!P23-'Table 5D8 - Belle Chasse'!U23</f>
        <v>0</v>
      </c>
      <c r="AI22" s="361">
        <f>-'Table 5E_OJJ'!P23-'Table 5E_OJJ'!Q23</f>
        <v>-179897.72342732482</v>
      </c>
      <c r="AJ22" s="361">
        <f>-('Table 5F Scholarships '!T197)</f>
        <v>-1804088.053645608</v>
      </c>
      <c r="AK22" s="361">
        <f t="shared" si="27"/>
        <v>-21083250.39707293</v>
      </c>
      <c r="AL22" s="750">
        <f t="shared" si="28"/>
        <v>145084019.60292706</v>
      </c>
      <c r="AO22" s="49"/>
      <c r="AR22"/>
      <c r="BA22"/>
    </row>
    <row r="23" spans="1:53">
      <c r="A23" s="99">
        <v>18</v>
      </c>
      <c r="B23" s="1143" t="s">
        <v>112</v>
      </c>
      <c r="C23" s="722">
        <f>'Table 2_State Distrib and Adjs'!AM24</f>
        <v>7617857</v>
      </c>
      <c r="D23" s="361">
        <f>-'Table 5A2 LSMSA'!M24</f>
        <v>0</v>
      </c>
      <c r="E23" s="361">
        <f>-'Table 5A3 NOCCA'!K24</f>
        <v>0</v>
      </c>
      <c r="F23" s="361">
        <f>-'Table 5A4_LSDVI'!K24</f>
        <v>0</v>
      </c>
      <c r="G23" s="361">
        <f>-'Table 5A5_SSD'!K24</f>
        <v>-2269.83</v>
      </c>
      <c r="H23" s="1144"/>
      <c r="I23" s="1144"/>
      <c r="J23" s="1144">
        <f>-'Table 5C1A-Madison Prep'!Q24-'Table 5C1A-Madison Prep'!T24</f>
        <v>0</v>
      </c>
      <c r="K23" s="1144">
        <f>-'Table 5C1B-DArbonne'!O24-'Table 5C1B-DArbonne'!R24</f>
        <v>0</v>
      </c>
      <c r="L23" s="1144">
        <f>-'Table 5C1C-Intl_VIBE'!O24-'Table 5C1C-Intl_VIBE'!R24</f>
        <v>0</v>
      </c>
      <c r="M23" s="1144">
        <f>-'Table 5C1D-NOMMA'!O24-'Table 5C1D-NOMMA'!R24</f>
        <v>0</v>
      </c>
      <c r="N23" s="1144">
        <f>-'Table 5C1E-LFNO'!Q24-'Table 5C1E-LFNO'!T24</f>
        <v>0</v>
      </c>
      <c r="O23" s="1144">
        <f>-'Table 5C1F-Lake Charles Charter'!O24-'Table 5C1F-Lake Charles Charter'!R24</f>
        <v>0</v>
      </c>
      <c r="P23" s="361">
        <f>-'Table 5C1G-JS Clark Academy'!O24-'Table 5C1G-JS Clark Academy'!R24</f>
        <v>0</v>
      </c>
      <c r="Q23" s="361">
        <f>-'Table 5C1H-Southwest LA Charter'!O24-'Table 5C1H-Southwest LA Charter'!R24</f>
        <v>0</v>
      </c>
      <c r="R23" s="361">
        <f>-'Table 5C1J-LA Key Academy'!O24+'Table 5C1J-LA Key Academy'!R24</f>
        <v>0</v>
      </c>
      <c r="S23" s="361">
        <f>-'Table 5C1K-Jefferson Chamber'!O24+'Table 5C1K-Jefferson Chamber'!R24</f>
        <v>0</v>
      </c>
      <c r="T23" s="361">
        <f>-'Table 5C1L-Tallulah Charter'!O24+'Table 5C1L-Tallulah Charter'!R24</f>
        <v>-17320</v>
      </c>
      <c r="U23" s="361">
        <f>-'Table 5C1M-Northshore Charter'!O24+'Table 5C1M-Northshore Charter'!R24</f>
        <v>0</v>
      </c>
      <c r="V23" s="361">
        <f>-'Table 5C1N-EBR Charter'!O24+'Table 5C1N-EBR Charter'!R24</f>
        <v>0</v>
      </c>
      <c r="W23" s="361">
        <f>-'Table 5C1O-Lake Charles HS'!O24+'Table 5C1O-Lake Charles HS'!R24</f>
        <v>0</v>
      </c>
      <c r="X23" s="361">
        <f>-'Table 5C1P-Delta Charter'!O24+'Table 5C1P-Delta Charter'!R24</f>
        <v>0</v>
      </c>
      <c r="Y23" s="361">
        <f>-'Table 5C2 - LA Virtual Admy'!P21-'Table 5C2 - LA Virtual Admy'!S21</f>
        <v>-1948.5</v>
      </c>
      <c r="Z23" s="361">
        <f>-'Table 5C3 - LA Connections EBR'!P21-'Table 5C3 - LA Connections EBR'!S21</f>
        <v>0</v>
      </c>
      <c r="AA23" s="361">
        <f>-'Table 5D1 - New Vision'!N24-'Table 5D1 - New Vision'!Q24</f>
        <v>0</v>
      </c>
      <c r="AB23" s="361">
        <f>-'Table 5D2 - Glencoe'!N24-'Table 5D2 - Glencoe'!Q24</f>
        <v>0</v>
      </c>
      <c r="AC23" s="361">
        <f>-'Table 5D3 - International'!P24-'Table 5D3 - International'!S24</f>
        <v>0</v>
      </c>
      <c r="AD23" s="361">
        <f>-'Table 5D4 - Avoyelles'!N24-'Table 5D4 - Avoyelles'!Q24</f>
        <v>0</v>
      </c>
      <c r="AE23" s="361">
        <f>-'Table 5D5 - Delhi'!N24-'Table 5D5 - Delhi'!Q24</f>
        <v>-15155</v>
      </c>
      <c r="AF23" s="361">
        <f>-'Table 5D6 - Milestone'!N24-'Table 5D6 - Milestone'!Q24</f>
        <v>0</v>
      </c>
      <c r="AG23" s="361">
        <f>-'Table 5D7 - Max'!N24-'Table 5D7 - Max'!Q24</f>
        <v>0</v>
      </c>
      <c r="AH23" s="361">
        <f>-'Table 5D8 - Belle Chasse'!P24-'Table 5D8 - Belle Chasse'!U24</f>
        <v>0</v>
      </c>
      <c r="AI23" s="361">
        <f>-'Table 5E_OJJ'!P24-'Table 5E_OJJ'!Q24</f>
        <v>-3692.3814917681498</v>
      </c>
      <c r="AJ23" s="361">
        <v>0</v>
      </c>
      <c r="AK23" s="361">
        <f t="shared" si="27"/>
        <v>-40385.711491768154</v>
      </c>
      <c r="AL23" s="750">
        <f t="shared" si="28"/>
        <v>7577471.2885082318</v>
      </c>
      <c r="AO23" s="49"/>
      <c r="AR23"/>
      <c r="BA23"/>
    </row>
    <row r="24" spans="1:53">
      <c r="A24" s="99">
        <v>19</v>
      </c>
      <c r="B24" s="301" t="s">
        <v>113</v>
      </c>
      <c r="C24" s="310">
        <f>'Table 2_State Distrib and Adjs'!AM25</f>
        <v>11770414</v>
      </c>
      <c r="D24" s="361">
        <f>-'Table 5A2 LSMSA'!M25</f>
        <v>0</v>
      </c>
      <c r="E24" s="361">
        <f>-'Table 5A3 NOCCA'!K25</f>
        <v>0</v>
      </c>
      <c r="F24" s="361">
        <f>-'Table 5A4_LSDVI'!K25</f>
        <v>-11025.28</v>
      </c>
      <c r="G24" s="361">
        <f>-'Table 5A5_SSD'!K25</f>
        <v>0</v>
      </c>
      <c r="H24" s="361"/>
      <c r="I24" s="361"/>
      <c r="J24" s="361">
        <f>-'Table 5C1A-Madison Prep'!Q25-'Table 5C1A-Madison Prep'!T25</f>
        <v>0</v>
      </c>
      <c r="K24" s="361">
        <f>-'Table 5C1B-DArbonne'!O25-'Table 5C1B-DArbonne'!R25</f>
        <v>0</v>
      </c>
      <c r="L24" s="361">
        <f>-'Table 5C1C-Intl_VIBE'!O25-'Table 5C1C-Intl_VIBE'!R25</f>
        <v>0</v>
      </c>
      <c r="M24" s="361">
        <f>-'Table 5C1D-NOMMA'!O25-'Table 5C1D-NOMMA'!R25</f>
        <v>0</v>
      </c>
      <c r="N24" s="361">
        <f>-'Table 5C1E-LFNO'!Q25-'Table 5C1E-LFNO'!T25</f>
        <v>0</v>
      </c>
      <c r="O24" s="361">
        <f>-'Table 5C1F-Lake Charles Charter'!O25-'Table 5C1F-Lake Charles Charter'!R25</f>
        <v>0</v>
      </c>
      <c r="P24" s="361">
        <f>-'Table 5C1G-JS Clark Academy'!O25-'Table 5C1G-JS Clark Academy'!R25</f>
        <v>0</v>
      </c>
      <c r="Q24" s="361">
        <f>-'Table 5C1H-Southwest LA Charter'!O25-'Table 5C1H-Southwest LA Charter'!R25</f>
        <v>0</v>
      </c>
      <c r="R24" s="361">
        <f>-'Table 5C1J-LA Key Academy'!O25+'Table 5C1J-LA Key Academy'!R25</f>
        <v>0</v>
      </c>
      <c r="S24" s="361">
        <f>-'Table 5C1K-Jefferson Chamber'!O25+'Table 5C1K-Jefferson Chamber'!R25</f>
        <v>0</v>
      </c>
      <c r="T24" s="361">
        <f>-'Table 5C1L-Tallulah Charter'!O25+'Table 5C1L-Tallulah Charter'!R25</f>
        <v>0</v>
      </c>
      <c r="U24" s="361">
        <f>-'Table 5C1M-Northshore Charter'!O25+'Table 5C1M-Northshore Charter'!R25</f>
        <v>0</v>
      </c>
      <c r="V24" s="361">
        <f>-'Table 5C1N-EBR Charter'!O25+'Table 5C1N-EBR Charter'!R25</f>
        <v>0</v>
      </c>
      <c r="W24" s="361">
        <f>-'Table 5C1O-Lake Charles HS'!O25+'Table 5C1O-Lake Charles HS'!R25</f>
        <v>0</v>
      </c>
      <c r="X24" s="361">
        <f>-'Table 5C1P-Delta Charter'!O25+'Table 5C1P-Delta Charter'!R25</f>
        <v>0</v>
      </c>
      <c r="Y24" s="361">
        <f>-'Table 5C2 - LA Virtual Admy'!P22-'Table 5C2 - LA Virtual Admy'!S22</f>
        <v>-13291.65</v>
      </c>
      <c r="Z24" s="361">
        <f>-'Table 5C3 - LA Connections EBR'!P22-'Table 5C3 - LA Connections EBR'!S22</f>
        <v>-14736.599999999999</v>
      </c>
      <c r="AA24" s="361">
        <f>-'Table 5D1 - New Vision'!N25-'Table 5D1 - New Vision'!Q25</f>
        <v>0</v>
      </c>
      <c r="AB24" s="361">
        <f>-'Table 5D2 - Glencoe'!N25-'Table 5D2 - Glencoe'!Q25</f>
        <v>0</v>
      </c>
      <c r="AC24" s="361">
        <f>-'Table 5D3 - International'!P25-'Table 5D3 - International'!S25</f>
        <v>0</v>
      </c>
      <c r="AD24" s="361">
        <f>-'Table 5D4 - Avoyelles'!N25-'Table 5D4 - Avoyelles'!Q25</f>
        <v>0</v>
      </c>
      <c r="AE24" s="361">
        <f>-'Table 5D5 - Delhi'!N25-'Table 5D5 - Delhi'!Q25</f>
        <v>0</v>
      </c>
      <c r="AF24" s="361">
        <f>-'Table 5D6 - Milestone'!N25-'Table 5D6 - Milestone'!Q25</f>
        <v>0</v>
      </c>
      <c r="AG24" s="361">
        <f>-'Table 5D7 - Max'!N25-'Table 5D7 - Max'!Q25</f>
        <v>0</v>
      </c>
      <c r="AH24" s="361">
        <f>-'Table 5D8 - Belle Chasse'!P25-'Table 5D8 - Belle Chasse'!U25</f>
        <v>0</v>
      </c>
      <c r="AI24" s="361">
        <f>-'Table 5E_OJJ'!P25-'Table 5E_OJJ'!Q25</f>
        <v>-873.80908992764273</v>
      </c>
      <c r="AJ24" s="361">
        <f>-('Table 5F Scholarships '!T200)</f>
        <v>-5466.7151302247621</v>
      </c>
      <c r="AK24" s="361">
        <f t="shared" si="27"/>
        <v>-45394.054220152408</v>
      </c>
      <c r="AL24" s="750">
        <f t="shared" si="28"/>
        <v>11725019.945779849</v>
      </c>
      <c r="AO24" s="49"/>
      <c r="AR24"/>
      <c r="BA24"/>
    </row>
    <row r="25" spans="1:53">
      <c r="A25" s="100">
        <v>20</v>
      </c>
      <c r="B25" s="302" t="s">
        <v>114</v>
      </c>
      <c r="C25" s="319">
        <f>'Table 2_State Distrib and Adjs'!AM26</f>
        <v>35154896</v>
      </c>
      <c r="D25" s="362">
        <f>-'Table 5A2 LSMSA'!M26</f>
        <v>-4878.16</v>
      </c>
      <c r="E25" s="362">
        <f>-'Table 5A3 NOCCA'!K26</f>
        <v>0</v>
      </c>
      <c r="F25" s="362">
        <f>-'Table 5A4_LSDVI'!K26</f>
        <v>-9756.32</v>
      </c>
      <c r="G25" s="362">
        <f>-'Table 5A5_SSD'!K26</f>
        <v>-7317.24</v>
      </c>
      <c r="H25" s="362"/>
      <c r="I25" s="362"/>
      <c r="J25" s="362">
        <f>-'Table 5C1A-Madison Prep'!Q26-'Table 5C1A-Madison Prep'!T26</f>
        <v>0</v>
      </c>
      <c r="K25" s="362">
        <f>-'Table 5C1B-DArbonne'!O26-'Table 5C1B-DArbonne'!R26</f>
        <v>0</v>
      </c>
      <c r="L25" s="362">
        <f>-'Table 5C1C-Intl_VIBE'!O26-'Table 5C1C-Intl_VIBE'!R26</f>
        <v>0</v>
      </c>
      <c r="M25" s="362">
        <f>-'Table 5C1D-NOMMA'!O26-'Table 5C1D-NOMMA'!R26</f>
        <v>0</v>
      </c>
      <c r="N25" s="362">
        <f>-'Table 5C1E-LFNO'!Q26-'Table 5C1E-LFNO'!T26</f>
        <v>0</v>
      </c>
      <c r="O25" s="362">
        <f>-'Table 5C1F-Lake Charles Charter'!O26-'Table 5C1F-Lake Charles Charter'!R26</f>
        <v>0</v>
      </c>
      <c r="P25" s="362">
        <f>-'Table 5C1G-JS Clark Academy'!O26-'Table 5C1G-JS Clark Academy'!R26</f>
        <v>0</v>
      </c>
      <c r="Q25" s="362">
        <f>-'Table 5C1H-Southwest LA Charter'!O26-'Table 5C1H-Southwest LA Charter'!R26</f>
        <v>0</v>
      </c>
      <c r="R25" s="362">
        <f>-'Table 5C1J-LA Key Academy'!O26+'Table 5C1J-LA Key Academy'!R26</f>
        <v>0</v>
      </c>
      <c r="S25" s="362">
        <f>-'Table 5C1K-Jefferson Chamber'!O26+'Table 5C1K-Jefferson Chamber'!R26</f>
        <v>0</v>
      </c>
      <c r="T25" s="362">
        <f>-'Table 5C1L-Tallulah Charter'!O26+'Table 5C1L-Tallulah Charter'!R26</f>
        <v>0</v>
      </c>
      <c r="U25" s="362">
        <f>-'Table 5C1M-Northshore Charter'!O26+'Table 5C1M-Northshore Charter'!R26</f>
        <v>0</v>
      </c>
      <c r="V25" s="362">
        <f>-'Table 5C1N-EBR Charter'!O26+'Table 5C1N-EBR Charter'!R26</f>
        <v>0</v>
      </c>
      <c r="W25" s="362">
        <f>-'Table 5C1O-Lake Charles HS'!O26+'Table 5C1O-Lake Charles HS'!R26</f>
        <v>0</v>
      </c>
      <c r="X25" s="362">
        <f>-'Table 5C1P-Delta Charter'!O26+'Table 5C1P-Delta Charter'!R26</f>
        <v>0</v>
      </c>
      <c r="Y25" s="362">
        <f>-'Table 5C2 - LA Virtual Admy'!P23-'Table 5C2 - LA Virtual Admy'!S23</f>
        <v>-13574.699999999999</v>
      </c>
      <c r="Z25" s="362">
        <f>-'Table 5C3 - LA Connections EBR'!P23-'Table 5C3 - LA Connections EBR'!S23</f>
        <v>-8402.4</v>
      </c>
      <c r="AA25" s="362">
        <f>-'Table 5D1 - New Vision'!N26-'Table 5D1 - New Vision'!Q26</f>
        <v>0</v>
      </c>
      <c r="AB25" s="362">
        <f>-'Table 5D2 - Glencoe'!N26-'Table 5D2 - Glencoe'!Q26</f>
        <v>0</v>
      </c>
      <c r="AC25" s="362">
        <f>-'Table 5D3 - International'!P26-'Table 5D3 - International'!S26</f>
        <v>0</v>
      </c>
      <c r="AD25" s="362">
        <f>-'Table 5D4 - Avoyelles'!N26-'Table 5D4 - Avoyelles'!Q26</f>
        <v>0</v>
      </c>
      <c r="AE25" s="362">
        <f>-'Table 5D5 - Delhi'!N26-'Table 5D5 - Delhi'!Q26</f>
        <v>0</v>
      </c>
      <c r="AF25" s="362">
        <f>-'Table 5D6 - Milestone'!N26-'Table 5D6 - Milestone'!Q26</f>
        <v>0</v>
      </c>
      <c r="AG25" s="362">
        <f>-'Table 5D7 - Max'!N26-'Table 5D7 - Max'!Q26</f>
        <v>0</v>
      </c>
      <c r="AH25" s="362">
        <f>-'Table 5D8 - Belle Chasse'!P26-'Table 5D8 - Belle Chasse'!U26</f>
        <v>0</v>
      </c>
      <c r="AI25" s="362">
        <f>-'Table 5E_OJJ'!P26-'Table 5E_OJJ'!Q26</f>
        <v>-11422.10276740518</v>
      </c>
      <c r="AJ25" s="362">
        <v>0</v>
      </c>
      <c r="AK25" s="362">
        <f t="shared" si="27"/>
        <v>-55350.92276740518</v>
      </c>
      <c r="AL25" s="751">
        <f t="shared" si="28"/>
        <v>35099545.077232592</v>
      </c>
      <c r="AO25" s="49"/>
      <c r="AR25"/>
      <c r="BA25"/>
    </row>
    <row r="26" spans="1:53">
      <c r="A26" s="99">
        <v>21</v>
      </c>
      <c r="B26" s="301" t="s">
        <v>115</v>
      </c>
      <c r="C26" s="310">
        <f>'Table 2_State Distrib and Adjs'!AM27</f>
        <v>18509912</v>
      </c>
      <c r="D26" s="361">
        <f>-'Table 5A2 LSMSA'!M27</f>
        <v>0</v>
      </c>
      <c r="E26" s="361">
        <f>-'Table 5A3 NOCCA'!K27</f>
        <v>0</v>
      </c>
      <c r="F26" s="361">
        <f>-'Table 5A4_LSDVI'!K27</f>
        <v>0</v>
      </c>
      <c r="G26" s="361">
        <f>-'Table 5A5_SSD'!K27</f>
        <v>-2194.34</v>
      </c>
      <c r="H26" s="361"/>
      <c r="I26" s="361"/>
      <c r="J26" s="361">
        <f>-'Table 5C1A-Madison Prep'!Q27-'Table 5C1A-Madison Prep'!T27</f>
        <v>0</v>
      </c>
      <c r="K26" s="361">
        <f>-'Table 5C1B-DArbonne'!O27-'Table 5C1B-DArbonne'!R27</f>
        <v>0</v>
      </c>
      <c r="L26" s="361">
        <f>-'Table 5C1C-Intl_VIBE'!O27-'Table 5C1C-Intl_VIBE'!R27</f>
        <v>0</v>
      </c>
      <c r="M26" s="361">
        <f>-'Table 5C1D-NOMMA'!O27-'Table 5C1D-NOMMA'!R27</f>
        <v>0</v>
      </c>
      <c r="N26" s="361">
        <f>-'Table 5C1E-LFNO'!Q27-'Table 5C1E-LFNO'!T27</f>
        <v>0</v>
      </c>
      <c r="O26" s="361">
        <f>-'Table 5C1F-Lake Charles Charter'!O27-'Table 5C1F-Lake Charles Charter'!R27</f>
        <v>0</v>
      </c>
      <c r="P26" s="361">
        <f>-'Table 5C1G-JS Clark Academy'!O27-'Table 5C1G-JS Clark Academy'!R27</f>
        <v>0</v>
      </c>
      <c r="Q26" s="361">
        <f>-'Table 5C1H-Southwest LA Charter'!O27-'Table 5C1H-Southwest LA Charter'!R27</f>
        <v>0</v>
      </c>
      <c r="R26" s="361">
        <f>-'Table 5C1J-LA Key Academy'!O27+'Table 5C1J-LA Key Academy'!R27</f>
        <v>0</v>
      </c>
      <c r="S26" s="361">
        <f>-'Table 5C1K-Jefferson Chamber'!O27+'Table 5C1K-Jefferson Chamber'!R27</f>
        <v>0</v>
      </c>
      <c r="T26" s="361">
        <f>-'Table 5C1L-Tallulah Charter'!O27+'Table 5C1L-Tallulah Charter'!R27</f>
        <v>0</v>
      </c>
      <c r="U26" s="361">
        <f>-'Table 5C1M-Northshore Charter'!O27+'Table 5C1M-Northshore Charter'!R27</f>
        <v>0</v>
      </c>
      <c r="V26" s="361">
        <f>-'Table 5C1N-EBR Charter'!O27+'Table 5C1N-EBR Charter'!R27</f>
        <v>0</v>
      </c>
      <c r="W26" s="361">
        <f>-'Table 5C1O-Lake Charles HS'!O27+'Table 5C1O-Lake Charles HS'!R27</f>
        <v>0</v>
      </c>
      <c r="X26" s="361">
        <f>-'Table 5C1P-Delta Charter'!O27+'Table 5C1P-Delta Charter'!R27</f>
        <v>0</v>
      </c>
      <c r="Y26" s="361">
        <f>-'Table 5C2 - LA Virtual Admy'!P24-'Table 5C2 - LA Virtual Admy'!S24</f>
        <v>-8818.2000000000007</v>
      </c>
      <c r="Z26" s="361">
        <f>-'Table 5C3 - LA Connections EBR'!P24-'Table 5C3 - LA Connections EBR'!S24</f>
        <v>-20097</v>
      </c>
      <c r="AA26" s="361">
        <f>-'Table 5D1 - New Vision'!N27-'Table 5D1 - New Vision'!Q27</f>
        <v>0</v>
      </c>
      <c r="AB26" s="361">
        <f>-'Table 5D2 - Glencoe'!N27-'Table 5D2 - Glencoe'!Q27</f>
        <v>0</v>
      </c>
      <c r="AC26" s="361">
        <f>-'Table 5D3 - International'!P27-'Table 5D3 - International'!S27</f>
        <v>0</v>
      </c>
      <c r="AD26" s="361">
        <f>-'Table 5D4 - Avoyelles'!N27-'Table 5D4 - Avoyelles'!Q27</f>
        <v>0</v>
      </c>
      <c r="AE26" s="361">
        <f>-'Table 5D5 - Delhi'!N27-'Table 5D5 - Delhi'!Q27</f>
        <v>-154077</v>
      </c>
      <c r="AF26" s="361">
        <f>-'Table 5D6 - Milestone'!N27-'Table 5D6 - Milestone'!Q27</f>
        <v>0</v>
      </c>
      <c r="AG26" s="361">
        <f>-'Table 5D7 - Max'!N27-'Table 5D7 - Max'!Q27</f>
        <v>0</v>
      </c>
      <c r="AH26" s="361">
        <f>-'Table 5D8 - Belle Chasse'!P27-'Table 5D8 - Belle Chasse'!U27</f>
        <v>0</v>
      </c>
      <c r="AI26" s="361">
        <f>-'Table 5E_OJJ'!P27-'Table 5E_OJJ'!Q27</f>
        <v>-8825.2116636348692</v>
      </c>
      <c r="AJ26" s="361">
        <f>-('Table 5F Scholarships '!T209)</f>
        <v>-47599.5130195737</v>
      </c>
      <c r="AK26" s="361">
        <f t="shared" si="27"/>
        <v>-241611.26468320857</v>
      </c>
      <c r="AL26" s="750">
        <f t="shared" si="28"/>
        <v>18268300.735316794</v>
      </c>
      <c r="AO26" s="49"/>
      <c r="AR26"/>
      <c r="BA26"/>
    </row>
    <row r="27" spans="1:53">
      <c r="A27" s="99">
        <v>22</v>
      </c>
      <c r="B27" s="301" t="s">
        <v>116</v>
      </c>
      <c r="C27" s="310">
        <f>'Table 2_State Distrib and Adjs'!AM28</f>
        <v>21419907</v>
      </c>
      <c r="D27" s="361">
        <f>-'Table 5A2 LSMSA'!M28</f>
        <v>0</v>
      </c>
      <c r="E27" s="361">
        <f>-'Table 5A3 NOCCA'!K28</f>
        <v>0</v>
      </c>
      <c r="F27" s="361">
        <f>-'Table 5A4_LSDVI'!K28</f>
        <v>-1611.91</v>
      </c>
      <c r="G27" s="361">
        <f>-'Table 5A5_SSD'!K28</f>
        <v>-3223.82</v>
      </c>
      <c r="H27" s="361"/>
      <c r="I27" s="361"/>
      <c r="J27" s="361">
        <f>-'Table 5C1A-Madison Prep'!Q28-'Table 5C1A-Madison Prep'!T28</f>
        <v>0</v>
      </c>
      <c r="K27" s="361">
        <f>-'Table 5C1B-DArbonne'!O28-'Table 5C1B-DArbonne'!R28</f>
        <v>0</v>
      </c>
      <c r="L27" s="361">
        <f>-'Table 5C1C-Intl_VIBE'!O28-'Table 5C1C-Intl_VIBE'!R28</f>
        <v>0</v>
      </c>
      <c r="M27" s="361">
        <f>-'Table 5C1D-NOMMA'!O28-'Table 5C1D-NOMMA'!R28</f>
        <v>0</v>
      </c>
      <c r="N27" s="361">
        <f>-'Table 5C1E-LFNO'!Q28-'Table 5C1E-LFNO'!T28</f>
        <v>0</v>
      </c>
      <c r="O27" s="361">
        <f>-'Table 5C1F-Lake Charles Charter'!O28-'Table 5C1F-Lake Charles Charter'!R28</f>
        <v>0</v>
      </c>
      <c r="P27" s="361">
        <f>-'Table 5C1G-JS Clark Academy'!O28-'Table 5C1G-JS Clark Academy'!R28</f>
        <v>0</v>
      </c>
      <c r="Q27" s="361">
        <f>-'Table 5C1H-Southwest LA Charter'!O28-'Table 5C1H-Southwest LA Charter'!R28</f>
        <v>0</v>
      </c>
      <c r="R27" s="361">
        <f>-'Table 5C1J-LA Key Academy'!O28+'Table 5C1J-LA Key Academy'!R28</f>
        <v>0</v>
      </c>
      <c r="S27" s="361">
        <f>-'Table 5C1K-Jefferson Chamber'!O28+'Table 5C1K-Jefferson Chamber'!R28</f>
        <v>0</v>
      </c>
      <c r="T27" s="361">
        <f>-'Table 5C1L-Tallulah Charter'!O28+'Table 5C1L-Tallulah Charter'!R28</f>
        <v>0</v>
      </c>
      <c r="U27" s="361">
        <f>-'Table 5C1M-Northshore Charter'!O28+'Table 5C1M-Northshore Charter'!R28</f>
        <v>0</v>
      </c>
      <c r="V27" s="361">
        <f>-'Table 5C1N-EBR Charter'!O28+'Table 5C1N-EBR Charter'!R28</f>
        <v>0</v>
      </c>
      <c r="W27" s="361">
        <f>-'Table 5C1O-Lake Charles HS'!O28+'Table 5C1O-Lake Charles HS'!R28</f>
        <v>0</v>
      </c>
      <c r="X27" s="361">
        <f>-'Table 5C1P-Delta Charter'!O28+'Table 5C1P-Delta Charter'!R28</f>
        <v>0</v>
      </c>
      <c r="Y27" s="361">
        <f>-'Table 5C2 - LA Virtual Admy'!P25-'Table 5C2 - LA Virtual Admy'!S25</f>
        <v>-2538</v>
      </c>
      <c r="Z27" s="361">
        <f>-'Table 5C3 - LA Connections EBR'!P25-'Table 5C3 - LA Connections EBR'!S25</f>
        <v>-6345</v>
      </c>
      <c r="AA27" s="361">
        <f>-'Table 5D1 - New Vision'!N28-'Table 5D1 - New Vision'!Q28</f>
        <v>0</v>
      </c>
      <c r="AB27" s="361">
        <f>-'Table 5D2 - Glencoe'!N28-'Table 5D2 - Glencoe'!Q28</f>
        <v>0</v>
      </c>
      <c r="AC27" s="361">
        <f>-'Table 5D3 - International'!P28-'Table 5D3 - International'!S28</f>
        <v>0</v>
      </c>
      <c r="AD27" s="361">
        <f>-'Table 5D4 - Avoyelles'!N28-'Table 5D4 - Avoyelles'!Q28</f>
        <v>0</v>
      </c>
      <c r="AE27" s="361">
        <f>-'Table 5D5 - Delhi'!N28-'Table 5D5 - Delhi'!Q28</f>
        <v>0</v>
      </c>
      <c r="AF27" s="361">
        <f>-'Table 5D6 - Milestone'!N28-'Table 5D6 - Milestone'!Q28</f>
        <v>0</v>
      </c>
      <c r="AG27" s="361">
        <f>-'Table 5D7 - Max'!N28-'Table 5D7 - Max'!Q28</f>
        <v>0</v>
      </c>
      <c r="AH27" s="361">
        <f>-'Table 5D8 - Belle Chasse'!P28-'Table 5D8 - Belle Chasse'!U28</f>
        <v>0</v>
      </c>
      <c r="AI27" s="361">
        <f>-'Table 5E_OJJ'!P28-'Table 5E_OJJ'!Q28</f>
        <v>-366.91315510066789</v>
      </c>
      <c r="AJ27" s="361">
        <f>-('Table 5F Scholarships '!T211)</f>
        <v>-1192.0798342622966</v>
      </c>
      <c r="AK27" s="361">
        <f t="shared" si="27"/>
        <v>-15277.722989362965</v>
      </c>
      <c r="AL27" s="750">
        <f t="shared" si="28"/>
        <v>21404629.277010635</v>
      </c>
      <c r="AO27" s="49"/>
      <c r="AR27"/>
      <c r="BA27"/>
    </row>
    <row r="28" spans="1:53">
      <c r="A28" s="99">
        <v>23</v>
      </c>
      <c r="B28" s="301" t="s">
        <v>117</v>
      </c>
      <c r="C28" s="310">
        <f>'Table 2_State Distrib and Adjs'!AM29</f>
        <v>73608236</v>
      </c>
      <c r="D28" s="361">
        <f>-'Table 5A2 LSMSA'!M29</f>
        <v>-9954.39</v>
      </c>
      <c r="E28" s="361">
        <f>-'Table 5A3 NOCCA'!K29</f>
        <v>0</v>
      </c>
      <c r="F28" s="361">
        <f>-'Table 5A4_LSDVI'!K29</f>
        <v>-6636.26</v>
      </c>
      <c r="G28" s="361">
        <f>-'Table 5A5_SSD'!K29</f>
        <v>-26545.040000000001</v>
      </c>
      <c r="H28" s="361"/>
      <c r="I28" s="361"/>
      <c r="J28" s="361">
        <f>-'Table 5C1A-Madison Prep'!Q29-'Table 5C1A-Madison Prep'!T29</f>
        <v>0</v>
      </c>
      <c r="K28" s="361">
        <f>-'Table 5C1B-DArbonne'!O29-'Table 5C1B-DArbonne'!R29</f>
        <v>0</v>
      </c>
      <c r="L28" s="361">
        <f>-'Table 5C1C-Intl_VIBE'!O29-'Table 5C1C-Intl_VIBE'!R29</f>
        <v>0</v>
      </c>
      <c r="M28" s="361">
        <f>-'Table 5C1D-NOMMA'!O29-'Table 5C1D-NOMMA'!R29</f>
        <v>0</v>
      </c>
      <c r="N28" s="361">
        <f>-'Table 5C1E-LFNO'!Q29-'Table 5C1E-LFNO'!T29</f>
        <v>0</v>
      </c>
      <c r="O28" s="361">
        <f>-'Table 5C1F-Lake Charles Charter'!O29-'Table 5C1F-Lake Charles Charter'!R29</f>
        <v>0</v>
      </c>
      <c r="P28" s="361">
        <f>-'Table 5C1G-JS Clark Academy'!O29-'Table 5C1G-JS Clark Academy'!R29</f>
        <v>0</v>
      </c>
      <c r="Q28" s="361">
        <f>-'Table 5C1H-Southwest LA Charter'!O29-'Table 5C1H-Southwest LA Charter'!R29</f>
        <v>0</v>
      </c>
      <c r="R28" s="361">
        <f>-'Table 5C1J-LA Key Academy'!O29+'Table 5C1J-LA Key Academy'!R29</f>
        <v>0</v>
      </c>
      <c r="S28" s="361">
        <f>-'Table 5C1K-Jefferson Chamber'!O29+'Table 5C1K-Jefferson Chamber'!R29</f>
        <v>0</v>
      </c>
      <c r="T28" s="361">
        <f>-'Table 5C1L-Tallulah Charter'!O29+'Table 5C1L-Tallulah Charter'!R29</f>
        <v>0</v>
      </c>
      <c r="U28" s="361">
        <f>-'Table 5C1M-Northshore Charter'!O29+'Table 5C1M-Northshore Charter'!R29</f>
        <v>0</v>
      </c>
      <c r="V28" s="361">
        <f>-'Table 5C1N-EBR Charter'!O29+'Table 5C1N-EBR Charter'!R29</f>
        <v>0</v>
      </c>
      <c r="W28" s="361">
        <f>-'Table 5C1O-Lake Charles HS'!O29+'Table 5C1O-Lake Charles HS'!R29</f>
        <v>0</v>
      </c>
      <c r="X28" s="361">
        <f>-'Table 5C1P-Delta Charter'!O29+'Table 5C1P-Delta Charter'!R29</f>
        <v>0</v>
      </c>
      <c r="Y28" s="361">
        <f>-'Table 5C2 - LA Virtual Admy'!P26-'Table 5C2 - LA Virtual Admy'!S26</f>
        <v>-37948.5</v>
      </c>
      <c r="Z28" s="361">
        <f>-'Table 5C3 - LA Connections EBR'!P26-'Table 5C3 - LA Connections EBR'!S26</f>
        <v>-56037.600000000006</v>
      </c>
      <c r="AA28" s="361">
        <f>-'Table 5D1 - New Vision'!N29-'Table 5D1 - New Vision'!Q29</f>
        <v>0</v>
      </c>
      <c r="AB28" s="361">
        <f>-'Table 5D2 - Glencoe'!N29-'Table 5D2 - Glencoe'!Q29</f>
        <v>-241092</v>
      </c>
      <c r="AC28" s="361">
        <f>-'Table 5D3 - International'!P29-'Table 5D3 - International'!S29</f>
        <v>0</v>
      </c>
      <c r="AD28" s="361">
        <f>-'Table 5D4 - Avoyelles'!N29-'Table 5D4 - Avoyelles'!Q29</f>
        <v>0</v>
      </c>
      <c r="AE28" s="361">
        <f>-'Table 5D5 - Delhi'!N29-'Table 5D5 - Delhi'!Q29</f>
        <v>0</v>
      </c>
      <c r="AF28" s="361">
        <f>-'Table 5D6 - Milestone'!N29-'Table 5D6 - Milestone'!Q29</f>
        <v>0</v>
      </c>
      <c r="AG28" s="361">
        <f>-'Table 5D7 - Max'!N29-'Table 5D7 - Max'!Q29</f>
        <v>0</v>
      </c>
      <c r="AH28" s="361">
        <f>-'Table 5D8 - Belle Chasse'!P29-'Table 5D8 - Belle Chasse'!U29</f>
        <v>0</v>
      </c>
      <c r="AI28" s="361">
        <f>-'Table 5E_OJJ'!P29-'Table 5E_OJJ'!Q29</f>
        <v>-20112.912333415978</v>
      </c>
      <c r="AJ28" s="361">
        <f>-('Table 5F Scholarships '!T213)</f>
        <v>-2132.8006392155239</v>
      </c>
      <c r="AK28" s="361">
        <f t="shared" si="27"/>
        <v>-400459.50297263154</v>
      </c>
      <c r="AL28" s="750">
        <f t="shared" si="28"/>
        <v>73207776.497027367</v>
      </c>
      <c r="AO28" s="49"/>
      <c r="AR28"/>
      <c r="BA28"/>
    </row>
    <row r="29" spans="1:53">
      <c r="A29" s="99">
        <v>24</v>
      </c>
      <c r="B29" s="301" t="s">
        <v>118</v>
      </c>
      <c r="C29" s="310">
        <f>'Table 2_State Distrib and Adjs'!AM30</f>
        <v>16184313</v>
      </c>
      <c r="D29" s="361">
        <f>-'Table 5A2 LSMSA'!M30</f>
        <v>-20705.400000000001</v>
      </c>
      <c r="E29" s="361">
        <f>-'Table 5A3 NOCCA'!K30</f>
        <v>0</v>
      </c>
      <c r="F29" s="361">
        <f>-'Table 5A4_LSDVI'!K30</f>
        <v>-20705.400000000001</v>
      </c>
      <c r="G29" s="361">
        <f>-'Table 5A5_SSD'!K30</f>
        <v>-10352.700000000001</v>
      </c>
      <c r="H29" s="361"/>
      <c r="I29" s="361"/>
      <c r="J29" s="361">
        <f>-'Table 5C1A-Madison Prep'!Q30-'Table 5C1A-Madison Prep'!T30</f>
        <v>0</v>
      </c>
      <c r="K29" s="361">
        <f>-'Table 5C1B-DArbonne'!O30-'Table 5C1B-DArbonne'!R30</f>
        <v>0</v>
      </c>
      <c r="L29" s="361">
        <f>-'Table 5C1C-Intl_VIBE'!O30-'Table 5C1C-Intl_VIBE'!R30</f>
        <v>0</v>
      </c>
      <c r="M29" s="361">
        <f>-'Table 5C1D-NOMMA'!O30-'Table 5C1D-NOMMA'!R30</f>
        <v>0</v>
      </c>
      <c r="N29" s="361">
        <f>-'Table 5C1E-LFNO'!Q30-'Table 5C1E-LFNO'!T30</f>
        <v>0</v>
      </c>
      <c r="O29" s="361">
        <f>-'Table 5C1F-Lake Charles Charter'!O30-'Table 5C1F-Lake Charles Charter'!R30</f>
        <v>0</v>
      </c>
      <c r="P29" s="361">
        <f>-'Table 5C1G-JS Clark Academy'!O30-'Table 5C1G-JS Clark Academy'!R30</f>
        <v>0</v>
      </c>
      <c r="Q29" s="361">
        <f>-'Table 5C1H-Southwest LA Charter'!O30-'Table 5C1H-Southwest LA Charter'!R30</f>
        <v>0</v>
      </c>
      <c r="R29" s="361">
        <f>-'Table 5C1J-LA Key Academy'!O30+'Table 5C1J-LA Key Academy'!R30</f>
        <v>0</v>
      </c>
      <c r="S29" s="361">
        <f>-'Table 5C1K-Jefferson Chamber'!O30+'Table 5C1K-Jefferson Chamber'!R30</f>
        <v>0</v>
      </c>
      <c r="T29" s="361">
        <f>-'Table 5C1L-Tallulah Charter'!O30+'Table 5C1L-Tallulah Charter'!R30</f>
        <v>0</v>
      </c>
      <c r="U29" s="361">
        <f>-'Table 5C1M-Northshore Charter'!O30+'Table 5C1M-Northshore Charter'!R30</f>
        <v>0</v>
      </c>
      <c r="V29" s="361">
        <f>-'Table 5C1N-EBR Charter'!O30+'Table 5C1N-EBR Charter'!R30</f>
        <v>0</v>
      </c>
      <c r="W29" s="361">
        <f>-'Table 5C1O-Lake Charles HS'!O30+'Table 5C1O-Lake Charles HS'!R30</f>
        <v>0</v>
      </c>
      <c r="X29" s="361">
        <f>-'Table 5C1P-Delta Charter'!O30+'Table 5C1P-Delta Charter'!R30</f>
        <v>0</v>
      </c>
      <c r="Y29" s="361">
        <f>-'Table 5C2 - LA Virtual Admy'!P27-'Table 5C2 - LA Virtual Admy'!S27</f>
        <v>-80209.899999999994</v>
      </c>
      <c r="Z29" s="361">
        <f>-'Table 5C3 - LA Connections EBR'!P27-'Table 5C3 - LA Connections EBR'!S27</f>
        <v>928</v>
      </c>
      <c r="AA29" s="361">
        <f>-'Table 5D1 - New Vision'!N30-'Table 5D1 - New Vision'!Q30</f>
        <v>0</v>
      </c>
      <c r="AB29" s="361">
        <f>-'Table 5D2 - Glencoe'!N30-'Table 5D2 - Glencoe'!Q30</f>
        <v>0</v>
      </c>
      <c r="AC29" s="361">
        <f>-'Table 5D3 - International'!P30-'Table 5D3 - International'!S30</f>
        <v>0</v>
      </c>
      <c r="AD29" s="361">
        <f>-'Table 5D4 - Avoyelles'!N30-'Table 5D4 - Avoyelles'!Q30</f>
        <v>0</v>
      </c>
      <c r="AE29" s="361">
        <f>-'Table 5D5 - Delhi'!N30-'Table 5D5 - Delhi'!Q30</f>
        <v>0</v>
      </c>
      <c r="AF29" s="361">
        <f>-'Table 5D6 - Milestone'!N30-'Table 5D6 - Milestone'!Q30</f>
        <v>0</v>
      </c>
      <c r="AG29" s="361">
        <f>-'Table 5D7 - Max'!N30-'Table 5D7 - Max'!Q30</f>
        <v>0</v>
      </c>
      <c r="AH29" s="361">
        <f>-'Table 5D8 - Belle Chasse'!P30-'Table 5D8 - Belle Chasse'!U30</f>
        <v>0</v>
      </c>
      <c r="AI29" s="361">
        <f>-'Table 5E_OJJ'!P30-'Table 5E_OJJ'!Q30</f>
        <v>-9691.2444551596436</v>
      </c>
      <c r="AJ29" s="361">
        <f>-('Table 5F Scholarships '!T231)</f>
        <v>-97639.300908413628</v>
      </c>
      <c r="AK29" s="361">
        <f t="shared" si="27"/>
        <v>-238375.94536357326</v>
      </c>
      <c r="AL29" s="750">
        <f t="shared" si="28"/>
        <v>15945937.054636426</v>
      </c>
      <c r="AO29" s="49"/>
      <c r="AR29"/>
      <c r="BA29"/>
    </row>
    <row r="30" spans="1:53">
      <c r="A30" s="100">
        <v>25</v>
      </c>
      <c r="B30" s="302" t="s">
        <v>119</v>
      </c>
      <c r="C30" s="319">
        <f>'Table 2_State Distrib and Adjs'!AM31</f>
        <v>9876979</v>
      </c>
      <c r="D30" s="362">
        <f>-'Table 5A2 LSMSA'!M31</f>
        <v>0</v>
      </c>
      <c r="E30" s="362">
        <f>-'Table 5A3 NOCCA'!K31</f>
        <v>0</v>
      </c>
      <c r="F30" s="362">
        <f>-'Table 5A4_LSDVI'!K31</f>
        <v>0</v>
      </c>
      <c r="G30" s="362">
        <f>-'Table 5A5_SSD'!K31</f>
        <v>0</v>
      </c>
      <c r="H30" s="362"/>
      <c r="I30" s="362"/>
      <c r="J30" s="362">
        <f>-'Table 5C1A-Madison Prep'!Q31-'Table 5C1A-Madison Prep'!T31</f>
        <v>0</v>
      </c>
      <c r="K30" s="362">
        <f>-'Table 5C1B-DArbonne'!O31-'Table 5C1B-DArbonne'!R31</f>
        <v>0</v>
      </c>
      <c r="L30" s="362">
        <f>-'Table 5C1C-Intl_VIBE'!O31-'Table 5C1C-Intl_VIBE'!R31</f>
        <v>0</v>
      </c>
      <c r="M30" s="362">
        <f>-'Table 5C1D-NOMMA'!O31-'Table 5C1D-NOMMA'!R31</f>
        <v>0</v>
      </c>
      <c r="N30" s="362">
        <f>-'Table 5C1E-LFNO'!Q31-'Table 5C1E-LFNO'!T31</f>
        <v>0</v>
      </c>
      <c r="O30" s="362">
        <f>-'Table 5C1F-Lake Charles Charter'!O31-'Table 5C1F-Lake Charles Charter'!R31</f>
        <v>0</v>
      </c>
      <c r="P30" s="362">
        <f>-'Table 5C1G-JS Clark Academy'!O31-'Table 5C1G-JS Clark Academy'!R31</f>
        <v>0</v>
      </c>
      <c r="Q30" s="362">
        <f>-'Table 5C1H-Southwest LA Charter'!O31-'Table 5C1H-Southwest LA Charter'!R31</f>
        <v>0</v>
      </c>
      <c r="R30" s="362">
        <f>-'Table 5C1J-LA Key Academy'!O31+'Table 5C1J-LA Key Academy'!R31</f>
        <v>0</v>
      </c>
      <c r="S30" s="362">
        <f>-'Table 5C1K-Jefferson Chamber'!O31+'Table 5C1K-Jefferson Chamber'!R31</f>
        <v>0</v>
      </c>
      <c r="T30" s="362">
        <f>-'Table 5C1L-Tallulah Charter'!O31+'Table 5C1L-Tallulah Charter'!R31</f>
        <v>0</v>
      </c>
      <c r="U30" s="362">
        <f>-'Table 5C1M-Northshore Charter'!O31+'Table 5C1M-Northshore Charter'!R31</f>
        <v>0</v>
      </c>
      <c r="V30" s="362">
        <f>-'Table 5C1N-EBR Charter'!O31+'Table 5C1N-EBR Charter'!R31</f>
        <v>0</v>
      </c>
      <c r="W30" s="362">
        <f>-'Table 5C1O-Lake Charles HS'!O31+'Table 5C1O-Lake Charles HS'!R31</f>
        <v>0</v>
      </c>
      <c r="X30" s="362">
        <f>-'Table 5C1P-Delta Charter'!O31+'Table 5C1P-Delta Charter'!R31</f>
        <v>0</v>
      </c>
      <c r="Y30" s="362">
        <f>-'Table 5C2 - LA Virtual Admy'!P28-'Table 5C2 - LA Virtual Admy'!S28</f>
        <v>-16997.850000000002</v>
      </c>
      <c r="Z30" s="362">
        <f>-'Table 5C3 - LA Connections EBR'!P28-'Table 5C3 - LA Connections EBR'!S28</f>
        <v>-4815.9000000000005</v>
      </c>
      <c r="AA30" s="362">
        <f>-'Table 5D1 - New Vision'!N31-'Table 5D1 - New Vision'!Q31</f>
        <v>0</v>
      </c>
      <c r="AB30" s="362">
        <f>-'Table 5D2 - Glencoe'!N31-'Table 5D2 - Glencoe'!Q31</f>
        <v>0</v>
      </c>
      <c r="AC30" s="362">
        <f>-'Table 5D3 - International'!P31-'Table 5D3 - International'!S31</f>
        <v>0</v>
      </c>
      <c r="AD30" s="362">
        <f>-'Table 5D4 - Avoyelles'!N31-'Table 5D4 - Avoyelles'!Q31</f>
        <v>0</v>
      </c>
      <c r="AE30" s="362">
        <f>-'Table 5D5 - Delhi'!N31-'Table 5D5 - Delhi'!Q31</f>
        <v>0</v>
      </c>
      <c r="AF30" s="362">
        <f>-'Table 5D6 - Milestone'!N31-'Table 5D6 - Milestone'!Q31</f>
        <v>0</v>
      </c>
      <c r="AG30" s="362">
        <f>-'Table 5D7 - Max'!N31-'Table 5D7 - Max'!Q31</f>
        <v>0</v>
      </c>
      <c r="AH30" s="362">
        <f>-'Table 5D8 - Belle Chasse'!P31-'Table 5D8 - Belle Chasse'!U31</f>
        <v>0</v>
      </c>
      <c r="AI30" s="362">
        <f>-'Table 5E_OJJ'!P31-'Table 5E_OJJ'!Q31</f>
        <v>-1764.1335082734629</v>
      </c>
      <c r="AJ30" s="362">
        <f>-('Table 5F Scholarships '!T237)</f>
        <v>-22786.749036021869</v>
      </c>
      <c r="AK30" s="362">
        <f t="shared" si="27"/>
        <v>-46364.632544295338</v>
      </c>
      <c r="AL30" s="751">
        <f t="shared" si="28"/>
        <v>9830614.3674557041</v>
      </c>
      <c r="AO30" s="49"/>
      <c r="AR30"/>
      <c r="BA30"/>
    </row>
    <row r="31" spans="1:53">
      <c r="A31" s="99">
        <v>26</v>
      </c>
      <c r="B31" s="301" t="s">
        <v>120</v>
      </c>
      <c r="C31" s="310">
        <f>'Table 2_State Distrib and Adjs'!AM32</f>
        <v>180674711</v>
      </c>
      <c r="D31" s="361">
        <f>-'Table 5A2 LSMSA'!M32</f>
        <v>-47063</v>
      </c>
      <c r="E31" s="361">
        <f>-'Table 5A3 NOCCA'!K32</f>
        <v>-150601.60000000001</v>
      </c>
      <c r="F31" s="361">
        <f>-'Table 5A4_LSDVI'!K32</f>
        <v>-28237.800000000003</v>
      </c>
      <c r="G31" s="361">
        <f>-'Table 5A5_SSD'!K32</f>
        <v>-131776.4</v>
      </c>
      <c r="H31" s="361"/>
      <c r="I31" s="361"/>
      <c r="J31" s="361">
        <f>-'Table 5C1A-Madison Prep'!Q32-'Table 5C1A-Madison Prep'!T32</f>
        <v>0</v>
      </c>
      <c r="K31" s="361">
        <f>-'Table 5C1B-DArbonne'!O32-'Table 5C1B-DArbonne'!R32</f>
        <v>0</v>
      </c>
      <c r="L31" s="361">
        <f>-'Table 5C1C-Intl_VIBE'!O32-'Table 5C1C-Intl_VIBE'!R32</f>
        <v>-207322</v>
      </c>
      <c r="M31" s="361">
        <f>-'Table 5C1D-NOMMA'!O32-'Table 5C1D-NOMMA'!R32</f>
        <v>-565648</v>
      </c>
      <c r="N31" s="361">
        <f>-'Table 5C1E-LFNO'!Q32-'Table 5C1E-LFNO'!T32</f>
        <v>-249900</v>
      </c>
      <c r="O31" s="361">
        <f>-'Table 5C1F-Lake Charles Charter'!O32-'Table 5C1F-Lake Charles Charter'!R32</f>
        <v>0</v>
      </c>
      <c r="P31" s="361">
        <f>-'Table 5C1G-JS Clark Academy'!O32-'Table 5C1G-JS Clark Academy'!R32</f>
        <v>0</v>
      </c>
      <c r="Q31" s="361">
        <f>-'Table 5C1H-Southwest LA Charter'!O32-'Table 5C1H-Southwest LA Charter'!R32</f>
        <v>0</v>
      </c>
      <c r="R31" s="361">
        <f>-'Table 5C1J-LA Key Academy'!O32+'Table 5C1J-LA Key Academy'!R32</f>
        <v>0</v>
      </c>
      <c r="S31" s="361">
        <f>-'Table 5C1K-Jefferson Chamber'!O32+'Table 5C1K-Jefferson Chamber'!R32</f>
        <v>-520200</v>
      </c>
      <c r="T31" s="361">
        <f>-'Table 5C1L-Tallulah Charter'!O32+'Table 5C1L-Tallulah Charter'!R32</f>
        <v>0</v>
      </c>
      <c r="U31" s="361">
        <f>-'Table 5C1M-Northshore Charter'!O32+'Table 5C1M-Northshore Charter'!R32</f>
        <v>0</v>
      </c>
      <c r="V31" s="361">
        <f>-'Table 5C1N-EBR Charter'!O32+'Table 5C1N-EBR Charter'!R32</f>
        <v>0</v>
      </c>
      <c r="W31" s="361">
        <f>-'Table 5C1O-Lake Charles HS'!O32+'Table 5C1O-Lake Charles HS'!R32</f>
        <v>0</v>
      </c>
      <c r="X31" s="361">
        <f>-'Table 5C1P-Delta Charter'!O32+'Table 5C1P-Delta Charter'!R32</f>
        <v>0</v>
      </c>
      <c r="Y31" s="361">
        <f>-'Table 5C2 - LA Virtual Admy'!P29-'Table 5C2 - LA Virtual Admy'!S29</f>
        <v>-474133.2</v>
      </c>
      <c r="Z31" s="361">
        <f>-'Table 5C3 - LA Connections EBR'!P29-'Table 5C3 - LA Connections EBR'!S29</f>
        <v>-449820</v>
      </c>
      <c r="AA31" s="361">
        <f>-'Table 5D1 - New Vision'!N32-'Table 5D1 - New Vision'!Q32</f>
        <v>0</v>
      </c>
      <c r="AB31" s="361">
        <f>-'Table 5D2 - Glencoe'!N32-'Table 5D2 - Glencoe'!Q32</f>
        <v>0</v>
      </c>
      <c r="AC31" s="361">
        <f>-'Table 5D3 - International'!P32-'Table 5D3 - International'!S32</f>
        <v>-1032103</v>
      </c>
      <c r="AD31" s="361">
        <f>-'Table 5D4 - Avoyelles'!N32-'Table 5D4 - Avoyelles'!Q32</f>
        <v>0</v>
      </c>
      <c r="AE31" s="361">
        <f>-'Table 5D5 - Delhi'!N32-'Table 5D5 - Delhi'!Q32</f>
        <v>0</v>
      </c>
      <c r="AF31" s="361">
        <f>-'Table 5D6 - Milestone'!N32-'Table 5D6 - Milestone'!Q32</f>
        <v>-596700</v>
      </c>
      <c r="AG31" s="361">
        <f>-'Table 5D7 - Max'!N32-'Table 5D7 - Max'!Q32</f>
        <v>0</v>
      </c>
      <c r="AH31" s="361">
        <f>-'Table 5D8 - Belle Chasse'!P32-'Table 5D8 - Belle Chasse'!U32</f>
        <v>-1336200</v>
      </c>
      <c r="AI31" s="361">
        <f>-'Table 5E_OJJ'!P32-'Table 5E_OJJ'!Q32</f>
        <v>-163477.53463985556</v>
      </c>
      <c r="AJ31" s="361">
        <f>-('Table 5F Scholarships '!T366)</f>
        <v>-1155412.7917783265</v>
      </c>
      <c r="AK31" s="361">
        <f t="shared" si="27"/>
        <v>-7108595.3264181819</v>
      </c>
      <c r="AL31" s="750">
        <f t="shared" si="28"/>
        <v>173566115.67358181</v>
      </c>
      <c r="AO31" s="49"/>
      <c r="AR31"/>
      <c r="BA31"/>
    </row>
    <row r="32" spans="1:53">
      <c r="A32" s="99">
        <v>27</v>
      </c>
      <c r="B32" s="301" t="s">
        <v>121</v>
      </c>
      <c r="C32" s="310">
        <f>'Table 2_State Distrib and Adjs'!AM33</f>
        <v>35420039</v>
      </c>
      <c r="D32" s="361">
        <f>-'Table 5A2 LSMSA'!M33</f>
        <v>0</v>
      </c>
      <c r="E32" s="361">
        <f>-'Table 5A3 NOCCA'!K33</f>
        <v>0</v>
      </c>
      <c r="F32" s="361">
        <f>-'Table 5A4_LSDVI'!K33</f>
        <v>-6147.84</v>
      </c>
      <c r="G32" s="361">
        <f>-'Table 5A5_SSD'!K33</f>
        <v>-6147.84</v>
      </c>
      <c r="H32" s="361"/>
      <c r="I32" s="361"/>
      <c r="J32" s="361">
        <f>-'Table 5C1A-Madison Prep'!Q33-'Table 5C1A-Madison Prep'!T33</f>
        <v>0</v>
      </c>
      <c r="K32" s="361">
        <f>-'Table 5C1B-DArbonne'!O33-'Table 5C1B-DArbonne'!R33</f>
        <v>0</v>
      </c>
      <c r="L32" s="361">
        <f>-'Table 5C1C-Intl_VIBE'!O33-'Table 5C1C-Intl_VIBE'!R33</f>
        <v>0</v>
      </c>
      <c r="M32" s="361">
        <f>-'Table 5C1D-NOMMA'!O33-'Table 5C1D-NOMMA'!R33</f>
        <v>0</v>
      </c>
      <c r="N32" s="361">
        <f>-'Table 5C1E-LFNO'!Q33-'Table 5C1E-LFNO'!T33</f>
        <v>0</v>
      </c>
      <c r="O32" s="361">
        <f>-'Table 5C1F-Lake Charles Charter'!O33-'Table 5C1F-Lake Charles Charter'!R33</f>
        <v>0</v>
      </c>
      <c r="P32" s="361">
        <f>-'Table 5C1G-JS Clark Academy'!O33-'Table 5C1G-JS Clark Academy'!R33</f>
        <v>0</v>
      </c>
      <c r="Q32" s="361">
        <f>-'Table 5C1H-Southwest LA Charter'!O33-'Table 5C1H-Southwest LA Charter'!R33</f>
        <v>-24728</v>
      </c>
      <c r="R32" s="361">
        <f>-'Table 5C1J-LA Key Academy'!O33+'Table 5C1J-LA Key Academy'!R33</f>
        <v>0</v>
      </c>
      <c r="S32" s="361">
        <f>-'Table 5C1K-Jefferson Chamber'!O33+'Table 5C1K-Jefferson Chamber'!R33</f>
        <v>0</v>
      </c>
      <c r="T32" s="361">
        <f>-'Table 5C1L-Tallulah Charter'!O33+'Table 5C1L-Tallulah Charter'!R33</f>
        <v>0</v>
      </c>
      <c r="U32" s="361">
        <f>-'Table 5C1M-Northshore Charter'!O33+'Table 5C1M-Northshore Charter'!R33</f>
        <v>0</v>
      </c>
      <c r="V32" s="361">
        <f>-'Table 5C1N-EBR Charter'!O33+'Table 5C1N-EBR Charter'!R33</f>
        <v>0</v>
      </c>
      <c r="W32" s="361">
        <f>-'Table 5C1O-Lake Charles HS'!O33+'Table 5C1O-Lake Charles HS'!R33</f>
        <v>0</v>
      </c>
      <c r="X32" s="361">
        <f>-'Table 5C1P-Delta Charter'!O33+'Table 5C1P-Delta Charter'!R33</f>
        <v>0</v>
      </c>
      <c r="Y32" s="361">
        <f>-'Table 5C2 - LA Virtual Admy'!P30-'Table 5C2 - LA Virtual Admy'!S30</f>
        <v>-14989.95</v>
      </c>
      <c r="Z32" s="361">
        <f>-'Table 5C3 - LA Connections EBR'!P30-'Table 5C3 - LA Connections EBR'!S30</f>
        <v>-19473.3</v>
      </c>
      <c r="AA32" s="361">
        <f>-'Table 5D1 - New Vision'!N33-'Table 5D1 - New Vision'!Q33</f>
        <v>0</v>
      </c>
      <c r="AB32" s="361">
        <f>-'Table 5D2 - Glencoe'!N33-'Table 5D2 - Glencoe'!Q33</f>
        <v>0</v>
      </c>
      <c r="AC32" s="361">
        <f>-'Table 5D3 - International'!P33-'Table 5D3 - International'!S33</f>
        <v>0</v>
      </c>
      <c r="AD32" s="361">
        <f>-'Table 5D4 - Avoyelles'!N33-'Table 5D4 - Avoyelles'!Q33</f>
        <v>0</v>
      </c>
      <c r="AE32" s="361">
        <f>-'Table 5D5 - Delhi'!N33-'Table 5D5 - Delhi'!Q33</f>
        <v>0</v>
      </c>
      <c r="AF32" s="361">
        <f>-'Table 5D6 - Milestone'!N33-'Table 5D6 - Milestone'!Q33</f>
        <v>0</v>
      </c>
      <c r="AG32" s="361">
        <f>-'Table 5D7 - Max'!N33-'Table 5D7 - Max'!Q33</f>
        <v>0</v>
      </c>
      <c r="AH32" s="361">
        <f>-'Table 5D8 - Belle Chasse'!P33-'Table 5D8 - Belle Chasse'!U33</f>
        <v>0</v>
      </c>
      <c r="AI32" s="361">
        <f>-'Table 5E_OJJ'!P33-'Table 5E_OJJ'!Q33</f>
        <v>-8111.3378214580534</v>
      </c>
      <c r="AJ32" s="361">
        <v>0</v>
      </c>
      <c r="AK32" s="361">
        <f t="shared" si="27"/>
        <v>-79598.267821458066</v>
      </c>
      <c r="AL32" s="750">
        <f t="shared" si="28"/>
        <v>35340440.732178532</v>
      </c>
      <c r="AO32" s="49"/>
      <c r="AR32"/>
      <c r="BA32"/>
    </row>
    <row r="33" spans="1:53">
      <c r="A33" s="99">
        <v>28</v>
      </c>
      <c r="B33" s="301" t="s">
        <v>122</v>
      </c>
      <c r="C33" s="310">
        <f>'Table 2_State Distrib and Adjs'!AM34</f>
        <v>114722493</v>
      </c>
      <c r="D33" s="361">
        <f>-'Table 5A2 LSMSA'!M34</f>
        <v>-50024.04</v>
      </c>
      <c r="E33" s="361">
        <f>-'Table 5A3 NOCCA'!K34</f>
        <v>0</v>
      </c>
      <c r="F33" s="361">
        <f>-'Table 5A4_LSDVI'!K34</f>
        <v>-4168.67</v>
      </c>
      <c r="G33" s="361">
        <f>-'Table 5A5_SSD'!K34</f>
        <v>-41686.699999999997</v>
      </c>
      <c r="H33" s="361"/>
      <c r="I33" s="361"/>
      <c r="J33" s="361">
        <f>-'Table 5C1A-Madison Prep'!Q34-'Table 5C1A-Madison Prep'!T34</f>
        <v>0</v>
      </c>
      <c r="K33" s="361">
        <f>-'Table 5C1B-DArbonne'!O34-'Table 5C1B-DArbonne'!R34</f>
        <v>0</v>
      </c>
      <c r="L33" s="361">
        <f>-'Table 5C1C-Intl_VIBE'!O34-'Table 5C1C-Intl_VIBE'!R34</f>
        <v>0</v>
      </c>
      <c r="M33" s="361">
        <f>-'Table 5C1D-NOMMA'!O34-'Table 5C1D-NOMMA'!R34</f>
        <v>0</v>
      </c>
      <c r="N33" s="361">
        <f>-'Table 5C1E-LFNO'!Q34-'Table 5C1E-LFNO'!T34</f>
        <v>0</v>
      </c>
      <c r="O33" s="361">
        <f>-'Table 5C1F-Lake Charles Charter'!O34-'Table 5C1F-Lake Charles Charter'!R34</f>
        <v>0</v>
      </c>
      <c r="P33" s="361">
        <f>-'Table 5C1G-JS Clark Academy'!O34-'Table 5C1G-JS Clark Academy'!R34</f>
        <v>-5323</v>
      </c>
      <c r="Q33" s="361">
        <f>-'Table 5C1H-Southwest LA Charter'!O34-'Table 5C1H-Southwest LA Charter'!R34</f>
        <v>0</v>
      </c>
      <c r="R33" s="361">
        <f>-'Table 5C1J-LA Key Academy'!O34+'Table 5C1J-LA Key Academy'!R34</f>
        <v>0</v>
      </c>
      <c r="S33" s="361">
        <f>-'Table 5C1K-Jefferson Chamber'!O34+'Table 5C1K-Jefferson Chamber'!R34</f>
        <v>0</v>
      </c>
      <c r="T33" s="361">
        <f>-'Table 5C1L-Tallulah Charter'!O34+'Table 5C1L-Tallulah Charter'!R34</f>
        <v>0</v>
      </c>
      <c r="U33" s="361">
        <f>-'Table 5C1M-Northshore Charter'!O34+'Table 5C1M-Northshore Charter'!R34</f>
        <v>0</v>
      </c>
      <c r="V33" s="361">
        <f>-'Table 5C1N-EBR Charter'!O34+'Table 5C1N-EBR Charter'!R34</f>
        <v>0</v>
      </c>
      <c r="W33" s="361">
        <f>-'Table 5C1O-Lake Charles HS'!O34+'Table 5C1O-Lake Charles HS'!R34</f>
        <v>0</v>
      </c>
      <c r="X33" s="361">
        <f>-'Table 5C1P-Delta Charter'!O34+'Table 5C1P-Delta Charter'!R34</f>
        <v>0</v>
      </c>
      <c r="Y33" s="361">
        <f>-'Table 5C2 - LA Virtual Admy'!P31-'Table 5C2 - LA Virtual Admy'!S31</f>
        <v>-194425.59999999998</v>
      </c>
      <c r="Z33" s="361">
        <f>-'Table 5C3 - LA Connections EBR'!P31-'Table 5C3 - LA Connections EBR'!S31</f>
        <v>-215049.19999999998</v>
      </c>
      <c r="AA33" s="361">
        <f>-'Table 5D1 - New Vision'!N34-'Table 5D1 - New Vision'!Q34</f>
        <v>0</v>
      </c>
      <c r="AB33" s="361">
        <f>-'Table 5D2 - Glencoe'!N34-'Table 5D2 - Glencoe'!Q34</f>
        <v>0</v>
      </c>
      <c r="AC33" s="361">
        <f>-'Table 5D3 - International'!P34-'Table 5D3 - International'!S34</f>
        <v>0</v>
      </c>
      <c r="AD33" s="361">
        <f>-'Table 5D4 - Avoyelles'!N34-'Table 5D4 - Avoyelles'!Q34</f>
        <v>0</v>
      </c>
      <c r="AE33" s="361">
        <f>-'Table 5D5 - Delhi'!N34-'Table 5D5 - Delhi'!Q34</f>
        <v>0</v>
      </c>
      <c r="AF33" s="361">
        <f>-'Table 5D6 - Milestone'!N34-'Table 5D6 - Milestone'!Q34</f>
        <v>0</v>
      </c>
      <c r="AG33" s="361">
        <f>-'Table 5D7 - Max'!N34-'Table 5D7 - Max'!Q34</f>
        <v>0</v>
      </c>
      <c r="AH33" s="361">
        <f>-'Table 5D8 - Belle Chasse'!P34-'Table 5D8 - Belle Chasse'!U34</f>
        <v>0</v>
      </c>
      <c r="AI33" s="361">
        <f>-'Table 5E_OJJ'!P34-'Table 5E_OJJ'!Q34</f>
        <v>-31417.860216116096</v>
      </c>
      <c r="AJ33" s="361">
        <f>-('Table 5F Scholarships '!T403)</f>
        <v>-349041.97223126731</v>
      </c>
      <c r="AK33" s="361">
        <f t="shared" si="27"/>
        <v>-891137.04244738328</v>
      </c>
      <c r="AL33" s="750">
        <f t="shared" si="28"/>
        <v>113831355.95755261</v>
      </c>
      <c r="AO33" s="49"/>
      <c r="AR33"/>
      <c r="BA33"/>
    </row>
    <row r="34" spans="1:53">
      <c r="A34" s="99">
        <v>29</v>
      </c>
      <c r="B34" s="301" t="s">
        <v>123</v>
      </c>
      <c r="C34" s="310">
        <f>'Table 2_State Distrib and Adjs'!AM35</f>
        <v>64279806</v>
      </c>
      <c r="D34" s="361">
        <f>-'Table 5A2 LSMSA'!M35</f>
        <v>-10609.5</v>
      </c>
      <c r="E34" s="361">
        <f>-'Table 5A3 NOCCA'!K35</f>
        <v>-3536.5</v>
      </c>
      <c r="F34" s="361">
        <f>-'Table 5A4_LSDVI'!K35</f>
        <v>-3536.5</v>
      </c>
      <c r="G34" s="361">
        <f>-'Table 5A5_SSD'!K35</f>
        <v>-14146</v>
      </c>
      <c r="H34" s="361"/>
      <c r="I34" s="361"/>
      <c r="J34" s="361">
        <f>-'Table 5C1A-Madison Prep'!Q35-'Table 5C1A-Madison Prep'!T35</f>
        <v>0</v>
      </c>
      <c r="K34" s="361">
        <f>-'Table 5C1B-DArbonne'!O35-'Table 5C1B-DArbonne'!R35</f>
        <v>0</v>
      </c>
      <c r="L34" s="361">
        <f>-'Table 5C1C-Intl_VIBE'!O35-'Table 5C1C-Intl_VIBE'!R35</f>
        <v>0</v>
      </c>
      <c r="M34" s="361">
        <f>-'Table 5C1D-NOMMA'!O35-'Table 5C1D-NOMMA'!R35</f>
        <v>0</v>
      </c>
      <c r="N34" s="361">
        <f>-'Table 5C1E-LFNO'!Q35-'Table 5C1E-LFNO'!T35</f>
        <v>0</v>
      </c>
      <c r="O34" s="361">
        <f>-'Table 5C1F-Lake Charles Charter'!O35-'Table 5C1F-Lake Charles Charter'!R35</f>
        <v>0</v>
      </c>
      <c r="P34" s="361">
        <f>-'Table 5C1G-JS Clark Academy'!O35-'Table 5C1G-JS Clark Academy'!R35</f>
        <v>0</v>
      </c>
      <c r="Q34" s="361">
        <f>-'Table 5C1H-Southwest LA Charter'!O35-'Table 5C1H-Southwest LA Charter'!R35</f>
        <v>0</v>
      </c>
      <c r="R34" s="361">
        <f>-'Table 5C1J-LA Key Academy'!O35+'Table 5C1J-LA Key Academy'!R35</f>
        <v>0</v>
      </c>
      <c r="S34" s="361">
        <f>-'Table 5C1K-Jefferson Chamber'!O35+'Table 5C1K-Jefferson Chamber'!R35</f>
        <v>0</v>
      </c>
      <c r="T34" s="361">
        <f>-'Table 5C1L-Tallulah Charter'!O35+'Table 5C1L-Tallulah Charter'!R35</f>
        <v>0</v>
      </c>
      <c r="U34" s="361">
        <f>-'Table 5C1M-Northshore Charter'!O35+'Table 5C1M-Northshore Charter'!R35</f>
        <v>0</v>
      </c>
      <c r="V34" s="361">
        <f>-'Table 5C1N-EBR Charter'!O35+'Table 5C1N-EBR Charter'!R35</f>
        <v>0</v>
      </c>
      <c r="W34" s="361">
        <f>-'Table 5C1O-Lake Charles HS'!O35+'Table 5C1O-Lake Charles HS'!R35</f>
        <v>0</v>
      </c>
      <c r="X34" s="361">
        <f>-'Table 5C1P-Delta Charter'!O35+'Table 5C1P-Delta Charter'!R35</f>
        <v>0</v>
      </c>
      <c r="Y34" s="361">
        <f>-'Table 5C2 - LA Virtual Admy'!P32-'Table 5C2 - LA Virtual Admy'!S32</f>
        <v>-51778.400000000001</v>
      </c>
      <c r="Z34" s="361">
        <f>-'Table 5C3 - LA Connections EBR'!P32-'Table 5C3 - LA Connections EBR'!S32</f>
        <v>-31593.600000000002</v>
      </c>
      <c r="AA34" s="361">
        <f>-'Table 5D1 - New Vision'!N35-'Table 5D1 - New Vision'!Q35</f>
        <v>0</v>
      </c>
      <c r="AB34" s="361">
        <f>-'Table 5D2 - Glencoe'!N35-'Table 5D2 - Glencoe'!Q35</f>
        <v>0</v>
      </c>
      <c r="AC34" s="361">
        <f>-'Table 5D3 - International'!P35-'Table 5D3 - International'!S35</f>
        <v>0</v>
      </c>
      <c r="AD34" s="361">
        <f>-'Table 5D4 - Avoyelles'!N35-'Table 5D4 - Avoyelles'!Q35</f>
        <v>0</v>
      </c>
      <c r="AE34" s="361">
        <f>-'Table 5D5 - Delhi'!N35-'Table 5D5 - Delhi'!Q35</f>
        <v>0</v>
      </c>
      <c r="AF34" s="361">
        <f>-'Table 5D6 - Milestone'!N35-'Table 5D6 - Milestone'!Q35</f>
        <v>0</v>
      </c>
      <c r="AG34" s="361">
        <f>-'Table 5D7 - Max'!N35-'Table 5D7 - Max'!Q35</f>
        <v>-258892</v>
      </c>
      <c r="AH34" s="361">
        <f>-'Table 5D8 - Belle Chasse'!P35-'Table 5D8 - Belle Chasse'!U35</f>
        <v>0</v>
      </c>
      <c r="AI34" s="361">
        <f>-'Table 5E_OJJ'!P35-'Table 5E_OJJ'!Q35</f>
        <v>-66617.972245572586</v>
      </c>
      <c r="AJ34" s="361">
        <f>-('Table 5F Scholarships '!T422)</f>
        <v>-81199.275461611483</v>
      </c>
      <c r="AK34" s="361">
        <f t="shared" si="27"/>
        <v>-521909.74770718405</v>
      </c>
      <c r="AL34" s="750">
        <f t="shared" si="28"/>
        <v>63757896.252292812</v>
      </c>
      <c r="AO34" s="49"/>
      <c r="AR34"/>
      <c r="BA34"/>
    </row>
    <row r="35" spans="1:53">
      <c r="A35" s="100">
        <v>30</v>
      </c>
      <c r="B35" s="302" t="s">
        <v>124</v>
      </c>
      <c r="C35" s="319">
        <f>'Table 2_State Distrib and Adjs'!AM36</f>
        <v>15612876</v>
      </c>
      <c r="D35" s="362">
        <f>-'Table 5A2 LSMSA'!M36</f>
        <v>-3056.24</v>
      </c>
      <c r="E35" s="362">
        <f>-'Table 5A3 NOCCA'!K36</f>
        <v>0</v>
      </c>
      <c r="F35" s="362">
        <f>-'Table 5A4_LSDVI'!K36</f>
        <v>0</v>
      </c>
      <c r="G35" s="362">
        <f>-'Table 5A5_SSD'!K36</f>
        <v>0</v>
      </c>
      <c r="H35" s="362"/>
      <c r="I35" s="362"/>
      <c r="J35" s="362">
        <f>-'Table 5C1A-Madison Prep'!Q36-'Table 5C1A-Madison Prep'!T36</f>
        <v>0</v>
      </c>
      <c r="K35" s="362">
        <f>-'Table 5C1B-DArbonne'!O36-'Table 5C1B-DArbonne'!R36</f>
        <v>0</v>
      </c>
      <c r="L35" s="362">
        <f>-'Table 5C1C-Intl_VIBE'!O36-'Table 5C1C-Intl_VIBE'!R36</f>
        <v>0</v>
      </c>
      <c r="M35" s="362">
        <f>-'Table 5C1D-NOMMA'!O36-'Table 5C1D-NOMMA'!R36</f>
        <v>0</v>
      </c>
      <c r="N35" s="362">
        <f>-'Table 5C1E-LFNO'!Q36-'Table 5C1E-LFNO'!T36</f>
        <v>0</v>
      </c>
      <c r="O35" s="362">
        <f>-'Table 5C1F-Lake Charles Charter'!O36-'Table 5C1F-Lake Charles Charter'!R36</f>
        <v>0</v>
      </c>
      <c r="P35" s="362">
        <f>-'Table 5C1G-JS Clark Academy'!O36-'Table 5C1G-JS Clark Academy'!R36</f>
        <v>0</v>
      </c>
      <c r="Q35" s="362">
        <f>-'Table 5C1H-Southwest LA Charter'!O36-'Table 5C1H-Southwest LA Charter'!R36</f>
        <v>0</v>
      </c>
      <c r="R35" s="362">
        <f>-'Table 5C1J-LA Key Academy'!O36+'Table 5C1J-LA Key Academy'!R36</f>
        <v>0</v>
      </c>
      <c r="S35" s="362">
        <f>-'Table 5C1K-Jefferson Chamber'!O36+'Table 5C1K-Jefferson Chamber'!R36</f>
        <v>0</v>
      </c>
      <c r="T35" s="362">
        <f>-'Table 5C1L-Tallulah Charter'!O36+'Table 5C1L-Tallulah Charter'!R36</f>
        <v>0</v>
      </c>
      <c r="U35" s="362">
        <f>-'Table 5C1M-Northshore Charter'!O36+'Table 5C1M-Northshore Charter'!R36</f>
        <v>0</v>
      </c>
      <c r="V35" s="362">
        <f>-'Table 5C1N-EBR Charter'!O36+'Table 5C1N-EBR Charter'!R36</f>
        <v>0</v>
      </c>
      <c r="W35" s="362">
        <f>-'Table 5C1O-Lake Charles HS'!O36+'Table 5C1O-Lake Charles HS'!R36</f>
        <v>0</v>
      </c>
      <c r="X35" s="362">
        <f>-'Table 5C1P-Delta Charter'!O36+'Table 5C1P-Delta Charter'!R36</f>
        <v>0</v>
      </c>
      <c r="Y35" s="362">
        <f>-'Table 5C2 - LA Virtual Admy'!P33-'Table 5C2 - LA Virtual Admy'!S33</f>
        <v>-13327.2</v>
      </c>
      <c r="Z35" s="362">
        <f>-'Table 5C3 - LA Connections EBR'!P33-'Table 5C3 - LA Connections EBR'!S33</f>
        <v>-6663.6</v>
      </c>
      <c r="AA35" s="362">
        <f>-'Table 5D1 - New Vision'!N36-'Table 5D1 - New Vision'!Q36</f>
        <v>0</v>
      </c>
      <c r="AB35" s="362">
        <f>-'Table 5D2 - Glencoe'!N36-'Table 5D2 - Glencoe'!Q36</f>
        <v>0</v>
      </c>
      <c r="AC35" s="362">
        <f>-'Table 5D3 - International'!P36-'Table 5D3 - International'!S36</f>
        <v>0</v>
      </c>
      <c r="AD35" s="362">
        <f>-'Table 5D4 - Avoyelles'!N36-'Table 5D4 - Avoyelles'!Q36</f>
        <v>0</v>
      </c>
      <c r="AE35" s="362">
        <f>-'Table 5D5 - Delhi'!N36-'Table 5D5 - Delhi'!Q36</f>
        <v>0</v>
      </c>
      <c r="AF35" s="362">
        <f>-'Table 5D6 - Milestone'!N36-'Table 5D6 - Milestone'!Q36</f>
        <v>0</v>
      </c>
      <c r="AG35" s="362">
        <f>-'Table 5D7 - Max'!N36-'Table 5D7 - Max'!Q36</f>
        <v>0</v>
      </c>
      <c r="AH35" s="362">
        <f>-'Table 5D8 - Belle Chasse'!P36-'Table 5D8 - Belle Chasse'!U36</f>
        <v>0</v>
      </c>
      <c r="AI35" s="362">
        <f>-'Table 5E_OJJ'!P36-'Table 5E_OJJ'!Q36</f>
        <v>0</v>
      </c>
      <c r="AJ35" s="362">
        <v>0</v>
      </c>
      <c r="AK35" s="362">
        <f t="shared" si="27"/>
        <v>-23047.040000000001</v>
      </c>
      <c r="AL35" s="751">
        <f t="shared" si="28"/>
        <v>15589828.960000001</v>
      </c>
      <c r="AO35" s="49"/>
      <c r="AR35"/>
      <c r="BA35"/>
    </row>
    <row r="36" spans="1:53">
      <c r="A36" s="99">
        <v>31</v>
      </c>
      <c r="B36" s="301" t="s">
        <v>125</v>
      </c>
      <c r="C36" s="310">
        <f>'Table 2_State Distrib and Adjs'!AM37</f>
        <v>31568632</v>
      </c>
      <c r="D36" s="361">
        <f>-'Table 5A2 LSMSA'!M37</f>
        <v>-3737.21</v>
      </c>
      <c r="E36" s="361">
        <f>-'Table 5A3 NOCCA'!K37</f>
        <v>0</v>
      </c>
      <c r="F36" s="361">
        <f>-'Table 5A4_LSDVI'!K37</f>
        <v>-11211.630000000001</v>
      </c>
      <c r="G36" s="361">
        <f>-'Table 5A5_SSD'!K37</f>
        <v>-14948.84</v>
      </c>
      <c r="H36" s="361"/>
      <c r="I36" s="361"/>
      <c r="J36" s="361">
        <f>-'Table 5C1A-Madison Prep'!Q37-'Table 5C1A-Madison Prep'!T37</f>
        <v>0</v>
      </c>
      <c r="K36" s="361">
        <f>-'Table 5C1B-DArbonne'!O37-'Table 5C1B-DArbonne'!R37</f>
        <v>-37352</v>
      </c>
      <c r="L36" s="361">
        <f>-'Table 5C1C-Intl_VIBE'!O37-'Table 5C1C-Intl_VIBE'!R37</f>
        <v>0</v>
      </c>
      <c r="M36" s="361">
        <f>-'Table 5C1D-NOMMA'!O37-'Table 5C1D-NOMMA'!R37</f>
        <v>0</v>
      </c>
      <c r="N36" s="361">
        <f>-'Table 5C1E-LFNO'!Q37-'Table 5C1E-LFNO'!T37</f>
        <v>0</v>
      </c>
      <c r="O36" s="361">
        <f>-'Table 5C1F-Lake Charles Charter'!O37-'Table 5C1F-Lake Charles Charter'!R37</f>
        <v>0</v>
      </c>
      <c r="P36" s="361">
        <f>-'Table 5C1G-JS Clark Academy'!O37-'Table 5C1G-JS Clark Academy'!R37</f>
        <v>0</v>
      </c>
      <c r="Q36" s="361">
        <f>-'Table 5C1H-Southwest LA Charter'!O37-'Table 5C1H-Southwest LA Charter'!R37</f>
        <v>0</v>
      </c>
      <c r="R36" s="361">
        <f>-'Table 5C1J-LA Key Academy'!O37+'Table 5C1J-LA Key Academy'!R37</f>
        <v>0</v>
      </c>
      <c r="S36" s="361">
        <f>-'Table 5C1K-Jefferson Chamber'!O37+'Table 5C1K-Jefferson Chamber'!R37</f>
        <v>0</v>
      </c>
      <c r="T36" s="361">
        <f>-'Table 5C1L-Tallulah Charter'!O37+'Table 5C1L-Tallulah Charter'!R37</f>
        <v>0</v>
      </c>
      <c r="U36" s="361">
        <f>-'Table 5C1M-Northshore Charter'!O37+'Table 5C1M-Northshore Charter'!R37</f>
        <v>0</v>
      </c>
      <c r="V36" s="361">
        <f>-'Table 5C1N-EBR Charter'!O37+'Table 5C1N-EBR Charter'!R37</f>
        <v>0</v>
      </c>
      <c r="W36" s="361">
        <f>-'Table 5C1O-Lake Charles HS'!O37+'Table 5C1O-Lake Charles HS'!R37</f>
        <v>0</v>
      </c>
      <c r="X36" s="361">
        <f>-'Table 5C1P-Delta Charter'!O37+'Table 5C1P-Delta Charter'!R37</f>
        <v>0</v>
      </c>
      <c r="Y36" s="361">
        <f>-'Table 5C2 - LA Virtual Admy'!P34-'Table 5C2 - LA Virtual Admy'!S34</f>
        <v>-2090.25</v>
      </c>
      <c r="Z36" s="361">
        <f>-'Table 5C3 - LA Connections EBR'!P34-'Table 5C3 - LA Connections EBR'!S34</f>
        <v>-16808.400000000001</v>
      </c>
      <c r="AA36" s="361">
        <f>-'Table 5D1 - New Vision'!N37-'Table 5D1 - New Vision'!Q37</f>
        <v>0</v>
      </c>
      <c r="AB36" s="361">
        <f>-'Table 5D2 - Glencoe'!N37-'Table 5D2 - Glencoe'!Q37</f>
        <v>0</v>
      </c>
      <c r="AC36" s="361">
        <f>-'Table 5D3 - International'!P37-'Table 5D3 - International'!S37</f>
        <v>0</v>
      </c>
      <c r="AD36" s="361">
        <f>-'Table 5D4 - Avoyelles'!N37-'Table 5D4 - Avoyelles'!Q37</f>
        <v>0</v>
      </c>
      <c r="AE36" s="361">
        <f>-'Table 5D5 - Delhi'!N37-'Table 5D5 - Delhi'!Q37</f>
        <v>0</v>
      </c>
      <c r="AF36" s="361">
        <f>-'Table 5D6 - Milestone'!N37-'Table 5D6 - Milestone'!Q37</f>
        <v>0</v>
      </c>
      <c r="AG36" s="361">
        <f>-'Table 5D7 - Max'!N37-'Table 5D7 - Max'!Q37</f>
        <v>0</v>
      </c>
      <c r="AH36" s="361">
        <f>-'Table 5D8 - Belle Chasse'!P37-'Table 5D8 - Belle Chasse'!U37</f>
        <v>0</v>
      </c>
      <c r="AI36" s="361">
        <f>-'Table 5E_OJJ'!P37-'Table 5E_OJJ'!Q37</f>
        <v>-5589.5845195250904</v>
      </c>
      <c r="AJ36" s="361">
        <f>-('Table 5F Scholarships '!T430)</f>
        <v>-223348.96895890211</v>
      </c>
      <c r="AK36" s="361">
        <f t="shared" si="27"/>
        <v>-315086.88347842719</v>
      </c>
      <c r="AL36" s="750">
        <f t="shared" si="28"/>
        <v>31253545.116521575</v>
      </c>
      <c r="AO36" s="49"/>
      <c r="AR36"/>
      <c r="BA36"/>
    </row>
    <row r="37" spans="1:53">
      <c r="A37" s="99">
        <v>32</v>
      </c>
      <c r="B37" s="301" t="s">
        <v>126</v>
      </c>
      <c r="C37" s="310">
        <f>'Table 2_State Distrib and Adjs'!AM38</f>
        <v>149816594</v>
      </c>
      <c r="D37" s="361">
        <f>-'Table 5A2 LSMSA'!M38</f>
        <v>-26058.89</v>
      </c>
      <c r="E37" s="361">
        <f>-'Table 5A3 NOCCA'!K38</f>
        <v>-2004.53</v>
      </c>
      <c r="F37" s="361">
        <f>-'Table 5A4_LSDVI'!K38</f>
        <v>-30067.95</v>
      </c>
      <c r="G37" s="361">
        <f>-'Table 5A5_SSD'!K38</f>
        <v>-16036.24</v>
      </c>
      <c r="H37" s="361"/>
      <c r="I37" s="361"/>
      <c r="J37" s="361">
        <f>-'Table 5C1A-Madison Prep'!Q38-'Table 5C1A-Madison Prep'!T38</f>
        <v>0</v>
      </c>
      <c r="K37" s="361">
        <f>-'Table 5C1B-DArbonne'!O38-'Table 5C1B-DArbonne'!R38</f>
        <v>0</v>
      </c>
      <c r="L37" s="361">
        <f>-'Table 5C1C-Intl_VIBE'!O38-'Table 5C1C-Intl_VIBE'!R38</f>
        <v>0</v>
      </c>
      <c r="M37" s="361">
        <f>-'Table 5C1D-NOMMA'!O38-'Table 5C1D-NOMMA'!R38</f>
        <v>0</v>
      </c>
      <c r="N37" s="361">
        <f>-'Table 5C1E-LFNO'!Q38-'Table 5C1E-LFNO'!T38</f>
        <v>0</v>
      </c>
      <c r="O37" s="361">
        <f>-'Table 5C1F-Lake Charles Charter'!O38-'Table 5C1F-Lake Charles Charter'!R38</f>
        <v>0</v>
      </c>
      <c r="P37" s="361">
        <f>-'Table 5C1G-JS Clark Academy'!O38-'Table 5C1G-JS Clark Academy'!R38</f>
        <v>0</v>
      </c>
      <c r="Q37" s="361">
        <f>-'Table 5C1H-Southwest LA Charter'!O38-'Table 5C1H-Southwest LA Charter'!R38</f>
        <v>0</v>
      </c>
      <c r="R37" s="361">
        <f>-'Table 5C1J-LA Key Academy'!O38+'Table 5C1J-LA Key Academy'!R38</f>
        <v>-40479</v>
      </c>
      <c r="S37" s="361">
        <f>-'Table 5C1K-Jefferson Chamber'!O38+'Table 5C1K-Jefferson Chamber'!R38</f>
        <v>0</v>
      </c>
      <c r="T37" s="361">
        <f>-'Table 5C1L-Tallulah Charter'!O38+'Table 5C1L-Tallulah Charter'!R38</f>
        <v>0</v>
      </c>
      <c r="U37" s="361">
        <f>-'Table 5C1M-Northshore Charter'!O38+'Table 5C1M-Northshore Charter'!R38</f>
        <v>0</v>
      </c>
      <c r="V37" s="361">
        <f>-'Table 5C1N-EBR Charter'!O38+'Table 5C1N-EBR Charter'!R38</f>
        <v>0</v>
      </c>
      <c r="W37" s="361">
        <f>-'Table 5C1O-Lake Charles HS'!O38+'Table 5C1O-Lake Charles HS'!R38</f>
        <v>0</v>
      </c>
      <c r="X37" s="361">
        <f>-'Table 5C1P-Delta Charter'!O38+'Table 5C1P-Delta Charter'!R38</f>
        <v>0</v>
      </c>
      <c r="Y37" s="361">
        <f>-'Table 5C2 - LA Virtual Admy'!P35-'Table 5C2 - LA Virtual Admy'!S35</f>
        <v>-59123.25</v>
      </c>
      <c r="Z37" s="361">
        <f>-'Table 5C3 - LA Connections EBR'!P35-'Table 5C3 - LA Connections EBR'!S35</f>
        <v>-142266</v>
      </c>
      <c r="AA37" s="361">
        <f>-'Table 5D1 - New Vision'!N38-'Table 5D1 - New Vision'!Q38</f>
        <v>0</v>
      </c>
      <c r="AB37" s="361">
        <f>-'Table 5D2 - Glencoe'!N38-'Table 5D2 - Glencoe'!Q38</f>
        <v>0</v>
      </c>
      <c r="AC37" s="361">
        <f>-'Table 5D3 - International'!P38-'Table 5D3 - International'!S38</f>
        <v>0</v>
      </c>
      <c r="AD37" s="361">
        <f>-'Table 5D4 - Avoyelles'!N38-'Table 5D4 - Avoyelles'!Q38</f>
        <v>0</v>
      </c>
      <c r="AE37" s="361">
        <f>-'Table 5D5 - Delhi'!N38-'Table 5D5 - Delhi'!Q38</f>
        <v>0</v>
      </c>
      <c r="AF37" s="361">
        <f>-'Table 5D6 - Milestone'!N38-'Table 5D6 - Milestone'!Q38</f>
        <v>0</v>
      </c>
      <c r="AG37" s="361">
        <f>-'Table 5D7 - Max'!N38-'Table 5D7 - Max'!Q38</f>
        <v>-1965</v>
      </c>
      <c r="AH37" s="361">
        <f>-'Table 5D8 - Belle Chasse'!P38-'Table 5D8 - Belle Chasse'!U38</f>
        <v>0</v>
      </c>
      <c r="AI37" s="361">
        <f>-'Table 5E_OJJ'!P38-'Table 5E_OJJ'!Q38</f>
        <v>-6518.6931843180218</v>
      </c>
      <c r="AJ37" s="361">
        <f>-('Table 5F Scholarships '!T433)</f>
        <v>-2956.9240530711804</v>
      </c>
      <c r="AK37" s="361">
        <f t="shared" si="27"/>
        <v>-327476.47723738919</v>
      </c>
      <c r="AL37" s="750">
        <f t="shared" si="28"/>
        <v>149489117.52276263</v>
      </c>
      <c r="AO37" s="49"/>
      <c r="AR37"/>
      <c r="BA37"/>
    </row>
    <row r="38" spans="1:53">
      <c r="A38" s="99">
        <v>33</v>
      </c>
      <c r="B38" s="301" t="s">
        <v>127</v>
      </c>
      <c r="C38" s="310">
        <f>'Table 2_State Distrib and Adjs'!AM39</f>
        <v>10624632</v>
      </c>
      <c r="D38" s="361">
        <f>-'Table 5A2 LSMSA'!M39</f>
        <v>0</v>
      </c>
      <c r="E38" s="361">
        <f>-'Table 5A3 NOCCA'!K39</f>
        <v>0</v>
      </c>
      <c r="F38" s="361">
        <f>-'Table 5A4_LSDVI'!K39</f>
        <v>-8248.5300000000007</v>
      </c>
      <c r="G38" s="361">
        <f>-'Table 5A5_SSD'!K39</f>
        <v>0</v>
      </c>
      <c r="H38" s="361"/>
      <c r="I38" s="361"/>
      <c r="J38" s="361">
        <f>-'Table 5C1A-Madison Prep'!Q39-'Table 5C1A-Madison Prep'!T39</f>
        <v>0</v>
      </c>
      <c r="K38" s="361">
        <f>-'Table 5C1B-DArbonne'!O39-'Table 5C1B-DArbonne'!R39</f>
        <v>0</v>
      </c>
      <c r="L38" s="361">
        <f>-'Table 5C1C-Intl_VIBE'!O39-'Table 5C1C-Intl_VIBE'!R39</f>
        <v>0</v>
      </c>
      <c r="M38" s="361">
        <f>-'Table 5C1D-NOMMA'!O39-'Table 5C1D-NOMMA'!R39</f>
        <v>0</v>
      </c>
      <c r="N38" s="361">
        <f>-'Table 5C1E-LFNO'!Q39-'Table 5C1E-LFNO'!T39</f>
        <v>0</v>
      </c>
      <c r="O38" s="361">
        <f>-'Table 5C1F-Lake Charles Charter'!O39-'Table 5C1F-Lake Charles Charter'!R39</f>
        <v>0</v>
      </c>
      <c r="P38" s="361">
        <f>-'Table 5C1G-JS Clark Academy'!O39-'Table 5C1G-JS Clark Academy'!R39</f>
        <v>0</v>
      </c>
      <c r="Q38" s="361">
        <f>-'Table 5C1H-Southwest LA Charter'!O39-'Table 5C1H-Southwest LA Charter'!R39</f>
        <v>0</v>
      </c>
      <c r="R38" s="361">
        <f>-'Table 5C1J-LA Key Academy'!O39+'Table 5C1J-LA Key Academy'!R39</f>
        <v>0</v>
      </c>
      <c r="S38" s="361">
        <f>-'Table 5C1K-Jefferson Chamber'!O39+'Table 5C1K-Jefferson Chamber'!R39</f>
        <v>0</v>
      </c>
      <c r="T38" s="361">
        <f>-'Table 5C1L-Tallulah Charter'!O39+'Table 5C1L-Tallulah Charter'!R39</f>
        <v>-731544</v>
      </c>
      <c r="U38" s="361">
        <f>-'Table 5C1M-Northshore Charter'!O39+'Table 5C1M-Northshore Charter'!R39</f>
        <v>0</v>
      </c>
      <c r="V38" s="361">
        <f>-'Table 5C1N-EBR Charter'!O39+'Table 5C1N-EBR Charter'!R39</f>
        <v>0</v>
      </c>
      <c r="W38" s="361">
        <f>-'Table 5C1O-Lake Charles HS'!O39+'Table 5C1O-Lake Charles HS'!R39</f>
        <v>0</v>
      </c>
      <c r="X38" s="361">
        <f>-'Table 5C1P-Delta Charter'!O39+'Table 5C1P-Delta Charter'!R39</f>
        <v>0</v>
      </c>
      <c r="Y38" s="361">
        <f>-'Table 5C2 - LA Virtual Admy'!P36-'Table 5C2 - LA Virtual Admy'!S36</f>
        <v>462.69999999999982</v>
      </c>
      <c r="Z38" s="361">
        <f>-'Table 5C3 - LA Connections EBR'!P36-'Table 5C3 - LA Connections EBR'!S36</f>
        <v>-9975.6</v>
      </c>
      <c r="AA38" s="361">
        <f>-'Table 5D1 - New Vision'!N39-'Table 5D1 - New Vision'!Q39</f>
        <v>0</v>
      </c>
      <c r="AB38" s="361">
        <f>-'Table 5D2 - Glencoe'!N39-'Table 5D2 - Glencoe'!Q39</f>
        <v>0</v>
      </c>
      <c r="AC38" s="361">
        <f>-'Table 5D3 - International'!P39-'Table 5D3 - International'!S39</f>
        <v>0</v>
      </c>
      <c r="AD38" s="361">
        <f>-'Table 5D4 - Avoyelles'!N39-'Table 5D4 - Avoyelles'!Q39</f>
        <v>0</v>
      </c>
      <c r="AE38" s="361">
        <f>-'Table 5D5 - Delhi'!N39-'Table 5D5 - Delhi'!Q39</f>
        <v>-387940</v>
      </c>
      <c r="AF38" s="361">
        <f>-'Table 5D6 - Milestone'!N39-'Table 5D6 - Milestone'!Q39</f>
        <v>0</v>
      </c>
      <c r="AG38" s="361">
        <f>-'Table 5D7 - Max'!N39-'Table 5D7 - Max'!Q39</f>
        <v>0</v>
      </c>
      <c r="AH38" s="361">
        <f>-'Table 5D8 - Belle Chasse'!P39-'Table 5D8 - Belle Chasse'!U39</f>
        <v>0</v>
      </c>
      <c r="AI38" s="361">
        <f>-'Table 5E_OJJ'!P39-'Table 5E_OJJ'!Q39</f>
        <v>-14101.664437660887</v>
      </c>
      <c r="AJ38" s="361">
        <v>0</v>
      </c>
      <c r="AK38" s="361">
        <f t="shared" ref="AK38:AK69" si="29">SUM(D38:AJ38)</f>
        <v>-1151347.0944376611</v>
      </c>
      <c r="AL38" s="750">
        <f t="shared" ref="AL38:AL74" si="30">SUM(C38:AJ38)</f>
        <v>9473284.9055623394</v>
      </c>
      <c r="AO38" s="49"/>
      <c r="AR38"/>
      <c r="BA38"/>
    </row>
    <row r="39" spans="1:53">
      <c r="A39" s="99">
        <v>34</v>
      </c>
      <c r="B39" s="301" t="s">
        <v>128</v>
      </c>
      <c r="C39" s="310">
        <f>'Table 2_State Distrib and Adjs'!AM40</f>
        <v>28060173</v>
      </c>
      <c r="D39" s="361">
        <f>-'Table 5A2 LSMSA'!M40</f>
        <v>-5739.9</v>
      </c>
      <c r="E39" s="361">
        <f>-'Table 5A3 NOCCA'!K40</f>
        <v>0</v>
      </c>
      <c r="F39" s="361">
        <f>-'Table 5A4_LSDVI'!K40</f>
        <v>0</v>
      </c>
      <c r="G39" s="361">
        <f>-'Table 5A5_SSD'!K40</f>
        <v>-2869.95</v>
      </c>
      <c r="H39" s="361"/>
      <c r="I39" s="361"/>
      <c r="J39" s="361">
        <f>-'Table 5C1A-Madison Prep'!Q40-'Table 5C1A-Madison Prep'!T40</f>
        <v>0</v>
      </c>
      <c r="K39" s="361">
        <f>-'Table 5C1B-DArbonne'!O40-'Table 5C1B-DArbonne'!R40</f>
        <v>0</v>
      </c>
      <c r="L39" s="361">
        <f>-'Table 5C1C-Intl_VIBE'!O40-'Table 5C1C-Intl_VIBE'!R40</f>
        <v>0</v>
      </c>
      <c r="M39" s="361">
        <f>-'Table 5C1D-NOMMA'!O40-'Table 5C1D-NOMMA'!R40</f>
        <v>0</v>
      </c>
      <c r="N39" s="361">
        <f>-'Table 5C1E-LFNO'!Q40-'Table 5C1E-LFNO'!T40</f>
        <v>0</v>
      </c>
      <c r="O39" s="361">
        <f>-'Table 5C1F-Lake Charles Charter'!O40-'Table 5C1F-Lake Charles Charter'!R40</f>
        <v>0</v>
      </c>
      <c r="P39" s="361">
        <f>-'Table 5C1G-JS Clark Academy'!O40-'Table 5C1G-JS Clark Academy'!R40</f>
        <v>0</v>
      </c>
      <c r="Q39" s="361">
        <f>-'Table 5C1H-Southwest LA Charter'!O40-'Table 5C1H-Southwest LA Charter'!R40</f>
        <v>0</v>
      </c>
      <c r="R39" s="361">
        <f>-'Table 5C1J-LA Key Academy'!O40+'Table 5C1J-LA Key Academy'!R40</f>
        <v>0</v>
      </c>
      <c r="S39" s="361">
        <f>-'Table 5C1K-Jefferson Chamber'!O40+'Table 5C1K-Jefferson Chamber'!R40</f>
        <v>0</v>
      </c>
      <c r="T39" s="361">
        <f>-'Table 5C1L-Tallulah Charter'!O40+'Table 5C1L-Tallulah Charter'!R40</f>
        <v>0</v>
      </c>
      <c r="U39" s="361">
        <f>-'Table 5C1M-Northshore Charter'!O40+'Table 5C1M-Northshore Charter'!R40</f>
        <v>0</v>
      </c>
      <c r="V39" s="361">
        <f>-'Table 5C1N-EBR Charter'!O40+'Table 5C1N-EBR Charter'!R40</f>
        <v>0</v>
      </c>
      <c r="W39" s="361">
        <f>-'Table 5C1O-Lake Charles HS'!O40+'Table 5C1O-Lake Charles HS'!R40</f>
        <v>0</v>
      </c>
      <c r="X39" s="361">
        <f>-'Table 5C1P-Delta Charter'!O40+'Table 5C1P-Delta Charter'!R40</f>
        <v>0</v>
      </c>
      <c r="Y39" s="361">
        <f>-'Table 5C2 - LA Virtual Admy'!P37-'Table 5C2 - LA Virtual Admy'!S37</f>
        <v>-38449.350000000006</v>
      </c>
      <c r="Z39" s="361">
        <f>-'Table 5C3 - LA Connections EBR'!P37-'Table 5C3 - LA Connections EBR'!S37</f>
        <v>-17375.400000000001</v>
      </c>
      <c r="AA39" s="361">
        <f>-'Table 5D1 - New Vision'!N40-'Table 5D1 - New Vision'!Q40</f>
        <v>-22064</v>
      </c>
      <c r="AB39" s="361">
        <f>-'Table 5D2 - Glencoe'!N40-'Table 5D2 - Glencoe'!Q40</f>
        <v>0</v>
      </c>
      <c r="AC39" s="361">
        <f>-'Table 5D3 - International'!P40-'Table 5D3 - International'!S40</f>
        <v>0</v>
      </c>
      <c r="AD39" s="361">
        <f>-'Table 5D4 - Avoyelles'!N40-'Table 5D4 - Avoyelles'!Q40</f>
        <v>0</v>
      </c>
      <c r="AE39" s="361">
        <f>-'Table 5D5 - Delhi'!N40-'Table 5D5 - Delhi'!Q40</f>
        <v>-5516</v>
      </c>
      <c r="AF39" s="361">
        <f>-'Table 5D6 - Milestone'!N40-'Table 5D6 - Milestone'!Q40</f>
        <v>0</v>
      </c>
      <c r="AG39" s="361">
        <f>-'Table 5D7 - Max'!N40-'Table 5D7 - Max'!Q40</f>
        <v>0</v>
      </c>
      <c r="AH39" s="361">
        <f>-'Table 5D8 - Belle Chasse'!P40-'Table 5D8 - Belle Chasse'!U40</f>
        <v>0</v>
      </c>
      <c r="AI39" s="361">
        <f>-'Table 5E_OJJ'!P40-'Table 5E_OJJ'!Q40</f>
        <v>-5959.817150699997</v>
      </c>
      <c r="AJ39" s="361">
        <f>-('Table 5F Scholarships '!T438)</f>
        <v>-8386.932464109148</v>
      </c>
      <c r="AK39" s="361">
        <f t="shared" si="29"/>
        <v>-106361.34961480915</v>
      </c>
      <c r="AL39" s="750">
        <f t="shared" si="30"/>
        <v>27953811.650385194</v>
      </c>
      <c r="AO39" s="49"/>
      <c r="AR39"/>
      <c r="BA39"/>
    </row>
    <row r="40" spans="1:53">
      <c r="A40" s="100">
        <v>35</v>
      </c>
      <c r="B40" s="302" t="s">
        <v>129</v>
      </c>
      <c r="C40" s="319">
        <f>'Table 2_State Distrib and Adjs'!AM41</f>
        <v>32991464</v>
      </c>
      <c r="D40" s="362">
        <f>-'Table 5A2 LSMSA'!M41</f>
        <v>-46789.47</v>
      </c>
      <c r="E40" s="362">
        <f>-'Table 5A3 NOCCA'!K41</f>
        <v>0</v>
      </c>
      <c r="F40" s="362">
        <f>-'Table 5A4_LSDVI'!K41</f>
        <v>-10797.57</v>
      </c>
      <c r="G40" s="362">
        <f>-'Table 5A5_SSD'!K41</f>
        <v>-21595.14</v>
      </c>
      <c r="H40" s="362"/>
      <c r="I40" s="362"/>
      <c r="J40" s="362">
        <f>-'Table 5C1A-Madison Prep'!Q41-'Table 5C1A-Madison Prep'!T41</f>
        <v>0</v>
      </c>
      <c r="K40" s="362">
        <f>-'Table 5C1B-DArbonne'!O41-'Table 5C1B-DArbonne'!R41</f>
        <v>0</v>
      </c>
      <c r="L40" s="362">
        <f>-'Table 5C1C-Intl_VIBE'!O41-'Table 5C1C-Intl_VIBE'!R41</f>
        <v>0</v>
      </c>
      <c r="M40" s="362">
        <f>-'Table 5C1D-NOMMA'!O41-'Table 5C1D-NOMMA'!R41</f>
        <v>0</v>
      </c>
      <c r="N40" s="362">
        <f>-'Table 5C1E-LFNO'!Q41-'Table 5C1E-LFNO'!T41</f>
        <v>0</v>
      </c>
      <c r="O40" s="362">
        <f>-'Table 5C1F-Lake Charles Charter'!O41-'Table 5C1F-Lake Charles Charter'!R41</f>
        <v>0</v>
      </c>
      <c r="P40" s="362">
        <f>-'Table 5C1G-JS Clark Academy'!O41-'Table 5C1G-JS Clark Academy'!R41</f>
        <v>0</v>
      </c>
      <c r="Q40" s="362">
        <f>-'Table 5C1H-Southwest LA Charter'!O41-'Table 5C1H-Southwest LA Charter'!R41</f>
        <v>0</v>
      </c>
      <c r="R40" s="362">
        <f>-'Table 5C1J-LA Key Academy'!O41+'Table 5C1J-LA Key Academy'!R41</f>
        <v>0</v>
      </c>
      <c r="S40" s="362">
        <f>-'Table 5C1K-Jefferson Chamber'!O41+'Table 5C1K-Jefferson Chamber'!R41</f>
        <v>0</v>
      </c>
      <c r="T40" s="362">
        <f>-'Table 5C1L-Tallulah Charter'!O41+'Table 5C1L-Tallulah Charter'!R41</f>
        <v>0</v>
      </c>
      <c r="U40" s="362">
        <f>-'Table 5C1M-Northshore Charter'!O41+'Table 5C1M-Northshore Charter'!R41</f>
        <v>0</v>
      </c>
      <c r="V40" s="362">
        <f>-'Table 5C1N-EBR Charter'!O41+'Table 5C1N-EBR Charter'!R41</f>
        <v>0</v>
      </c>
      <c r="W40" s="362">
        <f>-'Table 5C1O-Lake Charles HS'!O41+'Table 5C1O-Lake Charles HS'!R41</f>
        <v>0</v>
      </c>
      <c r="X40" s="362">
        <f>-'Table 5C1P-Delta Charter'!O41+'Table 5C1P-Delta Charter'!R41</f>
        <v>0</v>
      </c>
      <c r="Y40" s="362">
        <f>-'Table 5C2 - LA Virtual Admy'!P38-'Table 5C2 - LA Virtual Admy'!S38</f>
        <v>-59375.700000000004</v>
      </c>
      <c r="Z40" s="362">
        <f>-'Table 5C3 - LA Connections EBR'!P38-'Table 5C3 - LA Connections EBR'!S38</f>
        <v>-51883.200000000004</v>
      </c>
      <c r="AA40" s="362">
        <f>-'Table 5D1 - New Vision'!N41-'Table 5D1 - New Vision'!Q41</f>
        <v>0</v>
      </c>
      <c r="AB40" s="362">
        <f>-'Table 5D2 - Glencoe'!N41-'Table 5D2 - Glencoe'!Q41</f>
        <v>0</v>
      </c>
      <c r="AC40" s="362">
        <f>-'Table 5D3 - International'!P41-'Table 5D3 - International'!S41</f>
        <v>0</v>
      </c>
      <c r="AD40" s="362">
        <f>-'Table 5D4 - Avoyelles'!N41-'Table 5D4 - Avoyelles'!Q41</f>
        <v>0</v>
      </c>
      <c r="AE40" s="362">
        <f>-'Table 5D5 - Delhi'!N41-'Table 5D5 - Delhi'!Q41</f>
        <v>0</v>
      </c>
      <c r="AF40" s="362">
        <f>-'Table 5D6 - Milestone'!N41-'Table 5D6 - Milestone'!Q41</f>
        <v>0</v>
      </c>
      <c r="AG40" s="362">
        <f>-'Table 5D7 - Max'!N41-'Table 5D7 - Max'!Q41</f>
        <v>0</v>
      </c>
      <c r="AH40" s="362">
        <f>-'Table 5D8 - Belle Chasse'!P41-'Table 5D8 - Belle Chasse'!U41</f>
        <v>0</v>
      </c>
      <c r="AI40" s="362">
        <f>-'Table 5E_OJJ'!P41-'Table 5E_OJJ'!Q41</f>
        <v>-4663.6211943831868</v>
      </c>
      <c r="AJ40" s="362">
        <f>-('Table 5F Scholarships '!T441)</f>
        <v>-4402.8097152513801</v>
      </c>
      <c r="AK40" s="362">
        <f t="shared" si="29"/>
        <v>-199507.51090963458</v>
      </c>
      <c r="AL40" s="751">
        <f t="shared" si="30"/>
        <v>32791956.489090364</v>
      </c>
      <c r="AO40" s="49"/>
      <c r="AR40"/>
      <c r="BA40"/>
    </row>
    <row r="41" spans="1:53">
      <c r="A41" s="99">
        <v>36</v>
      </c>
      <c r="B41" s="301" t="s">
        <v>130</v>
      </c>
      <c r="C41" s="310">
        <f>'Table 2_State Distrib and Adjs'!AM42</f>
        <v>48740447</v>
      </c>
      <c r="D41" s="361">
        <f>-'Table 5A2 LSMSA'!M42</f>
        <v>-24899.58</v>
      </c>
      <c r="E41" s="361">
        <f>-'Table 5A3 NOCCA'!K42</f>
        <v>-215796.36000000002</v>
      </c>
      <c r="F41" s="361">
        <f>-'Table 5A4_LSDVI'!K42</f>
        <v>-45649.23</v>
      </c>
      <c r="G41" s="361">
        <f>-'Table 5A5_SSD'!K42</f>
        <v>-116198.04000000001</v>
      </c>
      <c r="H41" s="361"/>
      <c r="I41" s="1076">
        <f>-'Table 5B1_RSD_Orleans'!L70-'Table 5B1_RSD_Orleans'!Q70</f>
        <v>-114325066</v>
      </c>
      <c r="J41" s="361">
        <f>-'Table 5C1A-Madison Prep'!Q42-'Table 5C1A-Madison Prep'!T42</f>
        <v>0</v>
      </c>
      <c r="K41" s="361">
        <f>-'Table 5C1B-DArbonne'!O42-'Table 5C1B-DArbonne'!R42</f>
        <v>0</v>
      </c>
      <c r="L41" s="361">
        <f>-'Table 5C1C-Intl_VIBE'!O42-'Table 5C1C-Intl_VIBE'!R42</f>
        <v>-1516594</v>
      </c>
      <c r="M41" s="361">
        <f>-'Table 5C1D-NOMMA'!O42-'Table 5C1D-NOMMA'!R42</f>
        <v>-478504</v>
      </c>
      <c r="N41" s="361">
        <f>-'Table 5C1E-LFNO'!Q42-'Table 5C1E-LFNO'!T42</f>
        <v>-671746</v>
      </c>
      <c r="O41" s="361">
        <f>-'Table 5C1F-Lake Charles Charter'!O42-'Table 5C1F-Lake Charles Charter'!R42</f>
        <v>0</v>
      </c>
      <c r="P41" s="361">
        <f>-'Table 5C1G-JS Clark Academy'!O42-'Table 5C1G-JS Clark Academy'!R42</f>
        <v>0</v>
      </c>
      <c r="Q41" s="361">
        <f>-'Table 5C1H-Southwest LA Charter'!O42-'Table 5C1H-Southwest LA Charter'!R42</f>
        <v>0</v>
      </c>
      <c r="R41" s="361">
        <f>-'Table 5C1J-LA Key Academy'!O42+'Table 5C1J-LA Key Academy'!R42</f>
        <v>0</v>
      </c>
      <c r="S41" s="361">
        <f>-'Table 5C1K-Jefferson Chamber'!O42+'Table 5C1K-Jefferson Chamber'!R42</f>
        <v>-27606</v>
      </c>
      <c r="T41" s="361">
        <f>-'Table 5C1L-Tallulah Charter'!O42+'Table 5C1L-Tallulah Charter'!R42</f>
        <v>0</v>
      </c>
      <c r="U41" s="361">
        <f>-'Table 5C1M-Northshore Charter'!O42+'Table 5C1M-Northshore Charter'!R42</f>
        <v>0</v>
      </c>
      <c r="V41" s="361">
        <f>-'Table 5C1N-EBR Charter'!O42+'Table 5C1N-EBR Charter'!R42</f>
        <v>0</v>
      </c>
      <c r="W41" s="361">
        <f>-'Table 5C1O-Lake Charles HS'!O42+'Table 5C1O-Lake Charles HS'!R42</f>
        <v>0</v>
      </c>
      <c r="X41" s="361">
        <f>-'Table 5C1P-Delta Charter'!O42+'Table 5C1P-Delta Charter'!R42</f>
        <v>0</v>
      </c>
      <c r="Y41" s="361">
        <f>-'Table 5C2 - LA Virtual Admy'!P39-'Table 5C2 - LA Virtual Admy'!S39</f>
        <v>-211196.00000000003</v>
      </c>
      <c r="Z41" s="361">
        <f>-'Table 5C3 - LA Connections EBR'!P39-'Table 5C3 - LA Connections EBR'!S39</f>
        <v>-178058.7</v>
      </c>
      <c r="AA41" s="361">
        <f>-'Table 5D1 - New Vision'!N42-'Table 5D1 - New Vision'!Q42</f>
        <v>0</v>
      </c>
      <c r="AB41" s="361">
        <f>-'Table 5D2 - Glencoe'!N42-'Table 5D2 - Glencoe'!Q42</f>
        <v>0</v>
      </c>
      <c r="AC41" s="361">
        <f>-'Table 5D3 - International'!P42-'Table 5D3 - International'!S42</f>
        <v>-1834843</v>
      </c>
      <c r="AD41" s="361">
        <f>-'Table 5D4 - Avoyelles'!N42-'Table 5D4 - Avoyelles'!Q42</f>
        <v>0</v>
      </c>
      <c r="AE41" s="361">
        <f>-'Table 5D5 - Delhi'!N42-'Table 5D5 - Delhi'!Q42</f>
        <v>0</v>
      </c>
      <c r="AF41" s="361">
        <f>-'Table 5D6 - Milestone'!N42-'Table 5D6 - Milestone'!Q42</f>
        <v>-1564340</v>
      </c>
      <c r="AG41" s="361">
        <f>-'Table 5D7 - Max'!N42-'Table 5D7 - Max'!Q42</f>
        <v>0</v>
      </c>
      <c r="AH41" s="361">
        <f>-'Table 5D8 - Belle Chasse'!P42-'Table 5D8 - Belle Chasse'!U42</f>
        <v>-588928</v>
      </c>
      <c r="AI41" s="361">
        <f>-'Table 5E_OJJ'!P42-'Table 5E_OJJ'!Q42</f>
        <v>-137592.32512371617</v>
      </c>
      <c r="AJ41" s="1147">
        <f>-('Table 5F Scholarships '!T684)</f>
        <v>-6566467.4442478698</v>
      </c>
      <c r="AK41" s="1147">
        <f t="shared" si="29"/>
        <v>-128503484.67937158</v>
      </c>
      <c r="AL41" s="750">
        <f t="shared" si="30"/>
        <v>-79763037.67937158</v>
      </c>
      <c r="AN41" s="1134"/>
      <c r="AO41" s="49"/>
      <c r="AP41" s="1134"/>
      <c r="AR41"/>
      <c r="BA41"/>
    </row>
    <row r="42" spans="1:53">
      <c r="A42" s="99">
        <v>37</v>
      </c>
      <c r="B42" s="301" t="s">
        <v>131</v>
      </c>
      <c r="C42" s="310">
        <f>'Table 2_State Distrib and Adjs'!AM43</f>
        <v>119969267</v>
      </c>
      <c r="D42" s="361">
        <f>-'Table 5A2 LSMSA'!M43</f>
        <v>-17141.88</v>
      </c>
      <c r="E42" s="361">
        <f>-'Table 5A3 NOCCA'!K43</f>
        <v>0</v>
      </c>
      <c r="F42" s="361">
        <f>-'Table 5A4_LSDVI'!K43</f>
        <v>-11427.92</v>
      </c>
      <c r="G42" s="361">
        <f>-'Table 5A5_SSD'!K43</f>
        <v>-28569.8</v>
      </c>
      <c r="H42" s="361"/>
      <c r="I42" s="361"/>
      <c r="J42" s="361">
        <f>-'Table 5C1A-Madison Prep'!Q43-'Table 5C1A-Madison Prep'!T43</f>
        <v>0</v>
      </c>
      <c r="K42" s="361">
        <f>-'Table 5C1B-DArbonne'!O43-'Table 5C1B-DArbonne'!R43</f>
        <v>-9297</v>
      </c>
      <c r="L42" s="361">
        <f>-'Table 5C1C-Intl_VIBE'!O43-'Table 5C1C-Intl_VIBE'!R43</f>
        <v>0</v>
      </c>
      <c r="M42" s="49">
        <f>-'Table 5C1D-NOMMA'!O43-'Table 5C1D-NOMMA'!R43</f>
        <v>0</v>
      </c>
      <c r="N42" s="361">
        <f>-'Table 5C1E-LFNO'!Q43-'Table 5C1E-LFNO'!T43</f>
        <v>0</v>
      </c>
      <c r="O42" s="361">
        <f>-'Table 5C1F-Lake Charles Charter'!O43-'Table 5C1F-Lake Charles Charter'!R43</f>
        <v>0</v>
      </c>
      <c r="P42" s="361">
        <f>-'Table 5C1G-JS Clark Academy'!O43-'Table 5C1G-JS Clark Academy'!R43</f>
        <v>0</v>
      </c>
      <c r="Q42" s="361">
        <f>-'Table 5C1H-Southwest LA Charter'!O43-'Table 5C1H-Southwest LA Charter'!R43</f>
        <v>0</v>
      </c>
      <c r="R42" s="361">
        <f>-'Table 5C1J-LA Key Academy'!O43+'Table 5C1J-LA Key Academy'!R43</f>
        <v>0</v>
      </c>
      <c r="S42" s="361">
        <f>-'Table 5C1K-Jefferson Chamber'!O43+'Table 5C1K-Jefferson Chamber'!R43</f>
        <v>0</v>
      </c>
      <c r="T42" s="361">
        <f>-'Table 5C1L-Tallulah Charter'!O43+'Table 5C1L-Tallulah Charter'!R43</f>
        <v>0</v>
      </c>
      <c r="U42" s="361">
        <f>-'Table 5C1M-Northshore Charter'!O43+'Table 5C1M-Northshore Charter'!R43</f>
        <v>0</v>
      </c>
      <c r="V42" s="361">
        <f>-'Table 5C1N-EBR Charter'!O43+'Table 5C1N-EBR Charter'!R43</f>
        <v>0</v>
      </c>
      <c r="W42" s="361">
        <f>-'Table 5C1O-Lake Charles HS'!O43+'Table 5C1O-Lake Charles HS'!R43</f>
        <v>0</v>
      </c>
      <c r="X42" s="361">
        <f>-'Table 5C1P-Delta Charter'!O43+'Table 5C1P-Delta Charter'!R43</f>
        <v>0</v>
      </c>
      <c r="Y42" s="361">
        <f>-'Table 5C2 - LA Virtual Admy'!P40-'Table 5C2 - LA Virtual Admy'!S40</f>
        <v>-111377.7</v>
      </c>
      <c r="Z42" s="361">
        <f>-'Table 5C3 - LA Connections EBR'!P40-'Table 5C3 - LA Connections EBR'!S40</f>
        <v>-41216.699999999997</v>
      </c>
      <c r="AA42" s="361">
        <f>-'Table 5D1 - New Vision'!N43-'Table 5D1 - New Vision'!Q43</f>
        <v>-378078</v>
      </c>
      <c r="AB42" s="361">
        <f>-'Table 5D2 - Glencoe'!N43-'Table 5D2 - Glencoe'!Q43</f>
        <v>0</v>
      </c>
      <c r="AC42" s="361">
        <f>-'Table 5D3 - International'!P43-'Table 5D3 - International'!S43</f>
        <v>0</v>
      </c>
      <c r="AD42" s="361">
        <f>-'Table 5D4 - Avoyelles'!N43-'Table 5D4 - Avoyelles'!Q43</f>
        <v>0</v>
      </c>
      <c r="AE42" s="361">
        <f>-'Table 5D5 - Delhi'!N43-'Table 5D5 - Delhi'!Q43</f>
        <v>-9297</v>
      </c>
      <c r="AF42" s="361">
        <f>-'Table 5D6 - Milestone'!N43-'Table 5D6 - Milestone'!Q43</f>
        <v>0</v>
      </c>
      <c r="AG42" s="361">
        <f>-'Table 5D7 - Max'!N43-'Table 5D7 - Max'!Q43</f>
        <v>0</v>
      </c>
      <c r="AH42" s="361">
        <f>-'Table 5D8 - Belle Chasse'!P43-'Table 5D8 - Belle Chasse'!U43</f>
        <v>0</v>
      </c>
      <c r="AI42" s="361">
        <f>-'Table 5E_OJJ'!P43-'Table 5E_OJJ'!Q43</f>
        <v>-7555.6504161351113</v>
      </c>
      <c r="AJ42" s="361">
        <f>-('Table 5F Scholarships '!T705)</f>
        <v>-97864.209328192694</v>
      </c>
      <c r="AK42" s="361">
        <f t="shared" si="29"/>
        <v>-711825.85974432784</v>
      </c>
      <c r="AL42" s="750">
        <f t="shared" si="30"/>
        <v>119257441.14025567</v>
      </c>
      <c r="AN42" s="1134"/>
      <c r="AO42" s="49"/>
      <c r="AP42" s="1134"/>
      <c r="AR42"/>
      <c r="BA42"/>
    </row>
    <row r="43" spans="1:53">
      <c r="A43" s="99">
        <v>38</v>
      </c>
      <c r="B43" s="301" t="s">
        <v>132</v>
      </c>
      <c r="C43" s="310">
        <f>'Table 2_State Distrib and Adjs'!AM44</f>
        <v>11044237</v>
      </c>
      <c r="D43" s="361">
        <f>-'Table 5A2 LSMSA'!M44</f>
        <v>-12175.58</v>
      </c>
      <c r="E43" s="361">
        <f>-'Table 5A3 NOCCA'!K44</f>
        <v>-6087.79</v>
      </c>
      <c r="F43" s="361">
        <f>-'Table 5A4_LSDVI'!K44</f>
        <v>0</v>
      </c>
      <c r="G43" s="361">
        <f>-'Table 5A5_SSD'!K44</f>
        <v>0</v>
      </c>
      <c r="H43" s="361"/>
      <c r="I43" s="361"/>
      <c r="J43" s="361">
        <f>-'Table 5C1A-Madison Prep'!Q44-'Table 5C1A-Madison Prep'!T44</f>
        <v>0</v>
      </c>
      <c r="K43" s="361">
        <f>-'Table 5C1B-DArbonne'!O44-'Table 5C1B-DArbonne'!R44</f>
        <v>0</v>
      </c>
      <c r="L43" s="361">
        <f>-'Table 5C1C-Intl_VIBE'!O44-'Table 5C1C-Intl_VIBE'!R44</f>
        <v>0</v>
      </c>
      <c r="M43" s="361">
        <f>-'Table 5C1D-NOMMA'!O44-'Table 5C1D-NOMMA'!R44</f>
        <v>-77392</v>
      </c>
      <c r="N43" s="361">
        <f>-'Table 5C1E-LFNO'!Q44-'Table 5C1E-LFNO'!T44</f>
        <v>-29022</v>
      </c>
      <c r="O43" s="361">
        <f>-'Table 5C1F-Lake Charles Charter'!O44-'Table 5C1F-Lake Charles Charter'!R44</f>
        <v>0</v>
      </c>
      <c r="P43" s="361">
        <f>-'Table 5C1G-JS Clark Academy'!O44-'Table 5C1G-JS Clark Academy'!R44</f>
        <v>0</v>
      </c>
      <c r="Q43" s="361">
        <f>-'Table 5C1H-Southwest LA Charter'!O44-'Table 5C1H-Southwest LA Charter'!R44</f>
        <v>0</v>
      </c>
      <c r="R43" s="361">
        <f>-'Table 5C1J-LA Key Academy'!O44+'Table 5C1J-LA Key Academy'!R44</f>
        <v>0</v>
      </c>
      <c r="S43" s="361">
        <f>-'Table 5C1K-Jefferson Chamber'!O44+'Table 5C1K-Jefferson Chamber'!R44</f>
        <v>0</v>
      </c>
      <c r="T43" s="361">
        <f>-'Table 5C1L-Tallulah Charter'!O44+'Table 5C1L-Tallulah Charter'!R44</f>
        <v>0</v>
      </c>
      <c r="U43" s="361">
        <f>-'Table 5C1M-Northshore Charter'!O44+'Table 5C1M-Northshore Charter'!R44</f>
        <v>0</v>
      </c>
      <c r="V43" s="361">
        <f>-'Table 5C1N-EBR Charter'!O44+'Table 5C1N-EBR Charter'!R44</f>
        <v>0</v>
      </c>
      <c r="W43" s="361">
        <f>-'Table 5C1O-Lake Charles HS'!O44+'Table 5C1O-Lake Charles HS'!R44</f>
        <v>0</v>
      </c>
      <c r="X43" s="361">
        <f>-'Table 5C1P-Delta Charter'!O44+'Table 5C1P-Delta Charter'!R44</f>
        <v>0</v>
      </c>
      <c r="Y43" s="361">
        <f>-'Table 5C2 - LA Virtual Admy'!P41-'Table 5C2 - LA Virtual Admy'!S41</f>
        <v>-21946.400000000001</v>
      </c>
      <c r="Z43" s="361">
        <f>-'Table 5C3 - LA Connections EBR'!P41-'Table 5C3 - LA Connections EBR'!S41</f>
        <v>-52239.600000000006</v>
      </c>
      <c r="AA43" s="361">
        <f>-'Table 5D1 - New Vision'!N44-'Table 5D1 - New Vision'!Q44</f>
        <v>0</v>
      </c>
      <c r="AB43" s="361">
        <f>-'Table 5D2 - Glencoe'!N44-'Table 5D2 - Glencoe'!Q44</f>
        <v>0</v>
      </c>
      <c r="AC43" s="361">
        <f>-'Table 5D3 - International'!P44-'Table 5D3 - International'!S44</f>
        <v>-9674</v>
      </c>
      <c r="AD43" s="361">
        <f>-'Table 5D4 - Avoyelles'!N44-'Table 5D4 - Avoyelles'!Q44</f>
        <v>0</v>
      </c>
      <c r="AE43" s="361">
        <f>-'Table 5D5 - Delhi'!N44-'Table 5D5 - Delhi'!Q44</f>
        <v>0</v>
      </c>
      <c r="AF43" s="361">
        <f>-'Table 5D6 - Milestone'!N44-'Table 5D6 - Milestone'!Q44</f>
        <v>0</v>
      </c>
      <c r="AG43" s="361">
        <f>-'Table 5D7 - Max'!N44-'Table 5D7 - Max'!Q44</f>
        <v>0</v>
      </c>
      <c r="AH43" s="361">
        <f>-'Table 5D8 - Belle Chasse'!P44-'Table 5D8 - Belle Chasse'!U44</f>
        <v>-677180</v>
      </c>
      <c r="AI43" s="361">
        <f>-'Table 5E_OJJ'!P44-'Table 5E_OJJ'!Q44</f>
        <v>-3002.3076226734838</v>
      </c>
      <c r="AJ43" s="361">
        <f>-('Table 5F Scholarships '!T707)</f>
        <v>-2203.139450583396</v>
      </c>
      <c r="AK43" s="361">
        <f t="shared" si="29"/>
        <v>-890922.81707325683</v>
      </c>
      <c r="AL43" s="750">
        <f t="shared" si="30"/>
        <v>10153314.182926744</v>
      </c>
      <c r="AN43" s="1134"/>
      <c r="AO43" s="49"/>
      <c r="AP43" s="1134"/>
      <c r="AR43"/>
      <c r="BA43"/>
    </row>
    <row r="44" spans="1:53">
      <c r="A44" s="99">
        <v>39</v>
      </c>
      <c r="B44" s="301" t="s">
        <v>133</v>
      </c>
      <c r="C44" s="310">
        <f>'Table 2_State Distrib and Adjs'!AM45</f>
        <v>11443170</v>
      </c>
      <c r="D44" s="361">
        <f>-'Table 5A2 LSMSA'!M45</f>
        <v>-26521.739999999998</v>
      </c>
      <c r="E44" s="361">
        <f>-'Table 5A3 NOCCA'!K45</f>
        <v>0</v>
      </c>
      <c r="F44" s="361">
        <f>-'Table 5A4_LSDVI'!K45</f>
        <v>-26521.739999999998</v>
      </c>
      <c r="G44" s="361">
        <f>-'Table 5A5_SSD'!K45</f>
        <v>-4420.29</v>
      </c>
      <c r="H44" s="361">
        <f>-'Table 5B2_RSD_LA'!Q23-'Table 5B2_RSD_LA'!V23</f>
        <v>-949205</v>
      </c>
      <c r="I44" s="361"/>
      <c r="J44" s="361">
        <f>-'Table 5C1A-Madison Prep'!Q45-'Table 5C1A-Madison Prep'!T45</f>
        <v>0</v>
      </c>
      <c r="K44" s="361">
        <f>-'Table 5C1B-DArbonne'!O45-'Table 5C1B-DArbonne'!R45</f>
        <v>0</v>
      </c>
      <c r="L44" s="361">
        <f>-'Table 5C1C-Intl_VIBE'!O45-'Table 5C1C-Intl_VIBE'!R45</f>
        <v>0</v>
      </c>
      <c r="M44" s="361">
        <f>-'Table 5C1D-NOMMA'!O45-'Table 5C1D-NOMMA'!R45</f>
        <v>0</v>
      </c>
      <c r="N44" s="361">
        <f>-'Table 5C1E-LFNO'!Q45-'Table 5C1E-LFNO'!T45</f>
        <v>0</v>
      </c>
      <c r="O44" s="361">
        <f>-'Table 5C1F-Lake Charles Charter'!O45-'Table 5C1F-Lake Charles Charter'!R45</f>
        <v>0</v>
      </c>
      <c r="P44" s="361">
        <f>-'Table 5C1G-JS Clark Academy'!O45-'Table 5C1G-JS Clark Academy'!R45</f>
        <v>0</v>
      </c>
      <c r="Q44" s="361">
        <f>-'Table 5C1H-Southwest LA Charter'!O45-'Table 5C1H-Southwest LA Charter'!R45</f>
        <v>0</v>
      </c>
      <c r="R44" s="361">
        <f>-'Table 5C1J-LA Key Academy'!O45+'Table 5C1J-LA Key Academy'!R45</f>
        <v>-88106.200000000012</v>
      </c>
      <c r="S44" s="361">
        <f>-'Table 5C1K-Jefferson Chamber'!O45+'Table 5C1K-Jefferson Chamber'!R45</f>
        <v>0</v>
      </c>
      <c r="T44" s="361">
        <f>-'Table 5C1L-Tallulah Charter'!O45+'Table 5C1L-Tallulah Charter'!R45</f>
        <v>0</v>
      </c>
      <c r="U44" s="361">
        <f>-'Table 5C1M-Northshore Charter'!O45+'Table 5C1M-Northshore Charter'!R45</f>
        <v>0</v>
      </c>
      <c r="V44" s="361">
        <f>-'Table 5C1N-EBR Charter'!O45+'Table 5C1N-EBR Charter'!R45</f>
        <v>0</v>
      </c>
      <c r="W44" s="361">
        <f>-'Table 5C1O-Lake Charles HS'!O45+'Table 5C1O-Lake Charles HS'!R45</f>
        <v>0</v>
      </c>
      <c r="X44" s="361">
        <f>-'Table 5C1P-Delta Charter'!O45+'Table 5C1P-Delta Charter'!R45</f>
        <v>0</v>
      </c>
      <c r="Y44" s="361">
        <f>-'Table 5C2 - LA Virtual Admy'!P42-'Table 5C2 - LA Virtual Admy'!S42</f>
        <v>-12244.7</v>
      </c>
      <c r="Z44" s="361">
        <f>-'Table 5C3 - LA Connections EBR'!P42-'Table 5C3 - LA Connections EBR'!S42</f>
        <v>-23523.5</v>
      </c>
      <c r="AA44" s="361">
        <f>-'Table 5D1 - New Vision'!N45-'Table 5D1 - New Vision'!Q45</f>
        <v>0</v>
      </c>
      <c r="AB44" s="361">
        <f>-'Table 5D2 - Glencoe'!N45-'Table 5D2 - Glencoe'!Q45</f>
        <v>0</v>
      </c>
      <c r="AC44" s="361">
        <f>-'Table 5D3 - International'!P45-'Table 5D3 - International'!S45</f>
        <v>0</v>
      </c>
      <c r="AD44" s="361">
        <f>-'Table 5D4 - Avoyelles'!N45-'Table 5D4 - Avoyelles'!Q45</f>
        <v>-4277</v>
      </c>
      <c r="AE44" s="361">
        <f>-'Table 5D5 - Delhi'!N45-'Table 5D5 - Delhi'!Q45</f>
        <v>0</v>
      </c>
      <c r="AF44" s="361">
        <f>-'Table 5D6 - Milestone'!N45-'Table 5D6 - Milestone'!Q45</f>
        <v>0</v>
      </c>
      <c r="AG44" s="361">
        <f>-'Table 5D7 - Max'!N45-'Table 5D7 - Max'!Q45</f>
        <v>0</v>
      </c>
      <c r="AH44" s="361">
        <f>-'Table 5D8 - Belle Chasse'!P45-'Table 5D8 - Belle Chasse'!U45</f>
        <v>0</v>
      </c>
      <c r="AI44" s="361">
        <f>-'Table 5E_OJJ'!P45-'Table 5E_OJJ'!Q45</f>
        <v>-8335.5056610731172</v>
      </c>
      <c r="AJ44" s="361">
        <f>-('Table 5F Scholarships '!T717)</f>
        <v>-66054.543688488295</v>
      </c>
      <c r="AK44" s="361">
        <f t="shared" si="29"/>
        <v>-1209210.2193495613</v>
      </c>
      <c r="AL44" s="750">
        <f t="shared" si="30"/>
        <v>10233959.780650441</v>
      </c>
      <c r="AN44" s="570"/>
      <c r="AO44" s="49"/>
      <c r="AP44" s="570"/>
      <c r="AR44"/>
      <c r="BA44"/>
    </row>
    <row r="45" spans="1:53">
      <c r="A45" s="100">
        <v>40</v>
      </c>
      <c r="B45" s="302" t="s">
        <v>134</v>
      </c>
      <c r="C45" s="319">
        <f>'Table 2_State Distrib and Adjs'!AM46</f>
        <v>127843681</v>
      </c>
      <c r="D45" s="362">
        <f>-'Table 5A2 LSMSA'!M46</f>
        <v>-23997.759999999998</v>
      </c>
      <c r="E45" s="362">
        <f>-'Table 5A3 NOCCA'!K46</f>
        <v>0</v>
      </c>
      <c r="F45" s="362">
        <f>-'Table 5A4_LSDVI'!K46</f>
        <v>-8999.16</v>
      </c>
      <c r="G45" s="362">
        <f>-'Table 5A5_SSD'!K46</f>
        <v>-92991.319999999992</v>
      </c>
      <c r="H45" s="362"/>
      <c r="I45" s="362"/>
      <c r="J45" s="362">
        <f>-'Table 5C1A-Madison Prep'!Q46-'Table 5C1A-Madison Prep'!T46</f>
        <v>0</v>
      </c>
      <c r="K45" s="362">
        <f>-'Table 5C1B-DArbonne'!O46-'Table 5C1B-DArbonne'!R46</f>
        <v>0</v>
      </c>
      <c r="L45" s="362">
        <f>-'Table 5C1C-Intl_VIBE'!O46-'Table 5C1C-Intl_VIBE'!R46</f>
        <v>0</v>
      </c>
      <c r="M45" s="362">
        <f>-'Table 5C1D-NOMMA'!O46-'Table 5C1D-NOMMA'!R46</f>
        <v>0</v>
      </c>
      <c r="N45" s="362">
        <f>-'Table 5C1E-LFNO'!Q46-'Table 5C1E-LFNO'!T46</f>
        <v>0</v>
      </c>
      <c r="O45" s="362">
        <f>-'Table 5C1F-Lake Charles Charter'!O46-'Table 5C1F-Lake Charles Charter'!R46</f>
        <v>0</v>
      </c>
      <c r="P45" s="362">
        <f>-'Table 5C1G-JS Clark Academy'!O46-'Table 5C1G-JS Clark Academy'!R46</f>
        <v>0</v>
      </c>
      <c r="Q45" s="362">
        <f>-'Table 5C1H-Southwest LA Charter'!O46-'Table 5C1H-Southwest LA Charter'!R46</f>
        <v>0</v>
      </c>
      <c r="R45" s="362">
        <f>-'Table 5C1J-LA Key Academy'!O46+'Table 5C1J-LA Key Academy'!R46</f>
        <v>0</v>
      </c>
      <c r="S45" s="362">
        <f>-'Table 5C1K-Jefferson Chamber'!O46+'Table 5C1K-Jefferson Chamber'!R46</f>
        <v>0</v>
      </c>
      <c r="T45" s="362">
        <f>-'Table 5C1L-Tallulah Charter'!O46+'Table 5C1L-Tallulah Charter'!R46</f>
        <v>0</v>
      </c>
      <c r="U45" s="362">
        <f>-'Table 5C1M-Northshore Charter'!O46+'Table 5C1M-Northshore Charter'!R46</f>
        <v>0</v>
      </c>
      <c r="V45" s="362">
        <f>-'Table 5C1N-EBR Charter'!O46+'Table 5C1N-EBR Charter'!R46</f>
        <v>0</v>
      </c>
      <c r="W45" s="362">
        <f>-'Table 5C1O-Lake Charles HS'!O46+'Table 5C1O-Lake Charles HS'!R46</f>
        <v>0</v>
      </c>
      <c r="X45" s="362">
        <f>-'Table 5C1P-Delta Charter'!O46+'Table 5C1P-Delta Charter'!R46</f>
        <v>0</v>
      </c>
      <c r="Y45" s="362">
        <f>-'Table 5C2 - LA Virtual Admy'!P43-'Table 5C2 - LA Virtual Admy'!S43</f>
        <v>-74319.8</v>
      </c>
      <c r="Z45" s="362">
        <f>-'Table 5C3 - LA Connections EBR'!P43-'Table 5C3 - LA Connections EBR'!S43</f>
        <v>-70980.3</v>
      </c>
      <c r="AA45" s="362">
        <f>-'Table 5D1 - New Vision'!N46-'Table 5D1 - New Vision'!Q46</f>
        <v>0</v>
      </c>
      <c r="AB45" s="362">
        <f>-'Table 5D2 - Glencoe'!N46-'Table 5D2 - Glencoe'!Q46</f>
        <v>0</v>
      </c>
      <c r="AC45" s="362">
        <f>-'Table 5D3 - International'!P46-'Table 5D3 - International'!S46</f>
        <v>0</v>
      </c>
      <c r="AD45" s="362">
        <f>-'Table 5D4 - Avoyelles'!N46-'Table 5D4 - Avoyelles'!Q46</f>
        <v>-11684</v>
      </c>
      <c r="AE45" s="362">
        <f>-'Table 5D5 - Delhi'!N46-'Table 5D5 - Delhi'!Q46</f>
        <v>0</v>
      </c>
      <c r="AF45" s="362">
        <f>-'Table 5D6 - Milestone'!N46-'Table 5D6 - Milestone'!Q46</f>
        <v>0</v>
      </c>
      <c r="AG45" s="362">
        <f>-'Table 5D7 - Max'!N46-'Table 5D7 - Max'!Q46</f>
        <v>0</v>
      </c>
      <c r="AH45" s="362">
        <f>-'Table 5D8 - Belle Chasse'!P46-'Table 5D8 - Belle Chasse'!U46</f>
        <v>0</v>
      </c>
      <c r="AI45" s="362">
        <f>-'Table 5E_OJJ'!P46-'Table 5E_OJJ'!Q46</f>
        <v>-11162.67717898302</v>
      </c>
      <c r="AJ45" s="362">
        <f>-('Table 5F Scholarships '!T735)</f>
        <v>-156187.29653725339</v>
      </c>
      <c r="AK45" s="362">
        <f t="shared" si="29"/>
        <v>-450322.31371623639</v>
      </c>
      <c r="AL45" s="751">
        <f t="shared" si="30"/>
        <v>127393358.68628378</v>
      </c>
      <c r="AO45" s="49"/>
      <c r="AR45"/>
      <c r="BA45"/>
    </row>
    <row r="46" spans="1:53">
      <c r="A46" s="99">
        <v>41</v>
      </c>
      <c r="B46" s="301" t="s">
        <v>135</v>
      </c>
      <c r="C46" s="310">
        <f>'Table 2_State Distrib and Adjs'!AM47</f>
        <v>3505781</v>
      </c>
      <c r="D46" s="361">
        <f>-'Table 5A2 LSMSA'!M47</f>
        <v>0</v>
      </c>
      <c r="E46" s="361">
        <f>-'Table 5A3 NOCCA'!K47</f>
        <v>0</v>
      </c>
      <c r="F46" s="361">
        <f>-'Table 5A4_LSDVI'!K47</f>
        <v>0</v>
      </c>
      <c r="G46" s="361">
        <f>-'Table 5A5_SSD'!K47</f>
        <v>0</v>
      </c>
      <c r="H46" s="361"/>
      <c r="I46" s="361"/>
      <c r="J46" s="361">
        <f>-'Table 5C1A-Madison Prep'!Q47-'Table 5C1A-Madison Prep'!T47</f>
        <v>0</v>
      </c>
      <c r="K46" s="361">
        <f>-'Table 5C1B-DArbonne'!O47-'Table 5C1B-DArbonne'!R47</f>
        <v>0</v>
      </c>
      <c r="L46" s="361">
        <f>-'Table 5C1C-Intl_VIBE'!O47-'Table 5C1C-Intl_VIBE'!R47</f>
        <v>0</v>
      </c>
      <c r="M46" s="361">
        <f>-'Table 5C1D-NOMMA'!O47-'Table 5C1D-NOMMA'!R47</f>
        <v>0</v>
      </c>
      <c r="N46" s="361">
        <f>-'Table 5C1E-LFNO'!Q47-'Table 5C1E-LFNO'!T47</f>
        <v>0</v>
      </c>
      <c r="O46" s="361">
        <f>-'Table 5C1F-Lake Charles Charter'!O47-'Table 5C1F-Lake Charles Charter'!R47</f>
        <v>0</v>
      </c>
      <c r="P46" s="361">
        <f>-'Table 5C1G-JS Clark Academy'!O47-'Table 5C1G-JS Clark Academy'!R47</f>
        <v>0</v>
      </c>
      <c r="Q46" s="361">
        <f>-'Table 5C1H-Southwest LA Charter'!O47-'Table 5C1H-Southwest LA Charter'!R47</f>
        <v>0</v>
      </c>
      <c r="R46" s="361">
        <f>-'Table 5C1J-LA Key Academy'!O47+'Table 5C1J-LA Key Academy'!R47</f>
        <v>0</v>
      </c>
      <c r="S46" s="361">
        <f>-'Table 5C1K-Jefferson Chamber'!O47+'Table 5C1K-Jefferson Chamber'!R47</f>
        <v>0</v>
      </c>
      <c r="T46" s="361">
        <f>-'Table 5C1L-Tallulah Charter'!O47+'Table 5C1L-Tallulah Charter'!R47</f>
        <v>0</v>
      </c>
      <c r="U46" s="361">
        <f>-'Table 5C1M-Northshore Charter'!O47+'Table 5C1M-Northshore Charter'!R47</f>
        <v>0</v>
      </c>
      <c r="V46" s="361">
        <f>-'Table 5C1N-EBR Charter'!O47+'Table 5C1N-EBR Charter'!R47</f>
        <v>0</v>
      </c>
      <c r="W46" s="361">
        <f>-'Table 5C1O-Lake Charles HS'!O47+'Table 5C1O-Lake Charles HS'!R47</f>
        <v>0</v>
      </c>
      <c r="X46" s="361">
        <f>-'Table 5C1P-Delta Charter'!O47+'Table 5C1P-Delta Charter'!R47</f>
        <v>0</v>
      </c>
      <c r="Y46" s="361">
        <f>-'Table 5C2 - LA Virtual Admy'!P44-'Table 5C2 - LA Virtual Admy'!S44</f>
        <v>-10823.4</v>
      </c>
      <c r="Z46" s="361">
        <f>-'Table 5C3 - LA Connections EBR'!P44-'Table 5C3 - LA Connections EBR'!S44</f>
        <v>-10823.4</v>
      </c>
      <c r="AA46" s="361">
        <f>-'Table 5D1 - New Vision'!N47-'Table 5D1 - New Vision'!Q47</f>
        <v>0</v>
      </c>
      <c r="AB46" s="361">
        <f>-'Table 5D2 - Glencoe'!N47-'Table 5D2 - Glencoe'!Q47</f>
        <v>0</v>
      </c>
      <c r="AC46" s="361">
        <f>-'Table 5D3 - International'!P47-'Table 5D3 - International'!S47</f>
        <v>0</v>
      </c>
      <c r="AD46" s="361">
        <f>-'Table 5D4 - Avoyelles'!N47-'Table 5D4 - Avoyelles'!Q47</f>
        <v>0</v>
      </c>
      <c r="AE46" s="361">
        <f>-'Table 5D5 - Delhi'!N47-'Table 5D5 - Delhi'!Q47</f>
        <v>0</v>
      </c>
      <c r="AF46" s="361">
        <f>-'Table 5D6 - Milestone'!N47-'Table 5D6 - Milestone'!Q47</f>
        <v>0</v>
      </c>
      <c r="AG46" s="361">
        <f>-'Table 5D7 - Max'!N47-'Table 5D7 - Max'!Q47</f>
        <v>0</v>
      </c>
      <c r="AH46" s="361">
        <f>-'Table 5D8 - Belle Chasse'!P47-'Table 5D8 - Belle Chasse'!U47</f>
        <v>0</v>
      </c>
      <c r="AI46" s="361">
        <f>-'Table 5E_OJJ'!P47-'Table 5E_OJJ'!Q47</f>
        <v>-4766.5960348843146</v>
      </c>
      <c r="AJ46" s="361">
        <v>0</v>
      </c>
      <c r="AK46" s="361">
        <f t="shared" si="29"/>
        <v>-26413.396034884314</v>
      </c>
      <c r="AL46" s="750">
        <f t="shared" si="30"/>
        <v>3479367.6039651157</v>
      </c>
      <c r="AO46" s="49"/>
      <c r="AR46"/>
      <c r="BA46"/>
    </row>
    <row r="47" spans="1:53">
      <c r="A47" s="99">
        <v>42</v>
      </c>
      <c r="B47" s="301" t="s">
        <v>136</v>
      </c>
      <c r="C47" s="310">
        <f>'Table 2_State Distrib and Adjs'!AM48</f>
        <v>19299758</v>
      </c>
      <c r="D47" s="361">
        <f>-'Table 5A2 LSMSA'!M48</f>
        <v>0</v>
      </c>
      <c r="E47" s="361">
        <f>-'Table 5A3 NOCCA'!K48</f>
        <v>0</v>
      </c>
      <c r="F47" s="361">
        <f>-'Table 5A4_LSDVI'!K48</f>
        <v>0</v>
      </c>
      <c r="G47" s="361">
        <f>-'Table 5A5_SSD'!K48</f>
        <v>-2618.67</v>
      </c>
      <c r="H47" s="361"/>
      <c r="I47" s="361"/>
      <c r="J47" s="361">
        <f>-'Table 5C1A-Madison Prep'!Q48-'Table 5C1A-Madison Prep'!T48</f>
        <v>0</v>
      </c>
      <c r="K47" s="361">
        <f>-'Table 5C1B-DArbonne'!O48-'Table 5C1B-DArbonne'!R48</f>
        <v>0</v>
      </c>
      <c r="L47" s="361">
        <f>-'Table 5C1C-Intl_VIBE'!O48-'Table 5C1C-Intl_VIBE'!R48</f>
        <v>0</v>
      </c>
      <c r="M47" s="361">
        <f>-'Table 5C1D-NOMMA'!O48-'Table 5C1D-NOMMA'!R48</f>
        <v>0</v>
      </c>
      <c r="N47" s="361">
        <f>-'Table 5C1E-LFNO'!Q48-'Table 5C1E-LFNO'!T48</f>
        <v>0</v>
      </c>
      <c r="O47" s="361">
        <f>-'Table 5C1F-Lake Charles Charter'!O48-'Table 5C1F-Lake Charles Charter'!R48</f>
        <v>0</v>
      </c>
      <c r="P47" s="361">
        <f>-'Table 5C1G-JS Clark Academy'!O48-'Table 5C1G-JS Clark Academy'!R48</f>
        <v>0</v>
      </c>
      <c r="Q47" s="361">
        <f>-'Table 5C1H-Southwest LA Charter'!O48-'Table 5C1H-Southwest LA Charter'!R48</f>
        <v>0</v>
      </c>
      <c r="R47" s="361">
        <f>-'Table 5C1J-LA Key Academy'!O48+'Table 5C1J-LA Key Academy'!R48</f>
        <v>0</v>
      </c>
      <c r="S47" s="361">
        <f>-'Table 5C1K-Jefferson Chamber'!O48+'Table 5C1K-Jefferson Chamber'!R48</f>
        <v>0</v>
      </c>
      <c r="T47" s="361">
        <f>-'Table 5C1L-Tallulah Charter'!O48+'Table 5C1L-Tallulah Charter'!R48</f>
        <v>0</v>
      </c>
      <c r="U47" s="361">
        <f>-'Table 5C1M-Northshore Charter'!O48+'Table 5C1M-Northshore Charter'!R48</f>
        <v>0</v>
      </c>
      <c r="V47" s="361">
        <f>-'Table 5C1N-EBR Charter'!O48+'Table 5C1N-EBR Charter'!R48</f>
        <v>0</v>
      </c>
      <c r="W47" s="361">
        <f>-'Table 5C1O-Lake Charles HS'!O48+'Table 5C1O-Lake Charles HS'!R48</f>
        <v>0</v>
      </c>
      <c r="X47" s="361">
        <f>-'Table 5C1P-Delta Charter'!O48+'Table 5C1P-Delta Charter'!R48</f>
        <v>0</v>
      </c>
      <c r="Y47" s="361">
        <f>-'Table 5C2 - LA Virtual Admy'!P45-'Table 5C2 - LA Virtual Admy'!S45</f>
        <v>-16090.199999999999</v>
      </c>
      <c r="Z47" s="361">
        <f>-'Table 5C3 - LA Connections EBR'!P45-'Table 5C3 - LA Connections EBR'!S45</f>
        <v>-11493</v>
      </c>
      <c r="AA47" s="361">
        <f>-'Table 5D1 - New Vision'!N48-'Table 5D1 - New Vision'!Q48</f>
        <v>-12770</v>
      </c>
      <c r="AB47" s="361">
        <f>-'Table 5D2 - Glencoe'!N48-'Table 5D2 - Glencoe'!Q48</f>
        <v>0</v>
      </c>
      <c r="AC47" s="361">
        <f>-'Table 5D3 - International'!P48-'Table 5D3 - International'!S48</f>
        <v>0</v>
      </c>
      <c r="AD47" s="361">
        <f>-'Table 5D4 - Avoyelles'!N48-'Table 5D4 - Avoyelles'!Q48</f>
        <v>0</v>
      </c>
      <c r="AE47" s="361">
        <f>-'Table 5D5 - Delhi'!N48-'Table 5D5 - Delhi'!Q48</f>
        <v>-1035279</v>
      </c>
      <c r="AF47" s="361">
        <f>-'Table 5D6 - Milestone'!N48-'Table 5D6 - Milestone'!Q48</f>
        <v>0</v>
      </c>
      <c r="AG47" s="361">
        <f>-'Table 5D7 - Max'!N48-'Table 5D7 - Max'!Q48</f>
        <v>0</v>
      </c>
      <c r="AH47" s="361">
        <f>-'Table 5D8 - Belle Chasse'!P48-'Table 5D8 - Belle Chasse'!U48</f>
        <v>0</v>
      </c>
      <c r="AI47" s="361">
        <f>-'Table 5E_OJJ'!P48-'Table 5E_OJJ'!Q48</f>
        <v>-6864.9044764157397</v>
      </c>
      <c r="AJ47" s="361">
        <f>-('Table 5F Scholarships '!T739)</f>
        <v>-7896.3900340766177</v>
      </c>
      <c r="AK47" s="361">
        <f t="shared" si="29"/>
        <v>-1093012.1645104925</v>
      </c>
      <c r="AL47" s="750">
        <f t="shared" si="30"/>
        <v>18206745.835489508</v>
      </c>
      <c r="AO47" s="49"/>
      <c r="AR47"/>
      <c r="BA47"/>
    </row>
    <row r="48" spans="1:53">
      <c r="A48" s="99">
        <v>43</v>
      </c>
      <c r="B48" s="301" t="s">
        <v>137</v>
      </c>
      <c r="C48" s="310">
        <f>'Table 2_State Distrib and Adjs'!AM49</f>
        <v>21161131</v>
      </c>
      <c r="D48" s="361">
        <f>-'Table 5A2 LSMSA'!M49</f>
        <v>-19599.949999999997</v>
      </c>
      <c r="E48" s="361">
        <f>-'Table 5A3 NOCCA'!K49</f>
        <v>0</v>
      </c>
      <c r="F48" s="361">
        <f>-'Table 5A4_LSDVI'!K49</f>
        <v>0</v>
      </c>
      <c r="G48" s="361">
        <f>-'Table 5A5_SSD'!K49</f>
        <v>-7839.98</v>
      </c>
      <c r="H48" s="361"/>
      <c r="I48" s="361"/>
      <c r="J48" s="361">
        <f>-'Table 5C1A-Madison Prep'!Q49-'Table 5C1A-Madison Prep'!T49</f>
        <v>0</v>
      </c>
      <c r="K48" s="361">
        <f>-'Table 5C1B-DArbonne'!O49-'Table 5C1B-DArbonne'!R49</f>
        <v>0</v>
      </c>
      <c r="L48" s="361">
        <f>-'Table 5C1C-Intl_VIBE'!O49-'Table 5C1C-Intl_VIBE'!R49</f>
        <v>0</v>
      </c>
      <c r="M48" s="361">
        <f>-'Table 5C1D-NOMMA'!O49-'Table 5C1D-NOMMA'!R49</f>
        <v>0</v>
      </c>
      <c r="N48" s="361">
        <f>-'Table 5C1E-LFNO'!Q49-'Table 5C1E-LFNO'!T49</f>
        <v>0</v>
      </c>
      <c r="O48" s="361">
        <f>-'Table 5C1F-Lake Charles Charter'!O49-'Table 5C1F-Lake Charles Charter'!R49</f>
        <v>0</v>
      </c>
      <c r="P48" s="361">
        <f>-'Table 5C1G-JS Clark Academy'!O49-'Table 5C1G-JS Clark Academy'!R49</f>
        <v>0</v>
      </c>
      <c r="Q48" s="361">
        <f>-'Table 5C1H-Southwest LA Charter'!O49-'Table 5C1H-Southwest LA Charter'!R49</f>
        <v>0</v>
      </c>
      <c r="R48" s="361">
        <f>-'Table 5C1J-LA Key Academy'!O49+'Table 5C1J-LA Key Academy'!R49</f>
        <v>0</v>
      </c>
      <c r="S48" s="361">
        <f>-'Table 5C1K-Jefferson Chamber'!O49+'Table 5C1K-Jefferson Chamber'!R49</f>
        <v>0</v>
      </c>
      <c r="T48" s="361">
        <f>-'Table 5C1L-Tallulah Charter'!O49+'Table 5C1L-Tallulah Charter'!R49</f>
        <v>0</v>
      </c>
      <c r="U48" s="361">
        <f>-'Table 5C1M-Northshore Charter'!O49+'Table 5C1M-Northshore Charter'!R49</f>
        <v>0</v>
      </c>
      <c r="V48" s="361">
        <f>-'Table 5C1N-EBR Charter'!O49+'Table 5C1N-EBR Charter'!R49</f>
        <v>0</v>
      </c>
      <c r="W48" s="361">
        <f>-'Table 5C1O-Lake Charles HS'!O49+'Table 5C1O-Lake Charles HS'!R49</f>
        <v>0</v>
      </c>
      <c r="X48" s="361">
        <f>-'Table 5C1P-Delta Charter'!O49+'Table 5C1P-Delta Charter'!R49</f>
        <v>0</v>
      </c>
      <c r="Y48" s="361">
        <f>-'Table 5C2 - LA Virtual Admy'!P46-'Table 5C2 - LA Virtual Admy'!S46</f>
        <v>-35618.400000000001</v>
      </c>
      <c r="Z48" s="361">
        <f>-'Table 5C3 - LA Connections EBR'!P46-'Table 5C3 - LA Connections EBR'!S46</f>
        <v>-28431</v>
      </c>
      <c r="AA48" s="361">
        <f>-'Table 5D1 - New Vision'!N49-'Table 5D1 - New Vision'!Q49</f>
        <v>0</v>
      </c>
      <c r="AB48" s="361">
        <f>-'Table 5D2 - Glencoe'!N49-'Table 5D2 - Glencoe'!Q49</f>
        <v>0</v>
      </c>
      <c r="AC48" s="361">
        <f>-'Table 5D3 - International'!P49-'Table 5D3 - International'!S49</f>
        <v>0</v>
      </c>
      <c r="AD48" s="361">
        <f>-'Table 5D4 - Avoyelles'!N49-'Table 5D4 - Avoyelles'!Q49</f>
        <v>0</v>
      </c>
      <c r="AE48" s="361">
        <f>-'Table 5D5 - Delhi'!N49-'Table 5D5 - Delhi'!Q49</f>
        <v>0</v>
      </c>
      <c r="AF48" s="361">
        <f>-'Table 5D6 - Milestone'!N49-'Table 5D6 - Milestone'!Q49</f>
        <v>0</v>
      </c>
      <c r="AG48" s="361">
        <f>-'Table 5D7 - Max'!N49-'Table 5D7 - Max'!Q49</f>
        <v>0</v>
      </c>
      <c r="AH48" s="361">
        <f>-'Table 5D8 - Belle Chasse'!P49-'Table 5D8 - Belle Chasse'!U49</f>
        <v>0</v>
      </c>
      <c r="AI48" s="361">
        <f>-'Table 5E_OJJ'!P49-'Table 5E_OJJ'!Q49</f>
        <v>-863.36982733673221</v>
      </c>
      <c r="AJ48" s="361">
        <v>0</v>
      </c>
      <c r="AK48" s="361">
        <f t="shared" si="29"/>
        <v>-92352.699827336735</v>
      </c>
      <c r="AL48" s="750">
        <f t="shared" si="30"/>
        <v>21068778.300172664</v>
      </c>
      <c r="AO48" s="49"/>
      <c r="AR48"/>
      <c r="BA48"/>
    </row>
    <row r="49" spans="1:53">
      <c r="A49" s="99">
        <v>44</v>
      </c>
      <c r="B49" s="301" t="s">
        <v>138</v>
      </c>
      <c r="C49" s="310">
        <f>'Table 2_State Distrib and Adjs'!AM50</f>
        <v>33785729</v>
      </c>
      <c r="D49" s="361">
        <f>-'Table 5A2 LSMSA'!M50</f>
        <v>-6969.28</v>
      </c>
      <c r="E49" s="361">
        <f>-'Table 5A3 NOCCA'!K50</f>
        <v>-10453.92</v>
      </c>
      <c r="F49" s="361">
        <f>-'Table 5A4_LSDVI'!K50</f>
        <v>-24392.48</v>
      </c>
      <c r="G49" s="361">
        <f>-'Table 5A5_SSD'!K50</f>
        <v>-6969.28</v>
      </c>
      <c r="H49" s="361"/>
      <c r="I49" s="361"/>
      <c r="J49" s="361">
        <f>-'Table 5C1A-Madison Prep'!Q50-'Table 5C1A-Madison Prep'!T50</f>
        <v>0</v>
      </c>
      <c r="K49" s="361">
        <f>-'Table 5C1B-DArbonne'!O50-'Table 5C1B-DArbonne'!R50</f>
        <v>0</v>
      </c>
      <c r="L49" s="361">
        <f>-'Table 5C1C-Intl_VIBE'!O50-'Table 5C1C-Intl_VIBE'!R50</f>
        <v>-14640</v>
      </c>
      <c r="M49" s="361">
        <f>-'Table 5C1D-NOMMA'!O50-'Table 5C1D-NOMMA'!R50</f>
        <v>-8218</v>
      </c>
      <c r="N49" s="361">
        <f>-'Table 5C1E-LFNO'!Q50-'Table 5C1E-LFNO'!T50</f>
        <v>-8218</v>
      </c>
      <c r="O49" s="361">
        <f>-'Table 5C1F-Lake Charles Charter'!O50-'Table 5C1F-Lake Charles Charter'!R50</f>
        <v>0</v>
      </c>
      <c r="P49" s="361">
        <f>-'Table 5C1G-JS Clark Academy'!O50-'Table 5C1G-JS Clark Academy'!R50</f>
        <v>0</v>
      </c>
      <c r="Q49" s="361">
        <f>-'Table 5C1H-Southwest LA Charter'!O50-'Table 5C1H-Southwest LA Charter'!R50</f>
        <v>0</v>
      </c>
      <c r="R49" s="361">
        <f>-'Table 5C1J-LA Key Academy'!O50+'Table 5C1J-LA Key Academy'!R50</f>
        <v>0</v>
      </c>
      <c r="S49" s="361">
        <f>-'Table 5C1K-Jefferson Chamber'!O50+'Table 5C1K-Jefferson Chamber'!R50</f>
        <v>-24654</v>
      </c>
      <c r="T49" s="361">
        <f>-'Table 5C1L-Tallulah Charter'!O50+'Table 5C1L-Tallulah Charter'!R50</f>
        <v>0</v>
      </c>
      <c r="U49" s="361">
        <f>-'Table 5C1M-Northshore Charter'!O50+'Table 5C1M-Northshore Charter'!R50</f>
        <v>0</v>
      </c>
      <c r="V49" s="361">
        <f>-'Table 5C1N-EBR Charter'!O50+'Table 5C1N-EBR Charter'!R50</f>
        <v>0</v>
      </c>
      <c r="W49" s="361">
        <f>-'Table 5C1O-Lake Charles HS'!O50+'Table 5C1O-Lake Charles HS'!R50</f>
        <v>0</v>
      </c>
      <c r="X49" s="361">
        <f>-'Table 5C1P-Delta Charter'!O50+'Table 5C1P-Delta Charter'!R50</f>
        <v>0</v>
      </c>
      <c r="Y49" s="361">
        <f>-'Table 5C2 - LA Virtual Admy'!P47-'Table 5C2 - LA Virtual Admy'!S47</f>
        <v>-13422.15</v>
      </c>
      <c r="Z49" s="361">
        <f>-'Table 5C3 - LA Connections EBR'!P47-'Table 5C3 - LA Connections EBR'!S47</f>
        <v>-33282.9</v>
      </c>
      <c r="AA49" s="361">
        <f>-'Table 5D1 - New Vision'!N50-'Table 5D1 - New Vision'!Q50</f>
        <v>0</v>
      </c>
      <c r="AB49" s="361">
        <f>-'Table 5D2 - Glencoe'!N50-'Table 5D2 - Glencoe'!Q50</f>
        <v>0</v>
      </c>
      <c r="AC49" s="361">
        <f>-'Table 5D3 - International'!P50-'Table 5D3 - International'!S50</f>
        <v>-51240</v>
      </c>
      <c r="AD49" s="361">
        <f>-'Table 5D4 - Avoyelles'!N50-'Table 5D4 - Avoyelles'!Q50</f>
        <v>0</v>
      </c>
      <c r="AE49" s="361">
        <f>-'Table 5D5 - Delhi'!N50-'Table 5D5 - Delhi'!Q50</f>
        <v>0</v>
      </c>
      <c r="AF49" s="361">
        <f>-'Table 5D6 - Milestone'!N50-'Table 5D6 - Milestone'!Q50</f>
        <v>-4109</v>
      </c>
      <c r="AG49" s="361">
        <f>-'Table 5D7 - Max'!N50-'Table 5D7 - Max'!Q50</f>
        <v>0</v>
      </c>
      <c r="AH49" s="361">
        <f>-'Table 5D8 - Belle Chasse'!P50-'Table 5D8 - Belle Chasse'!U50</f>
        <v>-12327</v>
      </c>
      <c r="AI49" s="361">
        <f>-'Table 5E_OJJ'!P50-'Table 5E_OJJ'!Q50</f>
        <v>-2778.1524502254474</v>
      </c>
      <c r="AJ49" s="361">
        <f>-('Table 5F Scholarships '!T747)</f>
        <v>-42391.126000338896</v>
      </c>
      <c r="AK49" s="361">
        <f t="shared" si="29"/>
        <v>-264065.28845056432</v>
      </c>
      <c r="AL49" s="750">
        <f t="shared" si="30"/>
        <v>33521663.711549439</v>
      </c>
      <c r="AO49" s="49"/>
      <c r="AR49"/>
      <c r="BA49"/>
    </row>
    <row r="50" spans="1:53">
      <c r="A50" s="100">
        <v>45</v>
      </c>
      <c r="B50" s="302" t="s">
        <v>139</v>
      </c>
      <c r="C50" s="319">
        <f>'Table 2_State Distrib and Adjs'!AM51</f>
        <v>27537953</v>
      </c>
      <c r="D50" s="362">
        <f>-'Table 5A2 LSMSA'!M51</f>
        <v>-26239.15</v>
      </c>
      <c r="E50" s="362">
        <f>-'Table 5A3 NOCCA'!K51</f>
        <v>-26239.15</v>
      </c>
      <c r="F50" s="362">
        <f>-'Table 5A4_LSDVI'!K51</f>
        <v>-5247.83</v>
      </c>
      <c r="G50" s="362">
        <f>-'Table 5A5_SSD'!K51</f>
        <v>-10495.66</v>
      </c>
      <c r="H50" s="362"/>
      <c r="I50" s="362"/>
      <c r="J50" s="362">
        <f>-'Table 5C1A-Madison Prep'!Q51-'Table 5C1A-Madison Prep'!T51</f>
        <v>0</v>
      </c>
      <c r="K50" s="362">
        <f>-'Table 5C1B-DArbonne'!O51-'Table 5C1B-DArbonne'!R51</f>
        <v>0</v>
      </c>
      <c r="L50" s="362">
        <f>-'Table 5C1C-Intl_VIBE'!O51-'Table 5C1C-Intl_VIBE'!R51</f>
        <v>-22282</v>
      </c>
      <c r="M50" s="362">
        <f>-'Table 5C1D-NOMMA'!O51-'Table 5C1D-NOMMA'!R51</f>
        <v>0</v>
      </c>
      <c r="N50" s="362">
        <f>-'Table 5C1E-LFNO'!Q51-'Table 5C1E-LFNO'!T51</f>
        <v>-12427</v>
      </c>
      <c r="O50" s="362">
        <f>-'Table 5C1F-Lake Charles Charter'!O51-'Table 5C1F-Lake Charles Charter'!R51</f>
        <v>0</v>
      </c>
      <c r="P50" s="362">
        <f>-'Table 5C1G-JS Clark Academy'!O51-'Table 5C1G-JS Clark Academy'!R51</f>
        <v>0</v>
      </c>
      <c r="Q50" s="362">
        <f>-'Table 5C1H-Southwest LA Charter'!O51-'Table 5C1H-Southwest LA Charter'!R51</f>
        <v>0</v>
      </c>
      <c r="R50" s="362">
        <f>-'Table 5C1J-LA Key Academy'!O51+'Table 5C1J-LA Key Academy'!R51</f>
        <v>0</v>
      </c>
      <c r="S50" s="362">
        <f>-'Table 5C1K-Jefferson Chamber'!O51+'Table 5C1K-Jefferson Chamber'!R51</f>
        <v>-74562</v>
      </c>
      <c r="T50" s="362">
        <f>-'Table 5C1L-Tallulah Charter'!O51+'Table 5C1L-Tallulah Charter'!R51</f>
        <v>0</v>
      </c>
      <c r="U50" s="362">
        <f>-'Table 5C1M-Northshore Charter'!O51+'Table 5C1M-Northshore Charter'!R51</f>
        <v>0</v>
      </c>
      <c r="V50" s="362">
        <f>-'Table 5C1N-EBR Charter'!O51+'Table 5C1N-EBR Charter'!R51</f>
        <v>0</v>
      </c>
      <c r="W50" s="362">
        <f>-'Table 5C1O-Lake Charles HS'!O51+'Table 5C1O-Lake Charles HS'!R51</f>
        <v>0</v>
      </c>
      <c r="X50" s="362">
        <f>-'Table 5C1P-Delta Charter'!O51+'Table 5C1P-Delta Charter'!R51</f>
        <v>0</v>
      </c>
      <c r="Y50" s="362">
        <f>-'Table 5C2 - LA Virtual Admy'!P48-'Table 5C2 - LA Virtual Admy'!S48</f>
        <v>-22368.600000000002</v>
      </c>
      <c r="Z50" s="362">
        <f>-'Table 5C3 - LA Connections EBR'!P48-'Table 5C3 - LA Connections EBR'!S48</f>
        <v>-212501.7</v>
      </c>
      <c r="AA50" s="362">
        <f>-'Table 5D1 - New Vision'!N51-'Table 5D1 - New Vision'!Q51</f>
        <v>0</v>
      </c>
      <c r="AB50" s="362">
        <f>-'Table 5D2 - Glencoe'!N51-'Table 5D2 - Glencoe'!Q51</f>
        <v>0</v>
      </c>
      <c r="AC50" s="362">
        <f>-'Table 5D3 - International'!P51-'Table 5D3 - International'!S51</f>
        <v>-55705</v>
      </c>
      <c r="AD50" s="362">
        <f>-'Table 5D4 - Avoyelles'!N51-'Table 5D4 - Avoyelles'!Q51</f>
        <v>0</v>
      </c>
      <c r="AE50" s="362">
        <f>-'Table 5D5 - Delhi'!N51-'Table 5D5 - Delhi'!Q51</f>
        <v>0</v>
      </c>
      <c r="AF50" s="362">
        <f>-'Table 5D6 - Milestone'!N51-'Table 5D6 - Milestone'!Q51</f>
        <v>0</v>
      </c>
      <c r="AG50" s="362">
        <f>-'Table 5D7 - Max'!N51-'Table 5D7 - Max'!Q51</f>
        <v>-24854</v>
      </c>
      <c r="AH50" s="362">
        <f>-'Table 5D8 - Belle Chasse'!P51-'Table 5D8 - Belle Chasse'!U51</f>
        <v>-12427</v>
      </c>
      <c r="AI50" s="362">
        <f>-'Table 5E_OJJ'!P51-'Table 5E_OJJ'!Q51</f>
        <v>-13049.663209798136</v>
      </c>
      <c r="AJ50" s="362">
        <f>-('Table 5F Scholarships '!T757)</f>
        <v>-44677.216757849426</v>
      </c>
      <c r="AK50" s="362">
        <f t="shared" si="29"/>
        <v>-563075.96996764757</v>
      </c>
      <c r="AL50" s="751">
        <f t="shared" si="30"/>
        <v>26974877.030032355</v>
      </c>
      <c r="AO50" s="49"/>
      <c r="AR50"/>
      <c r="BA50"/>
    </row>
    <row r="51" spans="1:53">
      <c r="A51" s="99">
        <v>46</v>
      </c>
      <c r="B51" s="301" t="s">
        <v>140</v>
      </c>
      <c r="C51" s="310">
        <f>'Table 2_State Distrib and Adjs'!AM52</f>
        <v>4590087</v>
      </c>
      <c r="D51" s="361">
        <f>-'Table 5A2 LSMSA'!M52</f>
        <v>0</v>
      </c>
      <c r="E51" s="361">
        <f>-'Table 5A3 NOCCA'!K52</f>
        <v>0</v>
      </c>
      <c r="F51" s="361">
        <f>-'Table 5A4_LSDVI'!K52</f>
        <v>0</v>
      </c>
      <c r="G51" s="361">
        <f>-'Table 5A5_SSD'!K52</f>
        <v>-2002.88</v>
      </c>
      <c r="H51" s="361">
        <f>-'Table 5B2_RSD_LA'!Q35-'Table 5B2_RSD_LA'!V35</f>
        <v>-345741</v>
      </c>
      <c r="I51" s="361"/>
      <c r="J51" s="361">
        <f>-'Table 5C1A-Madison Prep'!Q52-'Table 5C1A-Madison Prep'!T52</f>
        <v>0</v>
      </c>
      <c r="K51" s="361">
        <f>-'Table 5C1B-DArbonne'!O52-'Table 5C1B-DArbonne'!R52</f>
        <v>0</v>
      </c>
      <c r="L51" s="361">
        <f>-'Table 5C1C-Intl_VIBE'!O52-'Table 5C1C-Intl_VIBE'!R52</f>
        <v>0</v>
      </c>
      <c r="M51" s="361">
        <f>-'Table 5C1D-NOMMA'!O52-'Table 5C1D-NOMMA'!R52</f>
        <v>0</v>
      </c>
      <c r="N51" s="361">
        <f>-'Table 5C1E-LFNO'!Q52-'Table 5C1E-LFNO'!T52</f>
        <v>0</v>
      </c>
      <c r="O51" s="361">
        <f>-'Table 5C1F-Lake Charles Charter'!O52-'Table 5C1F-Lake Charles Charter'!R52</f>
        <v>0</v>
      </c>
      <c r="P51" s="361">
        <f>-'Table 5C1G-JS Clark Academy'!O52-'Table 5C1G-JS Clark Academy'!R52</f>
        <v>0</v>
      </c>
      <c r="Q51" s="361">
        <f>-'Table 5C1H-Southwest LA Charter'!O52-'Table 5C1H-Southwest LA Charter'!R52</f>
        <v>0</v>
      </c>
      <c r="R51" s="361">
        <f>-'Table 5C1J-LA Key Academy'!O52+'Table 5C1J-LA Key Academy'!R52</f>
        <v>0</v>
      </c>
      <c r="S51" s="361">
        <f>-'Table 5C1K-Jefferson Chamber'!O52+'Table 5C1K-Jefferson Chamber'!R52</f>
        <v>0</v>
      </c>
      <c r="T51" s="361">
        <f>-'Table 5C1L-Tallulah Charter'!O52+'Table 5C1L-Tallulah Charter'!R52</f>
        <v>0</v>
      </c>
      <c r="U51" s="361">
        <f>-'Table 5C1M-Northshore Charter'!O52+'Table 5C1M-Northshore Charter'!R52</f>
        <v>0</v>
      </c>
      <c r="V51" s="361">
        <f>-'Table 5C1N-EBR Charter'!O52+'Table 5C1N-EBR Charter'!R52</f>
        <v>0</v>
      </c>
      <c r="W51" s="361">
        <f>-'Table 5C1O-Lake Charles HS'!O52+'Table 5C1O-Lake Charles HS'!R52</f>
        <v>0</v>
      </c>
      <c r="X51" s="361">
        <f>-'Table 5C1P-Delta Charter'!O52+'Table 5C1P-Delta Charter'!R52</f>
        <v>0</v>
      </c>
      <c r="Y51" s="361">
        <f>-'Table 5C2 - LA Virtual Admy'!P49-'Table 5C2 - LA Virtual Admy'!S49</f>
        <v>-15146.1</v>
      </c>
      <c r="Z51" s="361">
        <f>-'Table 5C3 - LA Connections EBR'!P49-'Table 5C3 - LA Connections EBR'!S49</f>
        <v>-8856</v>
      </c>
      <c r="AA51" s="361">
        <f>-'Table 5D1 - New Vision'!N52-'Table 5D1 - New Vision'!Q52</f>
        <v>0</v>
      </c>
      <c r="AB51" s="361">
        <f>-'Table 5D2 - Glencoe'!N52-'Table 5D2 - Glencoe'!Q52</f>
        <v>0</v>
      </c>
      <c r="AC51" s="361">
        <f>-'Table 5D3 - International'!P52-'Table 5D3 - International'!S52</f>
        <v>0</v>
      </c>
      <c r="AD51" s="361">
        <f>-'Table 5D4 - Avoyelles'!N52-'Table 5D4 - Avoyelles'!Q52</f>
        <v>0</v>
      </c>
      <c r="AE51" s="361">
        <f>-'Table 5D5 - Delhi'!N52-'Table 5D5 - Delhi'!Q52</f>
        <v>0</v>
      </c>
      <c r="AF51" s="361">
        <f>-'Table 5D6 - Milestone'!N52-'Table 5D6 - Milestone'!Q52</f>
        <v>0</v>
      </c>
      <c r="AG51" s="361">
        <f>-'Table 5D7 - Max'!N52-'Table 5D7 - Max'!Q52</f>
        <v>0</v>
      </c>
      <c r="AH51" s="361">
        <f>-'Table 5D8 - Belle Chasse'!P52-'Table 5D8 - Belle Chasse'!U52</f>
        <v>0</v>
      </c>
      <c r="AI51" s="361">
        <f>-'Table 5E_OJJ'!P52-'Table 5E_OJJ'!Q52</f>
        <v>0</v>
      </c>
      <c r="AJ51" s="361">
        <f>-('Table 5F Scholarships '!T764)</f>
        <v>-7214.4599295214221</v>
      </c>
      <c r="AK51" s="361">
        <f t="shared" si="29"/>
        <v>-378960.43992952141</v>
      </c>
      <c r="AL51" s="750">
        <f t="shared" si="30"/>
        <v>4211126.5600704793</v>
      </c>
      <c r="AO51" s="49"/>
      <c r="AR51"/>
      <c r="BA51"/>
    </row>
    <row r="52" spans="1:53">
      <c r="A52" s="99">
        <v>47</v>
      </c>
      <c r="B52" s="301" t="s">
        <v>141</v>
      </c>
      <c r="C52" s="310">
        <f>'Table 2_State Distrib and Adjs'!AM53</f>
        <v>13095113</v>
      </c>
      <c r="D52" s="361">
        <f>-'Table 5A2 LSMSA'!M53</f>
        <v>-16526.670000000002</v>
      </c>
      <c r="E52" s="361">
        <f>-'Table 5A3 NOCCA'!K53</f>
        <v>0</v>
      </c>
      <c r="F52" s="361">
        <f>-'Table 5A4_LSDVI'!K53</f>
        <v>-5508.89</v>
      </c>
      <c r="G52" s="361">
        <f>-'Table 5A5_SSD'!K53</f>
        <v>0</v>
      </c>
      <c r="H52" s="361"/>
      <c r="I52" s="361"/>
      <c r="J52" s="361">
        <f>-'Table 5C1A-Madison Prep'!Q53-'Table 5C1A-Madison Prep'!T53</f>
        <v>0</v>
      </c>
      <c r="K52" s="361">
        <f>-'Table 5C1B-DArbonne'!O53-'Table 5C1B-DArbonne'!R53</f>
        <v>0</v>
      </c>
      <c r="L52" s="361">
        <f>-'Table 5C1C-Intl_VIBE'!O53-'Table 5C1C-Intl_VIBE'!R53</f>
        <v>0</v>
      </c>
      <c r="M52" s="361">
        <f>-'Table 5C1D-NOMMA'!O53-'Table 5C1D-NOMMA'!R53</f>
        <v>0</v>
      </c>
      <c r="N52" s="361">
        <f>-'Table 5C1E-LFNO'!Q53-'Table 5C1E-LFNO'!T53</f>
        <v>0</v>
      </c>
      <c r="O52" s="361">
        <f>-'Table 5C1F-Lake Charles Charter'!O53-'Table 5C1F-Lake Charles Charter'!R53</f>
        <v>0</v>
      </c>
      <c r="P52" s="361">
        <f>-'Table 5C1G-JS Clark Academy'!O53-'Table 5C1G-JS Clark Academy'!R53</f>
        <v>0</v>
      </c>
      <c r="Q52" s="361">
        <f>-'Table 5C1H-Southwest LA Charter'!O53-'Table 5C1H-Southwest LA Charter'!R53</f>
        <v>0</v>
      </c>
      <c r="R52" s="361">
        <f>-'Table 5C1J-LA Key Academy'!O53+'Table 5C1J-LA Key Academy'!R53</f>
        <v>0</v>
      </c>
      <c r="S52" s="361">
        <f>-'Table 5C1K-Jefferson Chamber'!O53+'Table 5C1K-Jefferson Chamber'!R53</f>
        <v>0</v>
      </c>
      <c r="T52" s="361">
        <f>-'Table 5C1L-Tallulah Charter'!O53+'Table 5C1L-Tallulah Charter'!R53</f>
        <v>0</v>
      </c>
      <c r="U52" s="361">
        <f>-'Table 5C1M-Northshore Charter'!O53+'Table 5C1M-Northshore Charter'!R53</f>
        <v>0</v>
      </c>
      <c r="V52" s="361">
        <f>-'Table 5C1N-EBR Charter'!O53+'Table 5C1N-EBR Charter'!R53</f>
        <v>0</v>
      </c>
      <c r="W52" s="361">
        <f>-'Table 5C1O-Lake Charles HS'!O53+'Table 5C1O-Lake Charles HS'!R53</f>
        <v>0</v>
      </c>
      <c r="X52" s="361">
        <f>-'Table 5C1P-Delta Charter'!O53+'Table 5C1P-Delta Charter'!R53</f>
        <v>0</v>
      </c>
      <c r="Y52" s="361">
        <f>-'Table 5C2 - LA Virtual Admy'!P50-'Table 5C2 - LA Virtual Admy'!S50</f>
        <v>-9308.7000000000007</v>
      </c>
      <c r="Z52" s="361">
        <f>-'Table 5C3 - LA Connections EBR'!P50-'Table 5C3 - LA Connections EBR'!S50</f>
        <v>-9044.1</v>
      </c>
      <c r="AA52" s="361">
        <f>-'Table 5D1 - New Vision'!N53-'Table 5D1 - New Vision'!Q53</f>
        <v>0</v>
      </c>
      <c r="AB52" s="361">
        <f>-'Table 5D2 - Glencoe'!N53-'Table 5D2 - Glencoe'!Q53</f>
        <v>0</v>
      </c>
      <c r="AC52" s="361">
        <f>-'Table 5D3 - International'!P53-'Table 5D3 - International'!S53</f>
        <v>0</v>
      </c>
      <c r="AD52" s="361">
        <f>-'Table 5D4 - Avoyelles'!N53-'Table 5D4 - Avoyelles'!Q53</f>
        <v>0</v>
      </c>
      <c r="AE52" s="361">
        <f>-'Table 5D5 - Delhi'!N53-'Table 5D5 - Delhi'!Q53</f>
        <v>0</v>
      </c>
      <c r="AF52" s="361">
        <f>-'Table 5D6 - Milestone'!N53-'Table 5D6 - Milestone'!Q53</f>
        <v>0</v>
      </c>
      <c r="AG52" s="361">
        <f>-'Table 5D7 - Max'!N53-'Table 5D7 - Max'!Q53</f>
        <v>-30147</v>
      </c>
      <c r="AH52" s="361">
        <f>-'Table 5D8 - Belle Chasse'!P53-'Table 5D8 - Belle Chasse'!U53</f>
        <v>0</v>
      </c>
      <c r="AI52" s="361">
        <f>-'Table 5E_OJJ'!P53-'Table 5E_OJJ'!Q53</f>
        <v>0</v>
      </c>
      <c r="AJ52" s="361">
        <f>-('Table 5F Scholarships '!T773)</f>
        <v>-15065.162398143313</v>
      </c>
      <c r="AK52" s="361">
        <f t="shared" si="29"/>
        <v>-85600.522398143308</v>
      </c>
      <c r="AL52" s="750">
        <f t="shared" si="30"/>
        <v>13009512.477601858</v>
      </c>
      <c r="AO52" s="49"/>
      <c r="AR52"/>
      <c r="BA52"/>
    </row>
    <row r="53" spans="1:53">
      <c r="A53" s="99">
        <v>48</v>
      </c>
      <c r="B53" s="301" t="s">
        <v>202</v>
      </c>
      <c r="C53" s="310">
        <f>'Table 2_State Distrib and Adjs'!AM54</f>
        <v>30762106</v>
      </c>
      <c r="D53" s="361">
        <f>-'Table 5A2 LSMSA'!M54</f>
        <v>-8239.7199999999993</v>
      </c>
      <c r="E53" s="361">
        <f>-'Table 5A3 NOCCA'!K54</f>
        <v>-4119.8599999999997</v>
      </c>
      <c r="F53" s="361">
        <f>-'Table 5A4_LSDVI'!K54</f>
        <v>-8239.7199999999993</v>
      </c>
      <c r="G53" s="361">
        <f>-'Table 5A5_SSD'!K54</f>
        <v>0</v>
      </c>
      <c r="H53" s="361"/>
      <c r="I53" s="361"/>
      <c r="J53" s="361">
        <f>-'Table 5C1A-Madison Prep'!Q54-'Table 5C1A-Madison Prep'!T54</f>
        <v>0</v>
      </c>
      <c r="K53" s="361">
        <f>-'Table 5C1B-DArbonne'!O54-'Table 5C1B-DArbonne'!R54</f>
        <v>0</v>
      </c>
      <c r="L53" s="361">
        <f>-'Table 5C1C-Intl_VIBE'!O54-'Table 5C1C-Intl_VIBE'!R54</f>
        <v>-9290</v>
      </c>
      <c r="M53" s="361">
        <f>-'Table 5C1D-NOMMA'!O54-'Table 5C1D-NOMMA'!R54</f>
        <v>0</v>
      </c>
      <c r="N53" s="361">
        <f>-'Table 5C1E-LFNO'!Q54-'Table 5C1E-LFNO'!T54</f>
        <v>0</v>
      </c>
      <c r="O53" s="361">
        <f>-'Table 5C1F-Lake Charles Charter'!O54-'Table 5C1F-Lake Charles Charter'!R54</f>
        <v>0</v>
      </c>
      <c r="P53" s="361">
        <f>-'Table 5C1G-JS Clark Academy'!O54-'Table 5C1G-JS Clark Academy'!R54</f>
        <v>0</v>
      </c>
      <c r="Q53" s="361">
        <f>-'Table 5C1H-Southwest LA Charter'!O54-'Table 5C1H-Southwest LA Charter'!R54</f>
        <v>0</v>
      </c>
      <c r="R53" s="361">
        <f>-'Table 5C1J-LA Key Academy'!O54+'Table 5C1J-LA Key Academy'!R54</f>
        <v>0</v>
      </c>
      <c r="S53" s="361">
        <f>-'Table 5C1K-Jefferson Chamber'!O54+'Table 5C1K-Jefferson Chamber'!R54</f>
        <v>0</v>
      </c>
      <c r="T53" s="361">
        <f>-'Table 5C1L-Tallulah Charter'!O54+'Table 5C1L-Tallulah Charter'!R54</f>
        <v>0</v>
      </c>
      <c r="U53" s="361">
        <f>-'Table 5C1M-Northshore Charter'!O54+'Table 5C1M-Northshore Charter'!R54</f>
        <v>0</v>
      </c>
      <c r="V53" s="361">
        <f>-'Table 5C1N-EBR Charter'!O54+'Table 5C1N-EBR Charter'!R54</f>
        <v>0</v>
      </c>
      <c r="W53" s="361">
        <f>-'Table 5C1O-Lake Charles HS'!O54+'Table 5C1O-Lake Charles HS'!R54</f>
        <v>0</v>
      </c>
      <c r="X53" s="361">
        <f>-'Table 5C1P-Delta Charter'!O54+'Table 5C1P-Delta Charter'!R54</f>
        <v>0</v>
      </c>
      <c r="Y53" s="361">
        <f>-'Table 5C2 - LA Virtual Admy'!P51-'Table 5C2 - LA Virtual Admy'!S51</f>
        <v>-157139.1</v>
      </c>
      <c r="Z53" s="361">
        <f>-'Table 5C3 - LA Connections EBR'!P51-'Table 5C3 - LA Connections EBR'!S51</f>
        <v>-93231</v>
      </c>
      <c r="AA53" s="361">
        <f>-'Table 5D1 - New Vision'!N54-'Table 5D1 - New Vision'!Q54</f>
        <v>0</v>
      </c>
      <c r="AB53" s="361">
        <f>-'Table 5D2 - Glencoe'!N54-'Table 5D2 - Glencoe'!Q54</f>
        <v>0</v>
      </c>
      <c r="AC53" s="361">
        <f>-'Table 5D3 - International'!P54-'Table 5D3 - International'!S54</f>
        <v>-32515</v>
      </c>
      <c r="AD53" s="361">
        <f>-'Table 5D4 - Avoyelles'!N54-'Table 5D4 - Avoyelles'!Q54</f>
        <v>0</v>
      </c>
      <c r="AE53" s="361">
        <f>-'Table 5D5 - Delhi'!N54-'Table 5D5 - Delhi'!Q54</f>
        <v>0</v>
      </c>
      <c r="AF53" s="361">
        <f>-'Table 5D6 - Milestone'!N54-'Table 5D6 - Milestone'!Q54</f>
        <v>0</v>
      </c>
      <c r="AG53" s="361">
        <f>-'Table 5D7 - Max'!N54-'Table 5D7 - Max'!Q54</f>
        <v>0</v>
      </c>
      <c r="AH53" s="361">
        <f>-'Table 5D8 - Belle Chasse'!P54-'Table 5D8 - Belle Chasse'!U54</f>
        <v>0</v>
      </c>
      <c r="AI53" s="361">
        <f>-'Table 5E_OJJ'!P54-'Table 5E_OJJ'!Q54</f>
        <v>0</v>
      </c>
      <c r="AJ53" s="361">
        <f>-('Table 5F Scholarships '!T815)</f>
        <v>-487195.08045582549</v>
      </c>
      <c r="AK53" s="361">
        <f t="shared" si="29"/>
        <v>-799969.48045582557</v>
      </c>
      <c r="AL53" s="750">
        <f t="shared" si="30"/>
        <v>29962136.519544177</v>
      </c>
      <c r="AO53" s="49"/>
      <c r="AR53"/>
      <c r="BA53"/>
    </row>
    <row r="54" spans="1:53">
      <c r="A54" s="99">
        <v>49</v>
      </c>
      <c r="B54" s="301" t="s">
        <v>142</v>
      </c>
      <c r="C54" s="310">
        <f>'Table 2_State Distrib and Adjs'!AM55</f>
        <v>76580202</v>
      </c>
      <c r="D54" s="361">
        <f>-'Table 5A2 LSMSA'!M55</f>
        <v>-11924.400000000001</v>
      </c>
      <c r="E54" s="361">
        <f>-'Table 5A3 NOCCA'!K55</f>
        <v>0</v>
      </c>
      <c r="F54" s="361">
        <f>-'Table 5A4_LSDVI'!K55</f>
        <v>-9539.52</v>
      </c>
      <c r="G54" s="361">
        <f>-'Table 5A5_SSD'!K55</f>
        <v>-7154.64</v>
      </c>
      <c r="H54" s="361"/>
      <c r="I54" s="361"/>
      <c r="J54" s="361">
        <f>-'Table 5C1A-Madison Prep'!Q55-'Table 5C1A-Madison Prep'!T55</f>
        <v>0</v>
      </c>
      <c r="K54" s="361">
        <f>-'Table 5C1B-DArbonne'!O55-'Table 5C1B-DArbonne'!R55</f>
        <v>0</v>
      </c>
      <c r="L54" s="361">
        <f>-'Table 5C1C-Intl_VIBE'!O55-'Table 5C1C-Intl_VIBE'!R55</f>
        <v>0</v>
      </c>
      <c r="M54" s="361">
        <f>-'Table 5C1D-NOMMA'!O55-'Table 5C1D-NOMMA'!R55</f>
        <v>0</v>
      </c>
      <c r="N54" s="361">
        <f>-'Table 5C1E-LFNO'!Q55-'Table 5C1E-LFNO'!T55</f>
        <v>0</v>
      </c>
      <c r="O54" s="361">
        <f>-'Table 5C1F-Lake Charles Charter'!O55-'Table 5C1F-Lake Charles Charter'!R55</f>
        <v>0</v>
      </c>
      <c r="P54" s="361">
        <f>-'Table 5C1G-JS Clark Academy'!O55-'Table 5C1G-JS Clark Academy'!R55</f>
        <v>-389945</v>
      </c>
      <c r="Q54" s="361">
        <f>-'Table 5C1H-Southwest LA Charter'!O55-'Table 5C1H-Southwest LA Charter'!R55</f>
        <v>0</v>
      </c>
      <c r="R54" s="361">
        <f>-'Table 5C1J-LA Key Academy'!O55+'Table 5C1J-LA Key Academy'!R55</f>
        <v>0</v>
      </c>
      <c r="S54" s="361">
        <f>-'Table 5C1K-Jefferson Chamber'!O55+'Table 5C1K-Jefferson Chamber'!R55</f>
        <v>0</v>
      </c>
      <c r="T54" s="361">
        <f>-'Table 5C1L-Tallulah Charter'!O55+'Table 5C1L-Tallulah Charter'!R55</f>
        <v>0</v>
      </c>
      <c r="U54" s="361">
        <f>-'Table 5C1M-Northshore Charter'!O55+'Table 5C1M-Northshore Charter'!R55</f>
        <v>0</v>
      </c>
      <c r="V54" s="361">
        <f>-'Table 5C1N-EBR Charter'!O55+'Table 5C1N-EBR Charter'!R55</f>
        <v>0</v>
      </c>
      <c r="W54" s="361">
        <f>-'Table 5C1O-Lake Charles HS'!O55+'Table 5C1O-Lake Charles HS'!R55</f>
        <v>0</v>
      </c>
      <c r="X54" s="361">
        <f>-'Table 5C1P-Delta Charter'!O55+'Table 5C1P-Delta Charter'!R55</f>
        <v>0</v>
      </c>
      <c r="Y54" s="361">
        <f>-'Table 5C2 - LA Virtual Admy'!P52-'Table 5C2 - LA Virtual Admy'!S52</f>
        <v>-99776.25</v>
      </c>
      <c r="Z54" s="361">
        <f>-'Table 5C3 - LA Connections EBR'!P52-'Table 5C3 - LA Connections EBR'!S52</f>
        <v>-64913</v>
      </c>
      <c r="AA54" s="361">
        <f>-'Table 5D1 - New Vision'!N55-'Table 5D1 - New Vision'!Q55</f>
        <v>0</v>
      </c>
      <c r="AB54" s="361">
        <f>-'Table 5D2 - Glencoe'!N55-'Table 5D2 - Glencoe'!Q55</f>
        <v>0</v>
      </c>
      <c r="AC54" s="361">
        <f>-'Table 5D3 - International'!P55-'Table 5D3 - International'!S55</f>
        <v>0</v>
      </c>
      <c r="AD54" s="361">
        <f>-'Table 5D4 - Avoyelles'!N55-'Table 5D4 - Avoyelles'!Q55</f>
        <v>-4670</v>
      </c>
      <c r="AE54" s="361">
        <f>-'Table 5D5 - Delhi'!N55-'Table 5D5 - Delhi'!Q55</f>
        <v>0</v>
      </c>
      <c r="AF54" s="361">
        <f>-'Table 5D6 - Milestone'!N55-'Table 5D6 - Milestone'!Q55</f>
        <v>0</v>
      </c>
      <c r="AG54" s="361">
        <f>-'Table 5D7 - Max'!N55-'Table 5D7 - Max'!Q55</f>
        <v>0</v>
      </c>
      <c r="AH54" s="361">
        <f>-'Table 5D8 - Belle Chasse'!P55-'Table 5D8 - Belle Chasse'!U55</f>
        <v>0</v>
      </c>
      <c r="AI54" s="361">
        <f>-'Table 5E_OJJ'!P55-'Table 5E_OJJ'!Q55</f>
        <v>-12726.291587860338</v>
      </c>
      <c r="AJ54" s="361">
        <f>-('Table 5F Scholarships '!T824)</f>
        <v>-123964.9510165462</v>
      </c>
      <c r="AK54" s="361">
        <f t="shared" si="29"/>
        <v>-724614.05260440661</v>
      </c>
      <c r="AL54" s="750">
        <f t="shared" si="30"/>
        <v>75855587.947395593</v>
      </c>
      <c r="AO54" s="49"/>
      <c r="AR54"/>
      <c r="BA54"/>
    </row>
    <row r="55" spans="1:53">
      <c r="A55" s="100">
        <v>50</v>
      </c>
      <c r="B55" s="302" t="s">
        <v>143</v>
      </c>
      <c r="C55" s="319">
        <f>'Table 2_State Distrib and Adjs'!AM56</f>
        <v>44168749</v>
      </c>
      <c r="D55" s="362">
        <f>-'Table 5A2 LSMSA'!M56</f>
        <v>-11488.56</v>
      </c>
      <c r="E55" s="362">
        <f>-'Table 5A3 NOCCA'!K56</f>
        <v>0</v>
      </c>
      <c r="F55" s="362">
        <f>-'Table 5A4_LSDVI'!K56</f>
        <v>-5744.28</v>
      </c>
      <c r="G55" s="362">
        <f>-'Table 5A5_SSD'!K56</f>
        <v>-2872.14</v>
      </c>
      <c r="H55" s="362"/>
      <c r="I55" s="362"/>
      <c r="J55" s="362">
        <f>-'Table 5C1A-Madison Prep'!Q56-'Table 5C1A-Madison Prep'!T56</f>
        <v>0</v>
      </c>
      <c r="K55" s="362">
        <f>-'Table 5C1B-DArbonne'!O56-'Table 5C1B-DArbonne'!R56</f>
        <v>0</v>
      </c>
      <c r="L55" s="362">
        <f>-'Table 5C1C-Intl_VIBE'!O56-'Table 5C1C-Intl_VIBE'!R56</f>
        <v>0</v>
      </c>
      <c r="M55" s="362">
        <f>-'Table 5C1D-NOMMA'!O56-'Table 5C1D-NOMMA'!R56</f>
        <v>0</v>
      </c>
      <c r="N55" s="362">
        <f>-'Table 5C1E-LFNO'!Q56-'Table 5C1E-LFNO'!T56</f>
        <v>0</v>
      </c>
      <c r="O55" s="362">
        <f>-'Table 5C1F-Lake Charles Charter'!O56-'Table 5C1F-Lake Charles Charter'!R56</f>
        <v>0</v>
      </c>
      <c r="P55" s="362">
        <f>-'Table 5C1G-JS Clark Academy'!O56-'Table 5C1G-JS Clark Academy'!R56</f>
        <v>0</v>
      </c>
      <c r="Q55" s="362">
        <f>-'Table 5C1H-Southwest LA Charter'!O56-'Table 5C1H-Southwest LA Charter'!R56</f>
        <v>0</v>
      </c>
      <c r="R55" s="362">
        <f>-'Table 5C1J-LA Key Academy'!O56+'Table 5C1J-LA Key Academy'!R56</f>
        <v>0</v>
      </c>
      <c r="S55" s="362">
        <f>-'Table 5C1K-Jefferson Chamber'!O56+'Table 5C1K-Jefferson Chamber'!R56</f>
        <v>0</v>
      </c>
      <c r="T55" s="362">
        <f>-'Table 5C1L-Tallulah Charter'!O56+'Table 5C1L-Tallulah Charter'!R56</f>
        <v>0</v>
      </c>
      <c r="U55" s="362">
        <f>-'Table 5C1M-Northshore Charter'!O56+'Table 5C1M-Northshore Charter'!R56</f>
        <v>0</v>
      </c>
      <c r="V55" s="362">
        <f>-'Table 5C1N-EBR Charter'!O56+'Table 5C1N-EBR Charter'!R56</f>
        <v>0</v>
      </c>
      <c r="W55" s="362">
        <f>-'Table 5C1O-Lake Charles HS'!O56+'Table 5C1O-Lake Charles HS'!R56</f>
        <v>0</v>
      </c>
      <c r="X55" s="362">
        <f>-'Table 5C1P-Delta Charter'!O56+'Table 5C1P-Delta Charter'!R56</f>
        <v>0</v>
      </c>
      <c r="Y55" s="362">
        <f>-'Table 5C2 - LA Virtual Admy'!P53-'Table 5C2 - LA Virtual Admy'!S53</f>
        <v>-21788.1</v>
      </c>
      <c r="Z55" s="362">
        <f>-'Table 5C3 - LA Connections EBR'!P53-'Table 5C3 - LA Connections EBR'!S53</f>
        <v>-27729.9</v>
      </c>
      <c r="AA55" s="362">
        <f>-'Table 5D1 - New Vision'!N56-'Table 5D1 - New Vision'!Q56</f>
        <v>0</v>
      </c>
      <c r="AB55" s="362">
        <f>-'Table 5D2 - Glencoe'!N56-'Table 5D2 - Glencoe'!Q56</f>
        <v>0</v>
      </c>
      <c r="AC55" s="362">
        <f>-'Table 5D3 - International'!P56-'Table 5D3 - International'!S56</f>
        <v>0</v>
      </c>
      <c r="AD55" s="362">
        <f>-'Table 5D4 - Avoyelles'!N56-'Table 5D4 - Avoyelles'!Q56</f>
        <v>0</v>
      </c>
      <c r="AE55" s="362">
        <f>-'Table 5D5 - Delhi'!N56-'Table 5D5 - Delhi'!Q56</f>
        <v>0</v>
      </c>
      <c r="AF55" s="362">
        <f>-'Table 5D6 - Milestone'!N56-'Table 5D6 - Milestone'!Q56</f>
        <v>0</v>
      </c>
      <c r="AG55" s="362">
        <f>-'Table 5D7 - Max'!N56-'Table 5D7 - Max'!Q56</f>
        <v>0</v>
      </c>
      <c r="AH55" s="362">
        <f>-'Table 5D8 - Belle Chasse'!P56-'Table 5D8 - Belle Chasse'!U56</f>
        <v>0</v>
      </c>
      <c r="AI55" s="362">
        <f>-'Table 5E_OJJ'!P56-'Table 5E_OJJ'!Q56</f>
        <v>-12410.096068669172</v>
      </c>
      <c r="AJ55" s="362">
        <f>-('Table 5F Scholarships '!T844)</f>
        <v>-61231.527952171469</v>
      </c>
      <c r="AK55" s="362">
        <f t="shared" si="29"/>
        <v>-143264.60402084066</v>
      </c>
      <c r="AL55" s="751">
        <f t="shared" si="30"/>
        <v>44025484.395979151</v>
      </c>
      <c r="AO55" s="49"/>
      <c r="AR55"/>
      <c r="BA55"/>
    </row>
    <row r="56" spans="1:53">
      <c r="A56" s="99">
        <v>51</v>
      </c>
      <c r="B56" s="301" t="s">
        <v>144</v>
      </c>
      <c r="C56" s="310">
        <f>'Table 2_State Distrib and Adjs'!AM57</f>
        <v>44926854</v>
      </c>
      <c r="D56" s="361">
        <f>-'Table 5A2 LSMSA'!M57</f>
        <v>-11814.39</v>
      </c>
      <c r="E56" s="361">
        <f>-'Table 5A3 NOCCA'!K57</f>
        <v>0</v>
      </c>
      <c r="F56" s="361">
        <f>-'Table 5A4_LSDVI'!K57</f>
        <v>-11814.39</v>
      </c>
      <c r="G56" s="361">
        <f>-'Table 5A5_SSD'!K57</f>
        <v>-7876.26</v>
      </c>
      <c r="H56" s="361"/>
      <c r="I56" s="361"/>
      <c r="J56" s="361">
        <f>-'Table 5C1A-Madison Prep'!Q57-'Table 5C1A-Madison Prep'!T57</f>
        <v>0</v>
      </c>
      <c r="K56" s="361">
        <f>-'Table 5C1B-DArbonne'!O57-'Table 5C1B-DArbonne'!R57</f>
        <v>0</v>
      </c>
      <c r="L56" s="361">
        <f>-'Table 5C1C-Intl_VIBE'!O57-'Table 5C1C-Intl_VIBE'!R57</f>
        <v>0</v>
      </c>
      <c r="M56" s="361">
        <f>-'Table 5C1D-NOMMA'!O57-'Table 5C1D-NOMMA'!R57</f>
        <v>0</v>
      </c>
      <c r="N56" s="361">
        <f>-'Table 5C1E-LFNO'!Q57-'Table 5C1E-LFNO'!T57</f>
        <v>0</v>
      </c>
      <c r="O56" s="361">
        <f>-'Table 5C1F-Lake Charles Charter'!O57-'Table 5C1F-Lake Charles Charter'!R57</f>
        <v>0</v>
      </c>
      <c r="P56" s="361">
        <f>-'Table 5C1G-JS Clark Academy'!O57-'Table 5C1G-JS Clark Academy'!R57</f>
        <v>0</v>
      </c>
      <c r="Q56" s="361">
        <f>-'Table 5C1H-Southwest LA Charter'!O57-'Table 5C1H-Southwest LA Charter'!R57</f>
        <v>0</v>
      </c>
      <c r="R56" s="361">
        <f>-'Table 5C1J-LA Key Academy'!O57+'Table 5C1J-LA Key Academy'!R57</f>
        <v>0</v>
      </c>
      <c r="S56" s="361">
        <f>-'Table 5C1K-Jefferson Chamber'!O57+'Table 5C1K-Jefferson Chamber'!R57</f>
        <v>0</v>
      </c>
      <c r="T56" s="361">
        <f>-'Table 5C1L-Tallulah Charter'!O57+'Table 5C1L-Tallulah Charter'!R57</f>
        <v>0</v>
      </c>
      <c r="U56" s="361">
        <f>-'Table 5C1M-Northshore Charter'!O57+'Table 5C1M-Northshore Charter'!R57</f>
        <v>0</v>
      </c>
      <c r="V56" s="361">
        <f>-'Table 5C1N-EBR Charter'!O57+'Table 5C1N-EBR Charter'!R57</f>
        <v>0</v>
      </c>
      <c r="W56" s="361">
        <f>-'Table 5C1O-Lake Charles HS'!O57+'Table 5C1O-Lake Charles HS'!R57</f>
        <v>0</v>
      </c>
      <c r="X56" s="361">
        <f>-'Table 5C1P-Delta Charter'!O57+'Table 5C1P-Delta Charter'!R57</f>
        <v>0</v>
      </c>
      <c r="Y56" s="361">
        <f>-'Table 5C2 - LA Virtual Admy'!P54-'Table 5C2 - LA Virtual Admy'!S54</f>
        <v>5446.7999999999993</v>
      </c>
      <c r="Z56" s="361">
        <f>-'Table 5C3 - LA Connections EBR'!P54-'Table 5C3 - LA Connections EBR'!S54</f>
        <v>405.29999999999973</v>
      </c>
      <c r="AA56" s="361">
        <f>-'Table 5D1 - New Vision'!N57-'Table 5D1 - New Vision'!Q57</f>
        <v>0</v>
      </c>
      <c r="AB56" s="361">
        <f>-'Table 5D2 - Glencoe'!N57-'Table 5D2 - Glencoe'!Q57</f>
        <v>-1163211</v>
      </c>
      <c r="AC56" s="361">
        <f>-'Table 5D3 - International'!P57-'Table 5D3 - International'!S57</f>
        <v>0</v>
      </c>
      <c r="AD56" s="361">
        <f>-'Table 5D4 - Avoyelles'!N57-'Table 5D4 - Avoyelles'!Q57</f>
        <v>0</v>
      </c>
      <c r="AE56" s="361">
        <f>-'Table 5D5 - Delhi'!N57-'Table 5D5 - Delhi'!Q57</f>
        <v>0</v>
      </c>
      <c r="AF56" s="361">
        <f>-'Table 5D6 - Milestone'!N57-'Table 5D6 - Milestone'!Q57</f>
        <v>0</v>
      </c>
      <c r="AG56" s="361">
        <f>-'Table 5D7 - Max'!N57-'Table 5D7 - Max'!Q57</f>
        <v>-8106</v>
      </c>
      <c r="AH56" s="361">
        <f>-'Table 5D8 - Belle Chasse'!P57-'Table 5D8 - Belle Chasse'!U57</f>
        <v>0</v>
      </c>
      <c r="AI56" s="361">
        <f>-'Table 5E_OJJ'!P57-'Table 5E_OJJ'!Q57</f>
        <v>-7213.1592435917955</v>
      </c>
      <c r="AJ56" s="361">
        <f>-('Table 5F Scholarships '!T848)</f>
        <v>-11496.049425968158</v>
      </c>
      <c r="AK56" s="361">
        <f t="shared" si="29"/>
        <v>-1215679.14866956</v>
      </c>
      <c r="AL56" s="750">
        <f t="shared" si="30"/>
        <v>43711174.851330437</v>
      </c>
      <c r="AO56" s="49"/>
      <c r="AR56"/>
      <c r="BA56"/>
    </row>
    <row r="57" spans="1:53">
      <c r="A57" s="99">
        <v>52</v>
      </c>
      <c r="B57" s="301" t="s">
        <v>145</v>
      </c>
      <c r="C57" s="310">
        <f>'Table 2_State Distrib and Adjs'!AM58</f>
        <v>208159014</v>
      </c>
      <c r="D57" s="361">
        <f>-'Table 5A2 LSMSA'!M58</f>
        <v>-63777.06</v>
      </c>
      <c r="E57" s="361">
        <f>-'Table 5A3 NOCCA'!K58</f>
        <v>-49604.380000000005</v>
      </c>
      <c r="F57" s="361">
        <f>-'Table 5A4_LSDVI'!K58</f>
        <v>-24802.190000000002</v>
      </c>
      <c r="G57" s="361">
        <f>-'Table 5A5_SSD'!K58</f>
        <v>-35431.699999999997</v>
      </c>
      <c r="H57" s="361"/>
      <c r="I57" s="361"/>
      <c r="J57" s="361">
        <f>-'Table 5C1A-Madison Prep'!Q58-'Table 5C1A-Madison Prep'!T58</f>
        <v>0</v>
      </c>
      <c r="K57" s="361">
        <f>-'Table 5C1B-DArbonne'!O58-'Table 5C1B-DArbonne'!R58</f>
        <v>0</v>
      </c>
      <c r="L57" s="361">
        <f>-'Table 5C1C-Intl_VIBE'!O58-'Table 5C1C-Intl_VIBE'!R58</f>
        <v>-12123</v>
      </c>
      <c r="M57" s="361">
        <f>-'Table 5C1D-NOMMA'!O58-'Table 5C1D-NOMMA'!R58</f>
        <v>0</v>
      </c>
      <c r="N57" s="361">
        <f>-'Table 5C1E-LFNO'!Q58-'Table 5C1E-LFNO'!T58</f>
        <v>-4886</v>
      </c>
      <c r="O57" s="361">
        <f>-'Table 5C1F-Lake Charles Charter'!O58-'Table 5C1F-Lake Charles Charter'!R58</f>
        <v>0</v>
      </c>
      <c r="P57" s="361">
        <f>-'Table 5C1G-JS Clark Academy'!O58-'Table 5C1G-JS Clark Academy'!R58</f>
        <v>0</v>
      </c>
      <c r="Q57" s="361">
        <f>-'Table 5C1H-Southwest LA Charter'!O58-'Table 5C1H-Southwest LA Charter'!R58</f>
        <v>0</v>
      </c>
      <c r="R57" s="361">
        <f>-'Table 5C1J-LA Key Academy'!O58+'Table 5C1J-LA Key Academy'!R58</f>
        <v>0</v>
      </c>
      <c r="S57" s="361">
        <f>-'Table 5C1K-Jefferson Chamber'!O58+'Table 5C1K-Jefferson Chamber'!R58</f>
        <v>0</v>
      </c>
      <c r="T57" s="361">
        <f>-'Table 5C1L-Tallulah Charter'!O58+'Table 5C1L-Tallulah Charter'!R58</f>
        <v>0</v>
      </c>
      <c r="U57" s="361">
        <f>-'Table 5C1M-Northshore Charter'!O58+'Table 5C1M-Northshore Charter'!R58</f>
        <v>0</v>
      </c>
      <c r="V57" s="361">
        <f>-'Table 5C1N-EBR Charter'!O58+'Table 5C1N-EBR Charter'!R58</f>
        <v>0</v>
      </c>
      <c r="W57" s="361">
        <f>-'Table 5C1O-Lake Charles HS'!O58+'Table 5C1O-Lake Charles HS'!R58</f>
        <v>0</v>
      </c>
      <c r="X57" s="361">
        <f>-'Table 5C1P-Delta Charter'!O58+'Table 5C1P-Delta Charter'!R58</f>
        <v>0</v>
      </c>
      <c r="Y57" s="361">
        <f>-'Table 5C2 - LA Virtual Admy'!P55-'Table 5C2 - LA Virtual Admy'!S55</f>
        <v>-317474.8</v>
      </c>
      <c r="Z57" s="361">
        <f>-'Table 5C3 - LA Connections EBR'!P55-'Table 5C3 - LA Connections EBR'!S55</f>
        <v>-470521.80000000005</v>
      </c>
      <c r="AA57" s="361">
        <f>-'Table 5D1 - New Vision'!N58-'Table 5D1 - New Vision'!Q58</f>
        <v>0</v>
      </c>
      <c r="AB57" s="361">
        <f>-'Table 5D2 - Glencoe'!N58-'Table 5D2 - Glencoe'!Q58</f>
        <v>0</v>
      </c>
      <c r="AC57" s="361">
        <f>-'Table 5D3 - International'!P58-'Table 5D3 - International'!S58</f>
        <v>-48492</v>
      </c>
      <c r="AD57" s="361">
        <f>-'Table 5D4 - Avoyelles'!N58-'Table 5D4 - Avoyelles'!Q58</f>
        <v>0</v>
      </c>
      <c r="AE57" s="361">
        <f>-'Table 5D5 - Delhi'!N58-'Table 5D5 - Delhi'!Q58</f>
        <v>0</v>
      </c>
      <c r="AF57" s="361">
        <f>-'Table 5D6 - Milestone'!N58-'Table 5D6 - Milestone'!Q58</f>
        <v>0</v>
      </c>
      <c r="AG57" s="361">
        <f>-'Table 5D7 - Max'!N58-'Table 5D7 - Max'!Q58</f>
        <v>0</v>
      </c>
      <c r="AH57" s="361">
        <f>-'Table 5D8 - Belle Chasse'!P58-'Table 5D8 - Belle Chasse'!U58</f>
        <v>-14658</v>
      </c>
      <c r="AI57" s="361">
        <f>-'Table 5E_OJJ'!P58-'Table 5E_OJJ'!Q58</f>
        <v>-46807.430644700224</v>
      </c>
      <c r="AJ57" s="361">
        <f>-('Table 5F Scholarships '!T867)</f>
        <v>-144349.29010601481</v>
      </c>
      <c r="AK57" s="361">
        <f t="shared" si="29"/>
        <v>-1232927.6507507151</v>
      </c>
      <c r="AL57" s="750">
        <f t="shared" si="30"/>
        <v>206926086.34924927</v>
      </c>
      <c r="AO57" s="49"/>
      <c r="AR57"/>
      <c r="BA57"/>
    </row>
    <row r="58" spans="1:53">
      <c r="A58" s="99">
        <v>53</v>
      </c>
      <c r="B58" s="301" t="s">
        <v>146</v>
      </c>
      <c r="C58" s="310">
        <f>'Table 2_State Distrib and Adjs'!AM59</f>
        <v>103435158</v>
      </c>
      <c r="D58" s="361">
        <f>-'Table 5A2 LSMSA'!M59</f>
        <v>-13587.699999999999</v>
      </c>
      <c r="E58" s="361">
        <f>-'Table 5A3 NOCCA'!K59</f>
        <v>-1941.1</v>
      </c>
      <c r="F58" s="361">
        <f>-'Table 5A4_LSDVI'!K59</f>
        <v>-15528.8</v>
      </c>
      <c r="G58" s="361">
        <f>-'Table 5A5_SSD'!K59</f>
        <v>-9705.5</v>
      </c>
      <c r="H58" s="361"/>
      <c r="I58" s="361"/>
      <c r="J58" s="361">
        <f>-'Table 5C1A-Madison Prep'!Q59-'Table 5C1A-Madison Prep'!T59</f>
        <v>0</v>
      </c>
      <c r="K58" s="361">
        <f>-'Table 5C1B-DArbonne'!O59-'Table 5C1B-DArbonne'!R59</f>
        <v>0</v>
      </c>
      <c r="L58" s="361">
        <f>-'Table 5C1C-Intl_VIBE'!O59-'Table 5C1C-Intl_VIBE'!R59</f>
        <v>0</v>
      </c>
      <c r="M58" s="361">
        <f>-'Table 5C1D-NOMMA'!O59-'Table 5C1D-NOMMA'!R59</f>
        <v>0</v>
      </c>
      <c r="N58" s="361">
        <f>-'Table 5C1E-LFNO'!Q59-'Table 5C1E-LFNO'!T59</f>
        <v>0</v>
      </c>
      <c r="O58" s="361">
        <f>-'Table 5C1F-Lake Charles Charter'!O59-'Table 5C1F-Lake Charles Charter'!R59</f>
        <v>0</v>
      </c>
      <c r="P58" s="361">
        <f>-'Table 5C1G-JS Clark Academy'!O59-'Table 5C1G-JS Clark Academy'!R59</f>
        <v>0</v>
      </c>
      <c r="Q58" s="361">
        <f>-'Table 5C1H-Southwest LA Charter'!O59-'Table 5C1H-Southwest LA Charter'!R59</f>
        <v>0</v>
      </c>
      <c r="R58" s="361">
        <f>-'Table 5C1J-LA Key Academy'!O59+'Table 5C1J-LA Key Academy'!R59</f>
        <v>0</v>
      </c>
      <c r="S58" s="361">
        <f>-'Table 5C1K-Jefferson Chamber'!O59+'Table 5C1K-Jefferson Chamber'!R59</f>
        <v>0</v>
      </c>
      <c r="T58" s="361">
        <f>-'Table 5C1L-Tallulah Charter'!O59+'Table 5C1L-Tallulah Charter'!R59</f>
        <v>0</v>
      </c>
      <c r="U58" s="361">
        <f>-'Table 5C1M-Northshore Charter'!O59+'Table 5C1M-Northshore Charter'!R59</f>
        <v>0</v>
      </c>
      <c r="V58" s="361">
        <f>-'Table 5C1N-EBR Charter'!O59+'Table 5C1N-EBR Charter'!R59</f>
        <v>0</v>
      </c>
      <c r="W58" s="361">
        <f>-'Table 5C1O-Lake Charles HS'!O59+'Table 5C1O-Lake Charles HS'!R59</f>
        <v>0</v>
      </c>
      <c r="X58" s="361">
        <f>-'Table 5C1P-Delta Charter'!O59+'Table 5C1P-Delta Charter'!R59</f>
        <v>0</v>
      </c>
      <c r="Y58" s="361">
        <f>-'Table 5C2 - LA Virtual Admy'!P56-'Table 5C2 - LA Virtual Admy'!S56</f>
        <v>-94988.400000000009</v>
      </c>
      <c r="Z58" s="361">
        <f>-'Table 5C3 - LA Connections EBR'!P56-'Table 5C3 - LA Connections EBR'!S56</f>
        <v>-87769.500000000015</v>
      </c>
      <c r="AA58" s="361">
        <f>-'Table 5D1 - New Vision'!N59-'Table 5D1 - New Vision'!Q59</f>
        <v>0</v>
      </c>
      <c r="AB58" s="361">
        <f>-'Table 5D2 - Glencoe'!N59-'Table 5D2 - Glencoe'!Q59</f>
        <v>0</v>
      </c>
      <c r="AC58" s="361">
        <f>-'Table 5D3 - International'!P59-'Table 5D3 - International'!S59</f>
        <v>0</v>
      </c>
      <c r="AD58" s="361">
        <f>-'Table 5D4 - Avoyelles'!N59-'Table 5D4 - Avoyelles'!Q59</f>
        <v>0</v>
      </c>
      <c r="AE58" s="361">
        <f>-'Table 5D5 - Delhi'!N59-'Table 5D5 - Delhi'!Q59</f>
        <v>0</v>
      </c>
      <c r="AF58" s="361">
        <f>-'Table 5D6 - Milestone'!N59-'Table 5D6 - Milestone'!Q59</f>
        <v>0</v>
      </c>
      <c r="AG58" s="361">
        <f>-'Table 5D7 - Max'!N59-'Table 5D7 - Max'!Q59</f>
        <v>0</v>
      </c>
      <c r="AH58" s="361">
        <f>-'Table 5D8 - Belle Chasse'!P59-'Table 5D8 - Belle Chasse'!U59</f>
        <v>0</v>
      </c>
      <c r="AI58" s="361">
        <f>-'Table 5E_OJJ'!P59-'Table 5E_OJJ'!Q59</f>
        <v>-16585.565946678555</v>
      </c>
      <c r="AJ58" s="361">
        <f>-('Table 5F Scholarships '!T881)</f>
        <v>-68080.493332382801</v>
      </c>
      <c r="AK58" s="361">
        <f t="shared" si="29"/>
        <v>-308187.05927906133</v>
      </c>
      <c r="AL58" s="750">
        <f t="shared" si="30"/>
        <v>103126970.94072093</v>
      </c>
      <c r="AO58" s="49"/>
      <c r="AR58"/>
      <c r="BA58"/>
    </row>
    <row r="59" spans="1:53">
      <c r="A59" s="99">
        <v>54</v>
      </c>
      <c r="B59" s="301" t="s">
        <v>147</v>
      </c>
      <c r="C59" s="310">
        <f>'Table 2_State Distrib and Adjs'!AM60</f>
        <v>4642781</v>
      </c>
      <c r="D59" s="361">
        <f>-'Table 5A2 LSMSA'!M60</f>
        <v>0</v>
      </c>
      <c r="E59" s="361">
        <f>-'Table 5A3 NOCCA'!K60</f>
        <v>0</v>
      </c>
      <c r="F59" s="361">
        <f>-'Table 5A4_LSDVI'!K60</f>
        <v>0</v>
      </c>
      <c r="G59" s="361">
        <f>-'Table 5A5_SSD'!K60</f>
        <v>0</v>
      </c>
      <c r="H59" s="361"/>
      <c r="I59" s="361"/>
      <c r="J59" s="361">
        <f>-'Table 5C1A-Madison Prep'!Q60-'Table 5C1A-Madison Prep'!T60</f>
        <v>0</v>
      </c>
      <c r="K59" s="361">
        <f>-'Table 5C1B-DArbonne'!O60-'Table 5C1B-DArbonne'!R60</f>
        <v>0</v>
      </c>
      <c r="L59" s="361">
        <f>-'Table 5C1C-Intl_VIBE'!O60-'Table 5C1C-Intl_VIBE'!R60</f>
        <v>0</v>
      </c>
      <c r="M59" s="361">
        <f>-'Table 5C1D-NOMMA'!O60-'Table 5C1D-NOMMA'!R60</f>
        <v>0</v>
      </c>
      <c r="N59" s="361">
        <f>-'Table 5C1E-LFNO'!Q60-'Table 5C1E-LFNO'!T60</f>
        <v>0</v>
      </c>
      <c r="O59" s="361">
        <f>-'Table 5C1F-Lake Charles Charter'!O60-'Table 5C1F-Lake Charles Charter'!R60</f>
        <v>0</v>
      </c>
      <c r="P59" s="361">
        <f>-'Table 5C1G-JS Clark Academy'!O60-'Table 5C1G-JS Clark Academy'!R60</f>
        <v>0</v>
      </c>
      <c r="Q59" s="361">
        <f>-'Table 5C1H-Southwest LA Charter'!O60-'Table 5C1H-Southwest LA Charter'!R60</f>
        <v>0</v>
      </c>
      <c r="R59" s="361">
        <f>-'Table 5C1J-LA Key Academy'!O60+'Table 5C1J-LA Key Academy'!R60</f>
        <v>0</v>
      </c>
      <c r="S59" s="361">
        <f>-'Table 5C1K-Jefferson Chamber'!O60+'Table 5C1K-Jefferson Chamber'!R60</f>
        <v>0</v>
      </c>
      <c r="T59" s="361">
        <f>-'Table 5C1L-Tallulah Charter'!O60+'Table 5C1L-Tallulah Charter'!R60</f>
        <v>0</v>
      </c>
      <c r="U59" s="361">
        <f>-'Table 5C1M-Northshore Charter'!O60+'Table 5C1M-Northshore Charter'!R60</f>
        <v>0</v>
      </c>
      <c r="V59" s="361">
        <f>-'Table 5C1N-EBR Charter'!O60+'Table 5C1N-EBR Charter'!R60</f>
        <v>0</v>
      </c>
      <c r="W59" s="361">
        <f>-'Table 5C1O-Lake Charles HS'!O60+'Table 5C1O-Lake Charles HS'!R60</f>
        <v>0</v>
      </c>
      <c r="X59" s="361">
        <f>-'Table 5C1P-Delta Charter'!O60+'Table 5C1P-Delta Charter'!R60</f>
        <v>0</v>
      </c>
      <c r="Y59" s="361">
        <f>-'Table 5C2 - LA Virtual Admy'!P57-'Table 5C2 - LA Virtual Admy'!S57</f>
        <v>0</v>
      </c>
      <c r="Z59" s="361">
        <f>-'Table 5C3 - LA Connections EBR'!P57-'Table 5C3 - LA Connections EBR'!S57</f>
        <v>-15219</v>
      </c>
      <c r="AA59" s="361">
        <f>-'Table 5D1 - New Vision'!N60-'Table 5D1 - New Vision'!Q60</f>
        <v>0</v>
      </c>
      <c r="AB59" s="361">
        <f>-'Table 5D2 - Glencoe'!N60-'Table 5D2 - Glencoe'!Q60</f>
        <v>0</v>
      </c>
      <c r="AC59" s="361">
        <f>-'Table 5D3 - International'!P60-'Table 5D3 - International'!S60</f>
        <v>0</v>
      </c>
      <c r="AD59" s="361">
        <f>-'Table 5D4 - Avoyelles'!N60-'Table 5D4 - Avoyelles'!Q60</f>
        <v>0</v>
      </c>
      <c r="AE59" s="361">
        <f>-'Table 5D5 - Delhi'!N60-'Table 5D5 - Delhi'!Q60</f>
        <v>-10146</v>
      </c>
      <c r="AF59" s="361">
        <f>-'Table 5D6 - Milestone'!N60-'Table 5D6 - Milestone'!Q60</f>
        <v>0</v>
      </c>
      <c r="AG59" s="361">
        <f>-'Table 5D7 - Max'!N60-'Table 5D7 - Max'!Q60</f>
        <v>0</v>
      </c>
      <c r="AH59" s="361">
        <f>-'Table 5D8 - Belle Chasse'!P60-'Table 5D8 - Belle Chasse'!U60</f>
        <v>0</v>
      </c>
      <c r="AI59" s="361">
        <f>-'Table 5E_OJJ'!P60-'Table 5E_OJJ'!Q60</f>
        <v>-7460.5375707808225</v>
      </c>
      <c r="AJ59" s="361">
        <v>0</v>
      </c>
      <c r="AK59" s="361">
        <f t="shared" si="29"/>
        <v>-32825.53757078082</v>
      </c>
      <c r="AL59" s="750">
        <f t="shared" si="30"/>
        <v>4609955.4624292189</v>
      </c>
      <c r="AO59" s="49"/>
      <c r="AR59"/>
      <c r="BA59"/>
    </row>
    <row r="60" spans="1:53">
      <c r="A60" s="100">
        <v>55</v>
      </c>
      <c r="B60" s="302" t="s">
        <v>148</v>
      </c>
      <c r="C60" s="319">
        <f>'Table 2_State Distrib and Adjs'!AM61</f>
        <v>86848251</v>
      </c>
      <c r="D60" s="362">
        <f>-'Table 5A2 LSMSA'!M61</f>
        <v>-34593.020000000004</v>
      </c>
      <c r="E60" s="362">
        <f>-'Table 5A3 NOCCA'!K61</f>
        <v>-3144.82</v>
      </c>
      <c r="F60" s="362">
        <f>-'Table 5A4_LSDVI'!K61</f>
        <v>-18868.920000000002</v>
      </c>
      <c r="G60" s="362">
        <f>-'Table 5A5_SSD'!K61</f>
        <v>-22013.74</v>
      </c>
      <c r="H60" s="362"/>
      <c r="I60" s="362"/>
      <c r="J60" s="362">
        <f>-'Table 5C1A-Madison Prep'!Q61-'Table 5C1A-Madison Prep'!T61</f>
        <v>0</v>
      </c>
      <c r="K60" s="362">
        <f>-'Table 5C1B-DArbonne'!O61-'Table 5C1B-DArbonne'!R61</f>
        <v>0</v>
      </c>
      <c r="L60" s="362">
        <f>-'Table 5C1C-Intl_VIBE'!O61-'Table 5C1C-Intl_VIBE'!R61</f>
        <v>0</v>
      </c>
      <c r="M60" s="362">
        <f>-'Table 5C1D-NOMMA'!O61-'Table 5C1D-NOMMA'!R61</f>
        <v>0</v>
      </c>
      <c r="N60" s="362">
        <f>-'Table 5C1E-LFNO'!Q61-'Table 5C1E-LFNO'!T61</f>
        <v>0</v>
      </c>
      <c r="O60" s="362">
        <f>-'Table 5C1F-Lake Charles Charter'!O61-'Table 5C1F-Lake Charles Charter'!R61</f>
        <v>0</v>
      </c>
      <c r="P60" s="362">
        <f>-'Table 5C1G-JS Clark Academy'!O61-'Table 5C1G-JS Clark Academy'!R61</f>
        <v>0</v>
      </c>
      <c r="Q60" s="362">
        <f>-'Table 5C1H-Southwest LA Charter'!O61-'Table 5C1H-Southwest LA Charter'!R61</f>
        <v>0</v>
      </c>
      <c r="R60" s="362">
        <f>-'Table 5C1J-LA Key Academy'!O61+'Table 5C1J-LA Key Academy'!R61</f>
        <v>0</v>
      </c>
      <c r="S60" s="362">
        <f>-'Table 5C1K-Jefferson Chamber'!O61+'Table 5C1K-Jefferson Chamber'!R61</f>
        <v>0</v>
      </c>
      <c r="T60" s="362">
        <f>-'Table 5C1L-Tallulah Charter'!O61+'Table 5C1L-Tallulah Charter'!R61</f>
        <v>0</v>
      </c>
      <c r="U60" s="362">
        <f>-'Table 5C1M-Northshore Charter'!O61+'Table 5C1M-Northshore Charter'!R61</f>
        <v>0</v>
      </c>
      <c r="V60" s="362">
        <f>-'Table 5C1N-EBR Charter'!O61+'Table 5C1N-EBR Charter'!R61</f>
        <v>0</v>
      </c>
      <c r="W60" s="362">
        <f>-'Table 5C1O-Lake Charles HS'!O61+'Table 5C1O-Lake Charles HS'!R61</f>
        <v>0</v>
      </c>
      <c r="X60" s="362">
        <f>-'Table 5C1P-Delta Charter'!O61+'Table 5C1P-Delta Charter'!R61</f>
        <v>0</v>
      </c>
      <c r="Y60" s="362">
        <f>-'Table 5C2 - LA Virtual Admy'!P58-'Table 5C2 - LA Virtual Admy'!S58</f>
        <v>-61274.600000000006</v>
      </c>
      <c r="Z60" s="362">
        <f>-'Table 5C3 - LA Connections EBR'!P58-'Table 5C3 - LA Connections EBR'!S58</f>
        <v>-109757.70000000001</v>
      </c>
      <c r="AA60" s="362">
        <f>-'Table 5D1 - New Vision'!N61-'Table 5D1 - New Vision'!Q61</f>
        <v>0</v>
      </c>
      <c r="AB60" s="362">
        <f>-'Table 5D2 - Glencoe'!N61-'Table 5D2 - Glencoe'!Q61</f>
        <v>0</v>
      </c>
      <c r="AC60" s="362">
        <f>-'Table 5D3 - International'!P61-'Table 5D3 - International'!S61</f>
        <v>0</v>
      </c>
      <c r="AD60" s="362">
        <f>-'Table 5D4 - Avoyelles'!N61-'Table 5D4 - Avoyelles'!Q61</f>
        <v>0</v>
      </c>
      <c r="AE60" s="362">
        <f>-'Table 5D5 - Delhi'!N61-'Table 5D5 - Delhi'!Q61</f>
        <v>0</v>
      </c>
      <c r="AF60" s="362">
        <f>-'Table 5D6 - Milestone'!N61-'Table 5D6 - Milestone'!Q61</f>
        <v>0</v>
      </c>
      <c r="AG60" s="362">
        <f>-'Table 5D7 - Max'!N61-'Table 5D7 - Max'!Q61</f>
        <v>-134461</v>
      </c>
      <c r="AH60" s="362">
        <f>-'Table 5D8 - Belle Chasse'!P61-'Table 5D8 - Belle Chasse'!U61</f>
        <v>0</v>
      </c>
      <c r="AI60" s="362">
        <f>-'Table 5E_OJJ'!P61-'Table 5E_OJJ'!Q61</f>
        <v>-41595.626424218644</v>
      </c>
      <c r="AJ60" s="362">
        <f>-('Table 5F Scholarships '!T895)</f>
        <v>-40719.566954761751</v>
      </c>
      <c r="AK60" s="362">
        <f t="shared" si="29"/>
        <v>-466428.99337898043</v>
      </c>
      <c r="AL60" s="751">
        <f t="shared" si="30"/>
        <v>86381822.006621033</v>
      </c>
      <c r="AO60" s="49"/>
      <c r="AR60"/>
      <c r="BA60"/>
    </row>
    <row r="61" spans="1:53">
      <c r="A61" s="99">
        <v>56</v>
      </c>
      <c r="B61" s="301" t="s">
        <v>149</v>
      </c>
      <c r="C61" s="310">
        <f>'Table 2_State Distrib and Adjs'!AM62</f>
        <v>12828158</v>
      </c>
      <c r="D61" s="361">
        <f>-'Table 5A2 LSMSA'!M62</f>
        <v>-11362.88</v>
      </c>
      <c r="E61" s="361">
        <f>-'Table 5A3 NOCCA'!K62</f>
        <v>0</v>
      </c>
      <c r="F61" s="361">
        <f>-'Table 5A4_LSDVI'!K62</f>
        <v>0</v>
      </c>
      <c r="G61" s="361">
        <f>-'Table 5A5_SSD'!K62</f>
        <v>-2840.72</v>
      </c>
      <c r="H61" s="361"/>
      <c r="I61" s="361"/>
      <c r="J61" s="361">
        <f>-'Table 5C1A-Madison Prep'!Q62-'Table 5C1A-Madison Prep'!T62</f>
        <v>0</v>
      </c>
      <c r="K61" s="361">
        <f>-'Table 5C1B-DArbonne'!O62-'Table 5C1B-DArbonne'!R62</f>
        <v>-1469808</v>
      </c>
      <c r="L61" s="361">
        <f>-'Table 5C1C-Intl_VIBE'!O62-'Table 5C1C-Intl_VIBE'!R62</f>
        <v>0</v>
      </c>
      <c r="M61" s="361">
        <f>-'Table 5C1D-NOMMA'!O62-'Table 5C1D-NOMMA'!R62</f>
        <v>0</v>
      </c>
      <c r="N61" s="361">
        <f>-'Table 5C1E-LFNO'!Q62-'Table 5C1E-LFNO'!T62</f>
        <v>0</v>
      </c>
      <c r="O61" s="361">
        <f>-'Table 5C1F-Lake Charles Charter'!O62-'Table 5C1F-Lake Charles Charter'!R62</f>
        <v>0</v>
      </c>
      <c r="P61" s="361">
        <f>-'Table 5C1G-JS Clark Academy'!O62-'Table 5C1G-JS Clark Academy'!R62</f>
        <v>0</v>
      </c>
      <c r="Q61" s="361">
        <f>-'Table 5C1H-Southwest LA Charter'!O62-'Table 5C1H-Southwest LA Charter'!R62</f>
        <v>0</v>
      </c>
      <c r="R61" s="361">
        <f>-'Table 5C1J-LA Key Academy'!O62+'Table 5C1J-LA Key Academy'!R62</f>
        <v>0</v>
      </c>
      <c r="S61" s="361">
        <f>-'Table 5C1K-Jefferson Chamber'!O62+'Table 5C1K-Jefferson Chamber'!R62</f>
        <v>0</v>
      </c>
      <c r="T61" s="361">
        <f>-'Table 5C1L-Tallulah Charter'!O62+'Table 5C1L-Tallulah Charter'!R62</f>
        <v>0</v>
      </c>
      <c r="U61" s="361">
        <f>-'Table 5C1M-Northshore Charter'!O62+'Table 5C1M-Northshore Charter'!R62</f>
        <v>0</v>
      </c>
      <c r="V61" s="361">
        <f>-'Table 5C1N-EBR Charter'!O62+'Table 5C1N-EBR Charter'!R62</f>
        <v>0</v>
      </c>
      <c r="W61" s="361">
        <f>-'Table 5C1O-Lake Charles HS'!O62+'Table 5C1O-Lake Charles HS'!R62</f>
        <v>0</v>
      </c>
      <c r="X61" s="361">
        <f>-'Table 5C1P-Delta Charter'!O62+'Table 5C1P-Delta Charter'!R62</f>
        <v>0</v>
      </c>
      <c r="Y61" s="361">
        <f>-'Table 5C2 - LA Virtual Admy'!P59-'Table 5C2 - LA Virtual Admy'!S59</f>
        <v>-14823.900000000001</v>
      </c>
      <c r="Z61" s="361">
        <f>-'Table 5C3 - LA Connections EBR'!P59-'Table 5C3 - LA Connections EBR'!S59</f>
        <v>-12456.000000000002</v>
      </c>
      <c r="AA61" s="361">
        <f>-'Table 5D1 - New Vision'!N62-'Table 5D1 - New Vision'!Q62</f>
        <v>0</v>
      </c>
      <c r="AB61" s="361">
        <f>-'Table 5D2 - Glencoe'!N62-'Table 5D2 - Glencoe'!Q62</f>
        <v>0</v>
      </c>
      <c r="AC61" s="361">
        <f>-'Table 5D3 - International'!P62-'Table 5D3 - International'!S62</f>
        <v>0</v>
      </c>
      <c r="AD61" s="361">
        <f>-'Table 5D4 - Avoyelles'!N62-'Table 5D4 - Avoyelles'!Q62</f>
        <v>0</v>
      </c>
      <c r="AE61" s="361">
        <f>-'Table 5D5 - Delhi'!N62-'Table 5D5 - Delhi'!Q62</f>
        <v>0</v>
      </c>
      <c r="AF61" s="361">
        <f>-'Table 5D6 - Milestone'!N62-'Table 5D6 - Milestone'!Q62</f>
        <v>0</v>
      </c>
      <c r="AG61" s="361">
        <f>-'Table 5D7 - Max'!N62-'Table 5D7 - Max'!Q62</f>
        <v>0</v>
      </c>
      <c r="AH61" s="361">
        <f>-'Table 5D8 - Belle Chasse'!P62-'Table 5D8 - Belle Chasse'!U62</f>
        <v>0</v>
      </c>
      <c r="AI61" s="361">
        <f>-'Table 5E_OJJ'!P62-'Table 5E_OJJ'!Q62</f>
        <v>0</v>
      </c>
      <c r="AJ61" s="361">
        <f>-('Table 5F Scholarships '!T905)</f>
        <v>-27365.995901902548</v>
      </c>
      <c r="AK61" s="361">
        <f t="shared" si="29"/>
        <v>-1538657.4959019024</v>
      </c>
      <c r="AL61" s="750">
        <f t="shared" si="30"/>
        <v>11289500.504098095</v>
      </c>
      <c r="AO61" s="49"/>
      <c r="AR61"/>
      <c r="BA61"/>
    </row>
    <row r="62" spans="1:53">
      <c r="A62" s="99">
        <v>57</v>
      </c>
      <c r="B62" s="301" t="s">
        <v>150</v>
      </c>
      <c r="C62" s="310">
        <f>'Table 2_State Distrib and Adjs'!AM63</f>
        <v>46951643</v>
      </c>
      <c r="D62" s="361">
        <f>-'Table 5A2 LSMSA'!M63</f>
        <v>-11370.92</v>
      </c>
      <c r="E62" s="361">
        <f>-'Table 5A3 NOCCA'!K63</f>
        <v>0</v>
      </c>
      <c r="F62" s="361">
        <f>-'Table 5A4_LSDVI'!K63</f>
        <v>0</v>
      </c>
      <c r="G62" s="361">
        <f>-'Table 5A5_SSD'!K63</f>
        <v>-8528.19</v>
      </c>
      <c r="H62" s="361"/>
      <c r="I62" s="361"/>
      <c r="J62" s="361">
        <f>-'Table 5C1A-Madison Prep'!Q63-'Table 5C1A-Madison Prep'!T63</f>
        <v>0</v>
      </c>
      <c r="K62" s="361">
        <f>-'Table 5C1B-DArbonne'!O63-'Table 5C1B-DArbonne'!R63</f>
        <v>0</v>
      </c>
      <c r="L62" s="361">
        <f>-'Table 5C1C-Intl_VIBE'!O63-'Table 5C1C-Intl_VIBE'!R63</f>
        <v>0</v>
      </c>
      <c r="M62" s="361">
        <f>-'Table 5C1D-NOMMA'!O63-'Table 5C1D-NOMMA'!R63</f>
        <v>0</v>
      </c>
      <c r="N62" s="361">
        <f>-'Table 5C1E-LFNO'!Q63-'Table 5C1E-LFNO'!T63</f>
        <v>0</v>
      </c>
      <c r="O62" s="361">
        <f>-'Table 5C1F-Lake Charles Charter'!O63-'Table 5C1F-Lake Charles Charter'!R63</f>
        <v>0</v>
      </c>
      <c r="P62" s="361">
        <f>-'Table 5C1G-JS Clark Academy'!O63-'Table 5C1G-JS Clark Academy'!R63</f>
        <v>0</v>
      </c>
      <c r="Q62" s="361">
        <f>-'Table 5C1H-Southwest LA Charter'!O63-'Table 5C1H-Southwest LA Charter'!R63</f>
        <v>0</v>
      </c>
      <c r="R62" s="361">
        <f>-'Table 5C1J-LA Key Academy'!O63+'Table 5C1J-LA Key Academy'!R63</f>
        <v>0</v>
      </c>
      <c r="S62" s="361">
        <f>-'Table 5C1K-Jefferson Chamber'!O63+'Table 5C1K-Jefferson Chamber'!R63</f>
        <v>0</v>
      </c>
      <c r="T62" s="361">
        <f>-'Table 5C1L-Tallulah Charter'!O63+'Table 5C1L-Tallulah Charter'!R63</f>
        <v>0</v>
      </c>
      <c r="U62" s="361">
        <f>-'Table 5C1M-Northshore Charter'!O63+'Table 5C1M-Northshore Charter'!R63</f>
        <v>0</v>
      </c>
      <c r="V62" s="361">
        <f>-'Table 5C1N-EBR Charter'!O63+'Table 5C1N-EBR Charter'!R63</f>
        <v>0</v>
      </c>
      <c r="W62" s="361">
        <f>-'Table 5C1O-Lake Charles HS'!O63+'Table 5C1O-Lake Charles HS'!R63</f>
        <v>0</v>
      </c>
      <c r="X62" s="361">
        <f>-'Table 5C1P-Delta Charter'!O63+'Table 5C1P-Delta Charter'!R63</f>
        <v>0</v>
      </c>
      <c r="Y62" s="361">
        <f>-'Table 5C2 - LA Virtual Admy'!P60-'Table 5C2 - LA Virtual Admy'!S60</f>
        <v>-25517.25</v>
      </c>
      <c r="Z62" s="361">
        <f>-'Table 5C3 - LA Connections EBR'!P60-'Table 5C3 - LA Connections EBR'!S60</f>
        <v>-16129.800000000001</v>
      </c>
      <c r="AA62" s="361">
        <f>-'Table 5D1 - New Vision'!N63-'Table 5D1 - New Vision'!Q63</f>
        <v>0</v>
      </c>
      <c r="AB62" s="361">
        <f>-'Table 5D2 - Glencoe'!N63-'Table 5D2 - Glencoe'!Q63</f>
        <v>0</v>
      </c>
      <c r="AC62" s="361">
        <f>-'Table 5D3 - International'!P63-'Table 5D3 - International'!S63</f>
        <v>0</v>
      </c>
      <c r="AD62" s="361">
        <f>-'Table 5D4 - Avoyelles'!N63-'Table 5D4 - Avoyelles'!Q63</f>
        <v>0</v>
      </c>
      <c r="AE62" s="361">
        <f>-'Table 5D5 - Delhi'!N63-'Table 5D5 - Delhi'!Q63</f>
        <v>0</v>
      </c>
      <c r="AF62" s="361">
        <f>-'Table 5D6 - Milestone'!N63-'Table 5D6 - Milestone'!Q63</f>
        <v>0</v>
      </c>
      <c r="AG62" s="361">
        <f>-'Table 5D7 - Max'!N63-'Table 5D7 - Max'!Q63</f>
        <v>0</v>
      </c>
      <c r="AH62" s="361">
        <f>-'Table 5D8 - Belle Chasse'!P63-'Table 5D8 - Belle Chasse'!U63</f>
        <v>0</v>
      </c>
      <c r="AI62" s="361">
        <f>-'Table 5E_OJJ'!P63-'Table 5E_OJJ'!Q63</f>
        <v>-7810.9721779917982</v>
      </c>
      <c r="AJ62" s="361">
        <f>-('Table 5F Scholarships '!T910)</f>
        <v>-14928.323871831361</v>
      </c>
      <c r="AK62" s="361">
        <f t="shared" si="29"/>
        <v>-84285.456049823173</v>
      </c>
      <c r="AL62" s="750">
        <f t="shared" si="30"/>
        <v>46867357.543950185</v>
      </c>
      <c r="AO62" s="49"/>
      <c r="AR62"/>
      <c r="BA62"/>
    </row>
    <row r="63" spans="1:53">
      <c r="A63" s="99">
        <v>58</v>
      </c>
      <c r="B63" s="301" t="s">
        <v>151</v>
      </c>
      <c r="C63" s="310">
        <f>'Table 2_State Distrib and Adjs'!AM64</f>
        <v>55369783</v>
      </c>
      <c r="D63" s="361">
        <f>-'Table 5A2 LSMSA'!M64</f>
        <v>-28151.630000000005</v>
      </c>
      <c r="E63" s="361">
        <f>-'Table 5A3 NOCCA'!K64</f>
        <v>0</v>
      </c>
      <c r="F63" s="361">
        <f>-'Table 5A4_LSDVI'!K64</f>
        <v>-2165.5100000000002</v>
      </c>
      <c r="G63" s="361">
        <f>-'Table 5A5_SSD'!K64</f>
        <v>-2165.5100000000002</v>
      </c>
      <c r="H63" s="361"/>
      <c r="I63" s="361"/>
      <c r="J63" s="361">
        <f>-'Table 5C1A-Madison Prep'!Q64-'Table 5C1A-Madison Prep'!T64</f>
        <v>0</v>
      </c>
      <c r="K63" s="361">
        <f>-'Table 5C1B-DArbonne'!O64-'Table 5C1B-DArbonne'!R64</f>
        <v>0</v>
      </c>
      <c r="L63" s="361">
        <f>-'Table 5C1C-Intl_VIBE'!O64-'Table 5C1C-Intl_VIBE'!R64</f>
        <v>0</v>
      </c>
      <c r="M63" s="361">
        <f>-'Table 5C1D-NOMMA'!O64-'Table 5C1D-NOMMA'!R64</f>
        <v>0</v>
      </c>
      <c r="N63" s="361">
        <f>-'Table 5C1E-LFNO'!Q64-'Table 5C1E-LFNO'!T64</f>
        <v>0</v>
      </c>
      <c r="O63" s="361">
        <f>-'Table 5C1F-Lake Charles Charter'!O64-'Table 5C1F-Lake Charles Charter'!R64</f>
        <v>0</v>
      </c>
      <c r="P63" s="361">
        <f>-'Table 5C1G-JS Clark Academy'!O64-'Table 5C1G-JS Clark Academy'!R64</f>
        <v>0</v>
      </c>
      <c r="Q63" s="361">
        <f>-'Table 5C1H-Southwest LA Charter'!O64-'Table 5C1H-Southwest LA Charter'!R64</f>
        <v>0</v>
      </c>
      <c r="R63" s="361">
        <f>-'Table 5C1J-LA Key Academy'!O64+'Table 5C1J-LA Key Academy'!R64</f>
        <v>0</v>
      </c>
      <c r="S63" s="361">
        <f>-'Table 5C1K-Jefferson Chamber'!O64+'Table 5C1K-Jefferson Chamber'!R64</f>
        <v>0</v>
      </c>
      <c r="T63" s="361">
        <f>-'Table 5C1L-Tallulah Charter'!O64+'Table 5C1L-Tallulah Charter'!R64</f>
        <v>0</v>
      </c>
      <c r="U63" s="361">
        <f>-'Table 5C1M-Northshore Charter'!O64+'Table 5C1M-Northshore Charter'!R64</f>
        <v>0</v>
      </c>
      <c r="V63" s="361">
        <f>-'Table 5C1N-EBR Charter'!O64+'Table 5C1N-EBR Charter'!R64</f>
        <v>0</v>
      </c>
      <c r="W63" s="361">
        <f>-'Table 5C1O-Lake Charles HS'!O64+'Table 5C1O-Lake Charles HS'!R64</f>
        <v>0</v>
      </c>
      <c r="X63" s="361">
        <f>-'Table 5C1P-Delta Charter'!O64+'Table 5C1P-Delta Charter'!R64</f>
        <v>0</v>
      </c>
      <c r="Y63" s="361">
        <f>-'Table 5C2 - LA Virtual Admy'!P61-'Table 5C2 - LA Virtual Admy'!S61</f>
        <v>-61781.4</v>
      </c>
      <c r="Z63" s="361">
        <f>-'Table 5C3 - LA Connections EBR'!P61-'Table 5C3 - LA Connections EBR'!S61</f>
        <v>-51786</v>
      </c>
      <c r="AA63" s="361">
        <f>-'Table 5D1 - New Vision'!N64-'Table 5D1 - New Vision'!Q64</f>
        <v>0</v>
      </c>
      <c r="AB63" s="361">
        <f>-'Table 5D2 - Glencoe'!N64-'Table 5D2 - Glencoe'!Q64</f>
        <v>0</v>
      </c>
      <c r="AC63" s="361">
        <f>-'Table 5D3 - International'!P64-'Table 5D3 - International'!S64</f>
        <v>0</v>
      </c>
      <c r="AD63" s="361">
        <f>-'Table 5D4 - Avoyelles'!N64-'Table 5D4 - Avoyelles'!Q64</f>
        <v>0</v>
      </c>
      <c r="AE63" s="361">
        <f>-'Table 5D5 - Delhi'!N64-'Table 5D5 - Delhi'!Q64</f>
        <v>0</v>
      </c>
      <c r="AF63" s="361">
        <f>-'Table 5D6 - Milestone'!N64-'Table 5D6 - Milestone'!Q64</f>
        <v>0</v>
      </c>
      <c r="AG63" s="361">
        <f>-'Table 5D7 - Max'!N64-'Table 5D7 - Max'!Q64</f>
        <v>0</v>
      </c>
      <c r="AH63" s="361">
        <f>-'Table 5D8 - Belle Chasse'!P64-'Table 5D8 - Belle Chasse'!U64</f>
        <v>0</v>
      </c>
      <c r="AI63" s="361">
        <f>-'Table 5E_OJJ'!P64-'Table 5E_OJJ'!Q64</f>
        <v>-1186.6301942508019</v>
      </c>
      <c r="AJ63" s="361">
        <v>0</v>
      </c>
      <c r="AK63" s="361">
        <f t="shared" si="29"/>
        <v>-147236.68019425083</v>
      </c>
      <c r="AL63" s="750">
        <f t="shared" si="30"/>
        <v>55222546.319805749</v>
      </c>
      <c r="AO63" s="49"/>
      <c r="AR63"/>
      <c r="BA63"/>
    </row>
    <row r="64" spans="1:53">
      <c r="A64" s="99">
        <v>59</v>
      </c>
      <c r="B64" s="301" t="s">
        <v>152</v>
      </c>
      <c r="C64" s="310">
        <f>'Table 2_State Distrib and Adjs'!AM65</f>
        <v>36234150</v>
      </c>
      <c r="D64" s="361">
        <f>-'Table 5A2 LSMSA'!M65</f>
        <v>0</v>
      </c>
      <c r="E64" s="361">
        <f>-'Table 5A3 NOCCA'!K65</f>
        <v>-1565.88</v>
      </c>
      <c r="F64" s="361">
        <f>-'Table 5A4_LSDVI'!K65</f>
        <v>-1565.88</v>
      </c>
      <c r="G64" s="361">
        <f>-'Table 5A5_SSD'!K65</f>
        <v>-3131.76</v>
      </c>
      <c r="H64" s="361"/>
      <c r="I64" s="361"/>
      <c r="J64" s="361">
        <f>-'Table 5C1A-Madison Prep'!Q65-'Table 5C1A-Madison Prep'!T65</f>
        <v>0</v>
      </c>
      <c r="K64" s="361">
        <f>-'Table 5C1B-DArbonne'!O65-'Table 5C1B-DArbonne'!R65</f>
        <v>0</v>
      </c>
      <c r="L64" s="361">
        <f>-'Table 5C1C-Intl_VIBE'!O65-'Table 5C1C-Intl_VIBE'!R65</f>
        <v>0</v>
      </c>
      <c r="M64" s="361">
        <f>-'Table 5C1D-NOMMA'!O65-'Table 5C1D-NOMMA'!R65</f>
        <v>0</v>
      </c>
      <c r="N64" s="361">
        <f>-'Table 5C1E-LFNO'!Q65-'Table 5C1E-LFNO'!T65</f>
        <v>0</v>
      </c>
      <c r="O64" s="361">
        <f>-'Table 5C1F-Lake Charles Charter'!O65-'Table 5C1F-Lake Charles Charter'!R65</f>
        <v>0</v>
      </c>
      <c r="P64" s="361">
        <f>-'Table 5C1G-JS Clark Academy'!O65-'Table 5C1G-JS Clark Academy'!R65</f>
        <v>0</v>
      </c>
      <c r="Q64" s="361">
        <f>-'Table 5C1H-Southwest LA Charter'!O65-'Table 5C1H-Southwest LA Charter'!R65</f>
        <v>0</v>
      </c>
      <c r="R64" s="361">
        <f>-'Table 5C1J-LA Key Academy'!O65+'Table 5C1J-LA Key Academy'!R65</f>
        <v>0</v>
      </c>
      <c r="S64" s="361">
        <f>-'Table 5C1K-Jefferson Chamber'!O65+'Table 5C1K-Jefferson Chamber'!R65</f>
        <v>0</v>
      </c>
      <c r="T64" s="361">
        <f>-'Table 5C1L-Tallulah Charter'!O65+'Table 5C1L-Tallulah Charter'!R65</f>
        <v>0</v>
      </c>
      <c r="U64" s="361">
        <f>-'Table 5C1M-Northshore Charter'!O65+'Table 5C1M-Northshore Charter'!R65</f>
        <v>-175720</v>
      </c>
      <c r="V64" s="361">
        <f>-'Table 5C1N-EBR Charter'!O65+'Table 5C1N-EBR Charter'!R65</f>
        <v>0</v>
      </c>
      <c r="W64" s="361">
        <f>-'Table 5C1O-Lake Charles HS'!O65+'Table 5C1O-Lake Charles HS'!R65</f>
        <v>0</v>
      </c>
      <c r="X64" s="361">
        <f>-'Table 5C1P-Delta Charter'!O65+'Table 5C1P-Delta Charter'!R65</f>
        <v>0</v>
      </c>
      <c r="Y64" s="361">
        <f>-'Table 5C2 - LA Virtual Admy'!P62-'Table 5C2 - LA Virtual Admy'!S62</f>
        <v>-18617.400000000001</v>
      </c>
      <c r="Z64" s="361">
        <f>-'Table 5C3 - LA Connections EBR'!P62-'Table 5C3 - LA Connections EBR'!S62</f>
        <v>-17724.8</v>
      </c>
      <c r="AA64" s="361">
        <f>-'Table 5D1 - New Vision'!N65-'Table 5D1 - New Vision'!Q65</f>
        <v>0</v>
      </c>
      <c r="AB64" s="361">
        <f>-'Table 5D2 - Glencoe'!N65-'Table 5D2 - Glencoe'!Q65</f>
        <v>0</v>
      </c>
      <c r="AC64" s="361">
        <f>-'Table 5D3 - International'!P65-'Table 5D3 - International'!S65</f>
        <v>0</v>
      </c>
      <c r="AD64" s="361">
        <f>-'Table 5D4 - Avoyelles'!N65-'Table 5D4 - Avoyelles'!Q65</f>
        <v>0</v>
      </c>
      <c r="AE64" s="361">
        <f>-'Table 5D5 - Delhi'!N65-'Table 5D5 - Delhi'!Q65</f>
        <v>0</v>
      </c>
      <c r="AF64" s="361">
        <f>-'Table 5D6 - Milestone'!N65-'Table 5D6 - Milestone'!Q65</f>
        <v>0</v>
      </c>
      <c r="AG64" s="361">
        <f>-'Table 5D7 - Max'!N65-'Table 5D7 - Max'!Q65</f>
        <v>0</v>
      </c>
      <c r="AH64" s="361">
        <f>-'Table 5D8 - Belle Chasse'!P65-'Table 5D8 - Belle Chasse'!U65</f>
        <v>0</v>
      </c>
      <c r="AI64" s="361">
        <f>-'Table 5E_OJJ'!P65-'Table 5E_OJJ'!Q65</f>
        <v>-5970.4161121404295</v>
      </c>
      <c r="AJ64" s="361">
        <f>-('Table 5F Scholarships '!T912)</f>
        <v>-2316.2299036075683</v>
      </c>
      <c r="AK64" s="361">
        <f t="shared" si="29"/>
        <v>-226612.36601574798</v>
      </c>
      <c r="AL64" s="750">
        <f t="shared" si="30"/>
        <v>36007537.633984253</v>
      </c>
      <c r="AO64" s="49"/>
      <c r="AR64"/>
      <c r="BA64"/>
    </row>
    <row r="65" spans="1:53">
      <c r="A65" s="100">
        <v>60</v>
      </c>
      <c r="B65" s="302" t="s">
        <v>153</v>
      </c>
      <c r="C65" s="319">
        <f>'Table 2_State Distrib and Adjs'!AM66</f>
        <v>35443858</v>
      </c>
      <c r="D65" s="362">
        <f>-'Table 5A2 LSMSA'!M66</f>
        <v>-13438.88</v>
      </c>
      <c r="E65" s="362">
        <f>-'Table 5A3 NOCCA'!K66</f>
        <v>0</v>
      </c>
      <c r="F65" s="362">
        <f>-'Table 5A4_LSDVI'!K66</f>
        <v>-10079.16</v>
      </c>
      <c r="G65" s="362">
        <f>-'Table 5A5_SSD'!K66</f>
        <v>-36956.92</v>
      </c>
      <c r="H65" s="362"/>
      <c r="I65" s="362"/>
      <c r="J65" s="362">
        <f>-'Table 5C1A-Madison Prep'!Q66-'Table 5C1A-Madison Prep'!T66</f>
        <v>0</v>
      </c>
      <c r="K65" s="362">
        <f>-'Table 5C1B-DArbonne'!O66-'Table 5C1B-DArbonne'!R66</f>
        <v>0</v>
      </c>
      <c r="L65" s="362">
        <f>-'Table 5C1C-Intl_VIBE'!O66-'Table 5C1C-Intl_VIBE'!R66</f>
        <v>0</v>
      </c>
      <c r="M65" s="362">
        <f>-'Table 5C1D-NOMMA'!O66-'Table 5C1D-NOMMA'!R66</f>
        <v>0</v>
      </c>
      <c r="N65" s="362">
        <f>-'Table 5C1E-LFNO'!Q66-'Table 5C1E-LFNO'!T66</f>
        <v>0</v>
      </c>
      <c r="O65" s="362">
        <f>-'Table 5C1F-Lake Charles Charter'!O66-'Table 5C1F-Lake Charles Charter'!R66</f>
        <v>0</v>
      </c>
      <c r="P65" s="362">
        <f>-'Table 5C1G-JS Clark Academy'!O66-'Table 5C1G-JS Clark Academy'!R66</f>
        <v>0</v>
      </c>
      <c r="Q65" s="362">
        <f>-'Table 5C1H-Southwest LA Charter'!O66-'Table 5C1H-Southwest LA Charter'!R66</f>
        <v>0</v>
      </c>
      <c r="R65" s="362">
        <f>-'Table 5C1J-LA Key Academy'!O66+'Table 5C1J-LA Key Academy'!R66</f>
        <v>0</v>
      </c>
      <c r="S65" s="362">
        <f>-'Table 5C1K-Jefferson Chamber'!O66+'Table 5C1K-Jefferson Chamber'!R66</f>
        <v>0</v>
      </c>
      <c r="T65" s="362">
        <f>-'Table 5C1L-Tallulah Charter'!O66+'Table 5C1L-Tallulah Charter'!R66</f>
        <v>0</v>
      </c>
      <c r="U65" s="362">
        <f>-'Table 5C1M-Northshore Charter'!O66+'Table 5C1M-Northshore Charter'!R66</f>
        <v>0</v>
      </c>
      <c r="V65" s="362">
        <f>-'Table 5C1N-EBR Charter'!O66+'Table 5C1N-EBR Charter'!R66</f>
        <v>0</v>
      </c>
      <c r="W65" s="362">
        <f>-'Table 5C1O-Lake Charles HS'!O66+'Table 5C1O-Lake Charles HS'!R66</f>
        <v>0</v>
      </c>
      <c r="X65" s="362">
        <f>-'Table 5C1P-Delta Charter'!O66+'Table 5C1P-Delta Charter'!R66</f>
        <v>0</v>
      </c>
      <c r="Y65" s="362">
        <f>-'Table 5C2 - LA Virtual Admy'!P63-'Table 5C2 - LA Virtual Admy'!S63</f>
        <v>-56919</v>
      </c>
      <c r="Z65" s="362">
        <f>-'Table 5C3 - LA Connections EBR'!P63-'Table 5C3 - LA Connections EBR'!S63</f>
        <v>-91681.200000000012</v>
      </c>
      <c r="AA65" s="362">
        <f>-'Table 5D1 - New Vision'!N66-'Table 5D1 - New Vision'!Q66</f>
        <v>0</v>
      </c>
      <c r="AB65" s="362">
        <f>-'Table 5D2 - Glencoe'!N66-'Table 5D2 - Glencoe'!Q66</f>
        <v>0</v>
      </c>
      <c r="AC65" s="362">
        <f>-'Table 5D3 - International'!P66-'Table 5D3 - International'!S66</f>
        <v>0</v>
      </c>
      <c r="AD65" s="362">
        <f>-'Table 5D4 - Avoyelles'!N66-'Table 5D4 - Avoyelles'!Q66</f>
        <v>0</v>
      </c>
      <c r="AE65" s="362">
        <f>-'Table 5D5 - Delhi'!N66-'Table 5D5 - Delhi'!Q66</f>
        <v>0</v>
      </c>
      <c r="AF65" s="362">
        <f>-'Table 5D6 - Milestone'!N66-'Table 5D6 - Milestone'!Q66</f>
        <v>0</v>
      </c>
      <c r="AG65" s="362">
        <f>-'Table 5D7 - Max'!N66-'Table 5D7 - Max'!Q66</f>
        <v>0</v>
      </c>
      <c r="AH65" s="362">
        <f>-'Table 5D8 - Belle Chasse'!P66-'Table 5D8 - Belle Chasse'!U66</f>
        <v>0</v>
      </c>
      <c r="AI65" s="362">
        <f>-'Table 5E_OJJ'!P66-'Table 5E_OJJ'!Q66</f>
        <v>-11798.469424517451</v>
      </c>
      <c r="AJ65" s="362">
        <v>0</v>
      </c>
      <c r="AK65" s="362">
        <f t="shared" si="29"/>
        <v>-220873.62942451745</v>
      </c>
      <c r="AL65" s="751">
        <f t="shared" si="30"/>
        <v>35222984.37057548</v>
      </c>
      <c r="AO65" s="49"/>
      <c r="AR65"/>
      <c r="BA65"/>
    </row>
    <row r="66" spans="1:53">
      <c r="A66" s="99">
        <v>61</v>
      </c>
      <c r="B66" s="301" t="s">
        <v>154</v>
      </c>
      <c r="C66" s="310">
        <f>'Table 2_State Distrib and Adjs'!AM67</f>
        <v>13358224</v>
      </c>
      <c r="D66" s="361">
        <f>-'Table 5A2 LSMSA'!M67</f>
        <v>0</v>
      </c>
      <c r="E66" s="361">
        <f>-'Table 5A3 NOCCA'!K67</f>
        <v>0</v>
      </c>
      <c r="F66" s="361">
        <f>-'Table 5A4_LSDVI'!K67</f>
        <v>-29582.100000000002</v>
      </c>
      <c r="G66" s="361">
        <f>-'Table 5A5_SSD'!K67</f>
        <v>0</v>
      </c>
      <c r="H66" s="361"/>
      <c r="I66" s="361"/>
      <c r="J66" s="361">
        <f>-'Table 5C1A-Madison Prep'!Q67-'Table 5C1A-Madison Prep'!T67</f>
        <v>-6680</v>
      </c>
      <c r="K66" s="361">
        <f>-'Table 5C1B-DArbonne'!O67-'Table 5C1B-DArbonne'!R67</f>
        <v>0</v>
      </c>
      <c r="L66" s="361">
        <f>-'Table 5C1C-Intl_VIBE'!O67-'Table 5C1C-Intl_VIBE'!R67</f>
        <v>0</v>
      </c>
      <c r="M66" s="361">
        <f>-'Table 5C1D-NOMMA'!O67-'Table 5C1D-NOMMA'!R67</f>
        <v>0</v>
      </c>
      <c r="N66" s="361">
        <f>-'Table 5C1E-LFNO'!Q67-'Table 5C1E-LFNO'!T67</f>
        <v>0</v>
      </c>
      <c r="O66" s="361">
        <f>-'Table 5C1F-Lake Charles Charter'!O67-'Table 5C1F-Lake Charles Charter'!R67</f>
        <v>0</v>
      </c>
      <c r="P66" s="361">
        <f>-'Table 5C1G-JS Clark Academy'!O67-'Table 5C1G-JS Clark Academy'!R67</f>
        <v>0</v>
      </c>
      <c r="Q66" s="361">
        <f>-'Table 5C1H-Southwest LA Charter'!O67-'Table 5C1H-Southwest LA Charter'!R67</f>
        <v>0</v>
      </c>
      <c r="R66" s="361">
        <f>-'Table 5C1J-LA Key Academy'!O67+'Table 5C1J-LA Key Academy'!R67</f>
        <v>-137608</v>
      </c>
      <c r="S66" s="361">
        <f>-'Table 5C1K-Jefferson Chamber'!O67+'Table 5C1K-Jefferson Chamber'!R67</f>
        <v>0</v>
      </c>
      <c r="T66" s="361">
        <f>-'Table 5C1L-Tallulah Charter'!O67+'Table 5C1L-Tallulah Charter'!R67</f>
        <v>0</v>
      </c>
      <c r="U66" s="361">
        <f>-'Table 5C1M-Northshore Charter'!O67+'Table 5C1M-Northshore Charter'!R67</f>
        <v>0</v>
      </c>
      <c r="V66" s="361">
        <f>-'Table 5C1N-EBR Charter'!O67+'Table 5C1N-EBR Charter'!R67</f>
        <v>0</v>
      </c>
      <c r="W66" s="361">
        <f>-'Table 5C1O-Lake Charles HS'!O67+'Table 5C1O-Lake Charles HS'!R67</f>
        <v>0</v>
      </c>
      <c r="X66" s="361">
        <f>-'Table 5C1P-Delta Charter'!O67+'Table 5C1P-Delta Charter'!R67</f>
        <v>0</v>
      </c>
      <c r="Y66" s="361">
        <f>-'Table 5C2 - LA Virtual Admy'!P64-'Table 5C2 - LA Virtual Admy'!S64</f>
        <v>-41512.5</v>
      </c>
      <c r="Z66" s="361">
        <f>-'Table 5C3 - LA Connections EBR'!P64-'Table 5C3 - LA Connections EBR'!S64</f>
        <v>-54108</v>
      </c>
      <c r="AA66" s="361">
        <f>-'Table 5D1 - New Vision'!N67-'Table 5D1 - New Vision'!Q67</f>
        <v>0</v>
      </c>
      <c r="AB66" s="361">
        <f>-'Table 5D2 - Glencoe'!N67-'Table 5D2 - Glencoe'!Q67</f>
        <v>0</v>
      </c>
      <c r="AC66" s="361">
        <f>-'Table 5D3 - International'!P67-'Table 5D3 - International'!S67</f>
        <v>0</v>
      </c>
      <c r="AD66" s="361">
        <f>-'Table 5D4 - Avoyelles'!N67-'Table 5D4 - Avoyelles'!Q67</f>
        <v>0</v>
      </c>
      <c r="AE66" s="361">
        <f>-'Table 5D5 - Delhi'!N67-'Table 5D5 - Delhi'!Q67</f>
        <v>0</v>
      </c>
      <c r="AF66" s="361">
        <f>-'Table 5D6 - Milestone'!N67-'Table 5D6 - Milestone'!Q67</f>
        <v>0</v>
      </c>
      <c r="AG66" s="361">
        <f>-'Table 5D7 - Max'!N67-'Table 5D7 - Max'!Q67</f>
        <v>0</v>
      </c>
      <c r="AH66" s="361">
        <f>-'Table 5D8 - Belle Chasse'!P67-'Table 5D8 - Belle Chasse'!U67</f>
        <v>0</v>
      </c>
      <c r="AI66" s="361">
        <f>-'Table 5E_OJJ'!P67-'Table 5E_OJJ'!Q67</f>
        <v>-13668.588555095686</v>
      </c>
      <c r="AJ66" s="361">
        <f>-('Table 5F Scholarships '!T925)</f>
        <v>-36981.041908962114</v>
      </c>
      <c r="AK66" s="361">
        <f t="shared" si="29"/>
        <v>-320140.23046405776</v>
      </c>
      <c r="AL66" s="750">
        <f t="shared" si="30"/>
        <v>13038083.769535942</v>
      </c>
      <c r="AO66" s="49"/>
      <c r="AR66"/>
      <c r="BA66"/>
    </row>
    <row r="67" spans="1:53">
      <c r="A67" s="99">
        <v>62</v>
      </c>
      <c r="B67" s="301" t="s">
        <v>155</v>
      </c>
      <c r="C67" s="310">
        <f>'Table 2_State Distrib and Adjs'!AM68</f>
        <v>12849924</v>
      </c>
      <c r="D67" s="361">
        <f>-'Table 5A2 LSMSA'!M68</f>
        <v>0</v>
      </c>
      <c r="E67" s="361">
        <f>-'Table 5A3 NOCCA'!K68</f>
        <v>0</v>
      </c>
      <c r="F67" s="361">
        <f>-'Table 5A4_LSDVI'!K68</f>
        <v>-1801.5</v>
      </c>
      <c r="G67" s="361">
        <f>-'Table 5A5_SSD'!K68</f>
        <v>-1801.5</v>
      </c>
      <c r="H67" s="361"/>
      <c r="I67" s="361"/>
      <c r="J67" s="361">
        <f>-'Table 5C1A-Madison Prep'!Q68-'Table 5C1A-Madison Prep'!T68</f>
        <v>0</v>
      </c>
      <c r="K67" s="361">
        <f>-'Table 5C1B-DArbonne'!O68-'Table 5C1B-DArbonne'!R68</f>
        <v>0</v>
      </c>
      <c r="L67" s="361">
        <f>-'Table 5C1C-Intl_VIBE'!O68-'Table 5C1C-Intl_VIBE'!R68</f>
        <v>0</v>
      </c>
      <c r="M67" s="361">
        <f>-'Table 5C1D-NOMMA'!O68-'Table 5C1D-NOMMA'!R68</f>
        <v>0</v>
      </c>
      <c r="N67" s="361">
        <f>-'Table 5C1E-LFNO'!Q68-'Table 5C1E-LFNO'!T68</f>
        <v>0</v>
      </c>
      <c r="O67" s="361">
        <f>-'Table 5C1F-Lake Charles Charter'!O68-'Table 5C1F-Lake Charles Charter'!R68</f>
        <v>0</v>
      </c>
      <c r="P67" s="361">
        <f>-'Table 5C1G-JS Clark Academy'!O68-'Table 5C1G-JS Clark Academy'!R68</f>
        <v>0</v>
      </c>
      <c r="Q67" s="361">
        <f>-'Table 5C1H-Southwest LA Charter'!O68-'Table 5C1H-Southwest LA Charter'!R68</f>
        <v>0</v>
      </c>
      <c r="R67" s="361">
        <f>-'Table 5C1J-LA Key Academy'!O68+'Table 5C1J-LA Key Academy'!R68</f>
        <v>0</v>
      </c>
      <c r="S67" s="361">
        <f>-'Table 5C1K-Jefferson Chamber'!O68+'Table 5C1K-Jefferson Chamber'!R68</f>
        <v>0</v>
      </c>
      <c r="T67" s="361">
        <f>-'Table 5C1L-Tallulah Charter'!O68+'Table 5C1L-Tallulah Charter'!R68</f>
        <v>0</v>
      </c>
      <c r="U67" s="361">
        <f>-'Table 5C1M-Northshore Charter'!O68+'Table 5C1M-Northshore Charter'!R68</f>
        <v>0</v>
      </c>
      <c r="V67" s="361">
        <f>-'Table 5C1N-EBR Charter'!O68+'Table 5C1N-EBR Charter'!R68</f>
        <v>0</v>
      </c>
      <c r="W67" s="361">
        <f>-'Table 5C1O-Lake Charles HS'!O68+'Table 5C1O-Lake Charles HS'!R68</f>
        <v>0</v>
      </c>
      <c r="X67" s="361">
        <f>-'Table 5C1P-Delta Charter'!O68+'Table 5C1P-Delta Charter'!R68</f>
        <v>0</v>
      </c>
      <c r="Y67" s="361">
        <f>-'Table 5C2 - LA Virtual Admy'!P65-'Table 5C2 - LA Virtual Admy'!S65</f>
        <v>-822.15000000000009</v>
      </c>
      <c r="Z67" s="361">
        <f>-'Table 5C3 - LA Connections EBR'!P65-'Table 5C3 - LA Connections EBR'!S65</f>
        <v>-1578.6000000000001</v>
      </c>
      <c r="AA67" s="361">
        <f>-'Table 5D1 - New Vision'!N68-'Table 5D1 - New Vision'!Q68</f>
        <v>0</v>
      </c>
      <c r="AB67" s="361">
        <f>-'Table 5D2 - Glencoe'!N68-'Table 5D2 - Glencoe'!Q68</f>
        <v>0</v>
      </c>
      <c r="AC67" s="361">
        <f>-'Table 5D3 - International'!P68-'Table 5D3 - International'!S68</f>
        <v>0</v>
      </c>
      <c r="AD67" s="361">
        <f>-'Table 5D4 - Avoyelles'!N68-'Table 5D4 - Avoyelles'!Q68</f>
        <v>0</v>
      </c>
      <c r="AE67" s="361">
        <f>-'Table 5D5 - Delhi'!N68-'Table 5D5 - Delhi'!Q68</f>
        <v>-63144</v>
      </c>
      <c r="AF67" s="361">
        <f>-'Table 5D6 - Milestone'!N68-'Table 5D6 - Milestone'!Q68</f>
        <v>0</v>
      </c>
      <c r="AG67" s="361">
        <f>-'Table 5D7 - Max'!N68-'Table 5D7 - Max'!Q68</f>
        <v>0</v>
      </c>
      <c r="AH67" s="361">
        <f>-'Table 5D8 - Belle Chasse'!P68-'Table 5D8 - Belle Chasse'!U68</f>
        <v>0</v>
      </c>
      <c r="AI67" s="361">
        <f>-'Table 5E_OJJ'!P68-'Table 5E_OJJ'!Q68</f>
        <v>-624.80818341526469</v>
      </c>
      <c r="AJ67" s="361">
        <v>0</v>
      </c>
      <c r="AK67" s="361">
        <f t="shared" si="29"/>
        <v>-69772.558183415269</v>
      </c>
      <c r="AL67" s="750">
        <f t="shared" si="30"/>
        <v>12780151.441816585</v>
      </c>
      <c r="AO67" s="49"/>
      <c r="AR67"/>
      <c r="BA67"/>
    </row>
    <row r="68" spans="1:53">
      <c r="A68" s="99">
        <v>63</v>
      </c>
      <c r="B68" s="301" t="s">
        <v>156</v>
      </c>
      <c r="C68" s="310">
        <f>'Table 2_State Distrib and Adjs'!AM69</f>
        <v>10339025</v>
      </c>
      <c r="D68" s="361">
        <f>-'Table 5A2 LSMSA'!M69</f>
        <v>-14948.579999999998</v>
      </c>
      <c r="E68" s="361">
        <f>-'Table 5A3 NOCCA'!K69</f>
        <v>0</v>
      </c>
      <c r="F68" s="361">
        <f>-'Table 5A4_LSDVI'!K69</f>
        <v>-4982.8599999999997</v>
      </c>
      <c r="G68" s="361">
        <f>-'Table 5A5_SSD'!K69</f>
        <v>-4982.8599999999997</v>
      </c>
      <c r="H68" s="361"/>
      <c r="I68" s="361"/>
      <c r="J68" s="361">
        <f>-'Table 5C1A-Madison Prep'!Q69-'Table 5C1A-Madison Prep'!T69</f>
        <v>0</v>
      </c>
      <c r="K68" s="361">
        <f>-'Table 5C1B-DArbonne'!O69-'Table 5C1B-DArbonne'!R69</f>
        <v>0</v>
      </c>
      <c r="L68" s="361">
        <f>-'Table 5C1C-Intl_VIBE'!O69-'Table 5C1C-Intl_VIBE'!R69</f>
        <v>0</v>
      </c>
      <c r="M68" s="361">
        <f>-'Table 5C1D-NOMMA'!O69-'Table 5C1D-NOMMA'!R69</f>
        <v>0</v>
      </c>
      <c r="N68" s="361">
        <f>-'Table 5C1E-LFNO'!Q69-'Table 5C1E-LFNO'!T69</f>
        <v>0</v>
      </c>
      <c r="O68" s="361">
        <f>-'Table 5C1F-Lake Charles Charter'!O69-'Table 5C1F-Lake Charles Charter'!R69</f>
        <v>0</v>
      </c>
      <c r="P68" s="361">
        <f>-'Table 5C1G-JS Clark Academy'!O69-'Table 5C1G-JS Clark Academy'!R69</f>
        <v>0</v>
      </c>
      <c r="Q68" s="361">
        <f>-'Table 5C1H-Southwest LA Charter'!O69-'Table 5C1H-Southwest LA Charter'!R69</f>
        <v>0</v>
      </c>
      <c r="R68" s="361">
        <f>-'Table 5C1J-LA Key Academy'!O69+'Table 5C1J-LA Key Academy'!R69</f>
        <v>-147949.20000000001</v>
      </c>
      <c r="S68" s="361">
        <f>-'Table 5C1K-Jefferson Chamber'!O69+'Table 5C1K-Jefferson Chamber'!R69</f>
        <v>0</v>
      </c>
      <c r="T68" s="361">
        <f>-'Table 5C1L-Tallulah Charter'!O69+'Table 5C1L-Tallulah Charter'!R69</f>
        <v>0</v>
      </c>
      <c r="U68" s="361">
        <f>-'Table 5C1M-Northshore Charter'!O69+'Table 5C1M-Northshore Charter'!R69</f>
        <v>0</v>
      </c>
      <c r="V68" s="361">
        <f>-'Table 5C1N-EBR Charter'!O69+'Table 5C1N-EBR Charter'!R69</f>
        <v>0</v>
      </c>
      <c r="W68" s="361">
        <f>-'Table 5C1O-Lake Charles HS'!O69+'Table 5C1O-Lake Charles HS'!R69</f>
        <v>0</v>
      </c>
      <c r="X68" s="361">
        <f>-'Table 5C1P-Delta Charter'!O69+'Table 5C1P-Delta Charter'!R69</f>
        <v>0</v>
      </c>
      <c r="Y68" s="361">
        <f>-'Table 5C2 - LA Virtual Admy'!P66-'Table 5C2 - LA Virtual Admy'!S66</f>
        <v>18848.7</v>
      </c>
      <c r="Z68" s="361">
        <f>-'Table 5C3 - LA Connections EBR'!P66-'Table 5C3 - LA Connections EBR'!S66</f>
        <v>-6463.8</v>
      </c>
      <c r="AA68" s="361">
        <f>-'Table 5D1 - New Vision'!N69-'Table 5D1 - New Vision'!Q69</f>
        <v>0</v>
      </c>
      <c r="AB68" s="361">
        <f>-'Table 5D2 - Glencoe'!N69-'Table 5D2 - Glencoe'!Q69</f>
        <v>0</v>
      </c>
      <c r="AC68" s="361">
        <f>-'Table 5D3 - International'!P69-'Table 5D3 - International'!S69</f>
        <v>0</v>
      </c>
      <c r="AD68" s="361">
        <f>-'Table 5D4 - Avoyelles'!N69-'Table 5D4 - Avoyelles'!Q69</f>
        <v>0</v>
      </c>
      <c r="AE68" s="361">
        <f>-'Table 5D5 - Delhi'!N69-'Table 5D5 - Delhi'!Q69</f>
        <v>0</v>
      </c>
      <c r="AF68" s="361">
        <f>-'Table 5D6 - Milestone'!N69-'Table 5D6 - Milestone'!Q69</f>
        <v>0</v>
      </c>
      <c r="AG68" s="361">
        <f>-'Table 5D7 - Max'!N69-'Table 5D7 - Max'!Q69</f>
        <v>0</v>
      </c>
      <c r="AH68" s="361">
        <f>-'Table 5D8 - Belle Chasse'!P69-'Table 5D8 - Belle Chasse'!U69</f>
        <v>0</v>
      </c>
      <c r="AI68" s="361">
        <f>-'Table 5E_OJJ'!P69-'Table 5E_OJJ'!Q69</f>
        <v>-7408.125536395899</v>
      </c>
      <c r="AJ68" s="361">
        <v>0</v>
      </c>
      <c r="AK68" s="361">
        <f t="shared" si="29"/>
        <v>-167886.72553639588</v>
      </c>
      <c r="AL68" s="750">
        <f t="shared" si="30"/>
        <v>10171138.274463605</v>
      </c>
      <c r="AO68" s="49"/>
      <c r="AR68"/>
      <c r="BA68"/>
    </row>
    <row r="69" spans="1:53">
      <c r="A69" s="99">
        <v>64</v>
      </c>
      <c r="B69" s="301" t="s">
        <v>157</v>
      </c>
      <c r="C69" s="310">
        <f>'Table 2_State Distrib and Adjs'!AM70</f>
        <v>15568843</v>
      </c>
      <c r="D69" s="361">
        <f>-'Table 5A2 LSMSA'!M70</f>
        <v>-2874.09</v>
      </c>
      <c r="E69" s="361">
        <f>-'Table 5A3 NOCCA'!K70</f>
        <v>0</v>
      </c>
      <c r="F69" s="361">
        <f>-'Table 5A4_LSDVI'!K70</f>
        <v>-2874.09</v>
      </c>
      <c r="G69" s="361">
        <f>-'Table 5A5_SSD'!K70</f>
        <v>0</v>
      </c>
      <c r="H69" s="361"/>
      <c r="I69" s="361"/>
      <c r="J69" s="361">
        <f>-'Table 5C1A-Madison Prep'!Q70-'Table 5C1A-Madison Prep'!T70</f>
        <v>0</v>
      </c>
      <c r="K69" s="361">
        <f>-'Table 5C1B-DArbonne'!O70-'Table 5C1B-DArbonne'!R70</f>
        <v>0</v>
      </c>
      <c r="L69" s="361">
        <f>-'Table 5C1C-Intl_VIBE'!O70-'Table 5C1C-Intl_VIBE'!R70</f>
        <v>0</v>
      </c>
      <c r="M69" s="361">
        <f>-'Table 5C1D-NOMMA'!O70-'Table 5C1D-NOMMA'!R70</f>
        <v>0</v>
      </c>
      <c r="N69" s="361">
        <f>-'Table 5C1E-LFNO'!Q70-'Table 5C1E-LFNO'!T70</f>
        <v>0</v>
      </c>
      <c r="O69" s="361">
        <f>-'Table 5C1F-Lake Charles Charter'!O70-'Table 5C1F-Lake Charles Charter'!R70</f>
        <v>0</v>
      </c>
      <c r="P69" s="361">
        <f>-'Table 5C1G-JS Clark Academy'!O70-'Table 5C1G-JS Clark Academy'!R70</f>
        <v>0</v>
      </c>
      <c r="Q69" s="361">
        <f>-'Table 5C1H-Southwest LA Charter'!O70-'Table 5C1H-Southwest LA Charter'!R70</f>
        <v>0</v>
      </c>
      <c r="R69" s="361">
        <f>-'Table 5C1J-LA Key Academy'!O70+'Table 5C1J-LA Key Academy'!R70</f>
        <v>0</v>
      </c>
      <c r="S69" s="361">
        <f>-'Table 5C1K-Jefferson Chamber'!O70+'Table 5C1K-Jefferson Chamber'!R70</f>
        <v>0</v>
      </c>
      <c r="T69" s="361">
        <f>-'Table 5C1L-Tallulah Charter'!O70+'Table 5C1L-Tallulah Charter'!R70</f>
        <v>0</v>
      </c>
      <c r="U69" s="361">
        <f>-'Table 5C1M-Northshore Charter'!O70+'Table 5C1M-Northshore Charter'!R70</f>
        <v>0</v>
      </c>
      <c r="V69" s="361">
        <f>-'Table 5C1N-EBR Charter'!O70+'Table 5C1N-EBR Charter'!R70</f>
        <v>0</v>
      </c>
      <c r="W69" s="361">
        <f>-'Table 5C1O-Lake Charles HS'!O70+'Table 5C1O-Lake Charles HS'!R70</f>
        <v>0</v>
      </c>
      <c r="X69" s="361">
        <f>-'Table 5C1P-Delta Charter'!O70+'Table 5C1P-Delta Charter'!R70</f>
        <v>0</v>
      </c>
      <c r="Y69" s="361">
        <f>-'Table 5C2 - LA Virtual Admy'!P67-'Table 5C2 - LA Virtual Admy'!S67</f>
        <v>-2430.9</v>
      </c>
      <c r="Z69" s="361">
        <f>-'Table 5C3 - LA Connections EBR'!P67-'Table 5C3 - LA Connections EBR'!S67</f>
        <v>-9723.6</v>
      </c>
      <c r="AA69" s="361">
        <f>-'Table 5D1 - New Vision'!N70-'Table 5D1 - New Vision'!Q70</f>
        <v>0</v>
      </c>
      <c r="AB69" s="361">
        <f>-'Table 5D2 - Glencoe'!N70-'Table 5D2 - Glencoe'!Q70</f>
        <v>0</v>
      </c>
      <c r="AC69" s="361">
        <f>-'Table 5D3 - International'!P70-'Table 5D3 - International'!S70</f>
        <v>0</v>
      </c>
      <c r="AD69" s="361">
        <f>-'Table 5D4 - Avoyelles'!N70-'Table 5D4 - Avoyelles'!Q70</f>
        <v>0</v>
      </c>
      <c r="AE69" s="361">
        <f>-'Table 5D5 - Delhi'!N70-'Table 5D5 - Delhi'!Q70</f>
        <v>0</v>
      </c>
      <c r="AF69" s="361">
        <f>-'Table 5D6 - Milestone'!N70-'Table 5D6 - Milestone'!Q70</f>
        <v>0</v>
      </c>
      <c r="AG69" s="361">
        <f>-'Table 5D7 - Max'!N70-'Table 5D7 - Max'!Q70</f>
        <v>0</v>
      </c>
      <c r="AH69" s="361">
        <f>-'Table 5D8 - Belle Chasse'!P70-'Table 5D8 - Belle Chasse'!U70</f>
        <v>0</v>
      </c>
      <c r="AI69" s="361">
        <f>-'Table 5E_OJJ'!P70-'Table 5E_OJJ'!Q70</f>
        <v>0</v>
      </c>
      <c r="AJ69" s="361">
        <v>0</v>
      </c>
      <c r="AK69" s="361">
        <f t="shared" si="29"/>
        <v>-17902.68</v>
      </c>
      <c r="AL69" s="750">
        <f t="shared" si="30"/>
        <v>15550940.32</v>
      </c>
      <c r="AO69" s="49"/>
      <c r="AR69"/>
      <c r="BA69"/>
    </row>
    <row r="70" spans="1:53">
      <c r="A70" s="100">
        <v>65</v>
      </c>
      <c r="B70" s="302" t="s">
        <v>158</v>
      </c>
      <c r="C70" s="319">
        <f>'Table 2_State Distrib and Adjs'!AM71</f>
        <v>44544930</v>
      </c>
      <c r="D70" s="362">
        <f>-'Table 5A2 LSMSA'!M71</f>
        <v>0</v>
      </c>
      <c r="E70" s="362">
        <f>-'Table 5A3 NOCCA'!K71</f>
        <v>0</v>
      </c>
      <c r="F70" s="362">
        <f>-'Table 5A4_LSDVI'!K71</f>
        <v>-7784.54</v>
      </c>
      <c r="G70" s="362">
        <f>-'Table 5A5_SSD'!K71</f>
        <v>-19461.349999999999</v>
      </c>
      <c r="H70" s="362"/>
      <c r="I70" s="362"/>
      <c r="J70" s="362">
        <f>-'Table 5C1A-Madison Prep'!Q71-'Table 5C1A-Madison Prep'!T71</f>
        <v>0</v>
      </c>
      <c r="K70" s="362">
        <f>-'Table 5C1B-DArbonne'!O71-'Table 5C1B-DArbonne'!R71</f>
        <v>-14439</v>
      </c>
      <c r="L70" s="362">
        <f>-'Table 5C1C-Intl_VIBE'!O71-'Table 5C1C-Intl_VIBE'!R71</f>
        <v>0</v>
      </c>
      <c r="M70" s="362">
        <f>-'Table 5C1D-NOMMA'!O71-'Table 5C1D-NOMMA'!R71</f>
        <v>0</v>
      </c>
      <c r="N70" s="362">
        <f>-'Table 5C1E-LFNO'!Q71-'Table 5C1E-LFNO'!T71</f>
        <v>0</v>
      </c>
      <c r="O70" s="362">
        <f>-'Table 5C1F-Lake Charles Charter'!O71-'Table 5C1F-Lake Charles Charter'!R71</f>
        <v>0</v>
      </c>
      <c r="P70" s="362">
        <f>-'Table 5C1G-JS Clark Academy'!O71-'Table 5C1G-JS Clark Academy'!R71</f>
        <v>0</v>
      </c>
      <c r="Q70" s="362">
        <f>-'Table 5C1H-Southwest LA Charter'!O71-'Table 5C1H-Southwest LA Charter'!R71</f>
        <v>0</v>
      </c>
      <c r="R70" s="362">
        <f>-'Table 5C1J-LA Key Academy'!O71+'Table 5C1J-LA Key Academy'!R71</f>
        <v>0</v>
      </c>
      <c r="S70" s="362">
        <f>-'Table 5C1K-Jefferson Chamber'!O71+'Table 5C1K-Jefferson Chamber'!R71</f>
        <v>0</v>
      </c>
      <c r="T70" s="362">
        <f>-'Table 5C1L-Tallulah Charter'!O71+'Table 5C1L-Tallulah Charter'!R71</f>
        <v>0</v>
      </c>
      <c r="U70" s="362">
        <f>-'Table 5C1M-Northshore Charter'!O71+'Table 5C1M-Northshore Charter'!R71</f>
        <v>0</v>
      </c>
      <c r="V70" s="362">
        <f>-'Table 5C1N-EBR Charter'!O71+'Table 5C1N-EBR Charter'!R71</f>
        <v>0</v>
      </c>
      <c r="W70" s="362">
        <f>-'Table 5C1O-Lake Charles HS'!O71+'Table 5C1O-Lake Charles HS'!R71</f>
        <v>0</v>
      </c>
      <c r="X70" s="362">
        <f>-'Table 5C1P-Delta Charter'!O71+'Table 5C1P-Delta Charter'!R71</f>
        <v>0</v>
      </c>
      <c r="Y70" s="362">
        <f>-'Table 5C2 - LA Virtual Admy'!P68-'Table 5C2 - LA Virtual Admy'!S68</f>
        <v>8415</v>
      </c>
      <c r="Z70" s="362">
        <f>-'Table 5C3 - LA Connections EBR'!P68-'Table 5C3 - LA Connections EBR'!S68</f>
        <v>-26952.799999999999</v>
      </c>
      <c r="AA70" s="362">
        <f>-'Table 5D1 - New Vision'!N71-'Table 5D1 - New Vision'!Q71</f>
        <v>-885592</v>
      </c>
      <c r="AB70" s="362">
        <f>-'Table 5D2 - Glencoe'!N71-'Table 5D2 - Glencoe'!Q71</f>
        <v>0</v>
      </c>
      <c r="AC70" s="362">
        <f>-'Table 5D3 - International'!P71-'Table 5D3 - International'!S71</f>
        <v>0</v>
      </c>
      <c r="AD70" s="362">
        <f>-'Table 5D4 - Avoyelles'!N71-'Table 5D4 - Avoyelles'!Q71</f>
        <v>0</v>
      </c>
      <c r="AE70" s="362">
        <f>-'Table 5D5 - Delhi'!N71-'Table 5D5 - Delhi'!Q71</f>
        <v>0</v>
      </c>
      <c r="AF70" s="362">
        <f>-'Table 5D6 - Milestone'!N71-'Table 5D6 - Milestone'!Q71</f>
        <v>0</v>
      </c>
      <c r="AG70" s="362">
        <f>-'Table 5D7 - Max'!N71-'Table 5D7 - Max'!Q71</f>
        <v>0</v>
      </c>
      <c r="AH70" s="362">
        <f>-'Table 5D8 - Belle Chasse'!P71-'Table 5D8 - Belle Chasse'!U71</f>
        <v>0</v>
      </c>
      <c r="AI70" s="362">
        <f>-'Table 5E_OJJ'!P71-'Table 5E_OJJ'!Q71</f>
        <v>-4794.5844455184233</v>
      </c>
      <c r="AJ70" s="362">
        <f>-('Table 5F Scholarships '!T941)</f>
        <v>-104261.21816687088</v>
      </c>
      <c r="AK70" s="362">
        <f t="shared" ref="AK70:AK74" si="31">SUM(D70:AJ70)</f>
        <v>-1054870.4926123894</v>
      </c>
      <c r="AL70" s="751">
        <f t="shared" si="30"/>
        <v>43490059.507387608</v>
      </c>
      <c r="AO70" s="49"/>
      <c r="AR70"/>
      <c r="BA70"/>
    </row>
    <row r="71" spans="1:53">
      <c r="A71" s="134">
        <v>66</v>
      </c>
      <c r="B71" s="303" t="s">
        <v>159</v>
      </c>
      <c r="C71" s="312">
        <f>'Table 2_State Distrib and Adjs'!AM72</f>
        <v>14277445</v>
      </c>
      <c r="D71" s="363">
        <f>-'Table 5A2 LSMSA'!M72</f>
        <v>0</v>
      </c>
      <c r="E71" s="363">
        <f>-'Table 5A3 NOCCA'!K72</f>
        <v>0</v>
      </c>
      <c r="F71" s="363">
        <f>-'Table 5A4_LSDVI'!K72</f>
        <v>-3657.95</v>
      </c>
      <c r="G71" s="363">
        <f>-'Table 5A5_SSD'!K72</f>
        <v>-3657.95</v>
      </c>
      <c r="H71" s="363"/>
      <c r="I71" s="363"/>
      <c r="J71" s="363">
        <f>-'Table 5C1A-Madison Prep'!Q72-'Table 5C1A-Madison Prep'!T72</f>
        <v>0</v>
      </c>
      <c r="K71" s="363">
        <f>-'Table 5C1B-DArbonne'!O72-'Table 5C1B-DArbonne'!R72</f>
        <v>0</v>
      </c>
      <c r="L71" s="363">
        <f>-'Table 5C1C-Intl_VIBE'!O72-'Table 5C1C-Intl_VIBE'!R72</f>
        <v>0</v>
      </c>
      <c r="M71" s="363">
        <f>-'Table 5C1D-NOMMA'!O72-'Table 5C1D-NOMMA'!R72</f>
        <v>0</v>
      </c>
      <c r="N71" s="363">
        <f>-'Table 5C1E-LFNO'!Q72-'Table 5C1E-LFNO'!T72</f>
        <v>0</v>
      </c>
      <c r="O71" s="363">
        <f>-'Table 5C1F-Lake Charles Charter'!O72-'Table 5C1F-Lake Charles Charter'!R72</f>
        <v>0</v>
      </c>
      <c r="P71" s="363">
        <f>-'Table 5C1G-JS Clark Academy'!O72-'Table 5C1G-JS Clark Academy'!R72</f>
        <v>0</v>
      </c>
      <c r="Q71" s="363">
        <f>-'Table 5C1H-Southwest LA Charter'!O72-'Table 5C1H-Southwest LA Charter'!R72</f>
        <v>0</v>
      </c>
      <c r="R71" s="363">
        <f>-'Table 5C1J-LA Key Academy'!O72+'Table 5C1J-LA Key Academy'!R72</f>
        <v>0</v>
      </c>
      <c r="S71" s="363">
        <f>-'Table 5C1K-Jefferson Chamber'!O72+'Table 5C1K-Jefferson Chamber'!R72</f>
        <v>0</v>
      </c>
      <c r="T71" s="363">
        <f>-'Table 5C1L-Tallulah Charter'!O72+'Table 5C1L-Tallulah Charter'!R72</f>
        <v>0</v>
      </c>
      <c r="U71" s="363">
        <f>-'Table 5C1M-Northshore Charter'!O72+'Table 5C1M-Northshore Charter'!R72</f>
        <v>-404340</v>
      </c>
      <c r="V71" s="363">
        <f>-'Table 5C1N-EBR Charter'!O72+'Table 5C1N-EBR Charter'!R72</f>
        <v>0</v>
      </c>
      <c r="W71" s="363">
        <f>-'Table 5C1O-Lake Charles HS'!O72+'Table 5C1O-Lake Charles HS'!R72</f>
        <v>0</v>
      </c>
      <c r="X71" s="363">
        <f>-'Table 5C1P-Delta Charter'!O72+'Table 5C1P-Delta Charter'!R72</f>
        <v>0</v>
      </c>
      <c r="Y71" s="363">
        <f>-'Table 5C2 - LA Virtual Admy'!P69-'Table 5C2 - LA Virtual Admy'!S69</f>
        <v>-3322.8</v>
      </c>
      <c r="Z71" s="363">
        <f>-'Table 5C3 - LA Connections EBR'!P69-'Table 5C3 - LA Connections EBR'!S69</f>
        <v>-9844.7999999999993</v>
      </c>
      <c r="AA71" s="363">
        <f>-'Table 5D1 - New Vision'!N72-'Table 5D1 - New Vision'!Q72</f>
        <v>0</v>
      </c>
      <c r="AB71" s="363">
        <f>-'Table 5D2 - Glencoe'!N72-'Table 5D2 - Glencoe'!Q72</f>
        <v>0</v>
      </c>
      <c r="AC71" s="363">
        <f>-'Table 5D3 - International'!P72-'Table 5D3 - International'!S72</f>
        <v>0</v>
      </c>
      <c r="AD71" s="363">
        <f>-'Table 5D4 - Avoyelles'!N72-'Table 5D4 - Avoyelles'!Q72</f>
        <v>0</v>
      </c>
      <c r="AE71" s="363">
        <f>-'Table 5D5 - Delhi'!N72-'Table 5D5 - Delhi'!Q72</f>
        <v>0</v>
      </c>
      <c r="AF71" s="363">
        <f>-'Table 5D6 - Milestone'!N72-'Table 5D6 - Milestone'!Q72</f>
        <v>0</v>
      </c>
      <c r="AG71" s="363">
        <f>-'Table 5D7 - Max'!N72-'Table 5D7 - Max'!Q72</f>
        <v>0</v>
      </c>
      <c r="AH71" s="363">
        <f>-'Table 5D8 - Belle Chasse'!P72-'Table 5D8 - Belle Chasse'!U72</f>
        <v>0</v>
      </c>
      <c r="AI71" s="363">
        <f>-'Table 5E_OJJ'!P72-'Table 5E_OJJ'!Q72</f>
        <v>0</v>
      </c>
      <c r="AJ71" s="363">
        <f>-('Table 5F Scholarships '!T947)</f>
        <v>-23179.812545372693</v>
      </c>
      <c r="AK71" s="363">
        <f t="shared" si="31"/>
        <v>-448003.3125453727</v>
      </c>
      <c r="AL71" s="753">
        <f t="shared" si="30"/>
        <v>13829441.687454628</v>
      </c>
      <c r="AO71" s="49"/>
      <c r="AR71"/>
      <c r="BA71"/>
    </row>
    <row r="72" spans="1:53">
      <c r="A72" s="353">
        <v>67</v>
      </c>
      <c r="B72" s="304" t="s">
        <v>32</v>
      </c>
      <c r="C72" s="310">
        <f>'Table 2_State Distrib and Adjs'!AM73</f>
        <v>29022688</v>
      </c>
      <c r="D72" s="361">
        <f>-'Table 5A2 LSMSA'!M73</f>
        <v>0</v>
      </c>
      <c r="E72" s="361">
        <f>-'Table 5A3 NOCCA'!K73</f>
        <v>0</v>
      </c>
      <c r="F72" s="361">
        <f>-'Table 5A4_LSDVI'!K73</f>
        <v>-9710.76</v>
      </c>
      <c r="G72" s="361">
        <f>-'Table 5A5_SSD'!K73</f>
        <v>-9710.76</v>
      </c>
      <c r="H72" s="361"/>
      <c r="I72" s="361"/>
      <c r="J72" s="361">
        <f>-'Table 5C1A-Madison Prep'!Q73-'Table 5C1A-Madison Prep'!T73</f>
        <v>-10104</v>
      </c>
      <c r="K72" s="361">
        <f>-'Table 5C1B-DArbonne'!O73-'Table 5C1B-DArbonne'!R73</f>
        <v>0</v>
      </c>
      <c r="L72" s="361">
        <f>-'Table 5C1C-Intl_VIBE'!O73-'Table 5C1C-Intl_VIBE'!R73</f>
        <v>0</v>
      </c>
      <c r="M72" s="361">
        <f>-'Table 5C1D-NOMMA'!O73-'Table 5C1D-NOMMA'!R73</f>
        <v>0</v>
      </c>
      <c r="N72" s="361">
        <f>-'Table 5C1E-LFNO'!Q73-'Table 5C1E-LFNO'!T73</f>
        <v>0</v>
      </c>
      <c r="O72" s="361">
        <f>-'Table 5C1F-Lake Charles Charter'!O73-'Table 5C1F-Lake Charles Charter'!R73</f>
        <v>0</v>
      </c>
      <c r="P72" s="361">
        <f>-'Table 5C1G-JS Clark Academy'!O73-'Table 5C1G-JS Clark Academy'!R73</f>
        <v>0</v>
      </c>
      <c r="Q72" s="361">
        <f>-'Table 5C1H-Southwest LA Charter'!O73-'Table 5C1H-Southwest LA Charter'!R73</f>
        <v>0</v>
      </c>
      <c r="R72" s="361">
        <f>-'Table 5C1J-LA Key Academy'!O73+'Table 5C1J-LA Key Academy'!R73</f>
        <v>0</v>
      </c>
      <c r="S72" s="361">
        <f>-'Table 5C1K-Jefferson Chamber'!O73+'Table 5C1K-Jefferson Chamber'!R73</f>
        <v>0</v>
      </c>
      <c r="T72" s="361">
        <f>-'Table 5C1L-Tallulah Charter'!O73+'Table 5C1L-Tallulah Charter'!R73</f>
        <v>0</v>
      </c>
      <c r="U72" s="361">
        <f>-'Table 5C1M-Northshore Charter'!O73+'Table 5C1M-Northshore Charter'!R73</f>
        <v>0</v>
      </c>
      <c r="V72" s="361">
        <f>-'Table 5C1N-EBR Charter'!O73+'Table 5C1N-EBR Charter'!R73</f>
        <v>0</v>
      </c>
      <c r="W72" s="361">
        <f>-'Table 5C1O-Lake Charles HS'!O73+'Table 5C1O-Lake Charles HS'!R73</f>
        <v>0</v>
      </c>
      <c r="X72" s="361">
        <f>-'Table 5C1P-Delta Charter'!O73+'Table 5C1P-Delta Charter'!R73</f>
        <v>0</v>
      </c>
      <c r="Y72" s="361">
        <f>-'Table 5C2 - LA Virtual Admy'!P70-'Table 5C2 - LA Virtual Admy'!S70</f>
        <v>-624.59999999999991</v>
      </c>
      <c r="Z72" s="361">
        <f>-'Table 5C3 - LA Connections EBR'!P70-'Table 5C3 - LA Connections EBR'!S70</f>
        <v>-18692.400000000001</v>
      </c>
      <c r="AA72" s="361">
        <f>-'Table 5D1 - New Vision'!N73-'Table 5D1 - New Vision'!Q73</f>
        <v>0</v>
      </c>
      <c r="AB72" s="361">
        <f>-'Table 5D2 - Glencoe'!N73-'Table 5D2 - Glencoe'!Q73</f>
        <v>0</v>
      </c>
      <c r="AC72" s="361">
        <f>-'Table 5D3 - International'!P73-'Table 5D3 - International'!S73</f>
        <v>0</v>
      </c>
      <c r="AD72" s="361">
        <f>-'Table 5D4 - Avoyelles'!N73-'Table 5D4 - Avoyelles'!Q73</f>
        <v>0</v>
      </c>
      <c r="AE72" s="361">
        <f>-'Table 5D5 - Delhi'!N73-'Table 5D5 - Delhi'!Q73</f>
        <v>0</v>
      </c>
      <c r="AF72" s="361">
        <f>-'Table 5D6 - Milestone'!N73-'Table 5D6 - Milestone'!Q73</f>
        <v>0</v>
      </c>
      <c r="AG72" s="361">
        <f>-'Table 5D7 - Max'!N73-'Table 5D7 - Max'!Q73</f>
        <v>0</v>
      </c>
      <c r="AH72" s="361">
        <f>-'Table 5D8 - Belle Chasse'!P73-'Table 5D8 - Belle Chasse'!U73</f>
        <v>0</v>
      </c>
      <c r="AI72" s="361">
        <f>-'Table 5E_OJJ'!P73-'Table 5E_OJJ'!Q73</f>
        <v>-233.05480427392089</v>
      </c>
      <c r="AJ72" s="361">
        <v>0</v>
      </c>
      <c r="AK72" s="361">
        <f t="shared" si="31"/>
        <v>-49075.574804273921</v>
      </c>
      <c r="AL72" s="750">
        <f t="shared" si="30"/>
        <v>28973612.425195724</v>
      </c>
      <c r="AO72" s="49"/>
      <c r="AR72"/>
      <c r="BA72"/>
    </row>
    <row r="73" spans="1:53">
      <c r="A73" s="99">
        <v>68</v>
      </c>
      <c r="B73" s="301" t="s">
        <v>30</v>
      </c>
      <c r="C73" s="310">
        <f>'Table 2_State Distrib and Adjs'!AM74</f>
        <v>11573564</v>
      </c>
      <c r="D73" s="361">
        <f>-'Table 5A2 LSMSA'!M74</f>
        <v>0</v>
      </c>
      <c r="E73" s="361">
        <f>-'Table 5A3 NOCCA'!K74</f>
        <v>0</v>
      </c>
      <c r="F73" s="361">
        <f>-'Table 5A4_LSDVI'!K74</f>
        <v>-8329.6500000000015</v>
      </c>
      <c r="G73" s="361">
        <f>-'Table 5A5_SSD'!K74</f>
        <v>0</v>
      </c>
      <c r="H73" s="361"/>
      <c r="I73" s="361"/>
      <c r="J73" s="361">
        <f>-'Table 5C1A-Madison Prep'!Q74-'Table 5C1A-Madison Prep'!T74</f>
        <v>-11052</v>
      </c>
      <c r="K73" s="361">
        <f>-'Table 5C1B-DArbonne'!O74-'Table 5C1B-DArbonne'!R74</f>
        <v>0</v>
      </c>
      <c r="L73" s="361">
        <f>-'Table 5C1C-Intl_VIBE'!O74-'Table 5C1C-Intl_VIBE'!R74</f>
        <v>0</v>
      </c>
      <c r="M73" s="361">
        <f>-'Table 5C1D-NOMMA'!O74-'Table 5C1D-NOMMA'!R74</f>
        <v>0</v>
      </c>
      <c r="N73" s="361">
        <f>-'Table 5C1E-LFNO'!Q74-'Table 5C1E-LFNO'!T74</f>
        <v>0</v>
      </c>
      <c r="O73" s="361">
        <f>-'Table 5C1F-Lake Charles Charter'!O74-'Table 5C1F-Lake Charles Charter'!R74</f>
        <v>0</v>
      </c>
      <c r="P73" s="361">
        <f>-'Table 5C1G-JS Clark Academy'!O74-'Table 5C1G-JS Clark Academy'!R74</f>
        <v>0</v>
      </c>
      <c r="Q73" s="361">
        <f>-'Table 5C1H-Southwest LA Charter'!O74-'Table 5C1H-Southwest LA Charter'!R74</f>
        <v>0</v>
      </c>
      <c r="R73" s="361">
        <f>-'Table 5C1J-LA Key Academy'!O74+'Table 5C1J-LA Key Academy'!R74</f>
        <v>0</v>
      </c>
      <c r="S73" s="361">
        <f>-'Table 5C1K-Jefferson Chamber'!O74+'Table 5C1K-Jefferson Chamber'!R74</f>
        <v>0</v>
      </c>
      <c r="T73" s="361">
        <f>-'Table 5C1L-Tallulah Charter'!O74+'Table 5C1L-Tallulah Charter'!R74</f>
        <v>0</v>
      </c>
      <c r="U73" s="361">
        <f>-'Table 5C1M-Northshore Charter'!O74+'Table 5C1M-Northshore Charter'!R74</f>
        <v>0</v>
      </c>
      <c r="V73" s="361">
        <f>-'Table 5C1N-EBR Charter'!O74+'Table 5C1N-EBR Charter'!R74</f>
        <v>-748773</v>
      </c>
      <c r="W73" s="361">
        <f>-'Table 5C1O-Lake Charles HS'!O74+'Table 5C1O-Lake Charles HS'!R74</f>
        <v>0</v>
      </c>
      <c r="X73" s="361">
        <f>-'Table 5C1P-Delta Charter'!O74+'Table 5C1P-Delta Charter'!R74</f>
        <v>0</v>
      </c>
      <c r="Y73" s="361">
        <f>-'Table 5C2 - LA Virtual Admy'!P71-'Table 5C2 - LA Virtual Admy'!S71</f>
        <v>-6155.1</v>
      </c>
      <c r="Z73" s="361">
        <f>-'Table 5C3 - LA Connections EBR'!P71-'Table 5C3 - LA Connections EBR'!S71</f>
        <v>-30116.700000000004</v>
      </c>
      <c r="AA73" s="361">
        <f>-'Table 5D1 - New Vision'!N74-'Table 5D1 - New Vision'!Q74</f>
        <v>0</v>
      </c>
      <c r="AB73" s="361">
        <f>-'Table 5D2 - Glencoe'!N74-'Table 5D2 - Glencoe'!Q74</f>
        <v>0</v>
      </c>
      <c r="AC73" s="361">
        <f>-'Table 5D3 - International'!P74-'Table 5D3 - International'!S74</f>
        <v>0</v>
      </c>
      <c r="AD73" s="361">
        <f>-'Table 5D4 - Avoyelles'!N74-'Table 5D4 - Avoyelles'!Q74</f>
        <v>0</v>
      </c>
      <c r="AE73" s="361">
        <f>-'Table 5D5 - Delhi'!N74-'Table 5D5 - Delhi'!Q74</f>
        <v>0</v>
      </c>
      <c r="AF73" s="361">
        <f>-'Table 5D6 - Milestone'!N74-'Table 5D6 - Milestone'!Q74</f>
        <v>0</v>
      </c>
      <c r="AG73" s="361">
        <f>-'Table 5D7 - Max'!N74-'Table 5D7 - Max'!Q74</f>
        <v>0</v>
      </c>
      <c r="AH73" s="361">
        <f>-'Table 5D8 - Belle Chasse'!P74-'Table 5D8 - Belle Chasse'!U74</f>
        <v>0</v>
      </c>
      <c r="AI73" s="361">
        <f>-'Table 5E_OJJ'!P74-'Table 5E_OJJ'!Q74</f>
        <v>0</v>
      </c>
      <c r="AJ73" s="361">
        <f>-('Table 5F Scholarships '!T974)</f>
        <v>-70455.149980454415</v>
      </c>
      <c r="AK73" s="361">
        <f t="shared" si="31"/>
        <v>-874881.59998045443</v>
      </c>
      <c r="AL73" s="750">
        <f t="shared" si="30"/>
        <v>10698682.400019547</v>
      </c>
      <c r="AO73" s="49"/>
      <c r="AR73"/>
      <c r="BA73"/>
    </row>
    <row r="74" spans="1:53">
      <c r="A74" s="100">
        <v>69</v>
      </c>
      <c r="B74" s="302" t="s">
        <v>213</v>
      </c>
      <c r="C74" s="319">
        <f>'Table 2_State Distrib and Adjs'!AM75</f>
        <v>26214084</v>
      </c>
      <c r="D74" s="362">
        <f>-'Table 5A2 LSMSA'!M75</f>
        <v>0</v>
      </c>
      <c r="E74" s="362">
        <f>-'Table 5A3 NOCCA'!K75</f>
        <v>0</v>
      </c>
      <c r="F74" s="362">
        <f>-'Table 5A4_LSDVI'!K75</f>
        <v>-5690.54</v>
      </c>
      <c r="G74" s="362">
        <f>-'Table 5A5_SSD'!K75</f>
        <v>0</v>
      </c>
      <c r="H74" s="362"/>
      <c r="I74" s="362"/>
      <c r="J74" s="362">
        <f>-'Table 5C1A-Madison Prep'!Q75-'Table 5C1A-Madison Prep'!T75</f>
        <v>0</v>
      </c>
      <c r="K74" s="362">
        <f>-'Table 5C1B-DArbonne'!O75-'Table 5C1B-DArbonne'!R75</f>
        <v>0</v>
      </c>
      <c r="L74" s="362">
        <f>-'Table 5C1C-Intl_VIBE'!O75-'Table 5C1C-Intl_VIBE'!R75</f>
        <v>0</v>
      </c>
      <c r="M74" s="362">
        <f>-'Table 5C1D-NOMMA'!O75-'Table 5C1D-NOMMA'!R75</f>
        <v>0</v>
      </c>
      <c r="N74" s="362">
        <f>-'Table 5C1E-LFNO'!Q75-'Table 5C1E-LFNO'!T75</f>
        <v>0</v>
      </c>
      <c r="O74" s="362">
        <f>-'Table 5C1F-Lake Charles Charter'!O75-'Table 5C1F-Lake Charles Charter'!R75</f>
        <v>0</v>
      </c>
      <c r="P74" s="362">
        <f>-'Table 5C1G-JS Clark Academy'!O75-'Table 5C1G-JS Clark Academy'!R75</f>
        <v>0</v>
      </c>
      <c r="Q74" s="362">
        <f>-'Table 5C1H-Southwest LA Charter'!O75-'Table 5C1H-Southwest LA Charter'!R75</f>
        <v>0</v>
      </c>
      <c r="R74" s="362">
        <f>-'Table 5C1J-LA Key Academy'!O75+'Table 5C1J-LA Key Academy'!R75</f>
        <v>0</v>
      </c>
      <c r="S74" s="362">
        <f>-'Table 5C1K-Jefferson Chamber'!O75+'Table 5C1K-Jefferson Chamber'!R75</f>
        <v>0</v>
      </c>
      <c r="T74" s="362">
        <f>-'Table 5C1L-Tallulah Charter'!O75+'Table 5C1L-Tallulah Charter'!R75</f>
        <v>0</v>
      </c>
      <c r="U74" s="362">
        <f>-'Table 5C1M-Northshore Charter'!O75+'Table 5C1M-Northshore Charter'!R75</f>
        <v>0</v>
      </c>
      <c r="V74" s="362">
        <f>-'Table 5C1N-EBR Charter'!O75+'Table 5C1N-EBR Charter'!R75</f>
        <v>0</v>
      </c>
      <c r="W74" s="362">
        <f>-'Table 5C1O-Lake Charles HS'!O75+'Table 5C1O-Lake Charles HS'!R75</f>
        <v>0</v>
      </c>
      <c r="X74" s="362">
        <f>-'Table 5C1P-Delta Charter'!O75+'Table 5C1P-Delta Charter'!R75</f>
        <v>0</v>
      </c>
      <c r="Y74" s="362">
        <f>-'Table 5C2 - LA Virtual Admy'!P72-'Table 5C2 - LA Virtual Admy'!S72</f>
        <v>-28412.100000000002</v>
      </c>
      <c r="Z74" s="362">
        <f>-'Table 5C3 - LA Connections EBR'!P72-'Table 5C3 - LA Connections EBR'!S72</f>
        <v>-9315.6</v>
      </c>
      <c r="AA74" s="362">
        <f>-'Table 5D1 - New Vision'!N75-'Table 5D1 - New Vision'!Q75</f>
        <v>0</v>
      </c>
      <c r="AB74" s="362">
        <f>-'Table 5D2 - Glencoe'!N75-'Table 5D2 - Glencoe'!Q75</f>
        <v>0</v>
      </c>
      <c r="AC74" s="362">
        <f>-'Table 5D3 - International'!P75-'Table 5D3 - International'!S75</f>
        <v>0</v>
      </c>
      <c r="AD74" s="362">
        <f>-'Table 5D4 - Avoyelles'!N75-'Table 5D4 - Avoyelles'!Q75</f>
        <v>0</v>
      </c>
      <c r="AE74" s="362">
        <f>-'Table 5D5 - Delhi'!N75-'Table 5D5 - Delhi'!Q75</f>
        <v>0</v>
      </c>
      <c r="AF74" s="362">
        <f>-'Table 5D6 - Milestone'!N75-'Table 5D6 - Milestone'!Q75</f>
        <v>0</v>
      </c>
      <c r="AG74" s="362">
        <f>-'Table 5D7 - Max'!N75-'Table 5D7 - Max'!Q75</f>
        <v>0</v>
      </c>
      <c r="AH74" s="362">
        <f>-'Table 5D8 - Belle Chasse'!P75-'Table 5D8 - Belle Chasse'!U75</f>
        <v>0</v>
      </c>
      <c r="AI74" s="362">
        <f>-'Table 5E_OJJ'!P75-'Table 5E_OJJ'!Q75</f>
        <v>0</v>
      </c>
      <c r="AJ74" s="362">
        <v>0</v>
      </c>
      <c r="AK74" s="362">
        <f t="shared" si="31"/>
        <v>-43418.239999999998</v>
      </c>
      <c r="AL74" s="751">
        <f t="shared" si="30"/>
        <v>26170665.759999998</v>
      </c>
      <c r="AO74" s="49"/>
      <c r="AR74"/>
      <c r="BA74"/>
    </row>
    <row r="75" spans="1:53" ht="13.5" thickBot="1">
      <c r="A75" s="418"/>
      <c r="B75" s="419" t="s">
        <v>160</v>
      </c>
      <c r="C75" s="754">
        <f t="shared" ref="C75:AL75" si="32">SUM(C6:C74)</f>
        <v>3228954013</v>
      </c>
      <c r="D75" s="754">
        <f>SUM(D6:D74)</f>
        <v>-971992.24</v>
      </c>
      <c r="E75" s="754">
        <f>SUM(E6:E74)</f>
        <v>-478542.97</v>
      </c>
      <c r="F75" s="754">
        <f>SUM(F6:F74)</f>
        <v>-817224.38000000024</v>
      </c>
      <c r="G75" s="754">
        <f>SUM(G6:G74)</f>
        <v>-1065495.01</v>
      </c>
      <c r="H75" s="754">
        <f t="shared" si="32"/>
        <v>-16508069</v>
      </c>
      <c r="I75" s="754">
        <f t="shared" si="32"/>
        <v>-114325066</v>
      </c>
      <c r="J75" s="754">
        <f t="shared" si="32"/>
        <v>-1377342</v>
      </c>
      <c r="K75" s="754">
        <f t="shared" si="32"/>
        <v>-1538672</v>
      </c>
      <c r="L75" s="754">
        <f t="shared" si="32"/>
        <v>-1782251</v>
      </c>
      <c r="M75" s="754">
        <f t="shared" si="32"/>
        <v>-1129762</v>
      </c>
      <c r="N75" s="754">
        <f t="shared" si="32"/>
        <v>-976199</v>
      </c>
      <c r="O75" s="754">
        <f t="shared" si="32"/>
        <v>-3315205</v>
      </c>
      <c r="P75" s="754">
        <f t="shared" si="32"/>
        <v>-395268</v>
      </c>
      <c r="Q75" s="754">
        <f t="shared" si="32"/>
        <v>-2321221</v>
      </c>
      <c r="R75" s="754">
        <f t="shared" si="32"/>
        <v>-2540701.0000000005</v>
      </c>
      <c r="S75" s="754">
        <f t="shared" si="32"/>
        <v>-647022</v>
      </c>
      <c r="T75" s="754">
        <f t="shared" si="32"/>
        <v>-748864</v>
      </c>
      <c r="U75" s="754">
        <f t="shared" si="32"/>
        <v>-580060</v>
      </c>
      <c r="V75" s="754">
        <f t="shared" si="32"/>
        <v>-2530645</v>
      </c>
      <c r="W75" s="754">
        <f t="shared" si="32"/>
        <v>-1317300</v>
      </c>
      <c r="X75" s="754">
        <f t="shared" si="32"/>
        <v>-632960</v>
      </c>
      <c r="Y75" s="754">
        <f>SUM(Y6:Y74)</f>
        <v>-4315182.7</v>
      </c>
      <c r="Z75" s="754">
        <f>SUM(Z6:Z74)</f>
        <v>-4554143.8</v>
      </c>
      <c r="AA75" s="754">
        <f t="shared" si="32"/>
        <v>-1298504</v>
      </c>
      <c r="AB75" s="754">
        <f t="shared" si="32"/>
        <v>-1404303</v>
      </c>
      <c r="AC75" s="754">
        <f t="shared" si="32"/>
        <v>-3064572</v>
      </c>
      <c r="AD75" s="754">
        <f t="shared" si="32"/>
        <v>-950142</v>
      </c>
      <c r="AE75" s="754">
        <f t="shared" si="32"/>
        <v>-1680554</v>
      </c>
      <c r="AF75" s="754">
        <f t="shared" si="32"/>
        <v>-2165149</v>
      </c>
      <c r="AG75" s="754">
        <f t="shared" si="32"/>
        <v>-470281</v>
      </c>
      <c r="AH75" s="754">
        <f t="shared" si="32"/>
        <v>-2641720</v>
      </c>
      <c r="AI75" s="754">
        <f t="shared" si="32"/>
        <v>-1143214.5291476222</v>
      </c>
      <c r="AJ75" s="754">
        <f>SUM(AJ6:AJ74)</f>
        <v>-12518543.619635521</v>
      </c>
      <c r="AK75" s="754">
        <f>SUM(AK6:AK74)</f>
        <v>-192206171.24878317</v>
      </c>
      <c r="AL75" s="755">
        <f t="shared" si="32"/>
        <v>3036747841.7512169</v>
      </c>
      <c r="AO75" s="49"/>
      <c r="AR75"/>
      <c r="BA75"/>
    </row>
    <row r="76" spans="1:53" ht="13.5" thickTop="1">
      <c r="AN76" s="97"/>
      <c r="AO76" s="97"/>
      <c r="AP76" s="97"/>
      <c r="AQ76" s="97"/>
      <c r="AR76" s="97"/>
      <c r="AS76" s="97"/>
      <c r="AT76" s="97"/>
      <c r="AU76" s="97"/>
      <c r="AV76" s="97"/>
      <c r="AY76" s="97"/>
    </row>
    <row r="77" spans="1:53">
      <c r="AL77" s="49">
        <f>SUM(C75:AJ75)</f>
        <v>3036747841.7512169</v>
      </c>
    </row>
    <row r="78" spans="1:53" ht="9.75" customHeight="1">
      <c r="AN78" s="49"/>
      <c r="AO78" s="49"/>
      <c r="AP78" s="49"/>
      <c r="AQ78" s="49"/>
      <c r="AS78" s="49"/>
      <c r="AT78" s="49"/>
      <c r="AU78" s="49"/>
      <c r="AV78" s="49"/>
      <c r="AY78" s="49"/>
    </row>
    <row r="79" spans="1:53" ht="9.75" customHeight="1">
      <c r="H79" s="1887"/>
      <c r="I79" s="1887"/>
      <c r="J79" s="1887"/>
      <c r="K79" s="1887"/>
      <c r="L79" s="1887"/>
      <c r="M79" s="1887"/>
    </row>
    <row r="80" spans="1:53" ht="57.75" customHeight="1">
      <c r="C80" s="1880"/>
      <c r="D80" s="1880"/>
      <c r="E80" s="1880"/>
      <c r="H80" s="1887"/>
      <c r="I80" s="1887"/>
      <c r="J80" s="1887"/>
      <c r="K80" s="1887"/>
      <c r="L80" s="1887"/>
      <c r="M80" s="1887"/>
    </row>
    <row r="81" spans="8:13">
      <c r="H81" s="1887"/>
      <c r="I81" s="1887"/>
      <c r="J81" s="1887"/>
      <c r="K81" s="1887"/>
      <c r="L81" s="1887"/>
      <c r="M81" s="1887"/>
    </row>
  </sheetData>
  <mergeCells count="40">
    <mergeCell ref="C80:E80"/>
    <mergeCell ref="AL1:AL4"/>
    <mergeCell ref="AJ1:AJ4"/>
    <mergeCell ref="P1:P4"/>
    <mergeCell ref="Q1:Q4"/>
    <mergeCell ref="Y1:Y4"/>
    <mergeCell ref="Z1:Z4"/>
    <mergeCell ref="AI1:AI4"/>
    <mergeCell ref="AK1:AK4"/>
    <mergeCell ref="AD1:AD4"/>
    <mergeCell ref="AE1:AE4"/>
    <mergeCell ref="AH1:AH4"/>
    <mergeCell ref="AF1:AF4"/>
    <mergeCell ref="AG1:AG4"/>
    <mergeCell ref="H79:M81"/>
    <mergeCell ref="AA1:AA4"/>
    <mergeCell ref="A1:A4"/>
    <mergeCell ref="B1:B4"/>
    <mergeCell ref="C1:C4"/>
    <mergeCell ref="H1:H4"/>
    <mergeCell ref="I1:I4"/>
    <mergeCell ref="D1:D4"/>
    <mergeCell ref="E1:E4"/>
    <mergeCell ref="F1:F4"/>
    <mergeCell ref="G1:G4"/>
    <mergeCell ref="AB1:AB4"/>
    <mergeCell ref="AC1:AC4"/>
    <mergeCell ref="O1:O4"/>
    <mergeCell ref="J1:J4"/>
    <mergeCell ref="K1:K4"/>
    <mergeCell ref="L1:L4"/>
    <mergeCell ref="M1:M4"/>
    <mergeCell ref="N1:N4"/>
    <mergeCell ref="R1:R4"/>
    <mergeCell ref="S1:S4"/>
    <mergeCell ref="T1:T4"/>
    <mergeCell ref="U1:U4"/>
    <mergeCell ref="V1:V4"/>
    <mergeCell ref="W1:W4"/>
    <mergeCell ref="X1:X4"/>
  </mergeCells>
  <printOptions horizontalCentered="1"/>
  <pageMargins left="0.25" right="0.25" top="1.01" bottom="0.75" header="0.3" footer="0.3"/>
  <pageSetup paperSize="5" scale="70" firstPageNumber="9" orientation="portrait" useFirstPageNumber="1" r:id="rId1"/>
  <headerFooter>
    <oddHeader xml:space="preserve">&amp;L&amp;"Arial,Bold"&amp;14Table 2A-1:  FY2013-14 Budget Letter (Projection)
MFP Transfer Amount (Annual) 
</oddHeader>
    <oddFooter>&amp;R&amp;P</oddFooter>
  </headerFooter>
  <colBreaks count="4" manualBreakCount="4">
    <brk id="9" max="76" man="1"/>
    <brk id="17" max="76" man="1"/>
    <brk id="26" max="76" man="1"/>
    <brk id="34" max="76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83"/>
  <sheetViews>
    <sheetView view="pageBreakPreview" zoomScale="80" zoomScaleNormal="85" zoomScaleSheetLayoutView="80" workbookViewId="0">
      <pane xSplit="2" ySplit="3" topLeftCell="C4" activePane="bottomRight" state="frozen"/>
      <selection activeCell="A2" sqref="A2:B4"/>
      <selection pane="topRight" activeCell="A2" sqref="A2:B4"/>
      <selection pane="bottomLeft" activeCell="A2" sqref="A2:B4"/>
      <selection pane="bottomRight" activeCell="B1" sqref="B1:B2"/>
    </sheetView>
  </sheetViews>
  <sheetFormatPr defaultColWidth="9.140625" defaultRowHeight="28.5" customHeight="1"/>
  <cols>
    <col min="1" max="1" width="3.140625" style="549" customWidth="1"/>
    <col min="2" max="2" width="36.5703125" style="549" customWidth="1"/>
    <col min="3" max="3" width="16" style="549" customWidth="1"/>
    <col min="4" max="4" width="16.28515625" style="549" customWidth="1"/>
    <col min="5" max="5" width="17.140625" style="562" customWidth="1"/>
    <col min="6" max="7" width="16.28515625" style="562" customWidth="1"/>
    <col min="8" max="9" width="17.7109375" style="549" customWidth="1"/>
    <col min="10" max="10" width="16.28515625" style="549" customWidth="1"/>
    <col min="11" max="11" width="18.5703125" style="549" customWidth="1"/>
    <col min="12" max="12" width="17.5703125" style="549" customWidth="1"/>
    <col min="13" max="13" width="17.5703125" style="549" bestFit="1" customWidth="1"/>
    <col min="14" max="14" width="15.28515625" style="549" bestFit="1" customWidth="1"/>
    <col min="15" max="15" width="12.85546875" style="549" customWidth="1"/>
    <col min="16" max="16" width="17.7109375" style="549" bestFit="1" customWidth="1"/>
    <col min="17" max="17" width="12.7109375" style="549" bestFit="1" customWidth="1"/>
    <col min="18" max="18" width="16.28515625" style="549" bestFit="1" customWidth="1"/>
    <col min="19" max="19" width="15.42578125" style="549" bestFit="1" customWidth="1"/>
    <col min="20" max="20" width="16.28515625" style="549" bestFit="1" customWidth="1"/>
    <col min="21" max="21" width="14" style="549" customWidth="1"/>
    <col min="22" max="22" width="16.42578125" style="549" customWidth="1"/>
    <col min="23" max="23" width="14.140625" style="549" customWidth="1"/>
    <col min="24" max="16384" width="9.140625" style="549"/>
  </cols>
  <sheetData>
    <row r="1" spans="1:23" ht="114.75" customHeight="1">
      <c r="A1" s="2090" t="s">
        <v>425</v>
      </c>
      <c r="B1" s="2090" t="s">
        <v>667</v>
      </c>
      <c r="C1" s="2092" t="s">
        <v>1178</v>
      </c>
      <c r="D1" s="1862" t="s">
        <v>468</v>
      </c>
      <c r="E1" s="2094" t="s">
        <v>1395</v>
      </c>
      <c r="F1" s="2095" t="s">
        <v>657</v>
      </c>
      <c r="G1" s="2046" t="s">
        <v>469</v>
      </c>
      <c r="H1" s="2094" t="s">
        <v>1404</v>
      </c>
      <c r="I1" s="2106" t="s">
        <v>687</v>
      </c>
      <c r="J1" s="1953" t="s">
        <v>422</v>
      </c>
      <c r="K1" s="2094" t="s">
        <v>1405</v>
      </c>
      <c r="L1" s="2104" t="s">
        <v>1230</v>
      </c>
      <c r="M1" s="2094" t="s">
        <v>1398</v>
      </c>
      <c r="N1" s="2106" t="s">
        <v>1409</v>
      </c>
      <c r="O1" s="1990" t="s">
        <v>696</v>
      </c>
      <c r="P1" s="1990" t="s">
        <v>1406</v>
      </c>
      <c r="Q1" s="2096" t="s">
        <v>424</v>
      </c>
      <c r="R1" s="2097" t="s">
        <v>1407</v>
      </c>
      <c r="S1" s="2099" t="s">
        <v>1230</v>
      </c>
      <c r="T1" s="2108" t="s">
        <v>1408</v>
      </c>
      <c r="U1" s="2101" t="s">
        <v>1375</v>
      </c>
      <c r="V1" s="2057" t="s">
        <v>1410</v>
      </c>
      <c r="W1" s="2057" t="s">
        <v>1411</v>
      </c>
    </row>
    <row r="2" spans="1:23" ht="29.25" customHeight="1">
      <c r="A2" s="2091"/>
      <c r="B2" s="2091"/>
      <c r="C2" s="2093"/>
      <c r="D2" s="1864"/>
      <c r="E2" s="2094"/>
      <c r="F2" s="2095"/>
      <c r="G2" s="2047"/>
      <c r="H2" s="2094"/>
      <c r="I2" s="2107"/>
      <c r="J2" s="1864"/>
      <c r="K2" s="2094"/>
      <c r="L2" s="2105"/>
      <c r="M2" s="2094"/>
      <c r="N2" s="2107"/>
      <c r="O2" s="1991"/>
      <c r="P2" s="1991"/>
      <c r="Q2" s="1991"/>
      <c r="R2" s="2098"/>
      <c r="S2" s="2100"/>
      <c r="T2" s="2102"/>
      <c r="U2" s="2102"/>
      <c r="V2" s="2058"/>
      <c r="W2" s="2058"/>
    </row>
    <row r="3" spans="1:23" s="553" customFormat="1" ht="18" customHeight="1">
      <c r="A3" s="550"/>
      <c r="B3" s="550"/>
      <c r="C3" s="551">
        <v>1</v>
      </c>
      <c r="D3" s="552">
        <f>C3+1</f>
        <v>2</v>
      </c>
      <c r="E3" s="552">
        <f>D3+1</f>
        <v>3</v>
      </c>
      <c r="F3" s="552">
        <f>E3+1</f>
        <v>4</v>
      </c>
      <c r="G3" s="552">
        <f>F3+1</f>
        <v>5</v>
      </c>
      <c r="H3" s="552">
        <f t="shared" ref="H3" si="0">G3+1</f>
        <v>6</v>
      </c>
      <c r="I3" s="552">
        <f t="shared" ref="I3" si="1">H3+1</f>
        <v>7</v>
      </c>
      <c r="J3" s="552">
        <f t="shared" ref="J3" si="2">I3+1</f>
        <v>8</v>
      </c>
      <c r="K3" s="552">
        <f t="shared" ref="K3" si="3">J3+1</f>
        <v>9</v>
      </c>
      <c r="L3" s="552">
        <f t="shared" ref="L3" si="4">K3+1</f>
        <v>10</v>
      </c>
      <c r="M3" s="552">
        <f t="shared" ref="M3" si="5">L3+1</f>
        <v>11</v>
      </c>
      <c r="N3" s="552">
        <f t="shared" ref="N3" si="6">M3+1</f>
        <v>12</v>
      </c>
      <c r="O3" s="552">
        <f t="shared" ref="O3" si="7">N3+1</f>
        <v>13</v>
      </c>
      <c r="P3" s="552">
        <f t="shared" ref="P3" si="8">O3+1</f>
        <v>14</v>
      </c>
      <c r="Q3" s="552">
        <f t="shared" ref="Q3" si="9">P3+1</f>
        <v>15</v>
      </c>
      <c r="R3" s="552">
        <f t="shared" ref="R3" si="10">Q3+1</f>
        <v>16</v>
      </c>
      <c r="S3" s="552">
        <f t="shared" ref="S3" si="11">R3+1</f>
        <v>17</v>
      </c>
      <c r="T3" s="552">
        <f t="shared" ref="T3" si="12">S3+1</f>
        <v>18</v>
      </c>
      <c r="U3" s="552">
        <f t="shared" ref="U3" si="13">T3+1</f>
        <v>19</v>
      </c>
      <c r="V3" s="552">
        <f t="shared" ref="V3" si="14">U3+1</f>
        <v>20</v>
      </c>
      <c r="W3" s="552">
        <f t="shared" ref="W3" si="15">V3+1</f>
        <v>21</v>
      </c>
    </row>
    <row r="4" spans="1:23" s="558" customFormat="1" ht="17.25" customHeight="1">
      <c r="A4" s="101">
        <v>1</v>
      </c>
      <c r="B4" s="815" t="s">
        <v>95</v>
      </c>
      <c r="C4" s="835">
        <f>'[2]ALL-Reformatted'!R6</f>
        <v>14</v>
      </c>
      <c r="D4" s="836">
        <f>'Table 3 Levels 1&amp;2'!BN9*90%+'Table 3 Levels 1&amp;2'!BV9*90%</f>
        <v>4108.6897254148853</v>
      </c>
      <c r="E4" s="836">
        <f>C4*D4</f>
        <v>57521.656155808392</v>
      </c>
      <c r="F4" s="837">
        <f>'Table 4 Level 3'!N6*90%</f>
        <v>699.73200000000008</v>
      </c>
      <c r="G4" s="837">
        <f>F4*C4</f>
        <v>9796.2480000000014</v>
      </c>
      <c r="H4" s="837">
        <f>E4+G4</f>
        <v>67317.904155808399</v>
      </c>
      <c r="I4" s="837">
        <f>(('Table 3 Levels 1&amp;2'!BN9+'Table 3 Levels 1&amp;2'!BV9-D4)+('Table 4 Level 3'!N6-F4))*C4</f>
        <v>7479.7671284231537</v>
      </c>
      <c r="J4" s="837">
        <f>ROUND(-0.25%*H4,0)</f>
        <v>-168</v>
      </c>
      <c r="K4" s="838">
        <f>H4+J4</f>
        <v>67149.904155808399</v>
      </c>
      <c r="L4" s="838">
        <f>'[24]Oct midyear LA Virtual Admy'!M4+'[25]LAVCA Adjusted amounts '!X4+'[26]Feb midyear adj_LA virtual '!M6</f>
        <v>-2672.6958987880716</v>
      </c>
      <c r="M4" s="839">
        <f>SUM(K4:L4)</f>
        <v>64477.208257020327</v>
      </c>
      <c r="N4" s="839">
        <f>ROUND(M4/12,0)</f>
        <v>5373</v>
      </c>
      <c r="O4" s="840">
        <f>'[18]FY2012-13 Final'!K8*90%</f>
        <v>1900.8</v>
      </c>
      <c r="P4" s="841">
        <f>O4*C4</f>
        <v>26611.200000000001</v>
      </c>
      <c r="Q4" s="841">
        <f>ROUND(P4*-0.25%,0)</f>
        <v>-67</v>
      </c>
      <c r="R4" s="841">
        <f>SUM(P4:Q4)</f>
        <v>26544.2</v>
      </c>
      <c r="S4" s="840">
        <f>'[26]Feb midyear adj_LA virtual '!S6+'[24]Oct midyear LA Virtual Admy'!R4</f>
        <v>8735.7000000000007</v>
      </c>
      <c r="T4" s="872">
        <f>SUM(R4:S4)</f>
        <v>35279.9</v>
      </c>
      <c r="U4" s="872">
        <f>ROUND(T4/12,0)</f>
        <v>2940</v>
      </c>
      <c r="V4" s="842">
        <f>T4+M4</f>
        <v>99757.108257020329</v>
      </c>
      <c r="W4" s="842">
        <f>N4+U4</f>
        <v>8313</v>
      </c>
    </row>
    <row r="5" spans="1:23" s="558" customFormat="1" ht="17.25" customHeight="1">
      <c r="A5" s="101">
        <v>2</v>
      </c>
      <c r="B5" s="815" t="s">
        <v>96</v>
      </c>
      <c r="C5" s="843">
        <f>'[2]ALL-Reformatted'!R7</f>
        <v>4</v>
      </c>
      <c r="D5" s="844">
        <f>'Table 3 Levels 1&amp;2'!BN10*90%+'Table 3 Levels 1&amp;2'!BV10*90%</f>
        <v>5518.8432290262444</v>
      </c>
      <c r="E5" s="844">
        <f t="shared" ref="E5:E68" si="16">C5*D5</f>
        <v>22075.372916104978</v>
      </c>
      <c r="F5" s="845">
        <f>'Table 4 Level 3'!N7*90%</f>
        <v>758.08800000000008</v>
      </c>
      <c r="G5" s="845">
        <f t="shared" ref="G5:G68" si="17">F5*C5</f>
        <v>3032.3520000000003</v>
      </c>
      <c r="H5" s="845">
        <f t="shared" ref="H5:H68" si="18">E5+G5</f>
        <v>25107.724916104977</v>
      </c>
      <c r="I5" s="845">
        <f>(('Table 3 Levels 1&amp;2'!BN10+'Table 3 Levels 1&amp;2'!BV10-D5)+('Table 4 Level 3'!N7-F5))*C5</f>
        <v>2789.7472129005546</v>
      </c>
      <c r="J5" s="845">
        <f t="shared" ref="J5:J68" si="19">ROUND(-0.25%*H5,0)</f>
        <v>-63</v>
      </c>
      <c r="K5" s="846">
        <f t="shared" ref="K5:K68" si="20">H5+J5</f>
        <v>25044.724916104977</v>
      </c>
      <c r="L5" s="846">
        <f>'[24]Oct midyear LA Virtual Admy'!M5+'[25]LAVCA Adjusted amounts '!X5+'[26]Feb midyear adj_LA virtual '!M7</f>
        <v>3101.4270449050746</v>
      </c>
      <c r="M5" s="847">
        <f t="shared" ref="M5:M68" si="21">SUM(K5:L5)</f>
        <v>28146.151961010051</v>
      </c>
      <c r="N5" s="847">
        <f t="shared" ref="N5:N68" si="22">ROUND(M5/12,0)</f>
        <v>2346</v>
      </c>
      <c r="O5" s="848">
        <f>'[18]FY2012-13 Final'!K9*90%</f>
        <v>2325.6</v>
      </c>
      <c r="P5" s="849">
        <f t="shared" ref="P5:P68" si="23">O5*C5</f>
        <v>9302.4</v>
      </c>
      <c r="Q5" s="849">
        <f t="shared" ref="Q5:Q68" si="24">ROUND(P5*-0.25%,0)</f>
        <v>-23</v>
      </c>
      <c r="R5" s="849">
        <f t="shared" ref="R5:R68" si="25">SUM(P5:Q5)</f>
        <v>9279.4</v>
      </c>
      <c r="S5" s="848">
        <f>'[26]Feb midyear adj_LA virtual '!S7+'[24]Oct midyear LA Virtual Admy'!R5</f>
        <v>1154.25</v>
      </c>
      <c r="T5" s="873">
        <f t="shared" ref="T5:T68" si="26">SUM(R5:S5)</f>
        <v>10433.65</v>
      </c>
      <c r="U5" s="873">
        <f t="shared" ref="U5:U68" si="27">ROUND(T5/12,0)</f>
        <v>869</v>
      </c>
      <c r="V5" s="850">
        <f t="shared" ref="V5:V68" si="28">T5+M5</f>
        <v>38579.801961010053</v>
      </c>
      <c r="W5" s="850">
        <f t="shared" ref="W5:W68" si="29">N5+U5</f>
        <v>3215</v>
      </c>
    </row>
    <row r="6" spans="1:23" s="558" customFormat="1" ht="17.25" customHeight="1">
      <c r="A6" s="101">
        <v>3</v>
      </c>
      <c r="B6" s="815" t="s">
        <v>97</v>
      </c>
      <c r="C6" s="843">
        <f>'[2]ALL-Reformatted'!R8</f>
        <v>40</v>
      </c>
      <c r="D6" s="844">
        <f>'Table 3 Levels 1&amp;2'!BN11*90%+'Table 3 Levels 1&amp;2'!BV11*90%</f>
        <v>3768.2663568332787</v>
      </c>
      <c r="E6" s="844">
        <f t="shared" si="16"/>
        <v>150730.65427333114</v>
      </c>
      <c r="F6" s="845">
        <f>'Table 4 Level 3'!N8*90%</f>
        <v>537.15600000000006</v>
      </c>
      <c r="G6" s="845">
        <f t="shared" si="17"/>
        <v>21486.240000000002</v>
      </c>
      <c r="H6" s="845">
        <f t="shared" si="18"/>
        <v>172216.89427333113</v>
      </c>
      <c r="I6" s="845">
        <f>(('Table 3 Levels 1&amp;2'!BN11+'Table 3 Levels 1&amp;2'!BV11-D6)+('Table 4 Level 3'!N8-F6))*C6</f>
        <v>19135.210474814565</v>
      </c>
      <c r="J6" s="845">
        <f t="shared" si="19"/>
        <v>-431</v>
      </c>
      <c r="K6" s="846">
        <f t="shared" si="20"/>
        <v>171785.89427333113</v>
      </c>
      <c r="L6" s="846">
        <f>'[24]Oct midyear LA Virtual Admy'!M6+'[25]LAVCA Adjusted amounts '!X6+'[26]Feb midyear adj_LA virtual '!M8</f>
        <v>6373.8695586895901</v>
      </c>
      <c r="M6" s="847">
        <f t="shared" si="21"/>
        <v>178159.76383202072</v>
      </c>
      <c r="N6" s="847">
        <f t="shared" si="22"/>
        <v>14847</v>
      </c>
      <c r="O6" s="848">
        <f>'[18]FY2012-13 Final'!K10*90%</f>
        <v>4469.4000000000005</v>
      </c>
      <c r="P6" s="849">
        <f t="shared" si="23"/>
        <v>178776.00000000003</v>
      </c>
      <c r="Q6" s="849">
        <f t="shared" si="24"/>
        <v>-447</v>
      </c>
      <c r="R6" s="849">
        <f t="shared" si="25"/>
        <v>178329.00000000003</v>
      </c>
      <c r="S6" s="848">
        <f>'[26]Feb midyear adj_LA virtual '!S8+'[24]Oct midyear LA Virtual Admy'!R6</f>
        <v>6211.35</v>
      </c>
      <c r="T6" s="873">
        <f t="shared" si="26"/>
        <v>184540.35000000003</v>
      </c>
      <c r="U6" s="873">
        <f t="shared" si="27"/>
        <v>15378</v>
      </c>
      <c r="V6" s="850">
        <f t="shared" si="28"/>
        <v>362700.11383202078</v>
      </c>
      <c r="W6" s="850">
        <f t="shared" si="29"/>
        <v>30225</v>
      </c>
    </row>
    <row r="7" spans="1:23" s="558" customFormat="1" ht="17.25" customHeight="1">
      <c r="A7" s="101">
        <v>4</v>
      </c>
      <c r="B7" s="815" t="s">
        <v>98</v>
      </c>
      <c r="C7" s="843">
        <f>'[2]ALL-Reformatted'!R9</f>
        <v>3</v>
      </c>
      <c r="D7" s="844">
        <f>'Table 3 Levels 1&amp;2'!BN12*90%+'Table 3 Levels 1&amp;2'!BV12*90%</f>
        <v>5326.9918883264327</v>
      </c>
      <c r="E7" s="844">
        <f t="shared" si="16"/>
        <v>15980.975664979298</v>
      </c>
      <c r="F7" s="845">
        <f>'Table 4 Level 3'!N9*90%</f>
        <v>527.18399999999997</v>
      </c>
      <c r="G7" s="845">
        <f t="shared" si="17"/>
        <v>1581.5519999999999</v>
      </c>
      <c r="H7" s="845">
        <f t="shared" si="18"/>
        <v>17562.527664979298</v>
      </c>
      <c r="I7" s="845">
        <f>(('Table 3 Levels 1&amp;2'!BN12+'Table 3 Levels 1&amp;2'!BV12-D7)+('Table 4 Level 3'!N9-F7))*C7</f>
        <v>1951.3919627754767</v>
      </c>
      <c r="J7" s="845">
        <f t="shared" si="19"/>
        <v>-44</v>
      </c>
      <c r="K7" s="846">
        <f t="shared" si="20"/>
        <v>17518.527664979298</v>
      </c>
      <c r="L7" s="846">
        <f>'[24]Oct midyear LA Virtual Admy'!M7+'[25]LAVCA Adjusted amounts '!X7+'[26]Feb midyear adj_LA virtual '!M9</f>
        <v>-23859.7613176333</v>
      </c>
      <c r="M7" s="847">
        <f t="shared" si="21"/>
        <v>-6341.2336526540021</v>
      </c>
      <c r="N7" s="847">
        <f t="shared" si="22"/>
        <v>-528</v>
      </c>
      <c r="O7" s="848">
        <f>'[18]FY2012-13 Final'!K11*90%</f>
        <v>3100.5</v>
      </c>
      <c r="P7" s="849">
        <f t="shared" si="23"/>
        <v>9301.5</v>
      </c>
      <c r="Q7" s="849">
        <f t="shared" si="24"/>
        <v>-23</v>
      </c>
      <c r="R7" s="849">
        <f t="shared" si="25"/>
        <v>9278.5</v>
      </c>
      <c r="S7" s="848">
        <f>'[26]Feb midyear adj_LA virtual '!S9+'[24]Oct midyear LA Virtual Admy'!R7</f>
        <v>-11502</v>
      </c>
      <c r="T7" s="873">
        <f t="shared" si="26"/>
        <v>-2223.5</v>
      </c>
      <c r="U7" s="873">
        <f t="shared" si="27"/>
        <v>-185</v>
      </c>
      <c r="V7" s="850">
        <f t="shared" si="28"/>
        <v>-8564.7336526540021</v>
      </c>
      <c r="W7" s="850">
        <f t="shared" si="29"/>
        <v>-713</v>
      </c>
    </row>
    <row r="8" spans="1:23" s="558" customFormat="1" ht="17.25" customHeight="1">
      <c r="A8" s="102">
        <v>5</v>
      </c>
      <c r="B8" s="816" t="s">
        <v>99</v>
      </c>
      <c r="C8" s="851">
        <f>'[2]ALL-Reformatted'!R10</f>
        <v>20</v>
      </c>
      <c r="D8" s="852">
        <f>'Table 3 Levels 1&amp;2'!BN13*90%+'Table 3 Levels 1&amp;2'!BV13*90%</f>
        <v>4392.313591783296</v>
      </c>
      <c r="E8" s="852">
        <f t="shared" si="16"/>
        <v>87846.271835665917</v>
      </c>
      <c r="F8" s="853">
        <f>'Table 4 Level 3'!N10*90%</f>
        <v>500.31899999999996</v>
      </c>
      <c r="G8" s="853">
        <f t="shared" si="17"/>
        <v>10006.379999999999</v>
      </c>
      <c r="H8" s="853">
        <f t="shared" si="18"/>
        <v>97852.651835665922</v>
      </c>
      <c r="I8" s="853">
        <f>(('Table 3 Levels 1&amp;2'!BN13+'Table 3 Levels 1&amp;2'!BV13-D8)+('Table 4 Level 3'!N10-F8))*C8</f>
        <v>10872.516870629544</v>
      </c>
      <c r="J8" s="853">
        <f t="shared" si="19"/>
        <v>-245</v>
      </c>
      <c r="K8" s="854">
        <f t="shared" si="20"/>
        <v>97607.651835665922</v>
      </c>
      <c r="L8" s="854">
        <f>'[24]Oct midyear LA Virtual Admy'!M8+'[25]LAVCA Adjusted amounts '!X8+'[26]Feb midyear adj_LA virtual '!M10</f>
        <v>12232.446880240954</v>
      </c>
      <c r="M8" s="855">
        <f t="shared" si="21"/>
        <v>109840.09871590688</v>
      </c>
      <c r="N8" s="855">
        <f t="shared" si="22"/>
        <v>9153</v>
      </c>
      <c r="O8" s="856">
        <f>'[18]FY2012-13 Final'!K12*90%</f>
        <v>1217.7</v>
      </c>
      <c r="P8" s="857">
        <f t="shared" si="23"/>
        <v>24354</v>
      </c>
      <c r="Q8" s="857">
        <f t="shared" si="24"/>
        <v>-61</v>
      </c>
      <c r="R8" s="857">
        <f t="shared" si="25"/>
        <v>24293</v>
      </c>
      <c r="S8" s="856">
        <f>'[26]Feb midyear adj_LA virtual '!S10+'[24]Oct midyear LA Virtual Admy'!R8</f>
        <v>2900.2500000000005</v>
      </c>
      <c r="T8" s="874">
        <f t="shared" si="26"/>
        <v>27193.25</v>
      </c>
      <c r="U8" s="874">
        <f t="shared" si="27"/>
        <v>2266</v>
      </c>
      <c r="V8" s="858">
        <f t="shared" si="28"/>
        <v>137033.34871590688</v>
      </c>
      <c r="W8" s="858">
        <f t="shared" si="29"/>
        <v>11419</v>
      </c>
    </row>
    <row r="9" spans="1:23" s="558" customFormat="1" ht="17.25" customHeight="1">
      <c r="A9" s="101">
        <v>6</v>
      </c>
      <c r="B9" s="815" t="s">
        <v>100</v>
      </c>
      <c r="C9" s="835">
        <f>'[2]ALL-Reformatted'!R11</f>
        <v>17</v>
      </c>
      <c r="D9" s="836">
        <f>'Table 3 Levels 1&amp;2'!BN14*90%+'Table 3 Levels 1&amp;2'!BV14*90%</f>
        <v>4841.7983746631871</v>
      </c>
      <c r="E9" s="836">
        <f t="shared" si="16"/>
        <v>82310.572369274189</v>
      </c>
      <c r="F9" s="837">
        <f>'Table 4 Level 3'!N11*90%</f>
        <v>490.9319999999999</v>
      </c>
      <c r="G9" s="837">
        <f t="shared" si="17"/>
        <v>8345.8439999999991</v>
      </c>
      <c r="H9" s="837">
        <f t="shared" si="18"/>
        <v>90656.416369274186</v>
      </c>
      <c r="I9" s="837">
        <f>(('Table 3 Levels 1&amp;2'!BN14+'Table 3 Levels 1&amp;2'!BV14-D9)+('Table 4 Level 3'!N11-F9))*C9</f>
        <v>10072.935152141574</v>
      </c>
      <c r="J9" s="837">
        <f t="shared" si="19"/>
        <v>-227</v>
      </c>
      <c r="K9" s="838">
        <f t="shared" si="20"/>
        <v>90429.416369274186</v>
      </c>
      <c r="L9" s="838">
        <f>'[24]Oct midyear LA Virtual Admy'!M9+'[25]LAVCA Adjusted amounts '!X9+'[26]Feb midyear adj_LA virtual '!M11</f>
        <v>0</v>
      </c>
      <c r="M9" s="839">
        <f t="shared" si="21"/>
        <v>90429.416369274186</v>
      </c>
      <c r="N9" s="839">
        <f t="shared" si="22"/>
        <v>7536</v>
      </c>
      <c r="O9" s="840">
        <f>'[18]FY2012-13 Final'!K13*90%</f>
        <v>3218.4</v>
      </c>
      <c r="P9" s="841">
        <f t="shared" si="23"/>
        <v>54712.800000000003</v>
      </c>
      <c r="Q9" s="841">
        <f t="shared" si="24"/>
        <v>-137</v>
      </c>
      <c r="R9" s="841">
        <f t="shared" si="25"/>
        <v>54575.8</v>
      </c>
      <c r="S9" s="840">
        <f>'[26]Feb midyear adj_LA virtual '!S11+'[24]Oct midyear LA Virtual Admy'!R9</f>
        <v>0</v>
      </c>
      <c r="T9" s="872">
        <f t="shared" si="26"/>
        <v>54575.8</v>
      </c>
      <c r="U9" s="872">
        <f t="shared" si="27"/>
        <v>4548</v>
      </c>
      <c r="V9" s="842">
        <f t="shared" si="28"/>
        <v>145005.21636927419</v>
      </c>
      <c r="W9" s="842">
        <f t="shared" si="29"/>
        <v>12084</v>
      </c>
    </row>
    <row r="10" spans="1:23" s="558" customFormat="1" ht="17.25" customHeight="1">
      <c r="A10" s="101">
        <v>7</v>
      </c>
      <c r="B10" s="815" t="s">
        <v>101</v>
      </c>
      <c r="C10" s="843">
        <f>'[2]ALL-Reformatted'!R12</f>
        <v>4</v>
      </c>
      <c r="D10" s="844">
        <f>'Table 3 Levels 1&amp;2'!BN15*90%+'Table 3 Levels 1&amp;2'!BV15*90%</f>
        <v>1528.3216587516961</v>
      </c>
      <c r="E10" s="844">
        <f t="shared" si="16"/>
        <v>6113.2866350067843</v>
      </c>
      <c r="F10" s="845">
        <f>'Table 4 Level 3'!N12*90%</f>
        <v>681.22799999999984</v>
      </c>
      <c r="G10" s="845">
        <f t="shared" si="17"/>
        <v>2724.9119999999994</v>
      </c>
      <c r="H10" s="845">
        <f t="shared" si="18"/>
        <v>8838.1986350067837</v>
      </c>
      <c r="I10" s="845">
        <f>(('Table 3 Levels 1&amp;2'!BN15+'Table 3 Levels 1&amp;2'!BV15-D10)+('Table 4 Level 3'!N12-F10))*C10</f>
        <v>982.02207055630879</v>
      </c>
      <c r="J10" s="845">
        <f t="shared" si="19"/>
        <v>-22</v>
      </c>
      <c r="K10" s="846">
        <f t="shared" si="20"/>
        <v>8816.1986350067837</v>
      </c>
      <c r="L10" s="846">
        <f>'[24]Oct midyear LA Virtual Admy'!M10+'[25]LAVCA Adjusted amounts '!X10+'[26]Feb midyear adj_LA virtual '!M12</f>
        <v>-5166.1041722764821</v>
      </c>
      <c r="M10" s="847">
        <f t="shared" si="21"/>
        <v>3650.0944627303015</v>
      </c>
      <c r="N10" s="847">
        <f t="shared" si="22"/>
        <v>304</v>
      </c>
      <c r="O10" s="848">
        <f>'[18]FY2012-13 Final'!K14*90%</f>
        <v>11218.5</v>
      </c>
      <c r="P10" s="849">
        <f t="shared" si="23"/>
        <v>44874</v>
      </c>
      <c r="Q10" s="849">
        <f t="shared" si="24"/>
        <v>-112</v>
      </c>
      <c r="R10" s="849">
        <f t="shared" si="25"/>
        <v>44762</v>
      </c>
      <c r="S10" s="848">
        <f>'[26]Feb midyear adj_LA virtual '!S12+'[24]Oct midyear LA Virtual Admy'!R10</f>
        <v>-15905.25</v>
      </c>
      <c r="T10" s="873">
        <f t="shared" si="26"/>
        <v>28856.75</v>
      </c>
      <c r="U10" s="873">
        <f t="shared" si="27"/>
        <v>2405</v>
      </c>
      <c r="V10" s="850">
        <f t="shared" si="28"/>
        <v>32506.844462730303</v>
      </c>
      <c r="W10" s="850">
        <f t="shared" si="29"/>
        <v>2709</v>
      </c>
    </row>
    <row r="11" spans="1:23" s="558" customFormat="1" ht="17.25" customHeight="1">
      <c r="A11" s="101">
        <v>8</v>
      </c>
      <c r="B11" s="815" t="s">
        <v>102</v>
      </c>
      <c r="C11" s="843">
        <f>'[2]ALL-Reformatted'!R13</f>
        <v>35</v>
      </c>
      <c r="D11" s="844">
        <f>'Table 3 Levels 1&amp;2'!BN16*90%+'Table 3 Levels 1&amp;2'!BV16*90%</f>
        <v>3815.8721028647078</v>
      </c>
      <c r="E11" s="844">
        <f t="shared" si="16"/>
        <v>133555.52360026477</v>
      </c>
      <c r="F11" s="845">
        <f>'Table 4 Level 3'!N13*90%</f>
        <v>653.18399999999997</v>
      </c>
      <c r="G11" s="845">
        <f t="shared" si="17"/>
        <v>22861.439999999999</v>
      </c>
      <c r="H11" s="845">
        <f t="shared" si="18"/>
        <v>156416.96360026477</v>
      </c>
      <c r="I11" s="845">
        <f>(('Table 3 Levels 1&amp;2'!BN16+'Table 3 Levels 1&amp;2'!BV16-D11)+('Table 4 Level 3'!N13-F11))*C11</f>
        <v>17379.662622251635</v>
      </c>
      <c r="J11" s="845">
        <f t="shared" si="19"/>
        <v>-391</v>
      </c>
      <c r="K11" s="846">
        <f t="shared" si="20"/>
        <v>156025.96360026477</v>
      </c>
      <c r="L11" s="846">
        <f>'[24]Oct midyear LA Virtual Admy'!M11+'[25]LAVCA Adjusted amounts '!X11+'[26]Feb midyear adj_LA virtual '!M13</f>
        <v>0</v>
      </c>
      <c r="M11" s="847">
        <f t="shared" si="21"/>
        <v>156025.96360026477</v>
      </c>
      <c r="N11" s="847">
        <f t="shared" si="22"/>
        <v>13002</v>
      </c>
      <c r="O11" s="848">
        <f>'[18]FY2012-13 Final'!K15*90%</f>
        <v>3765.6</v>
      </c>
      <c r="P11" s="849">
        <f t="shared" si="23"/>
        <v>131796</v>
      </c>
      <c r="Q11" s="849">
        <f t="shared" si="24"/>
        <v>-329</v>
      </c>
      <c r="R11" s="849">
        <f t="shared" si="25"/>
        <v>131467</v>
      </c>
      <c r="S11" s="848">
        <f>'[26]Feb midyear adj_LA virtual '!S13+'[24]Oct midyear LA Virtual Admy'!R11</f>
        <v>0</v>
      </c>
      <c r="T11" s="873">
        <f t="shared" si="26"/>
        <v>131467</v>
      </c>
      <c r="U11" s="873">
        <f t="shared" si="27"/>
        <v>10956</v>
      </c>
      <c r="V11" s="850">
        <f t="shared" si="28"/>
        <v>287492.96360026475</v>
      </c>
      <c r="W11" s="850">
        <f t="shared" si="29"/>
        <v>23958</v>
      </c>
    </row>
    <row r="12" spans="1:23" s="558" customFormat="1" ht="17.25" customHeight="1">
      <c r="A12" s="101">
        <v>9</v>
      </c>
      <c r="B12" s="815" t="s">
        <v>103</v>
      </c>
      <c r="C12" s="843">
        <f>'[2]ALL-Reformatted'!R14</f>
        <v>87</v>
      </c>
      <c r="D12" s="844">
        <f>'Table 3 Levels 1&amp;2'!BN17*90%+'Table 3 Levels 1&amp;2'!BV17*90%</f>
        <v>3925.1477587835716</v>
      </c>
      <c r="E12" s="844">
        <f t="shared" si="16"/>
        <v>341487.85501417075</v>
      </c>
      <c r="F12" s="845">
        <f>'Table 4 Level 3'!N14*90%</f>
        <v>670.28399999999999</v>
      </c>
      <c r="G12" s="845">
        <f t="shared" si="17"/>
        <v>58314.707999999999</v>
      </c>
      <c r="H12" s="845">
        <f t="shared" si="18"/>
        <v>399802.56301417074</v>
      </c>
      <c r="I12" s="845">
        <f>(('Table 3 Levels 1&amp;2'!BN17+'Table 3 Levels 1&amp;2'!BV17-D12)+('Table 4 Level 3'!N14-F12))*C12</f>
        <v>44422.507001574515</v>
      </c>
      <c r="J12" s="845">
        <f t="shared" si="19"/>
        <v>-1000</v>
      </c>
      <c r="K12" s="846">
        <f t="shared" si="20"/>
        <v>398802.56301417074</v>
      </c>
      <c r="L12" s="846">
        <f>'[24]Oct midyear LA Virtual Admy'!M12+'[25]LAVCA Adjusted amounts '!X12+'[26]Feb midyear adj_LA virtual '!M14</f>
        <v>2629.7666659043625</v>
      </c>
      <c r="M12" s="847">
        <f t="shared" si="21"/>
        <v>401432.32968007511</v>
      </c>
      <c r="N12" s="847">
        <f t="shared" si="22"/>
        <v>33453</v>
      </c>
      <c r="O12" s="848">
        <f>'[18]FY2012-13 Final'!K16*90%</f>
        <v>4176</v>
      </c>
      <c r="P12" s="849">
        <f t="shared" si="23"/>
        <v>363312</v>
      </c>
      <c r="Q12" s="849">
        <f t="shared" si="24"/>
        <v>-908</v>
      </c>
      <c r="R12" s="849">
        <f t="shared" si="25"/>
        <v>362404</v>
      </c>
      <c r="S12" s="848">
        <f>'[26]Feb midyear adj_LA virtual '!S14+'[24]Oct midyear LA Virtual Admy'!R12</f>
        <v>8762</v>
      </c>
      <c r="T12" s="873">
        <f t="shared" si="26"/>
        <v>371166</v>
      </c>
      <c r="U12" s="873">
        <f t="shared" si="27"/>
        <v>30931</v>
      </c>
      <c r="V12" s="850">
        <f t="shared" si="28"/>
        <v>772598.32968007517</v>
      </c>
      <c r="W12" s="850">
        <f t="shared" si="29"/>
        <v>64384</v>
      </c>
    </row>
    <row r="13" spans="1:23" s="558" customFormat="1" ht="17.25" customHeight="1">
      <c r="A13" s="102">
        <v>10</v>
      </c>
      <c r="B13" s="816" t="s">
        <v>104</v>
      </c>
      <c r="C13" s="851">
        <f>'[2]ALL-Reformatted'!R15</f>
        <v>57</v>
      </c>
      <c r="D13" s="852">
        <f>'Table 3 Levels 1&amp;2'!BN18*90%+'Table 3 Levels 1&amp;2'!BV18*90%</f>
        <v>3761.5177487614283</v>
      </c>
      <c r="E13" s="852">
        <f t="shared" si="16"/>
        <v>214406.51167940142</v>
      </c>
      <c r="F13" s="853">
        <f>'Table 4 Level 3'!N15*90%</f>
        <v>547.2360000000001</v>
      </c>
      <c r="G13" s="853">
        <f t="shared" si="17"/>
        <v>31192.452000000005</v>
      </c>
      <c r="H13" s="853">
        <f t="shared" si="18"/>
        <v>245598.96367940144</v>
      </c>
      <c r="I13" s="853">
        <f>(('Table 3 Levels 1&amp;2'!BN18+'Table 3 Levels 1&amp;2'!BV18-D13)+('Table 4 Level 3'!N15-F13))*C13</f>
        <v>27288.773742155699</v>
      </c>
      <c r="J13" s="853">
        <f t="shared" si="19"/>
        <v>-614</v>
      </c>
      <c r="K13" s="854">
        <f t="shared" si="20"/>
        <v>244984.96367940144</v>
      </c>
      <c r="L13" s="854">
        <f>'[24]Oct midyear LA Virtual Admy'!M13+'[25]LAVCA Adjusted amounts '!X13+'[26]Feb midyear adj_LA virtual '!M15</f>
        <v>-13178.739303897581</v>
      </c>
      <c r="M13" s="855">
        <f t="shared" si="21"/>
        <v>231806.22437550387</v>
      </c>
      <c r="N13" s="855">
        <f t="shared" si="22"/>
        <v>19317</v>
      </c>
      <c r="O13" s="856">
        <f>'[18]FY2012-13 Final'!K17*90%</f>
        <v>3951.9</v>
      </c>
      <c r="P13" s="857">
        <f t="shared" si="23"/>
        <v>225258.30000000002</v>
      </c>
      <c r="Q13" s="857">
        <f t="shared" si="24"/>
        <v>-563</v>
      </c>
      <c r="R13" s="857">
        <f t="shared" si="25"/>
        <v>224695.30000000002</v>
      </c>
      <c r="S13" s="856">
        <f>'[26]Feb midyear adj_LA virtual '!S15+'[24]Oct midyear LA Virtual Admy'!R13</f>
        <v>-2458.1000000000004</v>
      </c>
      <c r="T13" s="874">
        <f t="shared" si="26"/>
        <v>222237.2</v>
      </c>
      <c r="U13" s="874">
        <f t="shared" si="27"/>
        <v>18520</v>
      </c>
      <c r="V13" s="858">
        <f t="shared" si="28"/>
        <v>454043.42437550391</v>
      </c>
      <c r="W13" s="858">
        <f t="shared" si="29"/>
        <v>37837</v>
      </c>
    </row>
    <row r="14" spans="1:23" s="558" customFormat="1" ht="17.25" customHeight="1">
      <c r="A14" s="101">
        <v>11</v>
      </c>
      <c r="B14" s="815" t="s">
        <v>105</v>
      </c>
      <c r="C14" s="835">
        <f>'[2]ALL-Reformatted'!R16</f>
        <v>7</v>
      </c>
      <c r="D14" s="836">
        <f>'Table 3 Levels 1&amp;2'!BN19*90%+'Table 3 Levels 1&amp;2'!BV19*90%</f>
        <v>6142.5199666338813</v>
      </c>
      <c r="E14" s="836">
        <f t="shared" si="16"/>
        <v>42997.639766437169</v>
      </c>
      <c r="F14" s="837">
        <f>'Table 4 Level 3'!N16*90%</f>
        <v>635.89499999999998</v>
      </c>
      <c r="G14" s="837">
        <f t="shared" si="17"/>
        <v>4451.2649999999994</v>
      </c>
      <c r="H14" s="837">
        <f t="shared" si="18"/>
        <v>47448.904766437168</v>
      </c>
      <c r="I14" s="837">
        <f>(('Table 3 Levels 1&amp;2'!BN19+'Table 3 Levels 1&amp;2'!BV19-D14)+('Table 4 Level 3'!N16-F14))*C14</f>
        <v>5272.1005296041285</v>
      </c>
      <c r="J14" s="837">
        <f t="shared" si="19"/>
        <v>-119</v>
      </c>
      <c r="K14" s="838">
        <f t="shared" si="20"/>
        <v>47329.904766437168</v>
      </c>
      <c r="L14" s="838">
        <f>'[24]Oct midyear LA Virtual Admy'!M14+'[25]LAVCA Adjusted amounts '!X14+'[26]Feb midyear adj_LA virtual '!M16</f>
        <v>3318.2613741818695</v>
      </c>
      <c r="M14" s="839">
        <f t="shared" si="21"/>
        <v>50648.16614061904</v>
      </c>
      <c r="N14" s="839">
        <f t="shared" si="22"/>
        <v>4221</v>
      </c>
      <c r="O14" s="840">
        <f>'[18]FY2012-13 Final'!K18*90%</f>
        <v>3087</v>
      </c>
      <c r="P14" s="841">
        <f t="shared" si="23"/>
        <v>21609</v>
      </c>
      <c r="Q14" s="841">
        <f t="shared" si="24"/>
        <v>-54</v>
      </c>
      <c r="R14" s="841">
        <f t="shared" si="25"/>
        <v>21555</v>
      </c>
      <c r="S14" s="840">
        <f>'[26]Feb midyear adj_LA virtual '!S16+'[24]Oct midyear LA Virtual Admy'!R14</f>
        <v>1484.1000000000001</v>
      </c>
      <c r="T14" s="872">
        <f t="shared" si="26"/>
        <v>23039.1</v>
      </c>
      <c r="U14" s="872">
        <f t="shared" si="27"/>
        <v>1920</v>
      </c>
      <c r="V14" s="842">
        <f t="shared" si="28"/>
        <v>73687.266140619031</v>
      </c>
      <c r="W14" s="842">
        <f t="shared" si="29"/>
        <v>6141</v>
      </c>
    </row>
    <row r="15" spans="1:23" s="558" customFormat="1" ht="17.25" customHeight="1">
      <c r="A15" s="101">
        <v>12</v>
      </c>
      <c r="B15" s="815" t="s">
        <v>106</v>
      </c>
      <c r="C15" s="843">
        <f>'[2]ALL-Reformatted'!R17</f>
        <v>0</v>
      </c>
      <c r="D15" s="844">
        <f>'Table 3 Levels 1&amp;2'!BN20*90%+'Table 3 Levels 1&amp;2'!BV20*90%</f>
        <v>1519.2443327841845</v>
      </c>
      <c r="E15" s="844">
        <f t="shared" si="16"/>
        <v>0</v>
      </c>
      <c r="F15" s="845">
        <f>'Table 4 Level 3'!N17*90%</f>
        <v>956.97899999999993</v>
      </c>
      <c r="G15" s="845">
        <f t="shared" si="17"/>
        <v>0</v>
      </c>
      <c r="H15" s="845">
        <f t="shared" si="18"/>
        <v>0</v>
      </c>
      <c r="I15" s="845">
        <f>(('Table 3 Levels 1&amp;2'!BN20+'Table 3 Levels 1&amp;2'!BV20-D15)+('Table 4 Level 3'!N17-F15))*C15</f>
        <v>0</v>
      </c>
      <c r="J15" s="845">
        <f t="shared" si="19"/>
        <v>0</v>
      </c>
      <c r="K15" s="846">
        <f t="shared" si="20"/>
        <v>0</v>
      </c>
      <c r="L15" s="846">
        <f>'[24]Oct midyear LA Virtual Admy'!M15+'[25]LAVCA Adjusted amounts '!X15+'[26]Feb midyear adj_LA virtual '!M17</f>
        <v>0</v>
      </c>
      <c r="M15" s="847">
        <f t="shared" si="21"/>
        <v>0</v>
      </c>
      <c r="N15" s="847">
        <f t="shared" si="22"/>
        <v>0</v>
      </c>
      <c r="O15" s="848">
        <f>'[18]FY2012-13 Final'!K19*90%</f>
        <v>11302.2</v>
      </c>
      <c r="P15" s="849">
        <f t="shared" si="23"/>
        <v>0</v>
      </c>
      <c r="Q15" s="849">
        <f t="shared" si="24"/>
        <v>0</v>
      </c>
      <c r="R15" s="849">
        <f t="shared" si="25"/>
        <v>0</v>
      </c>
      <c r="S15" s="848">
        <f>'[26]Feb midyear adj_LA virtual '!S17+'[24]Oct midyear LA Virtual Admy'!R15</f>
        <v>0</v>
      </c>
      <c r="T15" s="873">
        <f t="shared" si="26"/>
        <v>0</v>
      </c>
      <c r="U15" s="873">
        <f t="shared" si="27"/>
        <v>0</v>
      </c>
      <c r="V15" s="850">
        <f t="shared" si="28"/>
        <v>0</v>
      </c>
      <c r="W15" s="850">
        <f t="shared" si="29"/>
        <v>0</v>
      </c>
    </row>
    <row r="16" spans="1:23" s="558" customFormat="1" ht="17.25" customHeight="1">
      <c r="A16" s="101">
        <v>13</v>
      </c>
      <c r="B16" s="815" t="s">
        <v>107</v>
      </c>
      <c r="C16" s="843">
        <f>'[2]ALL-Reformatted'!R18</f>
        <v>10</v>
      </c>
      <c r="D16" s="844">
        <f>'Table 3 Levels 1&amp;2'!BN21*90%+'Table 3 Levels 1&amp;2'!BV21*90%</f>
        <v>5568.4486145148612</v>
      </c>
      <c r="E16" s="844">
        <f t="shared" si="16"/>
        <v>55684.486145148614</v>
      </c>
      <c r="F16" s="845">
        <f>'Table 4 Level 3'!N18*90%</f>
        <v>674.48700000000008</v>
      </c>
      <c r="G16" s="845">
        <f t="shared" si="17"/>
        <v>6744.8700000000008</v>
      </c>
      <c r="H16" s="845">
        <f t="shared" si="18"/>
        <v>62429.356145148617</v>
      </c>
      <c r="I16" s="845">
        <f>(('Table 3 Levels 1&amp;2'!BN21+'Table 3 Levels 1&amp;2'!BV21-D16)+('Table 4 Level 3'!N18-F16))*C16</f>
        <v>6936.5951272387319</v>
      </c>
      <c r="J16" s="845">
        <f t="shared" si="19"/>
        <v>-156</v>
      </c>
      <c r="K16" s="846">
        <f t="shared" si="20"/>
        <v>62273.356145148617</v>
      </c>
      <c r="L16" s="846">
        <f>'[24]Oct midyear LA Virtual Admy'!M16+'[25]LAVCA Adjusted amounts '!X16+'[26]Feb midyear adj_LA virtual '!M18</f>
        <v>-41843.555008058953</v>
      </c>
      <c r="M16" s="847">
        <f t="shared" si="21"/>
        <v>20429.801137089664</v>
      </c>
      <c r="N16" s="847">
        <f t="shared" si="22"/>
        <v>1702</v>
      </c>
      <c r="O16" s="848">
        <f>'[18]FY2012-13 Final'!K20*90%</f>
        <v>2282.4</v>
      </c>
      <c r="P16" s="849">
        <f t="shared" si="23"/>
        <v>22824</v>
      </c>
      <c r="Q16" s="849">
        <f t="shared" si="24"/>
        <v>-57</v>
      </c>
      <c r="R16" s="849">
        <f t="shared" si="25"/>
        <v>22767</v>
      </c>
      <c r="S16" s="848">
        <f>'[26]Feb midyear adj_LA virtual '!S18+'[24]Oct midyear LA Virtual Admy'!R16</f>
        <v>-12628.100000000002</v>
      </c>
      <c r="T16" s="873">
        <f t="shared" si="26"/>
        <v>10138.899999999998</v>
      </c>
      <c r="U16" s="873">
        <f t="shared" si="27"/>
        <v>845</v>
      </c>
      <c r="V16" s="850">
        <f t="shared" si="28"/>
        <v>30568.701137089662</v>
      </c>
      <c r="W16" s="850">
        <f t="shared" si="29"/>
        <v>2547</v>
      </c>
    </row>
    <row r="17" spans="1:23" s="558" customFormat="1" ht="17.25" customHeight="1">
      <c r="A17" s="101">
        <v>14</v>
      </c>
      <c r="B17" s="815" t="s">
        <v>108</v>
      </c>
      <c r="C17" s="843">
        <f>'[2]ALL-Reformatted'!R19</f>
        <v>1</v>
      </c>
      <c r="D17" s="844">
        <f>'Table 3 Levels 1&amp;2'!BN22*90%+'Table 3 Levels 1&amp;2'!BV22*90%</f>
        <v>4805.2698673157029</v>
      </c>
      <c r="E17" s="844">
        <f t="shared" si="16"/>
        <v>4805.2698673157029</v>
      </c>
      <c r="F17" s="845">
        <f>'Table 4 Level 3'!N19*90%</f>
        <v>728.98199999999997</v>
      </c>
      <c r="G17" s="845">
        <f t="shared" si="17"/>
        <v>728.98199999999997</v>
      </c>
      <c r="H17" s="845">
        <f t="shared" si="18"/>
        <v>5534.2518673157028</v>
      </c>
      <c r="I17" s="845">
        <f>(('Table 3 Levels 1&amp;2'!BN22+'Table 3 Levels 1&amp;2'!BV22-D17)+('Table 4 Level 3'!N19-F17))*C17</f>
        <v>614.91687414618934</v>
      </c>
      <c r="J17" s="845">
        <f t="shared" si="19"/>
        <v>-14</v>
      </c>
      <c r="K17" s="846">
        <f t="shared" si="20"/>
        <v>5520.2518673157028</v>
      </c>
      <c r="L17" s="846">
        <f>'[24]Oct midyear LA Virtual Admy'!M17+'[25]LAVCA Adjusted amounts '!X17+'[26]Feb midyear adj_LA virtual '!M19</f>
        <v>-2951.5311575333399</v>
      </c>
      <c r="M17" s="847">
        <f t="shared" si="21"/>
        <v>2568.720709782363</v>
      </c>
      <c r="N17" s="847">
        <f t="shared" si="22"/>
        <v>214</v>
      </c>
      <c r="O17" s="848">
        <f>'[18]FY2012-13 Final'!K21*90%</f>
        <v>3499.2000000000003</v>
      </c>
      <c r="P17" s="849">
        <f t="shared" si="23"/>
        <v>3499.2000000000003</v>
      </c>
      <c r="Q17" s="849">
        <f t="shared" si="24"/>
        <v>-9</v>
      </c>
      <c r="R17" s="849">
        <f t="shared" si="25"/>
        <v>3490.2000000000003</v>
      </c>
      <c r="S17" s="848">
        <f>'[26]Feb midyear adj_LA virtual '!S19+'[24]Oct midyear LA Virtual Admy'!R17</f>
        <v>-1508.4</v>
      </c>
      <c r="T17" s="873">
        <f t="shared" si="26"/>
        <v>1981.8000000000002</v>
      </c>
      <c r="U17" s="873">
        <f t="shared" si="27"/>
        <v>165</v>
      </c>
      <c r="V17" s="850">
        <f t="shared" si="28"/>
        <v>4550.5207097823632</v>
      </c>
      <c r="W17" s="850">
        <f t="shared" si="29"/>
        <v>379</v>
      </c>
    </row>
    <row r="18" spans="1:23" s="558" customFormat="1" ht="17.25" customHeight="1">
      <c r="A18" s="102">
        <v>15</v>
      </c>
      <c r="B18" s="816" t="s">
        <v>109</v>
      </c>
      <c r="C18" s="851">
        <f>'[2]ALL-Reformatted'!R20</f>
        <v>4</v>
      </c>
      <c r="D18" s="852">
        <f>'Table 3 Levels 1&amp;2'!BN23*90%+'Table 3 Levels 1&amp;2'!BV23*90%</f>
        <v>4943.3210471109605</v>
      </c>
      <c r="E18" s="852">
        <f t="shared" si="16"/>
        <v>19773.284188443842</v>
      </c>
      <c r="F18" s="853">
        <f>'Table 4 Level 3'!N20*90%</f>
        <v>498.41999999999996</v>
      </c>
      <c r="G18" s="853">
        <f t="shared" si="17"/>
        <v>1993.6799999999998</v>
      </c>
      <c r="H18" s="853">
        <f t="shared" si="18"/>
        <v>21766.964188443842</v>
      </c>
      <c r="I18" s="853">
        <f>(('Table 3 Levels 1&amp;2'!BN23+'Table 3 Levels 1&amp;2'!BV23-D18)+('Table 4 Level 3'!N20-F18))*C18</f>
        <v>2418.5515764937622</v>
      </c>
      <c r="J18" s="853">
        <f t="shared" si="19"/>
        <v>-54</v>
      </c>
      <c r="K18" s="854">
        <f t="shared" si="20"/>
        <v>21712.964188443842</v>
      </c>
      <c r="L18" s="854">
        <f>'[24]Oct midyear LA Virtual Admy'!M18+'[25]LAVCA Adjusted amounts '!X18+'[26]Feb midyear adj_LA virtual '!M20</f>
        <v>-5357.1392769100767</v>
      </c>
      <c r="M18" s="855">
        <f t="shared" si="21"/>
        <v>16355.824911533766</v>
      </c>
      <c r="N18" s="855">
        <f t="shared" si="22"/>
        <v>1363</v>
      </c>
      <c r="O18" s="856">
        <f>'[18]FY2012-13 Final'!K22*90%</f>
        <v>2476.8000000000002</v>
      </c>
      <c r="P18" s="857">
        <f t="shared" si="23"/>
        <v>9907.2000000000007</v>
      </c>
      <c r="Q18" s="857">
        <f t="shared" si="24"/>
        <v>-25</v>
      </c>
      <c r="R18" s="857">
        <f t="shared" si="25"/>
        <v>9882.2000000000007</v>
      </c>
      <c r="S18" s="856">
        <f>'[26]Feb midyear adj_LA virtual '!S20+'[24]Oct midyear LA Virtual Admy'!R18</f>
        <v>-2295</v>
      </c>
      <c r="T18" s="874">
        <f t="shared" si="26"/>
        <v>7587.2000000000007</v>
      </c>
      <c r="U18" s="874">
        <f t="shared" si="27"/>
        <v>632</v>
      </c>
      <c r="V18" s="858">
        <f t="shared" si="28"/>
        <v>23943.024911533765</v>
      </c>
      <c r="W18" s="858">
        <f t="shared" si="29"/>
        <v>1995</v>
      </c>
    </row>
    <row r="19" spans="1:23" s="558" customFormat="1" ht="17.25" customHeight="1">
      <c r="A19" s="101">
        <v>16</v>
      </c>
      <c r="B19" s="815" t="s">
        <v>110</v>
      </c>
      <c r="C19" s="835">
        <f>'[2]ALL-Reformatted'!R21</f>
        <v>11</v>
      </c>
      <c r="D19" s="836">
        <f>'Table 3 Levels 1&amp;2'!BN24*90%+'Table 3 Levels 1&amp;2'!BV24*90%</f>
        <v>1355.5038067150635</v>
      </c>
      <c r="E19" s="836">
        <f t="shared" si="16"/>
        <v>14910.541873865699</v>
      </c>
      <c r="F19" s="837">
        <f>'Table 4 Level 3'!N21*90%</f>
        <v>618.05700000000002</v>
      </c>
      <c r="G19" s="837">
        <f t="shared" si="17"/>
        <v>6798.6270000000004</v>
      </c>
      <c r="H19" s="837">
        <f t="shared" si="18"/>
        <v>21709.168873865699</v>
      </c>
      <c r="I19" s="837">
        <f>(('Table 3 Levels 1&amp;2'!BN24+'Table 3 Levels 1&amp;2'!BV24-D19)+('Table 4 Level 3'!N21-F19))*C19</f>
        <v>2412.1298748739669</v>
      </c>
      <c r="J19" s="837">
        <f t="shared" si="19"/>
        <v>-54</v>
      </c>
      <c r="K19" s="838">
        <f t="shared" si="20"/>
        <v>21655.168873865699</v>
      </c>
      <c r="L19" s="838">
        <f>'[24]Oct midyear LA Virtual Admy'!M19+'[25]LAVCA Adjusted amounts '!X19+'[26]Feb midyear adj_LA virtual '!M21</f>
        <v>0</v>
      </c>
      <c r="M19" s="839">
        <f t="shared" si="21"/>
        <v>21655.168873865699</v>
      </c>
      <c r="N19" s="839">
        <f t="shared" si="22"/>
        <v>1805</v>
      </c>
      <c r="O19" s="840">
        <f>'[18]FY2012-13 Final'!K23*90%</f>
        <v>13582.800000000001</v>
      </c>
      <c r="P19" s="841">
        <f t="shared" si="23"/>
        <v>149410.80000000002</v>
      </c>
      <c r="Q19" s="841">
        <f t="shared" si="24"/>
        <v>-374</v>
      </c>
      <c r="R19" s="841">
        <f t="shared" si="25"/>
        <v>149036.80000000002</v>
      </c>
      <c r="S19" s="840">
        <f>'[26]Feb midyear adj_LA virtual '!S21+'[24]Oct midyear LA Virtual Admy'!R19</f>
        <v>0</v>
      </c>
      <c r="T19" s="872">
        <f t="shared" si="26"/>
        <v>149036.80000000002</v>
      </c>
      <c r="U19" s="872">
        <f t="shared" si="27"/>
        <v>12420</v>
      </c>
      <c r="V19" s="842">
        <f t="shared" si="28"/>
        <v>170691.96887386573</v>
      </c>
      <c r="W19" s="842">
        <f t="shared" si="29"/>
        <v>14225</v>
      </c>
    </row>
    <row r="20" spans="1:23" s="558" customFormat="1" ht="17.25" customHeight="1">
      <c r="A20" s="101">
        <v>17</v>
      </c>
      <c r="B20" s="815" t="s">
        <v>111</v>
      </c>
      <c r="C20" s="843">
        <f>'[2]ALL-Reformatted'!R22</f>
        <v>69</v>
      </c>
      <c r="D20" s="844">
        <f>'Table 3 Levels 1&amp;2'!BN25*90%+'Table 3 Levels 1&amp;2'!BV25*90%</f>
        <v>2980.4497613964863</v>
      </c>
      <c r="E20" s="844">
        <f t="shared" si="16"/>
        <v>205651.03353635754</v>
      </c>
      <c r="F20" s="845">
        <f>'Table 5B2_RSD_LA'!F7*90%</f>
        <v>721.32986175126121</v>
      </c>
      <c r="G20" s="845">
        <f t="shared" si="17"/>
        <v>49771.760460837024</v>
      </c>
      <c r="H20" s="845">
        <f t="shared" si="18"/>
        <v>255422.79399719456</v>
      </c>
      <c r="I20" s="845">
        <f>(('Table 3 Levels 1&amp;2'!BN25+'Table 3 Levels 1&amp;2'!BV25-D20)+('Table 4 Level 3'!N22-F20))*C20</f>
        <v>28380.310444132738</v>
      </c>
      <c r="J20" s="845">
        <f t="shared" si="19"/>
        <v>-639</v>
      </c>
      <c r="K20" s="846">
        <f t="shared" si="20"/>
        <v>254783.79399719456</v>
      </c>
      <c r="L20" s="846">
        <f>'[24]Oct midyear LA Virtual Admy'!M20+'[25]LAVCA Adjusted amounts '!X20+'[26]Feb midyear adj_LA virtual '!M22</f>
        <v>12678.890208743534</v>
      </c>
      <c r="M20" s="847">
        <f t="shared" si="21"/>
        <v>267462.68420593807</v>
      </c>
      <c r="N20" s="847">
        <f t="shared" si="22"/>
        <v>22289</v>
      </c>
      <c r="O20" s="848">
        <f>'[18]FY2012-13 Final'!K24*90%</f>
        <v>5895.9000000000005</v>
      </c>
      <c r="P20" s="849">
        <f t="shared" si="23"/>
        <v>406817.10000000003</v>
      </c>
      <c r="Q20" s="849">
        <f t="shared" si="24"/>
        <v>-1017</v>
      </c>
      <c r="R20" s="849">
        <f t="shared" si="25"/>
        <v>405800.10000000003</v>
      </c>
      <c r="S20" s="848">
        <f>'[26]Feb midyear adj_LA virtual '!S22+'[24]Oct midyear LA Virtual Admy'!R20</f>
        <v>32776.9</v>
      </c>
      <c r="T20" s="873">
        <f t="shared" si="26"/>
        <v>438577.00000000006</v>
      </c>
      <c r="U20" s="873">
        <f t="shared" si="27"/>
        <v>36548</v>
      </c>
      <c r="V20" s="850">
        <f t="shared" si="28"/>
        <v>706039.68420593813</v>
      </c>
      <c r="W20" s="850">
        <f t="shared" si="29"/>
        <v>58837</v>
      </c>
    </row>
    <row r="21" spans="1:23" s="558" customFormat="1" ht="17.25" customHeight="1">
      <c r="A21" s="101">
        <v>18</v>
      </c>
      <c r="B21" s="815" t="s">
        <v>112</v>
      </c>
      <c r="C21" s="843">
        <f>'[2]ALL-Reformatted'!R23</f>
        <v>1</v>
      </c>
      <c r="D21" s="844">
        <f>'Table 3 Levels 1&amp;2'!BN26*90%+'Table 3 Levels 1&amp;2'!BV26*90%</f>
        <v>5367.9141181828873</v>
      </c>
      <c r="E21" s="844">
        <f t="shared" si="16"/>
        <v>5367.9141181828873</v>
      </c>
      <c r="F21" s="845">
        <f>'Table 4 Level 3'!N23*90%</f>
        <v>761.3549999999999</v>
      </c>
      <c r="G21" s="845">
        <f t="shared" si="17"/>
        <v>761.3549999999999</v>
      </c>
      <c r="H21" s="845">
        <f t="shared" si="18"/>
        <v>6129.2691181828868</v>
      </c>
      <c r="I21" s="845">
        <f>(('Table 3 Levels 1&amp;2'!BN26+'Table 3 Levels 1&amp;2'!BV26-D21)+('Table 4 Level 3'!N23-F21))*C21</f>
        <v>681.02990202032083</v>
      </c>
      <c r="J21" s="845">
        <f t="shared" si="19"/>
        <v>-15</v>
      </c>
      <c r="K21" s="846">
        <f t="shared" si="20"/>
        <v>6114.2691181828868</v>
      </c>
      <c r="L21" s="846">
        <f>'[24]Oct midyear LA Virtual Admy'!M21+'[25]LAVCA Adjusted amounts '!X21+'[26]Feb midyear adj_LA virtual '!M23</f>
        <v>0</v>
      </c>
      <c r="M21" s="847">
        <f t="shared" si="21"/>
        <v>6114.2691181828868</v>
      </c>
      <c r="N21" s="847">
        <f t="shared" si="22"/>
        <v>510</v>
      </c>
      <c r="O21" s="848">
        <f>'[18]FY2012-13 Final'!K25*90%</f>
        <v>1948.5</v>
      </c>
      <c r="P21" s="849">
        <f t="shared" si="23"/>
        <v>1948.5</v>
      </c>
      <c r="Q21" s="849">
        <f t="shared" si="24"/>
        <v>-5</v>
      </c>
      <c r="R21" s="849">
        <f t="shared" si="25"/>
        <v>1943.5</v>
      </c>
      <c r="S21" s="848">
        <f>'[26]Feb midyear adj_LA virtual '!S23+'[24]Oct midyear LA Virtual Admy'!R21</f>
        <v>0</v>
      </c>
      <c r="T21" s="873">
        <f t="shared" si="26"/>
        <v>1943.5</v>
      </c>
      <c r="U21" s="873">
        <f t="shared" si="27"/>
        <v>162</v>
      </c>
      <c r="V21" s="850">
        <f t="shared" si="28"/>
        <v>8057.7691181828868</v>
      </c>
      <c r="W21" s="850">
        <f t="shared" si="29"/>
        <v>672</v>
      </c>
    </row>
    <row r="22" spans="1:23" s="558" customFormat="1" ht="17.25" customHeight="1">
      <c r="A22" s="101">
        <v>19</v>
      </c>
      <c r="B22" s="815" t="s">
        <v>113</v>
      </c>
      <c r="C22" s="843">
        <f>'[2]ALL-Reformatted'!R24</f>
        <v>5</v>
      </c>
      <c r="D22" s="844">
        <f>'Table 3 Levels 1&amp;2'!BN27*90%+'Table 3 Levels 1&amp;2'!BV27*90%</f>
        <v>4754.7979342628932</v>
      </c>
      <c r="E22" s="844">
        <f t="shared" si="16"/>
        <v>23773.989671314466</v>
      </c>
      <c r="F22" s="845">
        <f>'Table 4 Level 3'!N24*90%</f>
        <v>814.88699999999994</v>
      </c>
      <c r="G22" s="845">
        <f t="shared" si="17"/>
        <v>4074.4349999999995</v>
      </c>
      <c r="H22" s="845">
        <f t="shared" si="18"/>
        <v>27848.424671314468</v>
      </c>
      <c r="I22" s="845">
        <f>(('Table 3 Levels 1&amp;2'!BN27+'Table 3 Levels 1&amp;2'!BV27-D22)+('Table 4 Level 3'!N24-F22))*C22</f>
        <v>3094.2694079238317</v>
      </c>
      <c r="J22" s="845">
        <f t="shared" si="19"/>
        <v>-70</v>
      </c>
      <c r="K22" s="846">
        <f t="shared" si="20"/>
        <v>27778.424671314468</v>
      </c>
      <c r="L22" s="846">
        <f>'[24]Oct midyear LA Virtual Admy'!M22+'[25]LAVCA Adjusted amounts '!X22+'[26]Feb midyear adj_LA virtual '!M24</f>
        <v>2749.3168264032684</v>
      </c>
      <c r="M22" s="847">
        <f t="shared" si="21"/>
        <v>30527.741497717736</v>
      </c>
      <c r="N22" s="847">
        <f t="shared" si="22"/>
        <v>2544</v>
      </c>
      <c r="O22" s="848">
        <f>'[18]FY2012-13 Final'!K26*90%</f>
        <v>2456.1</v>
      </c>
      <c r="P22" s="849">
        <f t="shared" si="23"/>
        <v>12280.5</v>
      </c>
      <c r="Q22" s="849">
        <f t="shared" si="24"/>
        <v>-31</v>
      </c>
      <c r="R22" s="849">
        <f t="shared" si="25"/>
        <v>12249.5</v>
      </c>
      <c r="S22" s="848">
        <f>'[26]Feb midyear adj_LA virtual '!S24+'[24]Oct midyear LA Virtual Admy'!R22</f>
        <v>1011.15</v>
      </c>
      <c r="T22" s="873">
        <f t="shared" si="26"/>
        <v>13260.65</v>
      </c>
      <c r="U22" s="873">
        <f t="shared" si="27"/>
        <v>1105</v>
      </c>
      <c r="V22" s="850">
        <f t="shared" si="28"/>
        <v>43788.391497717734</v>
      </c>
      <c r="W22" s="850">
        <f t="shared" si="29"/>
        <v>3649</v>
      </c>
    </row>
    <row r="23" spans="1:23" s="558" customFormat="1" ht="17.25" customHeight="1">
      <c r="A23" s="102">
        <v>20</v>
      </c>
      <c r="B23" s="816" t="s">
        <v>114</v>
      </c>
      <c r="C23" s="851">
        <f>'[2]ALL-Reformatted'!R25</f>
        <v>6</v>
      </c>
      <c r="D23" s="852">
        <f>'Table 3 Levels 1&amp;2'!BN28*90%+'Table 3 Levels 1&amp;2'!BV28*90%</f>
        <v>4850.6442385342325</v>
      </c>
      <c r="E23" s="852">
        <f t="shared" si="16"/>
        <v>29103.865431205395</v>
      </c>
      <c r="F23" s="853">
        <f>'Table 4 Level 3'!N25*90%</f>
        <v>527.553</v>
      </c>
      <c r="G23" s="853">
        <f t="shared" si="17"/>
        <v>3165.3180000000002</v>
      </c>
      <c r="H23" s="853">
        <f t="shared" si="18"/>
        <v>32269.183431205394</v>
      </c>
      <c r="I23" s="853">
        <f>(('Table 3 Levels 1&amp;2'!BN28+'Table 3 Levels 1&amp;2'!BV28-D23)+('Table 4 Level 3'!N25-F23))*C23</f>
        <v>3585.4648256894893</v>
      </c>
      <c r="J23" s="853">
        <f t="shared" si="19"/>
        <v>-81</v>
      </c>
      <c r="K23" s="854">
        <f t="shared" si="20"/>
        <v>32188.183431205394</v>
      </c>
      <c r="L23" s="854">
        <f>'[24]Oct midyear LA Virtual Admy'!M23+'[25]LAVCA Adjusted amounts '!X23+'[26]Feb midyear adj_LA virtual '!M25</f>
        <v>2710.9645208720476</v>
      </c>
      <c r="M23" s="855">
        <f t="shared" si="21"/>
        <v>34899.147952077445</v>
      </c>
      <c r="N23" s="855">
        <f t="shared" si="22"/>
        <v>2908</v>
      </c>
      <c r="O23" s="856">
        <f>'[18]FY2012-13 Final'!K27*90%</f>
        <v>2100.6</v>
      </c>
      <c r="P23" s="857">
        <f t="shared" si="23"/>
        <v>12603.599999999999</v>
      </c>
      <c r="Q23" s="857">
        <f t="shared" si="24"/>
        <v>-32</v>
      </c>
      <c r="R23" s="857">
        <f t="shared" si="25"/>
        <v>12571.599999999999</v>
      </c>
      <c r="S23" s="856">
        <f>'[26]Feb midyear adj_LA virtual '!S25+'[24]Oct midyear LA Virtual Admy'!R23</f>
        <v>971.1</v>
      </c>
      <c r="T23" s="874">
        <f t="shared" si="26"/>
        <v>13542.699999999999</v>
      </c>
      <c r="U23" s="874">
        <f t="shared" si="27"/>
        <v>1129</v>
      </c>
      <c r="V23" s="858">
        <f t="shared" si="28"/>
        <v>48441.847952077442</v>
      </c>
      <c r="W23" s="858">
        <f t="shared" si="29"/>
        <v>4037</v>
      </c>
    </row>
    <row r="24" spans="1:23" s="558" customFormat="1" ht="17.25" customHeight="1">
      <c r="A24" s="101">
        <v>21</v>
      </c>
      <c r="B24" s="815" t="s">
        <v>115</v>
      </c>
      <c r="C24" s="835">
        <f>'[2]ALL-Reformatted'!R26</f>
        <v>3</v>
      </c>
      <c r="D24" s="836">
        <f>'Table 3 Levels 1&amp;2'!BN29*90%+'Table 3 Levels 1&amp;2'!BV29*90%</f>
        <v>5093.8406829587511</v>
      </c>
      <c r="E24" s="836">
        <f t="shared" si="16"/>
        <v>15281.522048876253</v>
      </c>
      <c r="F24" s="837">
        <f>'Table 4 Level 3'!N26*90%</f>
        <v>549.31500000000005</v>
      </c>
      <c r="G24" s="837">
        <f t="shared" si="17"/>
        <v>1647.9450000000002</v>
      </c>
      <c r="H24" s="837">
        <f t="shared" si="18"/>
        <v>16929.467048876253</v>
      </c>
      <c r="I24" s="837">
        <f>(('Table 3 Levels 1&amp;2'!BN29+'Table 3 Levels 1&amp;2'!BV29-D24)+('Table 4 Level 3'!N26-F24))*C24</f>
        <v>1881.0518943195816</v>
      </c>
      <c r="J24" s="837">
        <f t="shared" si="19"/>
        <v>-42</v>
      </c>
      <c r="K24" s="838">
        <f t="shared" si="20"/>
        <v>16887.467048876253</v>
      </c>
      <c r="L24" s="838">
        <f>'[24]Oct midyear LA Virtual Admy'!M24+'[25]LAVCA Adjusted amounts '!X24+'[26]Feb midyear adj_LA virtual '!M26</f>
        <v>8409.7656201337013</v>
      </c>
      <c r="M24" s="839">
        <f t="shared" si="21"/>
        <v>25297.232669009954</v>
      </c>
      <c r="N24" s="839">
        <f t="shared" si="22"/>
        <v>2108</v>
      </c>
      <c r="O24" s="840">
        <f>'[18]FY2012-13 Final'!K28*90%</f>
        <v>2009.7</v>
      </c>
      <c r="P24" s="841">
        <f t="shared" si="23"/>
        <v>6029.1</v>
      </c>
      <c r="Q24" s="841">
        <f t="shared" si="24"/>
        <v>-15</v>
      </c>
      <c r="R24" s="841">
        <f t="shared" si="25"/>
        <v>6014.1</v>
      </c>
      <c r="S24" s="840">
        <f>'[26]Feb midyear adj_LA virtual '!S26+'[24]Oct midyear LA Virtual Admy'!R24</f>
        <v>2789.1000000000004</v>
      </c>
      <c r="T24" s="872">
        <f t="shared" si="26"/>
        <v>8803.2000000000007</v>
      </c>
      <c r="U24" s="872">
        <f t="shared" si="27"/>
        <v>734</v>
      </c>
      <c r="V24" s="842">
        <f t="shared" si="28"/>
        <v>34100.432669009955</v>
      </c>
      <c r="W24" s="842">
        <f t="shared" si="29"/>
        <v>2842</v>
      </c>
    </row>
    <row r="25" spans="1:23" s="558" customFormat="1" ht="17.25" customHeight="1">
      <c r="A25" s="101">
        <v>22</v>
      </c>
      <c r="B25" s="815" t="s">
        <v>116</v>
      </c>
      <c r="C25" s="843">
        <f>'[2]ALL-Reformatted'!R27</f>
        <v>2</v>
      </c>
      <c r="D25" s="844">
        <f>'Table 3 Levels 1&amp;2'!BN30*90%+'Table 3 Levels 1&amp;2'!BV30*90%</f>
        <v>5572.0797866062476</v>
      </c>
      <c r="E25" s="844">
        <f t="shared" si="16"/>
        <v>11144.159573212495</v>
      </c>
      <c r="F25" s="845">
        <f>'Table 4 Level 3'!N27*90%</f>
        <v>446.72400000000005</v>
      </c>
      <c r="G25" s="845">
        <f t="shared" si="17"/>
        <v>893.44800000000009</v>
      </c>
      <c r="H25" s="845">
        <f t="shared" si="18"/>
        <v>12037.607573212495</v>
      </c>
      <c r="I25" s="845">
        <f>(('Table 3 Levels 1&amp;2'!BN30+'Table 3 Levels 1&amp;2'!BV30-D25)+('Table 4 Level 3'!N27-F25))*C25</f>
        <v>1337.5119525791661</v>
      </c>
      <c r="J25" s="845">
        <f t="shared" si="19"/>
        <v>-30</v>
      </c>
      <c r="K25" s="846">
        <f t="shared" si="20"/>
        <v>12007.607573212495</v>
      </c>
      <c r="L25" s="846">
        <f>'[24]Oct midyear LA Virtual Admy'!M25+'[25]LAVCA Adjusted amounts '!X25+'[26]Feb midyear adj_LA virtual '!M27</f>
        <v>0</v>
      </c>
      <c r="M25" s="847">
        <f t="shared" si="21"/>
        <v>12007.607573212495</v>
      </c>
      <c r="N25" s="847">
        <f t="shared" si="22"/>
        <v>1001</v>
      </c>
      <c r="O25" s="848">
        <f>'[18]FY2012-13 Final'!K29*90%</f>
        <v>1269</v>
      </c>
      <c r="P25" s="849">
        <f t="shared" si="23"/>
        <v>2538</v>
      </c>
      <c r="Q25" s="849">
        <f t="shared" si="24"/>
        <v>-6</v>
      </c>
      <c r="R25" s="849">
        <f t="shared" si="25"/>
        <v>2532</v>
      </c>
      <c r="S25" s="848">
        <f>'[26]Feb midyear adj_LA virtual '!S27+'[24]Oct midyear LA Virtual Admy'!R25</f>
        <v>0</v>
      </c>
      <c r="T25" s="873">
        <f t="shared" si="26"/>
        <v>2532</v>
      </c>
      <c r="U25" s="873">
        <f t="shared" si="27"/>
        <v>211</v>
      </c>
      <c r="V25" s="850">
        <f t="shared" si="28"/>
        <v>14539.607573212495</v>
      </c>
      <c r="W25" s="850">
        <f t="shared" si="29"/>
        <v>1212</v>
      </c>
    </row>
    <row r="26" spans="1:23" s="558" customFormat="1" ht="17.25" customHeight="1">
      <c r="A26" s="101">
        <v>23</v>
      </c>
      <c r="B26" s="815" t="s">
        <v>117</v>
      </c>
      <c r="C26" s="843">
        <f>'[2]ALL-Reformatted'!R28</f>
        <v>12</v>
      </c>
      <c r="D26" s="844">
        <f>'Table 3 Levels 1&amp;2'!BN31*90%+'Table 3 Levels 1&amp;2'!BV31*90%</f>
        <v>4309.459291948091</v>
      </c>
      <c r="E26" s="844">
        <f t="shared" si="16"/>
        <v>51713.511503377093</v>
      </c>
      <c r="F26" s="845">
        <f>'Table 4 Level 3'!N28*90%</f>
        <v>619.72200000000009</v>
      </c>
      <c r="G26" s="845">
        <f t="shared" si="17"/>
        <v>7436.6640000000007</v>
      </c>
      <c r="H26" s="845">
        <f t="shared" si="18"/>
        <v>59150.17550337709</v>
      </c>
      <c r="I26" s="845">
        <f>(('Table 3 Levels 1&amp;2'!BN31+'Table 3 Levels 1&amp;2'!BV31-D26)+('Table 4 Level 3'!N28-F26))*C26</f>
        <v>6572.2417225974505</v>
      </c>
      <c r="J26" s="845">
        <f t="shared" si="19"/>
        <v>-148</v>
      </c>
      <c r="K26" s="846">
        <f t="shared" si="20"/>
        <v>59002.17550337709</v>
      </c>
      <c r="L26" s="846">
        <f>'[24]Oct midyear LA Virtual Admy'!M26+'[25]LAVCA Adjusted amounts '!X26+'[26]Feb midyear adj_LA virtual '!M28</f>
        <v>4966.1007333311845</v>
      </c>
      <c r="M26" s="847">
        <f t="shared" si="21"/>
        <v>63968.276236708276</v>
      </c>
      <c r="N26" s="847">
        <f t="shared" si="22"/>
        <v>5331</v>
      </c>
      <c r="O26" s="848">
        <f>'[18]FY2012-13 Final'!K30*90%</f>
        <v>2932.2000000000003</v>
      </c>
      <c r="P26" s="849">
        <f t="shared" si="23"/>
        <v>35186.400000000001</v>
      </c>
      <c r="Q26" s="849">
        <f t="shared" si="24"/>
        <v>-88</v>
      </c>
      <c r="R26" s="849">
        <f t="shared" si="25"/>
        <v>35098.400000000001</v>
      </c>
      <c r="S26" s="848">
        <f>'[26]Feb midyear adj_LA virtual '!S28+'[24]Oct midyear LA Virtual Admy'!R26</f>
        <v>2762.1</v>
      </c>
      <c r="T26" s="873">
        <f t="shared" si="26"/>
        <v>37860.5</v>
      </c>
      <c r="U26" s="873">
        <f t="shared" si="27"/>
        <v>3155</v>
      </c>
      <c r="V26" s="850">
        <f t="shared" si="28"/>
        <v>101828.77623670828</v>
      </c>
      <c r="W26" s="850">
        <f t="shared" si="29"/>
        <v>8486</v>
      </c>
    </row>
    <row r="27" spans="1:23" s="558" customFormat="1" ht="17.25" customHeight="1">
      <c r="A27" s="101">
        <v>24</v>
      </c>
      <c r="B27" s="815" t="s">
        <v>118</v>
      </c>
      <c r="C27" s="843">
        <f>'[2]ALL-Reformatted'!R29</f>
        <v>10</v>
      </c>
      <c r="D27" s="844">
        <f>'Table 3 Levels 1&amp;2'!BN32*90%+'Table 3 Levels 1&amp;2'!BV32*90%</f>
        <v>2468.9953582417584</v>
      </c>
      <c r="E27" s="844">
        <f t="shared" si="16"/>
        <v>24689.953582417584</v>
      </c>
      <c r="F27" s="845">
        <f>'Table 4 Level 3'!N29*90%</f>
        <v>768.82499999999993</v>
      </c>
      <c r="G27" s="845">
        <f t="shared" si="17"/>
        <v>7688.2499999999991</v>
      </c>
      <c r="H27" s="845">
        <f t="shared" si="18"/>
        <v>32378.203582417584</v>
      </c>
      <c r="I27" s="845">
        <f>(('Table 3 Levels 1&amp;2'!BN32+'Table 3 Levels 1&amp;2'!BV32-D27)+('Table 4 Level 3'!N29-F27))*C27</f>
        <v>3597.578175824176</v>
      </c>
      <c r="J27" s="845">
        <f t="shared" si="19"/>
        <v>-81</v>
      </c>
      <c r="K27" s="846">
        <f t="shared" si="20"/>
        <v>32297.203582417584</v>
      </c>
      <c r="L27" s="846">
        <f>'[24]Oct midyear LA Virtual Admy'!M27+'[25]LAVCA Adjusted amounts '!X27+'[26]Feb midyear adj_LA virtual '!M29</f>
        <v>-4542.4224412061258</v>
      </c>
      <c r="M27" s="847">
        <f t="shared" si="21"/>
        <v>27754.781141211457</v>
      </c>
      <c r="N27" s="847">
        <f t="shared" si="22"/>
        <v>2313</v>
      </c>
      <c r="O27" s="848">
        <f>'[18]FY2012-13 Final'!K31*90%</f>
        <v>8352</v>
      </c>
      <c r="P27" s="849">
        <f t="shared" si="23"/>
        <v>83520</v>
      </c>
      <c r="Q27" s="849">
        <f t="shared" si="24"/>
        <v>-209</v>
      </c>
      <c r="R27" s="849">
        <f t="shared" si="25"/>
        <v>83311</v>
      </c>
      <c r="S27" s="848">
        <f>'[26]Feb midyear adj_LA virtual '!S29+'[24]Oct midyear LA Virtual Admy'!R27</f>
        <v>-3310.0999999999985</v>
      </c>
      <c r="T27" s="873">
        <f t="shared" si="26"/>
        <v>80000.899999999994</v>
      </c>
      <c r="U27" s="873">
        <f t="shared" si="27"/>
        <v>6667</v>
      </c>
      <c r="V27" s="850">
        <f t="shared" si="28"/>
        <v>107755.68114121145</v>
      </c>
      <c r="W27" s="850">
        <f t="shared" si="29"/>
        <v>8980</v>
      </c>
    </row>
    <row r="28" spans="1:23" s="558" customFormat="1" ht="17.25" customHeight="1">
      <c r="A28" s="102">
        <v>25</v>
      </c>
      <c r="B28" s="816" t="s">
        <v>119</v>
      </c>
      <c r="C28" s="851">
        <f>'[2]ALL-Reformatted'!R30</f>
        <v>4</v>
      </c>
      <c r="D28" s="852">
        <f>'Table 3 Levels 1&amp;2'!BN33*90%+'Table 3 Levels 1&amp;2'!BV33*90%</f>
        <v>3419.4501246102459</v>
      </c>
      <c r="E28" s="852">
        <f t="shared" si="16"/>
        <v>13677.800498440984</v>
      </c>
      <c r="F28" s="853">
        <f>'Table 4 Level 3'!N30*90%</f>
        <v>588.35700000000008</v>
      </c>
      <c r="G28" s="853">
        <f t="shared" si="17"/>
        <v>2353.4280000000003</v>
      </c>
      <c r="H28" s="853">
        <f t="shared" si="18"/>
        <v>16031.228498440983</v>
      </c>
      <c r="I28" s="853">
        <f>(('Table 3 Levels 1&amp;2'!BN33+'Table 3 Levels 1&amp;2'!BV33-D28)+('Table 4 Level 3'!N30-F28))*C28</f>
        <v>1781.2476109378872</v>
      </c>
      <c r="J28" s="853">
        <f t="shared" si="19"/>
        <v>-40</v>
      </c>
      <c r="K28" s="854">
        <f t="shared" si="20"/>
        <v>15991.228498440983</v>
      </c>
      <c r="L28" s="854">
        <f>'[24]Oct midyear LA Virtual Admy'!M28+'[25]LAVCA Adjusted amounts '!X28+'[26]Feb midyear adj_LA virtual '!M30</f>
        <v>-1944.4689813277946</v>
      </c>
      <c r="M28" s="855">
        <f t="shared" si="21"/>
        <v>14046.759517113189</v>
      </c>
      <c r="N28" s="855">
        <f t="shared" si="22"/>
        <v>1171</v>
      </c>
      <c r="O28" s="856">
        <f>'[18]FY2012-13 Final'!K32*90%</f>
        <v>4815.9000000000005</v>
      </c>
      <c r="P28" s="857">
        <f t="shared" si="23"/>
        <v>19263.600000000002</v>
      </c>
      <c r="Q28" s="857">
        <f t="shared" si="24"/>
        <v>-48</v>
      </c>
      <c r="R28" s="857">
        <f t="shared" si="25"/>
        <v>19215.600000000002</v>
      </c>
      <c r="S28" s="856">
        <f>'[26]Feb midyear adj_LA virtual '!S30+'[24]Oct midyear LA Virtual Admy'!R28</f>
        <v>-2265.75</v>
      </c>
      <c r="T28" s="874">
        <f t="shared" si="26"/>
        <v>16949.850000000002</v>
      </c>
      <c r="U28" s="874">
        <f t="shared" si="27"/>
        <v>1412</v>
      </c>
      <c r="V28" s="858">
        <f t="shared" si="28"/>
        <v>30996.609517113189</v>
      </c>
      <c r="W28" s="858">
        <f t="shared" si="29"/>
        <v>2583</v>
      </c>
    </row>
    <row r="29" spans="1:23" s="558" customFormat="1" ht="17.25" customHeight="1">
      <c r="A29" s="101">
        <v>26</v>
      </c>
      <c r="B29" s="815" t="s">
        <v>120</v>
      </c>
      <c r="C29" s="835">
        <f>'[2]ALL-Reformatted'!R31</f>
        <v>96</v>
      </c>
      <c r="D29" s="836">
        <f>'Table 3 Levels 1&amp;2'!BN34*90%+'Table 3 Levels 1&amp;2'!BV34*90%</f>
        <v>2988.7057890740475</v>
      </c>
      <c r="E29" s="836">
        <f t="shared" si="16"/>
        <v>286915.75575110858</v>
      </c>
      <c r="F29" s="837">
        <f>'Table 4 Level 3'!N31*90%</f>
        <v>753.14700000000005</v>
      </c>
      <c r="G29" s="837">
        <f t="shared" si="17"/>
        <v>72302.112000000008</v>
      </c>
      <c r="H29" s="837">
        <f t="shared" si="18"/>
        <v>359217.8677511086</v>
      </c>
      <c r="I29" s="837">
        <f>(('Table 3 Levels 1&amp;2'!BN34+'Table 3 Levels 1&amp;2'!BV34-D29)+('Table 4 Level 3'!N31-F29))*C29</f>
        <v>39913.096416789791</v>
      </c>
      <c r="J29" s="837">
        <f t="shared" si="19"/>
        <v>-898</v>
      </c>
      <c r="K29" s="838">
        <f t="shared" si="20"/>
        <v>358319.8677511086</v>
      </c>
      <c r="L29" s="838">
        <f>'[24]Oct midyear LA Virtual Admy'!M29+'[25]LAVCA Adjusted amounts '!X29+'[26]Feb midyear adj_LA virtual '!M31</f>
        <v>18738.698389652349</v>
      </c>
      <c r="M29" s="839">
        <f t="shared" si="21"/>
        <v>377058.56614076096</v>
      </c>
      <c r="N29" s="839">
        <f t="shared" si="22"/>
        <v>31422</v>
      </c>
      <c r="O29" s="840">
        <f>'[18]FY2012-13 Final'!K33*90%</f>
        <v>4590</v>
      </c>
      <c r="P29" s="841">
        <f t="shared" si="23"/>
        <v>440640</v>
      </c>
      <c r="Q29" s="841">
        <f t="shared" si="24"/>
        <v>-1102</v>
      </c>
      <c r="R29" s="841">
        <f t="shared" si="25"/>
        <v>439538</v>
      </c>
      <c r="S29" s="840">
        <f>'[26]Feb midyear adj_LA virtual '!S31+'[24]Oct midyear LA Virtual Admy'!R29</f>
        <v>33493.199999999997</v>
      </c>
      <c r="T29" s="872">
        <f t="shared" si="26"/>
        <v>473031.2</v>
      </c>
      <c r="U29" s="872">
        <f t="shared" si="27"/>
        <v>39419</v>
      </c>
      <c r="V29" s="842">
        <f t="shared" si="28"/>
        <v>850089.76614076097</v>
      </c>
      <c r="W29" s="842">
        <f t="shared" si="29"/>
        <v>70841</v>
      </c>
    </row>
    <row r="30" spans="1:23" s="558" customFormat="1" ht="17.25" customHeight="1">
      <c r="A30" s="101">
        <v>27</v>
      </c>
      <c r="B30" s="815" t="s">
        <v>121</v>
      </c>
      <c r="C30" s="843">
        <f>'[2]ALL-Reformatted'!R32</f>
        <v>3</v>
      </c>
      <c r="D30" s="844">
        <f>'Table 3 Levels 1&amp;2'!BN35*90%+'Table 3 Levels 1&amp;2'!BV35*90%</f>
        <v>5072.9327512175523</v>
      </c>
      <c r="E30" s="844">
        <f t="shared" si="16"/>
        <v>15218.798253652658</v>
      </c>
      <c r="F30" s="845">
        <f>'Table 4 Level 3'!N32*90%</f>
        <v>623.75400000000002</v>
      </c>
      <c r="G30" s="845">
        <f t="shared" si="17"/>
        <v>1871.2620000000002</v>
      </c>
      <c r="H30" s="845">
        <f t="shared" si="18"/>
        <v>17090.060253652657</v>
      </c>
      <c r="I30" s="845">
        <f>(('Table 3 Levels 1&amp;2'!BN35+'Table 3 Levels 1&amp;2'!BV35-D30)+('Table 4 Level 3'!N32-F30))*C30</f>
        <v>1898.8955837391841</v>
      </c>
      <c r="J30" s="845">
        <f t="shared" si="19"/>
        <v>-43</v>
      </c>
      <c r="K30" s="846">
        <f t="shared" si="20"/>
        <v>17047.060253652657</v>
      </c>
      <c r="L30" s="846">
        <f>'[24]Oct midyear LA Virtual Admy'!M30+'[25]LAVCA Adjusted amounts '!X30+'[26]Feb midyear adj_LA virtual '!M32</f>
        <v>14418.13922577246</v>
      </c>
      <c r="M30" s="847">
        <f t="shared" si="21"/>
        <v>31465.199479425115</v>
      </c>
      <c r="N30" s="847">
        <f t="shared" si="22"/>
        <v>2622</v>
      </c>
      <c r="O30" s="848">
        <f>'[18]FY2012-13 Final'!K34*90%</f>
        <v>2781.9</v>
      </c>
      <c r="P30" s="849">
        <f t="shared" si="23"/>
        <v>8345.7000000000007</v>
      </c>
      <c r="Q30" s="849">
        <f t="shared" si="24"/>
        <v>-21</v>
      </c>
      <c r="R30" s="849">
        <f t="shared" si="25"/>
        <v>8324.7000000000007</v>
      </c>
      <c r="S30" s="848">
        <f>'[26]Feb midyear adj_LA virtual '!S32+'[24]Oct midyear LA Virtual Admy'!R30</f>
        <v>6644.2500000000009</v>
      </c>
      <c r="T30" s="873">
        <f t="shared" si="26"/>
        <v>14968.95</v>
      </c>
      <c r="U30" s="873">
        <f t="shared" si="27"/>
        <v>1247</v>
      </c>
      <c r="V30" s="850">
        <f t="shared" si="28"/>
        <v>46434.149479425119</v>
      </c>
      <c r="W30" s="850">
        <f t="shared" si="29"/>
        <v>3869</v>
      </c>
    </row>
    <row r="31" spans="1:23" s="558" customFormat="1" ht="17.25" customHeight="1">
      <c r="A31" s="101">
        <v>28</v>
      </c>
      <c r="B31" s="815" t="s">
        <v>122</v>
      </c>
      <c r="C31" s="843">
        <f>'[2]ALL-Reformatted'!R33</f>
        <v>39</v>
      </c>
      <c r="D31" s="844">
        <f>'Table 3 Levels 1&amp;2'!BN36*90%+'Table 3 Levels 1&amp;2'!BV36*90%</f>
        <v>2796.1250870258073</v>
      </c>
      <c r="E31" s="844">
        <f t="shared" si="16"/>
        <v>109048.87839400649</v>
      </c>
      <c r="F31" s="845">
        <f>'Table 4 Level 3'!N33*90%</f>
        <v>624.96</v>
      </c>
      <c r="G31" s="845">
        <f t="shared" si="17"/>
        <v>24373.440000000002</v>
      </c>
      <c r="H31" s="845">
        <f t="shared" si="18"/>
        <v>133422.31839400649</v>
      </c>
      <c r="I31" s="845">
        <f>(('Table 3 Levels 1&amp;2'!BN36+'Table 3 Levels 1&amp;2'!BV36-D31)+('Table 4 Level 3'!N33-F31))*C31</f>
        <v>14824.702043778492</v>
      </c>
      <c r="J31" s="845">
        <f t="shared" si="19"/>
        <v>-334</v>
      </c>
      <c r="K31" s="846">
        <f t="shared" si="20"/>
        <v>133088.31839400649</v>
      </c>
      <c r="L31" s="846">
        <f>'[24]Oct midyear LA Virtual Admy'!M31+'[25]LAVCA Adjusted amounts '!X31+'[26]Feb midyear adj_LA virtual '!M33</f>
        <v>1667.2851435915309</v>
      </c>
      <c r="M31" s="847">
        <f t="shared" si="21"/>
        <v>134755.60353759801</v>
      </c>
      <c r="N31" s="847">
        <f t="shared" si="22"/>
        <v>11230</v>
      </c>
      <c r="O31" s="848">
        <f>'[18]FY2012-13 Final'!K35*90%</f>
        <v>4790.7</v>
      </c>
      <c r="P31" s="849">
        <f t="shared" si="23"/>
        <v>186837.3</v>
      </c>
      <c r="Q31" s="849">
        <f t="shared" si="24"/>
        <v>-467</v>
      </c>
      <c r="R31" s="849">
        <f t="shared" si="25"/>
        <v>186370.3</v>
      </c>
      <c r="S31" s="848">
        <f>'[26]Feb midyear adj_LA virtual '!S33+'[24]Oct midyear LA Virtual Admy'!R31</f>
        <v>7588.3</v>
      </c>
      <c r="T31" s="873">
        <f t="shared" si="26"/>
        <v>193958.59999999998</v>
      </c>
      <c r="U31" s="873">
        <f t="shared" si="27"/>
        <v>16163</v>
      </c>
      <c r="V31" s="850">
        <f t="shared" si="28"/>
        <v>328714.20353759802</v>
      </c>
      <c r="W31" s="850">
        <f t="shared" si="29"/>
        <v>27393</v>
      </c>
    </row>
    <row r="32" spans="1:23" s="558" customFormat="1" ht="17.25" customHeight="1">
      <c r="A32" s="101">
        <v>29</v>
      </c>
      <c r="B32" s="815" t="s">
        <v>123</v>
      </c>
      <c r="C32" s="843">
        <f>'[2]ALL-Reformatted'!R34</f>
        <v>12</v>
      </c>
      <c r="D32" s="844">
        <f>'Table 3 Levels 1&amp;2'!BN37*90%+'Table 3 Levels 1&amp;2'!BV37*90%</f>
        <v>3520.9662278510086</v>
      </c>
      <c r="E32" s="844">
        <f t="shared" si="16"/>
        <v>42251.594734212107</v>
      </c>
      <c r="F32" s="845">
        <f>'Table 4 Level 3'!N34*90%</f>
        <v>679.45499999999993</v>
      </c>
      <c r="G32" s="845">
        <f t="shared" si="17"/>
        <v>8153.4599999999991</v>
      </c>
      <c r="H32" s="845">
        <f t="shared" si="18"/>
        <v>50405.054734212106</v>
      </c>
      <c r="I32" s="845">
        <f>(('Table 3 Levels 1&amp;2'!BN37+'Table 3 Levels 1&amp;2'!BV37-D32)+('Table 4 Level 3'!N34-F32))*C32</f>
        <v>5600.561637134675</v>
      </c>
      <c r="J32" s="845">
        <f t="shared" si="19"/>
        <v>-126</v>
      </c>
      <c r="K32" s="846">
        <f t="shared" si="20"/>
        <v>50279.054734212106</v>
      </c>
      <c r="L32" s="846">
        <f>'[24]Oct midyear LA Virtual Admy'!M32+'[25]LAVCA Adjusted amounts '!X32+'[26]Feb midyear adj_LA virtual '!M34</f>
        <v>415.60399400770666</v>
      </c>
      <c r="M32" s="847">
        <f t="shared" si="21"/>
        <v>50694.658728219816</v>
      </c>
      <c r="N32" s="847">
        <f t="shared" si="22"/>
        <v>4225</v>
      </c>
      <c r="O32" s="848">
        <f>'[18]FY2012-13 Final'!K36*90%</f>
        <v>3949.2000000000003</v>
      </c>
      <c r="P32" s="849">
        <f t="shared" si="23"/>
        <v>47390.400000000001</v>
      </c>
      <c r="Q32" s="849">
        <f t="shared" si="24"/>
        <v>-118</v>
      </c>
      <c r="R32" s="849">
        <f t="shared" si="25"/>
        <v>47272.4</v>
      </c>
      <c r="S32" s="848">
        <f>'[26]Feb midyear adj_LA virtual '!S34+'[24]Oct midyear LA Virtual Admy'!R32</f>
        <v>4388</v>
      </c>
      <c r="T32" s="873">
        <f t="shared" si="26"/>
        <v>51660.4</v>
      </c>
      <c r="U32" s="873">
        <f t="shared" si="27"/>
        <v>4305</v>
      </c>
      <c r="V32" s="850">
        <f t="shared" si="28"/>
        <v>102355.05872821982</v>
      </c>
      <c r="W32" s="850">
        <f t="shared" si="29"/>
        <v>8530</v>
      </c>
    </row>
    <row r="33" spans="1:23" s="558" customFormat="1" ht="17.25" customHeight="1">
      <c r="A33" s="102">
        <v>30</v>
      </c>
      <c r="B33" s="816" t="s">
        <v>124</v>
      </c>
      <c r="C33" s="851">
        <f>'[2]ALL-Reformatted'!R35</f>
        <v>4</v>
      </c>
      <c r="D33" s="852">
        <f>'Table 3 Levels 1&amp;2'!BN38*90%+'Table 3 Levels 1&amp;2'!BV38*90%</f>
        <v>5034.6082476550355</v>
      </c>
      <c r="E33" s="852">
        <f t="shared" si="16"/>
        <v>20138.432990620142</v>
      </c>
      <c r="F33" s="853">
        <f>'Table 4 Level 3'!N35*90%</f>
        <v>654.45299999999997</v>
      </c>
      <c r="G33" s="853">
        <f t="shared" si="17"/>
        <v>2617.8119999999999</v>
      </c>
      <c r="H33" s="853">
        <f t="shared" si="18"/>
        <v>22756.244990620144</v>
      </c>
      <c r="I33" s="853">
        <f>(('Table 3 Levels 1&amp;2'!BN38+'Table 3 Levels 1&amp;2'!BV38-D33)+('Table 4 Level 3'!N35-F33))*C33</f>
        <v>2528.4716656244614</v>
      </c>
      <c r="J33" s="853">
        <f t="shared" si="19"/>
        <v>-57</v>
      </c>
      <c r="K33" s="854">
        <f t="shared" si="20"/>
        <v>22699.244990620144</v>
      </c>
      <c r="L33" s="854">
        <f>'[24]Oct midyear LA Virtual Admy'!M33+'[25]LAVCA Adjusted amounts '!X33+'[26]Feb midyear adj_LA virtual '!M35</f>
        <v>0</v>
      </c>
      <c r="M33" s="855">
        <f t="shared" si="21"/>
        <v>22699.244990620144</v>
      </c>
      <c r="N33" s="855">
        <f t="shared" si="22"/>
        <v>1892</v>
      </c>
      <c r="O33" s="856">
        <f>'[18]FY2012-13 Final'!K37*90%</f>
        <v>3331.8</v>
      </c>
      <c r="P33" s="857">
        <f t="shared" si="23"/>
        <v>13327.2</v>
      </c>
      <c r="Q33" s="857">
        <f t="shared" si="24"/>
        <v>-33</v>
      </c>
      <c r="R33" s="857">
        <f t="shared" si="25"/>
        <v>13294.2</v>
      </c>
      <c r="S33" s="856">
        <f>'[26]Feb midyear adj_LA virtual '!S35+'[24]Oct midyear LA Virtual Admy'!R33</f>
        <v>0</v>
      </c>
      <c r="T33" s="874">
        <f t="shared" si="26"/>
        <v>13294.2</v>
      </c>
      <c r="U33" s="874">
        <f t="shared" si="27"/>
        <v>1108</v>
      </c>
      <c r="V33" s="858">
        <f t="shared" si="28"/>
        <v>35993.444990620148</v>
      </c>
      <c r="W33" s="858">
        <f t="shared" si="29"/>
        <v>3000</v>
      </c>
    </row>
    <row r="34" spans="1:23" s="558" customFormat="1" ht="17.25" customHeight="1">
      <c r="A34" s="101">
        <v>31</v>
      </c>
      <c r="B34" s="815" t="s">
        <v>125</v>
      </c>
      <c r="C34" s="835">
        <f>'[2]ALL-Reformatted'!R36</f>
        <v>2</v>
      </c>
      <c r="D34" s="836">
        <f>'Table 3 Levels 1&amp;2'!BN39*90%+'Table 3 Levels 1&amp;2'!BV39*90%</f>
        <v>3888.102770020781</v>
      </c>
      <c r="E34" s="836">
        <f t="shared" si="16"/>
        <v>7776.205540041562</v>
      </c>
      <c r="F34" s="837">
        <f>'Table 4 Level 3'!N36*90%</f>
        <v>558.74700000000007</v>
      </c>
      <c r="G34" s="837">
        <f t="shared" si="17"/>
        <v>1117.4940000000001</v>
      </c>
      <c r="H34" s="837">
        <f t="shared" si="18"/>
        <v>8893.6995400415617</v>
      </c>
      <c r="I34" s="837">
        <f>(('Table 3 Levels 1&amp;2'!BN39+'Table 3 Levels 1&amp;2'!BV39-D34)+('Table 4 Level 3'!N36-F34))*C34</f>
        <v>988.18883778239592</v>
      </c>
      <c r="J34" s="837">
        <f t="shared" si="19"/>
        <v>-22</v>
      </c>
      <c r="K34" s="838">
        <f t="shared" si="20"/>
        <v>8871.6995400415617</v>
      </c>
      <c r="L34" s="838">
        <f>'[24]Oct midyear LA Virtual Admy'!M34+'[25]LAVCA Adjusted amounts '!X34+'[26]Feb midyear adj_LA virtual '!M36</f>
        <v>-6552.5138358897311</v>
      </c>
      <c r="M34" s="839">
        <f t="shared" si="21"/>
        <v>2319.1857041518306</v>
      </c>
      <c r="N34" s="839">
        <f t="shared" si="22"/>
        <v>193</v>
      </c>
      <c r="O34" s="840">
        <f>'[18]FY2012-13 Final'!K38*90%</f>
        <v>4202.1000000000004</v>
      </c>
      <c r="P34" s="841">
        <f t="shared" si="23"/>
        <v>8404.2000000000007</v>
      </c>
      <c r="Q34" s="841">
        <f t="shared" si="24"/>
        <v>-21</v>
      </c>
      <c r="R34" s="841">
        <f t="shared" si="25"/>
        <v>8383.2000000000007</v>
      </c>
      <c r="S34" s="840">
        <f>'[26]Feb midyear adj_LA virtual '!S36+'[24]Oct midyear LA Virtual Admy'!R34</f>
        <v>-6313.9500000000007</v>
      </c>
      <c r="T34" s="872">
        <f t="shared" si="26"/>
        <v>2069.25</v>
      </c>
      <c r="U34" s="872">
        <f t="shared" si="27"/>
        <v>172</v>
      </c>
      <c r="V34" s="842">
        <f t="shared" si="28"/>
        <v>4388.4357041518306</v>
      </c>
      <c r="W34" s="842">
        <f t="shared" si="29"/>
        <v>365</v>
      </c>
    </row>
    <row r="35" spans="1:23" s="558" customFormat="1" ht="17.25" customHeight="1">
      <c r="A35" s="101">
        <v>32</v>
      </c>
      <c r="B35" s="815" t="s">
        <v>126</v>
      </c>
      <c r="C35" s="843">
        <f>'[2]ALL-Reformatted'!R37</f>
        <v>32</v>
      </c>
      <c r="D35" s="844">
        <f>'Table 3 Levels 1&amp;2'!BN40*90%+'Table 3 Levels 1&amp;2'!BV40*90%</f>
        <v>4954.0031288418313</v>
      </c>
      <c r="E35" s="844">
        <f t="shared" si="16"/>
        <v>158528.1001229386</v>
      </c>
      <c r="F35" s="845">
        <f>'Table 4 Level 3'!N37*90%</f>
        <v>503.79300000000001</v>
      </c>
      <c r="G35" s="845">
        <f t="shared" si="17"/>
        <v>16121.376</v>
      </c>
      <c r="H35" s="845">
        <f t="shared" si="18"/>
        <v>174649.47612293859</v>
      </c>
      <c r="I35" s="845">
        <f>(('Table 3 Levels 1&amp;2'!BN40+'Table 3 Levels 1&amp;2'!BV40-D35)+('Table 4 Level 3'!N37-F35))*C35</f>
        <v>19405.497346993161</v>
      </c>
      <c r="J35" s="845">
        <f t="shared" si="19"/>
        <v>-437</v>
      </c>
      <c r="K35" s="846">
        <f t="shared" si="20"/>
        <v>174212.47612293859</v>
      </c>
      <c r="L35" s="846">
        <f>'[24]Oct midyear LA Virtual Admy'!M35+'[25]LAVCA Adjusted amounts '!X35+'[26]Feb midyear adj_LA virtual '!M37</f>
        <v>8072.8479056944361</v>
      </c>
      <c r="M35" s="847">
        <f t="shared" si="21"/>
        <v>182285.32402863304</v>
      </c>
      <c r="N35" s="847">
        <f t="shared" si="22"/>
        <v>15190</v>
      </c>
      <c r="O35" s="848">
        <f>'[18]FY2012-13 Final'!K39*90%</f>
        <v>1768.5</v>
      </c>
      <c r="P35" s="849">
        <f t="shared" si="23"/>
        <v>56592</v>
      </c>
      <c r="Q35" s="849">
        <f t="shared" si="24"/>
        <v>-141</v>
      </c>
      <c r="R35" s="849">
        <f t="shared" si="25"/>
        <v>56451</v>
      </c>
      <c r="S35" s="848">
        <f>'[26]Feb midyear adj_LA virtual '!S37+'[24]Oct midyear LA Virtual Admy'!R35</f>
        <v>2531.25</v>
      </c>
      <c r="T35" s="873">
        <f t="shared" si="26"/>
        <v>58982.25</v>
      </c>
      <c r="U35" s="873">
        <f t="shared" si="27"/>
        <v>4915</v>
      </c>
      <c r="V35" s="850">
        <f t="shared" si="28"/>
        <v>241267.57402863304</v>
      </c>
      <c r="W35" s="850">
        <f t="shared" si="29"/>
        <v>20105</v>
      </c>
    </row>
    <row r="36" spans="1:23" s="558" customFormat="1" ht="17.25" customHeight="1">
      <c r="A36" s="101">
        <v>33</v>
      </c>
      <c r="B36" s="815" t="s">
        <v>127</v>
      </c>
      <c r="C36" s="843">
        <f>'[2]ALL-Reformatted'!R38</f>
        <v>2</v>
      </c>
      <c r="D36" s="844">
        <f>'Table 3 Levels 1&amp;2'!BN41*90%+'Table 3 Levels 1&amp;2'!BV41*90%</f>
        <v>4789.865452606884</v>
      </c>
      <c r="E36" s="844">
        <f t="shared" si="16"/>
        <v>9579.730905213768</v>
      </c>
      <c r="F36" s="845">
        <f>'Table 4 Level 3'!N38*90%</f>
        <v>589.77900000000011</v>
      </c>
      <c r="G36" s="845">
        <f t="shared" si="17"/>
        <v>1179.5580000000002</v>
      </c>
      <c r="H36" s="845">
        <f t="shared" si="18"/>
        <v>10759.288905213769</v>
      </c>
      <c r="I36" s="845">
        <f>(('Table 3 Levels 1&amp;2'!BN41+'Table 3 Levels 1&amp;2'!BV41-D36)+('Table 4 Level 3'!N38-F36))*C36</f>
        <v>1195.4765450237519</v>
      </c>
      <c r="J36" s="845">
        <f t="shared" si="19"/>
        <v>-27</v>
      </c>
      <c r="K36" s="846">
        <f t="shared" si="20"/>
        <v>10732.288905213769</v>
      </c>
      <c r="L36" s="846">
        <f>'[24]Oct midyear LA Virtual Admy'!M36+'[25]LAVCA Adjusted amounts '!X36+'[26]Feb midyear adj_LA virtual '!M38</f>
        <v>-16753.050167907648</v>
      </c>
      <c r="M36" s="847">
        <f t="shared" si="21"/>
        <v>-6020.761262693879</v>
      </c>
      <c r="N36" s="847">
        <f t="shared" si="22"/>
        <v>-502</v>
      </c>
      <c r="O36" s="848">
        <f>'[18]FY2012-13 Final'!K40*90%</f>
        <v>2493.9</v>
      </c>
      <c r="P36" s="849">
        <f t="shared" si="23"/>
        <v>4987.8</v>
      </c>
      <c r="Q36" s="849">
        <f t="shared" si="24"/>
        <v>-12</v>
      </c>
      <c r="R36" s="849">
        <f t="shared" si="25"/>
        <v>4975.8</v>
      </c>
      <c r="S36" s="848">
        <f>'[26]Feb midyear adj_LA virtual '!S38+'[24]Oct midyear LA Virtual Admy'!R36</f>
        <v>-5450.5</v>
      </c>
      <c r="T36" s="873">
        <f t="shared" si="26"/>
        <v>-474.69999999999982</v>
      </c>
      <c r="U36" s="873">
        <f t="shared" si="27"/>
        <v>-40</v>
      </c>
      <c r="V36" s="850">
        <f t="shared" si="28"/>
        <v>-6495.4612626938788</v>
      </c>
      <c r="W36" s="850">
        <f t="shared" si="29"/>
        <v>-542</v>
      </c>
    </row>
    <row r="37" spans="1:23" s="558" customFormat="1" ht="17.25" customHeight="1">
      <c r="A37" s="101">
        <v>34</v>
      </c>
      <c r="B37" s="815" t="s">
        <v>128</v>
      </c>
      <c r="C37" s="843">
        <f>'[2]ALL-Reformatted'!R39</f>
        <v>15</v>
      </c>
      <c r="D37" s="844">
        <f>'Table 3 Levels 1&amp;2'!BN42*90%+'Table 3 Levels 1&amp;2'!BV42*90%</f>
        <v>5363.156556658475</v>
      </c>
      <c r="E37" s="844">
        <f t="shared" si="16"/>
        <v>80447.348349877124</v>
      </c>
      <c r="F37" s="845">
        <f>'Table 4 Level 3'!N39*90%</f>
        <v>579.69900000000018</v>
      </c>
      <c r="G37" s="845">
        <f t="shared" si="17"/>
        <v>8695.4850000000024</v>
      </c>
      <c r="H37" s="845">
        <f t="shared" si="18"/>
        <v>89142.833349877124</v>
      </c>
      <c r="I37" s="845">
        <f>(('Table 3 Levels 1&amp;2'!BN42+'Table 3 Levels 1&amp;2'!BV42-D37)+('Table 4 Level 3'!N39-F37))*C37</f>
        <v>9904.7592610974589</v>
      </c>
      <c r="J37" s="845">
        <f t="shared" si="19"/>
        <v>-223</v>
      </c>
      <c r="K37" s="846">
        <f t="shared" si="20"/>
        <v>88919.833349877124</v>
      </c>
      <c r="L37" s="846">
        <f>'[24]Oct midyear LA Virtual Admy'!M37+'[25]LAVCA Adjusted amounts '!X37+'[26]Feb midyear adj_LA virtual '!M39</f>
        <v>2884.0040853608243</v>
      </c>
      <c r="M37" s="847">
        <f t="shared" si="21"/>
        <v>91803.837435237947</v>
      </c>
      <c r="N37" s="847">
        <f t="shared" si="22"/>
        <v>7650</v>
      </c>
      <c r="O37" s="848">
        <f>'[18]FY2012-13 Final'!K41*90%</f>
        <v>2482.2000000000003</v>
      </c>
      <c r="P37" s="849">
        <f t="shared" si="23"/>
        <v>37233.000000000007</v>
      </c>
      <c r="Q37" s="849">
        <f t="shared" si="24"/>
        <v>-93</v>
      </c>
      <c r="R37" s="849">
        <f t="shared" si="25"/>
        <v>37140.000000000007</v>
      </c>
      <c r="S37" s="848">
        <f>'[26]Feb midyear adj_LA virtual '!S39+'[24]Oct midyear LA Virtual Admy'!R37</f>
        <v>1216.3500000000001</v>
      </c>
      <c r="T37" s="873">
        <f t="shared" si="26"/>
        <v>38356.350000000006</v>
      </c>
      <c r="U37" s="873">
        <f t="shared" si="27"/>
        <v>3196</v>
      </c>
      <c r="V37" s="850">
        <f t="shared" si="28"/>
        <v>130160.18743523795</v>
      </c>
      <c r="W37" s="850">
        <f t="shared" si="29"/>
        <v>10846</v>
      </c>
    </row>
    <row r="38" spans="1:23" s="558" customFormat="1" ht="17.25" customHeight="1">
      <c r="A38" s="102">
        <v>35</v>
      </c>
      <c r="B38" s="816" t="s">
        <v>129</v>
      </c>
      <c r="C38" s="851">
        <f>'[2]ALL-Reformatted'!R40</f>
        <v>17</v>
      </c>
      <c r="D38" s="852">
        <f>'Table 3 Levels 1&amp;2'!BN43*90%+'Table 3 Levels 1&amp;2'!BV43*90%</f>
        <v>4114.752850341054</v>
      </c>
      <c r="E38" s="852">
        <f t="shared" si="16"/>
        <v>69950.798455797922</v>
      </c>
      <c r="F38" s="853">
        <f>'Table 4 Level 3'!N40*90%</f>
        <v>484.16400000000004</v>
      </c>
      <c r="G38" s="853">
        <f t="shared" si="17"/>
        <v>8230.7880000000005</v>
      </c>
      <c r="H38" s="853">
        <f t="shared" si="18"/>
        <v>78181.586455797922</v>
      </c>
      <c r="I38" s="853">
        <f>(('Table 3 Levels 1&amp;2'!BN43+'Table 3 Levels 1&amp;2'!BV43-D38)+('Table 4 Level 3'!N40-F38))*C38</f>
        <v>8686.8429395330841</v>
      </c>
      <c r="J38" s="853">
        <f t="shared" si="19"/>
        <v>-195</v>
      </c>
      <c r="K38" s="854">
        <f t="shared" si="20"/>
        <v>77986.586455797922</v>
      </c>
      <c r="L38" s="854">
        <f>'[24]Oct midyear LA Virtual Admy'!M38+'[25]LAVCA Adjusted amounts '!X38+'[26]Feb midyear adj_LA virtual '!M40</f>
        <v>7428.4372296301954</v>
      </c>
      <c r="M38" s="855">
        <f t="shared" si="21"/>
        <v>85415.02368542811</v>
      </c>
      <c r="N38" s="855">
        <f t="shared" si="22"/>
        <v>7118</v>
      </c>
      <c r="O38" s="856">
        <f>'[18]FY2012-13 Final'!K42*90%</f>
        <v>3242.7000000000003</v>
      </c>
      <c r="P38" s="857">
        <f t="shared" si="23"/>
        <v>55125.9</v>
      </c>
      <c r="Q38" s="857">
        <f t="shared" si="24"/>
        <v>-138</v>
      </c>
      <c r="R38" s="857">
        <f t="shared" si="25"/>
        <v>54987.9</v>
      </c>
      <c r="S38" s="856">
        <f>'[26]Feb midyear adj_LA virtual '!S40+'[24]Oct midyear LA Virtual Admy'!R38</f>
        <v>4249.8</v>
      </c>
      <c r="T38" s="874">
        <f t="shared" si="26"/>
        <v>59237.700000000004</v>
      </c>
      <c r="U38" s="874">
        <f t="shared" si="27"/>
        <v>4936</v>
      </c>
      <c r="V38" s="858">
        <f t="shared" si="28"/>
        <v>144652.72368542812</v>
      </c>
      <c r="W38" s="858">
        <f t="shared" si="29"/>
        <v>12054</v>
      </c>
    </row>
    <row r="39" spans="1:23" s="558" customFormat="1" ht="17.25" customHeight="1">
      <c r="A39" s="101">
        <v>36</v>
      </c>
      <c r="B39" s="815" t="s">
        <v>130</v>
      </c>
      <c r="C39" s="835">
        <f>'[2]ALL-Reformatted'!R41</f>
        <v>52</v>
      </c>
      <c r="D39" s="836">
        <f>'Table 3 Levels 1&amp;2'!BN44*90%+'Table 3 Levels 1&amp;2'!BV44*90%</f>
        <v>3299.7722411452783</v>
      </c>
      <c r="E39" s="836">
        <f t="shared" si="16"/>
        <v>171588.15653955447</v>
      </c>
      <c r="F39" s="837">
        <f>'Table 5B1_RSD_Orleans'!F78*90%</f>
        <v>671.43020547945218</v>
      </c>
      <c r="G39" s="837">
        <f t="shared" si="17"/>
        <v>34914.370684931513</v>
      </c>
      <c r="H39" s="837">
        <f t="shared" si="18"/>
        <v>206502.527224486</v>
      </c>
      <c r="I39" s="837">
        <f>(('Table 3 Levels 1&amp;2'!BN44+'Table 3 Levels 1&amp;2'!BV44-D39)+('Table 4 Level 3'!N41-F39))*C39</f>
        <v>21967.03246854282</v>
      </c>
      <c r="J39" s="837">
        <f t="shared" si="19"/>
        <v>-516</v>
      </c>
      <c r="K39" s="838">
        <f t="shared" si="20"/>
        <v>205986.527224486</v>
      </c>
      <c r="L39" s="838">
        <f>'[24]Oct midyear LA Virtual Admy'!M39+'[25]LAVCA Adjusted amounts '!X39+'[26]Feb midyear adj_LA virtual '!M41</f>
        <v>-10754.254671158194</v>
      </c>
      <c r="M39" s="839">
        <f t="shared" si="21"/>
        <v>195232.27255332781</v>
      </c>
      <c r="N39" s="839">
        <f t="shared" si="22"/>
        <v>16269</v>
      </c>
      <c r="O39" s="840">
        <f>'[18]FY2012-13 Final'!K43*90%</f>
        <v>4140.9000000000005</v>
      </c>
      <c r="P39" s="841">
        <f t="shared" si="23"/>
        <v>215326.80000000002</v>
      </c>
      <c r="Q39" s="841">
        <f t="shared" si="24"/>
        <v>-538</v>
      </c>
      <c r="R39" s="841">
        <f t="shared" si="25"/>
        <v>214788.80000000002</v>
      </c>
      <c r="S39" s="840">
        <f>'[26]Feb midyear adj_LA virtual '!S41+'[24]Oct midyear LA Virtual Admy'!R39</f>
        <v>-4130.8000000000011</v>
      </c>
      <c r="T39" s="872">
        <f t="shared" si="26"/>
        <v>210658.00000000003</v>
      </c>
      <c r="U39" s="872">
        <f t="shared" si="27"/>
        <v>17555</v>
      </c>
      <c r="V39" s="842">
        <f t="shared" si="28"/>
        <v>405890.27255332784</v>
      </c>
      <c r="W39" s="842">
        <f t="shared" si="29"/>
        <v>33824</v>
      </c>
    </row>
    <row r="40" spans="1:23" s="558" customFormat="1" ht="17.25" customHeight="1">
      <c r="A40" s="101">
        <v>37</v>
      </c>
      <c r="B40" s="815" t="s">
        <v>131</v>
      </c>
      <c r="C40" s="843">
        <f>'[2]ALL-Reformatted'!R42</f>
        <v>37</v>
      </c>
      <c r="D40" s="844">
        <f>'Table 3 Levels 1&amp;2'!BN45*90%+'Table 3 Levels 1&amp;2'!BV45*90%</f>
        <v>4936.3280138036871</v>
      </c>
      <c r="E40" s="844">
        <f t="shared" si="16"/>
        <v>182644.13651073643</v>
      </c>
      <c r="F40" s="845">
        <f>'Table 4 Level 3'!N42*90%</f>
        <v>588.24900000000002</v>
      </c>
      <c r="G40" s="845">
        <f t="shared" si="17"/>
        <v>21765.213</v>
      </c>
      <c r="H40" s="845">
        <f t="shared" si="18"/>
        <v>204409.34951073641</v>
      </c>
      <c r="I40" s="845">
        <f>(('Table 3 Levels 1&amp;2'!BN45+'Table 3 Levels 1&amp;2'!BV45-D40)+('Table 4 Level 3'!N42-F40))*C40</f>
        <v>22712.149945637382</v>
      </c>
      <c r="J40" s="845">
        <f t="shared" si="19"/>
        <v>-511</v>
      </c>
      <c r="K40" s="846">
        <f t="shared" si="20"/>
        <v>203898.34951073641</v>
      </c>
      <c r="L40" s="846">
        <f>'[24]Oct midyear LA Virtual Admy'!M40+'[25]LAVCA Adjusted amounts '!X40+'[26]Feb midyear adj_LA virtual '!M42</f>
        <v>16539.388428773</v>
      </c>
      <c r="M40" s="847">
        <f t="shared" si="21"/>
        <v>220437.73793950942</v>
      </c>
      <c r="N40" s="847">
        <f t="shared" si="22"/>
        <v>18370</v>
      </c>
      <c r="O40" s="848">
        <f>'[18]FY2012-13 Final'!K44*90%</f>
        <v>2789.1</v>
      </c>
      <c r="P40" s="849">
        <f t="shared" si="23"/>
        <v>103196.7</v>
      </c>
      <c r="Q40" s="849">
        <f t="shared" si="24"/>
        <v>-258</v>
      </c>
      <c r="R40" s="849">
        <f t="shared" si="25"/>
        <v>102938.7</v>
      </c>
      <c r="S40" s="848">
        <f>'[26]Feb midyear adj_LA virtual '!S42+'[24]Oct midyear LA Virtual Admy'!R40</f>
        <v>8181</v>
      </c>
      <c r="T40" s="873">
        <f t="shared" si="26"/>
        <v>111119.7</v>
      </c>
      <c r="U40" s="873">
        <f t="shared" si="27"/>
        <v>9260</v>
      </c>
      <c r="V40" s="850">
        <f t="shared" si="28"/>
        <v>331557.4379395094</v>
      </c>
      <c r="W40" s="850">
        <f t="shared" si="29"/>
        <v>27630</v>
      </c>
    </row>
    <row r="41" spans="1:23" s="558" customFormat="1" ht="17.25" customHeight="1">
      <c r="A41" s="101">
        <v>38</v>
      </c>
      <c r="B41" s="815" t="s">
        <v>132</v>
      </c>
      <c r="C41" s="843">
        <f>'[2]ALL-Reformatted'!R43</f>
        <v>2</v>
      </c>
      <c r="D41" s="844">
        <f>'Table 3 Levels 1&amp;2'!BN46*90%+'Table 3 Levels 1&amp;2'!BV46*90%</f>
        <v>1870.7326046755059</v>
      </c>
      <c r="E41" s="844">
        <f t="shared" si="16"/>
        <v>3741.4652093510117</v>
      </c>
      <c r="F41" s="845">
        <f>'Table 4 Level 3'!N43*90%</f>
        <v>746.92800000000011</v>
      </c>
      <c r="G41" s="845">
        <f t="shared" si="17"/>
        <v>1493.8560000000002</v>
      </c>
      <c r="H41" s="845">
        <f t="shared" si="18"/>
        <v>5235.3212093510119</v>
      </c>
      <c r="I41" s="845">
        <f>(('Table 3 Levels 1&amp;2'!BN46+'Table 3 Levels 1&amp;2'!BV46-D41)+('Table 4 Level 3'!N43-F41))*C41</f>
        <v>581.70235659455648</v>
      </c>
      <c r="J41" s="845">
        <f t="shared" si="19"/>
        <v>-13</v>
      </c>
      <c r="K41" s="846">
        <f t="shared" si="20"/>
        <v>5222.3212093510119</v>
      </c>
      <c r="L41" s="846">
        <f>'[24]Oct midyear LA Virtual Admy'!M41+'[25]LAVCA Adjusted amounts '!X41+'[26]Feb midyear adj_LA virtual '!M43</f>
        <v>-1324.455134594672</v>
      </c>
      <c r="M41" s="847">
        <f t="shared" si="21"/>
        <v>3897.8660747563399</v>
      </c>
      <c r="N41" s="847">
        <f t="shared" si="22"/>
        <v>325</v>
      </c>
      <c r="O41" s="848">
        <f>'[18]FY2012-13 Final'!K45*90%</f>
        <v>8706.6</v>
      </c>
      <c r="P41" s="849">
        <f t="shared" si="23"/>
        <v>17413.2</v>
      </c>
      <c r="Q41" s="849">
        <f t="shared" si="24"/>
        <v>-44</v>
      </c>
      <c r="R41" s="849">
        <f t="shared" si="25"/>
        <v>17369.2</v>
      </c>
      <c r="S41" s="848">
        <f>'[26]Feb midyear adj_LA virtual '!S43+'[24]Oct midyear LA Virtual Admy'!R41</f>
        <v>4533.2</v>
      </c>
      <c r="T41" s="873">
        <f t="shared" si="26"/>
        <v>21902.400000000001</v>
      </c>
      <c r="U41" s="873">
        <f t="shared" si="27"/>
        <v>1825</v>
      </c>
      <c r="V41" s="850">
        <f t="shared" si="28"/>
        <v>25800.266074756342</v>
      </c>
      <c r="W41" s="850">
        <f t="shared" si="29"/>
        <v>2150</v>
      </c>
    </row>
    <row r="42" spans="1:23" s="558" customFormat="1" ht="17.25" customHeight="1">
      <c r="A42" s="101">
        <v>39</v>
      </c>
      <c r="B42" s="815" t="s">
        <v>133</v>
      </c>
      <c r="C42" s="843">
        <f>'[2]ALL-Reformatted'!R44</f>
        <v>3</v>
      </c>
      <c r="D42" s="844">
        <f>'Table 3 Levels 1&amp;2'!BN47*90%+'Table 3 Levels 1&amp;2'!BV47*90%</f>
        <v>3260.2391099138104</v>
      </c>
      <c r="E42" s="844">
        <f t="shared" si="16"/>
        <v>9780.7173297414301</v>
      </c>
      <c r="F42" s="845">
        <f>'Table 5B2_RSD_LA'!F21*90%</f>
        <v>701.69015738498797</v>
      </c>
      <c r="G42" s="845">
        <f t="shared" si="17"/>
        <v>2105.0704721549637</v>
      </c>
      <c r="H42" s="845">
        <f t="shared" si="18"/>
        <v>11885.787801896393</v>
      </c>
      <c r="I42" s="845">
        <f>(('Table 3 Levels 1&amp;2'!BN47+'Table 3 Levels 1&amp;2'!BV47-D42)+('Table 4 Level 3'!N44-F42))*C42</f>
        <v>1320.6430890995987</v>
      </c>
      <c r="J42" s="845">
        <f t="shared" si="19"/>
        <v>-30</v>
      </c>
      <c r="K42" s="846">
        <f t="shared" si="20"/>
        <v>11855.787801896393</v>
      </c>
      <c r="L42" s="846">
        <f>'[24]Oct midyear LA Virtual Admy'!M42+'[25]LAVCA Adjusted amounts '!X42+'[26]Feb midyear adj_LA virtual '!M44</f>
        <v>-3130.7900101732334</v>
      </c>
      <c r="M42" s="847">
        <f t="shared" si="21"/>
        <v>8724.997791723159</v>
      </c>
      <c r="N42" s="847">
        <f t="shared" si="22"/>
        <v>727</v>
      </c>
      <c r="O42" s="848">
        <f>'[18]FY2012-13 Final'!K46*90%</f>
        <v>3849.3</v>
      </c>
      <c r="P42" s="849">
        <f t="shared" si="23"/>
        <v>11547.900000000001</v>
      </c>
      <c r="Q42" s="849">
        <f t="shared" si="24"/>
        <v>-29</v>
      </c>
      <c r="R42" s="849">
        <f t="shared" si="25"/>
        <v>11518.900000000001</v>
      </c>
      <c r="S42" s="848">
        <f>'[26]Feb midyear adj_LA virtual '!S44+'[24]Oct midyear LA Virtual Admy'!R42</f>
        <v>696.79999999999973</v>
      </c>
      <c r="T42" s="873">
        <f t="shared" si="26"/>
        <v>12215.7</v>
      </c>
      <c r="U42" s="873">
        <f t="shared" si="27"/>
        <v>1018</v>
      </c>
      <c r="V42" s="850">
        <f t="shared" si="28"/>
        <v>20940.69779172316</v>
      </c>
      <c r="W42" s="850">
        <f t="shared" si="29"/>
        <v>1745</v>
      </c>
    </row>
    <row r="43" spans="1:23" s="558" customFormat="1" ht="17.25" customHeight="1">
      <c r="A43" s="102">
        <v>40</v>
      </c>
      <c r="B43" s="816" t="s">
        <v>134</v>
      </c>
      <c r="C43" s="851">
        <f>'[2]ALL-Reformatted'!R45</f>
        <v>32</v>
      </c>
      <c r="D43" s="852">
        <f>'Table 3 Levels 1&amp;2'!BN48*90%+'Table 3 Levels 1&amp;2'!BV48*90%</f>
        <v>4397.0748608862077</v>
      </c>
      <c r="E43" s="852">
        <f t="shared" si="16"/>
        <v>140706.39554835865</v>
      </c>
      <c r="F43" s="853">
        <f>'Table 4 Level 3'!N45*90%</f>
        <v>630.24300000000005</v>
      </c>
      <c r="G43" s="853">
        <f t="shared" si="17"/>
        <v>20167.776000000002</v>
      </c>
      <c r="H43" s="853">
        <f t="shared" si="18"/>
        <v>160874.17154835866</v>
      </c>
      <c r="I43" s="853">
        <f>(('Table 3 Levels 1&amp;2'!BN48+'Table 3 Levels 1&amp;2'!BV48-D43)+('Table 4 Level 3'!N45-F43))*C43</f>
        <v>17874.907949817629</v>
      </c>
      <c r="J43" s="853">
        <f t="shared" si="19"/>
        <v>-402</v>
      </c>
      <c r="K43" s="854">
        <f t="shared" si="20"/>
        <v>160472.17154835866</v>
      </c>
      <c r="L43" s="854">
        <f>'[24]Oct midyear LA Virtual Admy'!M43+'[25]LAVCA Adjusted amounts '!X43+'[26]Feb midyear adj_LA virtual '!M45</f>
        <v>-24789.73727957164</v>
      </c>
      <c r="M43" s="855">
        <f t="shared" si="21"/>
        <v>135682.43426878701</v>
      </c>
      <c r="N43" s="855">
        <f t="shared" si="22"/>
        <v>11307</v>
      </c>
      <c r="O43" s="856">
        <f>'[18]FY2012-13 Final'!K47*90%</f>
        <v>2628.9</v>
      </c>
      <c r="P43" s="857">
        <f t="shared" si="23"/>
        <v>84124.800000000003</v>
      </c>
      <c r="Q43" s="857">
        <f t="shared" si="24"/>
        <v>-210</v>
      </c>
      <c r="R43" s="857">
        <f t="shared" si="25"/>
        <v>83914.8</v>
      </c>
      <c r="S43" s="856">
        <f>'[26]Feb midyear adj_LA virtual '!S45+'[24]Oct midyear LA Virtual Admy'!R43</f>
        <v>-9805.0000000000018</v>
      </c>
      <c r="T43" s="874">
        <f t="shared" si="26"/>
        <v>74109.8</v>
      </c>
      <c r="U43" s="874">
        <f t="shared" si="27"/>
        <v>6176</v>
      </c>
      <c r="V43" s="858">
        <f t="shared" si="28"/>
        <v>209792.23426878703</v>
      </c>
      <c r="W43" s="858">
        <f t="shared" si="29"/>
        <v>17483</v>
      </c>
    </row>
    <row r="44" spans="1:23" s="558" customFormat="1" ht="17.25" customHeight="1">
      <c r="A44" s="101">
        <v>41</v>
      </c>
      <c r="B44" s="815" t="s">
        <v>135</v>
      </c>
      <c r="C44" s="835">
        <f>'[2]ALL-Reformatted'!R46</f>
        <v>1</v>
      </c>
      <c r="D44" s="836">
        <f>'Table 3 Levels 1&amp;2'!BN49*90%+'Table 3 Levels 1&amp;2'!BV49*90%</f>
        <v>1441.8358309709427</v>
      </c>
      <c r="E44" s="836">
        <f t="shared" si="16"/>
        <v>1441.8358309709427</v>
      </c>
      <c r="F44" s="837">
        <f>'Table 4 Level 3'!N46*90%</f>
        <v>797.59800000000007</v>
      </c>
      <c r="G44" s="837">
        <f t="shared" si="17"/>
        <v>797.59800000000007</v>
      </c>
      <c r="H44" s="837">
        <f t="shared" si="18"/>
        <v>2239.4338309709428</v>
      </c>
      <c r="I44" s="837">
        <f>(('Table 3 Levels 1&amp;2'!BN49+'Table 3 Levels 1&amp;2'!BV49-D44)+('Table 4 Level 3'!N46-F44))*C44</f>
        <v>248.82598121899366</v>
      </c>
      <c r="J44" s="837">
        <f t="shared" si="19"/>
        <v>-6</v>
      </c>
      <c r="K44" s="838">
        <f t="shared" si="20"/>
        <v>2233.4338309709428</v>
      </c>
      <c r="L44" s="838">
        <f>'[24]Oct midyear LA Virtual Admy'!M44+'[25]LAVCA Adjusted amounts '!X44+'[26]Feb midyear adj_LA virtual '!M46</f>
        <v>0</v>
      </c>
      <c r="M44" s="839">
        <f t="shared" si="21"/>
        <v>2233.4338309709428</v>
      </c>
      <c r="N44" s="839">
        <f t="shared" si="22"/>
        <v>186</v>
      </c>
      <c r="O44" s="840">
        <f>'[18]FY2012-13 Final'!K48*90%</f>
        <v>10823.4</v>
      </c>
      <c r="P44" s="841">
        <f t="shared" si="23"/>
        <v>10823.4</v>
      </c>
      <c r="Q44" s="841">
        <f t="shared" si="24"/>
        <v>-27</v>
      </c>
      <c r="R44" s="841">
        <f t="shared" si="25"/>
        <v>10796.4</v>
      </c>
      <c r="S44" s="840">
        <f>'[26]Feb midyear adj_LA virtual '!S46+'[24]Oct midyear LA Virtual Admy'!R44</f>
        <v>0</v>
      </c>
      <c r="T44" s="872">
        <f t="shared" si="26"/>
        <v>10796.4</v>
      </c>
      <c r="U44" s="872">
        <f t="shared" si="27"/>
        <v>900</v>
      </c>
      <c r="V44" s="842">
        <f t="shared" si="28"/>
        <v>13029.833830970943</v>
      </c>
      <c r="W44" s="842">
        <f t="shared" si="29"/>
        <v>1086</v>
      </c>
    </row>
    <row r="45" spans="1:23" s="558" customFormat="1" ht="17.25" customHeight="1">
      <c r="A45" s="101">
        <v>42</v>
      </c>
      <c r="B45" s="815" t="s">
        <v>136</v>
      </c>
      <c r="C45" s="843">
        <f>'[2]ALL-Reformatted'!R47</f>
        <v>7</v>
      </c>
      <c r="D45" s="844">
        <f>'Table 3 Levels 1&amp;2'!BN50*90%+'Table 3 Levels 1&amp;2'!BV50*90%</f>
        <v>4588.7555111764286</v>
      </c>
      <c r="E45" s="844">
        <f t="shared" si="16"/>
        <v>32121.288578234999</v>
      </c>
      <c r="F45" s="845">
        <f>'Table 4 Level 3'!N47*90%</f>
        <v>480.85199999999998</v>
      </c>
      <c r="G45" s="845">
        <f t="shared" si="17"/>
        <v>3365.9639999999999</v>
      </c>
      <c r="H45" s="845">
        <f t="shared" si="18"/>
        <v>35487.252578234999</v>
      </c>
      <c r="I45" s="845">
        <f>(('Table 3 Levels 1&amp;2'!BN50+'Table 3 Levels 1&amp;2'!BV50-D45)+('Table 4 Level 3'!N47-F45))*C45</f>
        <v>3943.0280642483285</v>
      </c>
      <c r="J45" s="845">
        <f t="shared" si="19"/>
        <v>-89</v>
      </c>
      <c r="K45" s="846">
        <f t="shared" si="20"/>
        <v>35398.252578234999</v>
      </c>
      <c r="L45" s="846">
        <f>'[24]Oct midyear LA Virtual Admy'!M45+'[25]LAVCA Adjusted amounts '!X45+'[26]Feb midyear adj_LA virtual '!M47</f>
        <v>0</v>
      </c>
      <c r="M45" s="847">
        <f t="shared" si="21"/>
        <v>35398.252578234999</v>
      </c>
      <c r="N45" s="847">
        <f t="shared" si="22"/>
        <v>2950</v>
      </c>
      <c r="O45" s="848">
        <f>'[18]FY2012-13 Final'!K49*90%</f>
        <v>2298.6</v>
      </c>
      <c r="P45" s="849">
        <f t="shared" si="23"/>
        <v>16090.199999999999</v>
      </c>
      <c r="Q45" s="849">
        <f t="shared" si="24"/>
        <v>-40</v>
      </c>
      <c r="R45" s="849">
        <f t="shared" si="25"/>
        <v>16050.199999999999</v>
      </c>
      <c r="S45" s="848">
        <f>'[26]Feb midyear adj_LA virtual '!S47+'[24]Oct midyear LA Virtual Admy'!R45</f>
        <v>0</v>
      </c>
      <c r="T45" s="873">
        <f t="shared" si="26"/>
        <v>16050.199999999999</v>
      </c>
      <c r="U45" s="873">
        <f t="shared" si="27"/>
        <v>1338</v>
      </c>
      <c r="V45" s="850">
        <f t="shared" si="28"/>
        <v>51448.452578234996</v>
      </c>
      <c r="W45" s="850">
        <f t="shared" si="29"/>
        <v>4288</v>
      </c>
    </row>
    <row r="46" spans="1:23" s="558" customFormat="1" ht="17.25" customHeight="1">
      <c r="A46" s="101">
        <v>43</v>
      </c>
      <c r="B46" s="815" t="s">
        <v>137</v>
      </c>
      <c r="C46" s="843">
        <f>'[2]ALL-Reformatted'!R48</f>
        <v>6</v>
      </c>
      <c r="D46" s="844">
        <f>'Table 3 Levels 1&amp;2'!BN51*90%+'Table 3 Levels 1&amp;2'!BV51*90%</f>
        <v>4231.2026317504196</v>
      </c>
      <c r="E46" s="844">
        <f t="shared" si="16"/>
        <v>25387.215790502516</v>
      </c>
      <c r="F46" s="845">
        <f>'Table 4 Level 3'!N48*90%</f>
        <v>517.14899999999989</v>
      </c>
      <c r="G46" s="845">
        <f t="shared" si="17"/>
        <v>3102.8939999999993</v>
      </c>
      <c r="H46" s="845">
        <f t="shared" si="18"/>
        <v>28490.109790502516</v>
      </c>
      <c r="I46" s="845">
        <f>(('Table 3 Levels 1&amp;2'!BN51+'Table 3 Levels 1&amp;2'!BV51-D46)+('Table 4 Level 3'!N48-F46))*C46</f>
        <v>3165.5677545002823</v>
      </c>
      <c r="J46" s="845">
        <f t="shared" si="19"/>
        <v>-71</v>
      </c>
      <c r="K46" s="846">
        <f t="shared" si="20"/>
        <v>28419.109790502516</v>
      </c>
      <c r="L46" s="846">
        <f>'[24]Oct midyear LA Virtual Admy'!M46+'[25]LAVCA Adjusted amounts '!X46+'[26]Feb midyear adj_LA virtual '!M48</f>
        <v>8825.2094983678362</v>
      </c>
      <c r="M46" s="847">
        <f t="shared" si="21"/>
        <v>37244.319288870349</v>
      </c>
      <c r="N46" s="847">
        <f t="shared" si="22"/>
        <v>3104</v>
      </c>
      <c r="O46" s="848">
        <f>'[18]FY2012-13 Final'!K50*90%</f>
        <v>4738.5</v>
      </c>
      <c r="P46" s="849">
        <f t="shared" si="23"/>
        <v>28431</v>
      </c>
      <c r="Q46" s="849">
        <f t="shared" si="24"/>
        <v>-71</v>
      </c>
      <c r="R46" s="849">
        <f t="shared" si="25"/>
        <v>28360</v>
      </c>
      <c r="S46" s="848">
        <f>'[26]Feb midyear adj_LA virtual '!S48+'[24]Oct midyear LA Virtual Admy'!R46</f>
        <v>7187.4000000000005</v>
      </c>
      <c r="T46" s="873">
        <f t="shared" si="26"/>
        <v>35547.4</v>
      </c>
      <c r="U46" s="873">
        <f t="shared" si="27"/>
        <v>2962</v>
      </c>
      <c r="V46" s="850">
        <f t="shared" si="28"/>
        <v>72791.719288870343</v>
      </c>
      <c r="W46" s="850">
        <f t="shared" si="29"/>
        <v>6066</v>
      </c>
    </row>
    <row r="47" spans="1:23" s="558" customFormat="1" ht="17.25" customHeight="1">
      <c r="A47" s="101">
        <v>44</v>
      </c>
      <c r="B47" s="815" t="s">
        <v>138</v>
      </c>
      <c r="C47" s="843">
        <f>'[2]ALL-Reformatted'!R49</f>
        <v>3</v>
      </c>
      <c r="D47" s="844">
        <f>'Table 3 Levels 1&amp;2'!BN52*90%+'Table 3 Levels 1&amp;2'!BV52*90%</f>
        <v>4184.6003569123859</v>
      </c>
      <c r="E47" s="844">
        <f t="shared" si="16"/>
        <v>12553.801070737158</v>
      </c>
      <c r="F47" s="845">
        <f>'Table 4 Level 3'!N49*90%</f>
        <v>596.84400000000005</v>
      </c>
      <c r="G47" s="845">
        <f t="shared" si="17"/>
        <v>1790.5320000000002</v>
      </c>
      <c r="H47" s="845">
        <f t="shared" si="18"/>
        <v>14344.333070737157</v>
      </c>
      <c r="I47" s="845">
        <f>(('Table 3 Levels 1&amp;2'!BN52+'Table 3 Levels 1&amp;2'!BV52-D47)+('Table 4 Level 3'!N49-F47))*C47</f>
        <v>1593.8147856374596</v>
      </c>
      <c r="J47" s="845">
        <f t="shared" si="19"/>
        <v>-36</v>
      </c>
      <c r="K47" s="846">
        <f t="shared" si="20"/>
        <v>14308.333070737157</v>
      </c>
      <c r="L47" s="846">
        <f>'[24]Oct midyear LA Virtual Admy'!M47+'[25]LAVCA Adjusted amounts '!X47+'[26]Feb midyear adj_LA virtual '!M49</f>
        <v>2259.1815591036734</v>
      </c>
      <c r="M47" s="847">
        <f t="shared" si="21"/>
        <v>16567.514629840829</v>
      </c>
      <c r="N47" s="847">
        <f t="shared" si="22"/>
        <v>1381</v>
      </c>
      <c r="O47" s="848">
        <f>'[18]FY2012-13 Final'!K51*90%</f>
        <v>3698.1</v>
      </c>
      <c r="P47" s="849">
        <f t="shared" si="23"/>
        <v>11094.3</v>
      </c>
      <c r="Q47" s="849">
        <f t="shared" si="24"/>
        <v>-28</v>
      </c>
      <c r="R47" s="849">
        <f t="shared" si="25"/>
        <v>11066.3</v>
      </c>
      <c r="S47" s="848">
        <f>'[26]Feb midyear adj_LA virtual '!S49+'[24]Oct midyear LA Virtual Admy'!R47</f>
        <v>2327.85</v>
      </c>
      <c r="T47" s="873">
        <f t="shared" si="26"/>
        <v>13394.15</v>
      </c>
      <c r="U47" s="873">
        <f t="shared" si="27"/>
        <v>1116</v>
      </c>
      <c r="V47" s="850">
        <f t="shared" si="28"/>
        <v>29961.66462984083</v>
      </c>
      <c r="W47" s="850">
        <f t="shared" si="29"/>
        <v>2497</v>
      </c>
    </row>
    <row r="48" spans="1:23" s="558" customFormat="1" ht="17.25" customHeight="1">
      <c r="A48" s="102">
        <v>45</v>
      </c>
      <c r="B48" s="816" t="s">
        <v>139</v>
      </c>
      <c r="C48" s="851">
        <f>'[2]ALL-Reformatted'!R50</f>
        <v>2</v>
      </c>
      <c r="D48" s="852">
        <f>'Table 3 Levels 1&amp;2'!BN53*90%+'Table 3 Levels 1&amp;2'!BV53*90%</f>
        <v>1943.3320958083834</v>
      </c>
      <c r="E48" s="852">
        <f t="shared" si="16"/>
        <v>3886.6641916167669</v>
      </c>
      <c r="F48" s="853">
        <f>'Table 4 Level 3'!N50*90%</f>
        <v>678.56400000000019</v>
      </c>
      <c r="G48" s="853">
        <f t="shared" si="17"/>
        <v>1357.1280000000004</v>
      </c>
      <c r="H48" s="853">
        <f t="shared" si="18"/>
        <v>5243.792191616767</v>
      </c>
      <c r="I48" s="853">
        <f>(('Table 3 Levels 1&amp;2'!BN53+'Table 3 Levels 1&amp;2'!BV53-D48)+('Table 4 Level 3'!N50-F48))*C48</f>
        <v>582.64357684630704</v>
      </c>
      <c r="J48" s="853">
        <f t="shared" si="19"/>
        <v>-13</v>
      </c>
      <c r="K48" s="854">
        <f t="shared" si="20"/>
        <v>5230.792191616767</v>
      </c>
      <c r="L48" s="854">
        <f>'[24]Oct midyear LA Virtual Admy'!M48+'[25]LAVCA Adjusted amounts '!X48+'[26]Feb midyear adj_LA virtual '!M50</f>
        <v>0</v>
      </c>
      <c r="M48" s="855">
        <f t="shared" si="21"/>
        <v>5230.792191616767</v>
      </c>
      <c r="N48" s="855">
        <f t="shared" si="22"/>
        <v>436</v>
      </c>
      <c r="O48" s="856">
        <f>'[18]FY2012-13 Final'!K52*90%</f>
        <v>11184.300000000001</v>
      </c>
      <c r="P48" s="857">
        <f t="shared" si="23"/>
        <v>22368.600000000002</v>
      </c>
      <c r="Q48" s="857">
        <f t="shared" si="24"/>
        <v>-56</v>
      </c>
      <c r="R48" s="857">
        <f t="shared" si="25"/>
        <v>22312.600000000002</v>
      </c>
      <c r="S48" s="856">
        <f>'[26]Feb midyear adj_LA virtual '!S50+'[24]Oct midyear LA Virtual Admy'!R48</f>
        <v>0</v>
      </c>
      <c r="T48" s="874">
        <f t="shared" si="26"/>
        <v>22312.600000000002</v>
      </c>
      <c r="U48" s="874">
        <f t="shared" si="27"/>
        <v>1859</v>
      </c>
      <c r="V48" s="858">
        <f t="shared" si="28"/>
        <v>27543.392191616767</v>
      </c>
      <c r="W48" s="858">
        <f t="shared" si="29"/>
        <v>2295</v>
      </c>
    </row>
    <row r="49" spans="1:23" s="558" customFormat="1" ht="17.25" customHeight="1">
      <c r="A49" s="101">
        <v>46</v>
      </c>
      <c r="B49" s="815" t="s">
        <v>140</v>
      </c>
      <c r="C49" s="835">
        <f>'[2]ALL-Reformatted'!R51</f>
        <v>9</v>
      </c>
      <c r="D49" s="836">
        <f>'Table 3 Levels 1&amp;2'!BN54*90%+'Table 3 Levels 1&amp;2'!BV54*90%</f>
        <v>5020.8532321597777</v>
      </c>
      <c r="E49" s="836">
        <f t="shared" si="16"/>
        <v>45187.679089437996</v>
      </c>
      <c r="F49" s="837">
        <f>'Table 4 Level 3'!N51*90%</f>
        <v>655.25400000000002</v>
      </c>
      <c r="G49" s="837">
        <f t="shared" si="17"/>
        <v>5897.2860000000001</v>
      </c>
      <c r="H49" s="837">
        <f t="shared" si="18"/>
        <v>51084.965089437996</v>
      </c>
      <c r="I49" s="837">
        <f>(('Table 3 Levels 1&amp;2'!BN54+'Table 3 Levels 1&amp;2'!BV54-D49)+('Table 4 Level 3'!N51-F49))*C49</f>
        <v>5676.1072321597767</v>
      </c>
      <c r="J49" s="837">
        <f t="shared" si="19"/>
        <v>-128</v>
      </c>
      <c r="K49" s="838">
        <f t="shared" si="20"/>
        <v>50956.965089437996</v>
      </c>
      <c r="L49" s="838">
        <f>'[24]Oct midyear LA Virtual Admy'!M49+'[25]LAVCA Adjusted amounts '!X49+'[26]Feb midyear adj_LA virtual '!M51</f>
        <v>-2938.5769544910254</v>
      </c>
      <c r="M49" s="839">
        <f t="shared" si="21"/>
        <v>48018.388134946974</v>
      </c>
      <c r="N49" s="839">
        <f t="shared" si="22"/>
        <v>4002</v>
      </c>
      <c r="O49" s="840">
        <f>'[18]FY2012-13 Final'!K53*90%</f>
        <v>1771.2</v>
      </c>
      <c r="P49" s="841">
        <f t="shared" si="23"/>
        <v>15940.800000000001</v>
      </c>
      <c r="Q49" s="841">
        <f t="shared" si="24"/>
        <v>-40</v>
      </c>
      <c r="R49" s="841">
        <f t="shared" si="25"/>
        <v>15900.800000000001</v>
      </c>
      <c r="S49" s="840">
        <f>'[26]Feb midyear adj_LA virtual '!S51+'[24]Oct midyear LA Virtual Admy'!R49</f>
        <v>-794.7</v>
      </c>
      <c r="T49" s="872">
        <f t="shared" si="26"/>
        <v>15106.1</v>
      </c>
      <c r="U49" s="872">
        <f t="shared" si="27"/>
        <v>1259</v>
      </c>
      <c r="V49" s="842">
        <f t="shared" si="28"/>
        <v>63124.488134946972</v>
      </c>
      <c r="W49" s="842">
        <f t="shared" si="29"/>
        <v>5261</v>
      </c>
    </row>
    <row r="50" spans="1:23" s="558" customFormat="1" ht="17.25" customHeight="1">
      <c r="A50" s="101">
        <v>47</v>
      </c>
      <c r="B50" s="815" t="s">
        <v>141</v>
      </c>
      <c r="C50" s="843">
        <f>'[2]ALL-Reformatted'!R52</f>
        <v>2</v>
      </c>
      <c r="D50" s="844">
        <f>'Table 3 Levels 1&amp;2'!BN55*90%+'Table 3 Levels 1&amp;2'!BV55*90%</f>
        <v>2438.1522132492737</v>
      </c>
      <c r="E50" s="844">
        <f t="shared" si="16"/>
        <v>4876.3044264985474</v>
      </c>
      <c r="F50" s="845">
        <f>'Table 4 Level 3'!N52*90%</f>
        <v>819.68399999999997</v>
      </c>
      <c r="G50" s="845">
        <f t="shared" si="17"/>
        <v>1639.3679999999999</v>
      </c>
      <c r="H50" s="845">
        <f t="shared" si="18"/>
        <v>6515.6724264985478</v>
      </c>
      <c r="I50" s="845">
        <f>(('Table 3 Levels 1&amp;2'!BN55+'Table 3 Levels 1&amp;2'!BV55-D50)+('Table 4 Level 3'!N52-F50))*C50</f>
        <v>723.96360294428268</v>
      </c>
      <c r="J50" s="845">
        <f t="shared" si="19"/>
        <v>-16</v>
      </c>
      <c r="K50" s="846">
        <f t="shared" si="20"/>
        <v>6499.6724264985478</v>
      </c>
      <c r="L50" s="846">
        <f>'[24]Oct midyear LA Virtual Admy'!M50+'[25]LAVCA Adjusted amounts '!X50+'[26]Feb midyear adj_LA virtual '!M52</f>
        <v>-3917.8147624872336</v>
      </c>
      <c r="M50" s="847">
        <f t="shared" si="21"/>
        <v>2581.8576640113142</v>
      </c>
      <c r="N50" s="847">
        <f t="shared" si="22"/>
        <v>215</v>
      </c>
      <c r="O50" s="848">
        <f>'[18]FY2012-13 Final'!K54*90%</f>
        <v>9044.1</v>
      </c>
      <c r="P50" s="849">
        <f t="shared" si="23"/>
        <v>18088.2</v>
      </c>
      <c r="Q50" s="849">
        <f t="shared" si="24"/>
        <v>-45</v>
      </c>
      <c r="R50" s="849">
        <f t="shared" si="25"/>
        <v>18043.2</v>
      </c>
      <c r="S50" s="848">
        <f>'[26]Feb midyear adj_LA virtual '!S52+'[24]Oct midyear LA Virtual Admy'!R50</f>
        <v>-8779.5</v>
      </c>
      <c r="T50" s="873">
        <f t="shared" si="26"/>
        <v>9263.7000000000007</v>
      </c>
      <c r="U50" s="873">
        <f t="shared" si="27"/>
        <v>772</v>
      </c>
      <c r="V50" s="850">
        <f t="shared" si="28"/>
        <v>11845.557664011314</v>
      </c>
      <c r="W50" s="850">
        <f t="shared" si="29"/>
        <v>987</v>
      </c>
    </row>
    <row r="51" spans="1:23" s="558" customFormat="1" ht="17.25" customHeight="1">
      <c r="A51" s="101">
        <v>48</v>
      </c>
      <c r="B51" s="815" t="s">
        <v>202</v>
      </c>
      <c r="C51" s="843">
        <f>'[2]ALL-Reformatted'!R53</f>
        <v>29</v>
      </c>
      <c r="D51" s="844">
        <f>'Table 3 Levels 1&amp;2'!BN56*90%+'Table 3 Levels 1&amp;2'!BV56*90%</f>
        <v>3833.4722538157703</v>
      </c>
      <c r="E51" s="844">
        <f t="shared" si="16"/>
        <v>111170.69536065734</v>
      </c>
      <c r="F51" s="845">
        <f>'Table 4 Level 3'!N53*90%</f>
        <v>783.96300000000008</v>
      </c>
      <c r="G51" s="845">
        <f t="shared" si="17"/>
        <v>22734.927000000003</v>
      </c>
      <c r="H51" s="845">
        <f t="shared" si="18"/>
        <v>133905.62236065735</v>
      </c>
      <c r="I51" s="845">
        <f>(('Table 3 Levels 1&amp;2'!BN56+'Table 3 Levels 1&amp;2'!BV56-D51)+('Table 4 Level 3'!N53-F51))*C51</f>
        <v>14878.402484517464</v>
      </c>
      <c r="J51" s="845">
        <f t="shared" si="19"/>
        <v>-335</v>
      </c>
      <c r="K51" s="846">
        <f t="shared" si="20"/>
        <v>133570.62236065735</v>
      </c>
      <c r="L51" s="846">
        <f>'[24]Oct midyear LA Virtual Admy'!M51+'[25]LAVCA Adjusted amounts '!X51+'[26]Feb midyear adj_LA virtual '!M53</f>
        <v>5850.9505496013035</v>
      </c>
      <c r="M51" s="847">
        <f t="shared" si="21"/>
        <v>139421.57291025866</v>
      </c>
      <c r="N51" s="847">
        <f t="shared" si="22"/>
        <v>11618</v>
      </c>
      <c r="O51" s="848">
        <f>'[18]FY2012-13 Final'!K55*90%</f>
        <v>5179.5</v>
      </c>
      <c r="P51" s="849">
        <f t="shared" si="23"/>
        <v>150205.5</v>
      </c>
      <c r="Q51" s="849">
        <f t="shared" si="24"/>
        <v>-376</v>
      </c>
      <c r="R51" s="849">
        <f t="shared" si="25"/>
        <v>149829.5</v>
      </c>
      <c r="S51" s="848">
        <f>'[26]Feb midyear adj_LA virtual '!S53+'[24]Oct midyear LA Virtual Admy'!R51</f>
        <v>6933.6</v>
      </c>
      <c r="T51" s="873">
        <f t="shared" si="26"/>
        <v>156763.1</v>
      </c>
      <c r="U51" s="873">
        <f t="shared" si="27"/>
        <v>13064</v>
      </c>
      <c r="V51" s="850">
        <f t="shared" si="28"/>
        <v>296184.67291025864</v>
      </c>
      <c r="W51" s="850">
        <f t="shared" si="29"/>
        <v>24682</v>
      </c>
    </row>
    <row r="52" spans="1:23" s="558" customFormat="1" ht="17.25" customHeight="1">
      <c r="A52" s="101">
        <v>49</v>
      </c>
      <c r="B52" s="815" t="s">
        <v>142</v>
      </c>
      <c r="C52" s="843">
        <f>'[2]ALL-Reformatted'!R54</f>
        <v>47</v>
      </c>
      <c r="D52" s="844">
        <f>'Table 3 Levels 1&amp;2'!BN57*90%+'Table 3 Levels 1&amp;2'!BV57*90%</f>
        <v>4311.0462552640647</v>
      </c>
      <c r="E52" s="844">
        <f t="shared" si="16"/>
        <v>202619.17399741104</v>
      </c>
      <c r="F52" s="845">
        <f>'Table 4 Level 3'!N54*90%</f>
        <v>516.99599999999998</v>
      </c>
      <c r="G52" s="845">
        <f t="shared" si="17"/>
        <v>24298.811999999998</v>
      </c>
      <c r="H52" s="845">
        <f t="shared" si="18"/>
        <v>226917.98599741104</v>
      </c>
      <c r="I52" s="845">
        <f>(('Table 3 Levels 1&amp;2'!BN57+'Table 3 Levels 1&amp;2'!BV57-D52)+('Table 4 Level 3'!N54-F52))*C52</f>
        <v>25213.109555267882</v>
      </c>
      <c r="J52" s="845">
        <f t="shared" si="19"/>
        <v>-567</v>
      </c>
      <c r="K52" s="846">
        <f t="shared" si="20"/>
        <v>226350.98599741104</v>
      </c>
      <c r="L52" s="846">
        <f>'[24]Oct midyear LA Virtual Admy'!M52+'[25]LAVCA Adjusted amounts '!X52+'[26]Feb midyear adj_LA virtual '!M54</f>
        <v>439.52039219935909</v>
      </c>
      <c r="M52" s="847">
        <f t="shared" si="21"/>
        <v>226790.50638961041</v>
      </c>
      <c r="N52" s="847">
        <f t="shared" si="22"/>
        <v>18899</v>
      </c>
      <c r="O52" s="848">
        <f>'[18]FY2012-13 Final'!K56*90%</f>
        <v>2101.5</v>
      </c>
      <c r="P52" s="849">
        <f t="shared" si="23"/>
        <v>98770.5</v>
      </c>
      <c r="Q52" s="849">
        <f t="shared" si="24"/>
        <v>-247</v>
      </c>
      <c r="R52" s="849">
        <f t="shared" si="25"/>
        <v>98523.5</v>
      </c>
      <c r="S52" s="848">
        <f>'[26]Feb midyear adj_LA virtual '!S54+'[24]Oct midyear LA Virtual Admy'!R52</f>
        <v>1005.75</v>
      </c>
      <c r="T52" s="873">
        <f t="shared" si="26"/>
        <v>99529.25</v>
      </c>
      <c r="U52" s="873">
        <f t="shared" si="27"/>
        <v>8294</v>
      </c>
      <c r="V52" s="850">
        <f t="shared" si="28"/>
        <v>326319.75638961041</v>
      </c>
      <c r="W52" s="850">
        <f t="shared" si="29"/>
        <v>27193</v>
      </c>
    </row>
    <row r="53" spans="1:23" s="558" customFormat="1" ht="17.25" customHeight="1">
      <c r="A53" s="102">
        <v>50</v>
      </c>
      <c r="B53" s="816" t="s">
        <v>143</v>
      </c>
      <c r="C53" s="851">
        <f>'[2]ALL-Reformatted'!R55</f>
        <v>10</v>
      </c>
      <c r="D53" s="852">
        <f>'Table 3 Levels 1&amp;2'!BN58*90%+'Table 3 Levels 1&amp;2'!BV58*90%</f>
        <v>4458.903754131522</v>
      </c>
      <c r="E53" s="852">
        <f t="shared" si="16"/>
        <v>44589.037541315221</v>
      </c>
      <c r="F53" s="853">
        <f>'Table 4 Level 3'!N55*90%</f>
        <v>571.01400000000001</v>
      </c>
      <c r="G53" s="853">
        <f t="shared" si="17"/>
        <v>5710.14</v>
      </c>
      <c r="H53" s="853">
        <f t="shared" si="18"/>
        <v>50299.177541315221</v>
      </c>
      <c r="I53" s="853">
        <f>(('Table 3 Levels 1&amp;2'!BN58+'Table 3 Levels 1&amp;2'!BV58-D53)+('Table 4 Level 3'!N55-F53))*C53</f>
        <v>5588.797504590576</v>
      </c>
      <c r="J53" s="853">
        <f t="shared" si="19"/>
        <v>-126</v>
      </c>
      <c r="K53" s="854">
        <f t="shared" si="20"/>
        <v>50173.177541315221</v>
      </c>
      <c r="L53" s="854">
        <f>'[24]Oct midyear LA Virtual Admy'!M53+'[25]LAVCA Adjusted amounts '!X53+'[26]Feb midyear adj_LA virtual '!M55</f>
        <v>-7696.1181893352732</v>
      </c>
      <c r="M53" s="855">
        <f t="shared" si="21"/>
        <v>42477.059351979944</v>
      </c>
      <c r="N53" s="855">
        <f t="shared" si="22"/>
        <v>3540</v>
      </c>
      <c r="O53" s="856">
        <f>'[18]FY2012-13 Final'!K57*90%</f>
        <v>2520.9</v>
      </c>
      <c r="P53" s="857">
        <f t="shared" si="23"/>
        <v>25209</v>
      </c>
      <c r="Q53" s="857">
        <f t="shared" si="24"/>
        <v>-63</v>
      </c>
      <c r="R53" s="857">
        <f t="shared" si="25"/>
        <v>25146</v>
      </c>
      <c r="S53" s="856">
        <f>'[26]Feb midyear adj_LA virtual '!S55+'[24]Oct midyear LA Virtual Admy'!R53</f>
        <v>-3420.8999999999996</v>
      </c>
      <c r="T53" s="874">
        <f t="shared" si="26"/>
        <v>21725.1</v>
      </c>
      <c r="U53" s="874">
        <f t="shared" si="27"/>
        <v>1810</v>
      </c>
      <c r="V53" s="858">
        <f t="shared" si="28"/>
        <v>64202.159351979943</v>
      </c>
      <c r="W53" s="858">
        <f t="shared" si="29"/>
        <v>5350</v>
      </c>
    </row>
    <row r="54" spans="1:23" s="558" customFormat="1" ht="17.25" customHeight="1">
      <c r="A54" s="101">
        <v>51</v>
      </c>
      <c r="B54" s="815" t="s">
        <v>144</v>
      </c>
      <c r="C54" s="835">
        <f>'[2]ALL-Reformatted'!R56</f>
        <v>1</v>
      </c>
      <c r="D54" s="836">
        <f>'Table 3 Levels 1&amp;2'!BN59*90%+'Table 3 Levels 1&amp;2'!BV59*90%</f>
        <v>3861.3115554435417</v>
      </c>
      <c r="E54" s="836">
        <f t="shared" si="16"/>
        <v>3861.3115554435417</v>
      </c>
      <c r="F54" s="837">
        <f>'Table 4 Level 3'!N56*90%</f>
        <v>635.99400000000003</v>
      </c>
      <c r="G54" s="837">
        <f t="shared" si="17"/>
        <v>635.99400000000003</v>
      </c>
      <c r="H54" s="837">
        <f t="shared" si="18"/>
        <v>4497.3055554435414</v>
      </c>
      <c r="I54" s="837">
        <f>(('Table 3 Levels 1&amp;2'!BN59+'Table 3 Levels 1&amp;2'!BV59-D54)+('Table 4 Level 3'!N56-F54))*C54</f>
        <v>499.70061727150437</v>
      </c>
      <c r="J54" s="837">
        <f t="shared" si="19"/>
        <v>-11</v>
      </c>
      <c r="K54" s="838">
        <f t="shared" si="20"/>
        <v>4486.3055554435414</v>
      </c>
      <c r="L54" s="838">
        <f>'[24]Oct midyear LA Virtual Admy'!M54+'[25]LAVCA Adjusted amounts '!X54+'[26]Feb midyear adj_LA virtual '!M56</f>
        <v>-11801.782220396395</v>
      </c>
      <c r="M54" s="839">
        <f t="shared" si="21"/>
        <v>-7315.4766649528538</v>
      </c>
      <c r="N54" s="839">
        <f t="shared" si="22"/>
        <v>-610</v>
      </c>
      <c r="O54" s="840">
        <f>'[18]FY2012-13 Final'!K58*90%</f>
        <v>3647.7000000000003</v>
      </c>
      <c r="P54" s="841">
        <f t="shared" si="23"/>
        <v>3647.7000000000003</v>
      </c>
      <c r="Q54" s="841">
        <f t="shared" si="24"/>
        <v>-9</v>
      </c>
      <c r="R54" s="841">
        <f t="shared" si="25"/>
        <v>3638.7000000000003</v>
      </c>
      <c r="S54" s="840">
        <f>'[26]Feb midyear adj_LA virtual '!S56+'[24]Oct midyear LA Virtual Admy'!R54</f>
        <v>-9094.5</v>
      </c>
      <c r="T54" s="872">
        <f t="shared" si="26"/>
        <v>-5455.7999999999993</v>
      </c>
      <c r="U54" s="872">
        <f t="shared" si="27"/>
        <v>-455</v>
      </c>
      <c r="V54" s="842">
        <f t="shared" si="28"/>
        <v>-12771.276664952853</v>
      </c>
      <c r="W54" s="842">
        <f t="shared" si="29"/>
        <v>-1065</v>
      </c>
    </row>
    <row r="55" spans="1:23" s="558" customFormat="1" ht="17.25" customHeight="1">
      <c r="A55" s="101">
        <v>52</v>
      </c>
      <c r="B55" s="815" t="s">
        <v>145</v>
      </c>
      <c r="C55" s="843">
        <f>'[2]ALL-Reformatted'!R57</f>
        <v>68</v>
      </c>
      <c r="D55" s="844">
        <f>'Table 3 Levels 1&amp;2'!BN60*90%+'Table 3 Levels 1&amp;2'!BV60*90%</f>
        <v>4489.7774365006835</v>
      </c>
      <c r="E55" s="844">
        <f t="shared" si="16"/>
        <v>305304.86568204645</v>
      </c>
      <c r="F55" s="845">
        <f>'Table 4 Level 3'!N57*90%</f>
        <v>592.53300000000002</v>
      </c>
      <c r="G55" s="845">
        <f t="shared" si="17"/>
        <v>40292.243999999999</v>
      </c>
      <c r="H55" s="845">
        <f t="shared" si="18"/>
        <v>345597.10968204646</v>
      </c>
      <c r="I55" s="845">
        <f>(('Table 3 Levels 1&amp;2'!BN60+'Table 3 Levels 1&amp;2'!BV60-D55)+('Table 4 Level 3'!N57-F55))*C55</f>
        <v>38399.678853560683</v>
      </c>
      <c r="J55" s="845">
        <f t="shared" si="19"/>
        <v>-864</v>
      </c>
      <c r="K55" s="846">
        <f t="shared" si="20"/>
        <v>344733.10968204646</v>
      </c>
      <c r="L55" s="846">
        <f>'[24]Oct midyear LA Virtual Admy'!M55+'[25]LAVCA Adjusted amounts '!X55+'[26]Feb midyear adj_LA virtual '!M57</f>
        <v>11239.848273613803</v>
      </c>
      <c r="M55" s="847">
        <f t="shared" si="21"/>
        <v>355972.95795566024</v>
      </c>
      <c r="N55" s="847">
        <f t="shared" si="22"/>
        <v>29664</v>
      </c>
      <c r="O55" s="848">
        <f>'[18]FY2012-13 Final'!K59*90%</f>
        <v>4397.4000000000005</v>
      </c>
      <c r="P55" s="849">
        <f t="shared" si="23"/>
        <v>299023.2</v>
      </c>
      <c r="Q55" s="849">
        <f t="shared" si="24"/>
        <v>-748</v>
      </c>
      <c r="R55" s="849">
        <f t="shared" si="25"/>
        <v>298275.20000000001</v>
      </c>
      <c r="S55" s="848">
        <f>'[26]Feb midyear adj_LA virtual '!S57+'[24]Oct midyear LA Virtual Admy'!R55</f>
        <v>18451.599999999999</v>
      </c>
      <c r="T55" s="873">
        <f t="shared" si="26"/>
        <v>316726.8</v>
      </c>
      <c r="U55" s="873">
        <f t="shared" si="27"/>
        <v>26394</v>
      </c>
      <c r="V55" s="850">
        <f t="shared" si="28"/>
        <v>672699.75795566023</v>
      </c>
      <c r="W55" s="850">
        <f t="shared" si="29"/>
        <v>56058</v>
      </c>
    </row>
    <row r="56" spans="1:23" s="558" customFormat="1" ht="17.25" customHeight="1">
      <c r="A56" s="101">
        <v>53</v>
      </c>
      <c r="B56" s="815" t="s">
        <v>146</v>
      </c>
      <c r="C56" s="843">
        <f>'[2]ALL-Reformatted'!R58</f>
        <v>51</v>
      </c>
      <c r="D56" s="844">
        <f>'Table 3 Levels 1&amp;2'!BN61*90%+'Table 3 Levels 1&amp;2'!BV61*90%</f>
        <v>4265.7369351446177</v>
      </c>
      <c r="E56" s="844">
        <f t="shared" si="16"/>
        <v>217552.58369237551</v>
      </c>
      <c r="F56" s="845">
        <f>'Table 4 Level 3'!N58*90%</f>
        <v>620.76600000000008</v>
      </c>
      <c r="G56" s="845">
        <f t="shared" si="17"/>
        <v>31659.066000000003</v>
      </c>
      <c r="H56" s="845">
        <f t="shared" si="18"/>
        <v>249211.6496923755</v>
      </c>
      <c r="I56" s="845">
        <f>(('Table 3 Levels 1&amp;2'!BN61+'Table 3 Levels 1&amp;2'!BV61-D56)+('Table 4 Level 3'!N58-F56))*C56</f>
        <v>27690.18329915285</v>
      </c>
      <c r="J56" s="845">
        <f t="shared" si="19"/>
        <v>-623</v>
      </c>
      <c r="K56" s="846">
        <f t="shared" si="20"/>
        <v>248588.6496923755</v>
      </c>
      <c r="L56" s="846">
        <f>'[24]Oct midyear LA Virtual Admy'!M56+'[25]LAVCA Adjusted amounts '!X56+'[26]Feb midyear adj_LA virtual '!M58</f>
        <v>7313.6364444136889</v>
      </c>
      <c r="M56" s="847">
        <f t="shared" si="21"/>
        <v>255902.28613678919</v>
      </c>
      <c r="N56" s="847">
        <f t="shared" si="22"/>
        <v>21325</v>
      </c>
      <c r="O56" s="848">
        <f>'[18]FY2012-13 Final'!K60*90%</f>
        <v>1736.1000000000001</v>
      </c>
      <c r="P56" s="849">
        <f t="shared" si="23"/>
        <v>88541.1</v>
      </c>
      <c r="Q56" s="849">
        <f t="shared" si="24"/>
        <v>-221</v>
      </c>
      <c r="R56" s="849">
        <f t="shared" si="25"/>
        <v>88320.1</v>
      </c>
      <c r="S56" s="848">
        <f>'[26]Feb midyear adj_LA virtual '!S58+'[24]Oct midyear LA Virtual Admy'!R56</f>
        <v>6447.3</v>
      </c>
      <c r="T56" s="873">
        <f t="shared" si="26"/>
        <v>94767.400000000009</v>
      </c>
      <c r="U56" s="873">
        <f t="shared" si="27"/>
        <v>7897</v>
      </c>
      <c r="V56" s="850">
        <f t="shared" si="28"/>
        <v>350669.68613678921</v>
      </c>
      <c r="W56" s="850">
        <f t="shared" si="29"/>
        <v>29222</v>
      </c>
    </row>
    <row r="57" spans="1:23" s="558" customFormat="1" ht="17.25" customHeight="1">
      <c r="A57" s="101">
        <v>54</v>
      </c>
      <c r="B57" s="815" t="s">
        <v>147</v>
      </c>
      <c r="C57" s="843">
        <f>'[2]ALL-Reformatted'!R59</f>
        <v>0</v>
      </c>
      <c r="D57" s="844">
        <f>'Table 3 Levels 1&amp;2'!BN62*90%+'Table 3 Levels 1&amp;2'!BV62*90%</f>
        <v>5316.4148794139555</v>
      </c>
      <c r="E57" s="844">
        <f t="shared" si="16"/>
        <v>0</v>
      </c>
      <c r="F57" s="845">
        <f>'Table 4 Level 3'!N59*90%</f>
        <v>856.30500000000006</v>
      </c>
      <c r="G57" s="845">
        <f t="shared" si="17"/>
        <v>0</v>
      </c>
      <c r="H57" s="845">
        <f t="shared" si="18"/>
        <v>0</v>
      </c>
      <c r="I57" s="845">
        <f>(('Table 3 Levels 1&amp;2'!BN62+'Table 3 Levels 1&amp;2'!BV62-D57)+('Table 4 Level 3'!N59-F57))*C57</f>
        <v>0</v>
      </c>
      <c r="J57" s="845">
        <f t="shared" si="19"/>
        <v>0</v>
      </c>
      <c r="K57" s="846">
        <f t="shared" si="20"/>
        <v>0</v>
      </c>
      <c r="L57" s="846">
        <f>'[24]Oct midyear LA Virtual Admy'!M57+'[25]LAVCA Adjusted amounts '!X57+'[26]Feb midyear adj_LA virtual '!M59</f>
        <v>0</v>
      </c>
      <c r="M57" s="847">
        <f t="shared" si="21"/>
        <v>0</v>
      </c>
      <c r="N57" s="847">
        <f t="shared" si="22"/>
        <v>0</v>
      </c>
      <c r="O57" s="848">
        <f>'[18]FY2012-13 Final'!K61*90%</f>
        <v>3043.8</v>
      </c>
      <c r="P57" s="849">
        <f t="shared" si="23"/>
        <v>0</v>
      </c>
      <c r="Q57" s="849">
        <f t="shared" si="24"/>
        <v>0</v>
      </c>
      <c r="R57" s="849">
        <f t="shared" si="25"/>
        <v>0</v>
      </c>
      <c r="S57" s="848">
        <f>'[26]Feb midyear adj_LA virtual '!S59+'[24]Oct midyear LA Virtual Admy'!R57</f>
        <v>0</v>
      </c>
      <c r="T57" s="873">
        <f t="shared" si="26"/>
        <v>0</v>
      </c>
      <c r="U57" s="873">
        <f t="shared" si="27"/>
        <v>0</v>
      </c>
      <c r="V57" s="850">
        <f t="shared" si="28"/>
        <v>0</v>
      </c>
      <c r="W57" s="850">
        <f t="shared" si="29"/>
        <v>0</v>
      </c>
    </row>
    <row r="58" spans="1:23" s="558" customFormat="1" ht="17.25" customHeight="1">
      <c r="A58" s="102">
        <v>55</v>
      </c>
      <c r="B58" s="816" t="s">
        <v>148</v>
      </c>
      <c r="C58" s="851">
        <f>'[2]ALL-Reformatted'!R60</f>
        <v>21</v>
      </c>
      <c r="D58" s="852">
        <f>'Table 3 Levels 1&amp;2'!BN63*90%+'Table 3 Levels 1&amp;2'!BV63*90%</f>
        <v>3703.5859331411912</v>
      </c>
      <c r="E58" s="852">
        <f t="shared" si="16"/>
        <v>77775.304595965019</v>
      </c>
      <c r="F58" s="853">
        <f>'Table 4 Level 3'!N60*90%</f>
        <v>715.62599999999998</v>
      </c>
      <c r="G58" s="853">
        <f t="shared" si="17"/>
        <v>15028.145999999999</v>
      </c>
      <c r="H58" s="853">
        <f t="shared" si="18"/>
        <v>92803.450595965012</v>
      </c>
      <c r="I58" s="853">
        <f>(('Table 3 Levels 1&amp;2'!BN63+'Table 3 Levels 1&amp;2'!BV63-D58)+('Table 4 Level 3'!N60-F58))*C58</f>
        <v>10311.49451066278</v>
      </c>
      <c r="J58" s="853">
        <f t="shared" si="19"/>
        <v>-232</v>
      </c>
      <c r="K58" s="854">
        <f t="shared" si="20"/>
        <v>92571.450595965012</v>
      </c>
      <c r="L58" s="854">
        <f>'[24]Oct midyear LA Virtual Admy'!M58+'[25]LAVCA Adjusted amounts '!X58+'[26]Feb midyear adj_LA virtual '!M60</f>
        <v>-10972.934357241769</v>
      </c>
      <c r="M58" s="855">
        <f t="shared" si="21"/>
        <v>81598.516238723241</v>
      </c>
      <c r="N58" s="855">
        <f t="shared" si="22"/>
        <v>6800</v>
      </c>
      <c r="O58" s="856">
        <f>'[18]FY2012-13 Final'!K62*90%</f>
        <v>2814.3</v>
      </c>
      <c r="P58" s="857">
        <f t="shared" si="23"/>
        <v>59100.3</v>
      </c>
      <c r="Q58" s="857">
        <f t="shared" si="24"/>
        <v>-148</v>
      </c>
      <c r="R58" s="857">
        <f t="shared" si="25"/>
        <v>58952.3</v>
      </c>
      <c r="S58" s="856">
        <f>'[26]Feb midyear adj_LA virtual '!S60+'[24]Oct midyear LA Virtual Admy'!R58</f>
        <v>2174.2999999999997</v>
      </c>
      <c r="T58" s="874">
        <f t="shared" si="26"/>
        <v>61126.600000000006</v>
      </c>
      <c r="U58" s="874">
        <f t="shared" si="27"/>
        <v>5094</v>
      </c>
      <c r="V58" s="858">
        <f t="shared" si="28"/>
        <v>142725.11623872325</v>
      </c>
      <c r="W58" s="858">
        <f t="shared" si="29"/>
        <v>11894</v>
      </c>
    </row>
    <row r="59" spans="1:23" s="558" customFormat="1" ht="17.25" customHeight="1">
      <c r="A59" s="101">
        <v>56</v>
      </c>
      <c r="B59" s="815" t="s">
        <v>149</v>
      </c>
      <c r="C59" s="835">
        <f>'[2]ALL-Reformatted'!R61</f>
        <v>7</v>
      </c>
      <c r="D59" s="836">
        <f>'Table 3 Levels 1&amp;2'!BN64*90%+'Table 3 Levels 1&amp;2'!BV64*90%</f>
        <v>4432.4128853947468</v>
      </c>
      <c r="E59" s="836">
        <f t="shared" si="16"/>
        <v>31026.890197763227</v>
      </c>
      <c r="F59" s="837">
        <f>'Table 4 Level 3'!N61*90%</f>
        <v>553.19400000000007</v>
      </c>
      <c r="G59" s="837">
        <f t="shared" si="17"/>
        <v>3872.3580000000006</v>
      </c>
      <c r="H59" s="837">
        <f t="shared" si="18"/>
        <v>34899.248197763227</v>
      </c>
      <c r="I59" s="837">
        <f>(('Table 3 Levels 1&amp;2'!BN64+'Table 3 Levels 1&amp;2'!BV64-D59)+('Table 4 Level 3'!N61-F59))*C59</f>
        <v>3877.6942441959186</v>
      </c>
      <c r="J59" s="837">
        <f t="shared" si="19"/>
        <v>-87</v>
      </c>
      <c r="K59" s="838">
        <f t="shared" si="20"/>
        <v>34812.248197763227</v>
      </c>
      <c r="L59" s="838">
        <f>'[24]Oct midyear LA Virtual Admy'!M59+'[25]LAVCA Adjusted amounts '!X59+'[26]Feb midyear adj_LA virtual '!M61</f>
        <v>-5142.8882743758959</v>
      </c>
      <c r="M59" s="839">
        <f t="shared" si="21"/>
        <v>29669.359923387332</v>
      </c>
      <c r="N59" s="839">
        <f t="shared" si="22"/>
        <v>2472</v>
      </c>
      <c r="O59" s="840">
        <f>'[18]FY2012-13 Final'!K63*90%</f>
        <v>2491.2000000000003</v>
      </c>
      <c r="P59" s="841">
        <f t="shared" si="23"/>
        <v>17438.400000000001</v>
      </c>
      <c r="Q59" s="841">
        <f t="shared" si="24"/>
        <v>-44</v>
      </c>
      <c r="R59" s="841">
        <f t="shared" si="25"/>
        <v>17394.400000000001</v>
      </c>
      <c r="S59" s="840">
        <f>'[26]Feb midyear adj_LA virtual '!S61+'[24]Oct midyear LA Virtual Admy'!R59</f>
        <v>-2614.5</v>
      </c>
      <c r="T59" s="872">
        <f t="shared" si="26"/>
        <v>14779.900000000001</v>
      </c>
      <c r="U59" s="872">
        <f t="shared" si="27"/>
        <v>1232</v>
      </c>
      <c r="V59" s="842">
        <f t="shared" si="28"/>
        <v>44449.259923387333</v>
      </c>
      <c r="W59" s="842">
        <f t="shared" si="29"/>
        <v>3704</v>
      </c>
    </row>
    <row r="60" spans="1:23" s="558" customFormat="1" ht="17.25" customHeight="1">
      <c r="A60" s="101">
        <v>57</v>
      </c>
      <c r="B60" s="815" t="s">
        <v>150</v>
      </c>
      <c r="C60" s="843">
        <f>'[2]ALL-Reformatted'!R62</f>
        <v>10</v>
      </c>
      <c r="D60" s="844">
        <f>'Table 3 Levels 1&amp;2'!BN65*90%+'Table 3 Levels 1&amp;2'!BV65*90%</f>
        <v>3991.0965069617091</v>
      </c>
      <c r="E60" s="844">
        <f t="shared" si="16"/>
        <v>39910.965069617094</v>
      </c>
      <c r="F60" s="845">
        <f>'Table 4 Level 3'!N62*90%</f>
        <v>688.05899999999997</v>
      </c>
      <c r="G60" s="845">
        <f t="shared" si="17"/>
        <v>6880.59</v>
      </c>
      <c r="H60" s="845">
        <f t="shared" si="18"/>
        <v>46791.555069617098</v>
      </c>
      <c r="I60" s="845">
        <f>(('Table 3 Levels 1&amp;2'!BN65+'Table 3 Levels 1&amp;2'!BV65-D60)+('Table 4 Level 3'!N62-F60))*C60</f>
        <v>5199.0616744018962</v>
      </c>
      <c r="J60" s="845">
        <f t="shared" si="19"/>
        <v>-117</v>
      </c>
      <c r="K60" s="846">
        <f t="shared" si="20"/>
        <v>46674.555069617098</v>
      </c>
      <c r="L60" s="846">
        <f>'[24]Oct midyear LA Virtual Admy'!M60+'[25]LAVCA Adjusted amounts '!X60+'[26]Feb midyear adj_LA virtual '!M62</f>
        <v>-2379.4184350963656</v>
      </c>
      <c r="M60" s="847">
        <f t="shared" si="21"/>
        <v>44295.136634520735</v>
      </c>
      <c r="N60" s="847">
        <f t="shared" si="22"/>
        <v>3691</v>
      </c>
      <c r="O60" s="848">
        <f>'[18]FY2012-13 Final'!K64*90%</f>
        <v>2688.3</v>
      </c>
      <c r="P60" s="849">
        <f t="shared" si="23"/>
        <v>26883</v>
      </c>
      <c r="Q60" s="849">
        <f t="shared" si="24"/>
        <v>-67</v>
      </c>
      <c r="R60" s="849">
        <f t="shared" si="25"/>
        <v>26816</v>
      </c>
      <c r="S60" s="848">
        <f>'[26]Feb midyear adj_LA virtual '!S62+'[24]Oct midyear LA Virtual Admy'!R60</f>
        <v>-1365.75</v>
      </c>
      <c r="T60" s="873">
        <f t="shared" si="26"/>
        <v>25450.25</v>
      </c>
      <c r="U60" s="873">
        <f t="shared" si="27"/>
        <v>2121</v>
      </c>
      <c r="V60" s="850">
        <f t="shared" si="28"/>
        <v>69745.386634520735</v>
      </c>
      <c r="W60" s="850">
        <f t="shared" si="29"/>
        <v>5812</v>
      </c>
    </row>
    <row r="61" spans="1:23" s="558" customFormat="1" ht="17.25" customHeight="1">
      <c r="A61" s="101">
        <v>58</v>
      </c>
      <c r="B61" s="815" t="s">
        <v>151</v>
      </c>
      <c r="C61" s="843">
        <f>'[2]ALL-Reformatted'!R63</f>
        <v>30</v>
      </c>
      <c r="D61" s="844">
        <f>'Table 3 Levels 1&amp;2'!BN66*90%+'Table 3 Levels 1&amp;2'!BV66*90%</f>
        <v>4891.2453391511954</v>
      </c>
      <c r="E61" s="844">
        <f t="shared" si="16"/>
        <v>146737.36017453586</v>
      </c>
      <c r="F61" s="845">
        <f>'Table 4 Level 3'!N63*90%</f>
        <v>627.33600000000001</v>
      </c>
      <c r="G61" s="845">
        <f t="shared" si="17"/>
        <v>18820.080000000002</v>
      </c>
      <c r="H61" s="845">
        <f t="shared" si="18"/>
        <v>165557.44017453585</v>
      </c>
      <c r="I61" s="845">
        <f>(('Table 3 Levels 1&amp;2'!BN66+'Table 3 Levels 1&amp;2'!BV66-D61)+('Table 4 Level 3'!N63-F61))*C61</f>
        <v>18395.271130503996</v>
      </c>
      <c r="J61" s="845">
        <f t="shared" si="19"/>
        <v>-414</v>
      </c>
      <c r="K61" s="846">
        <f t="shared" si="20"/>
        <v>165143.44017453585</v>
      </c>
      <c r="L61" s="846">
        <f>'[24]Oct midyear LA Virtual Admy'!M61+'[25]LAVCA Adjusted amounts '!X61+'[26]Feb midyear adj_LA virtual '!M63</f>
        <v>21535.218121475329</v>
      </c>
      <c r="M61" s="847">
        <f t="shared" si="21"/>
        <v>186678.65829601118</v>
      </c>
      <c r="N61" s="847">
        <f t="shared" si="22"/>
        <v>15557</v>
      </c>
      <c r="O61" s="848">
        <f>'[18]FY2012-13 Final'!K65*90%</f>
        <v>1849.5</v>
      </c>
      <c r="P61" s="849">
        <f t="shared" si="23"/>
        <v>55485</v>
      </c>
      <c r="Q61" s="849">
        <f t="shared" si="24"/>
        <v>-139</v>
      </c>
      <c r="R61" s="849">
        <f t="shared" si="25"/>
        <v>55346</v>
      </c>
      <c r="S61" s="848">
        <f>'[26]Feb midyear adj_LA virtual '!S63+'[24]Oct midyear LA Virtual Admy'!R61</f>
        <v>6296.4000000000005</v>
      </c>
      <c r="T61" s="873">
        <f t="shared" si="26"/>
        <v>61642.400000000001</v>
      </c>
      <c r="U61" s="873">
        <f t="shared" si="27"/>
        <v>5137</v>
      </c>
      <c r="V61" s="850">
        <f t="shared" si="28"/>
        <v>248321.05829601118</v>
      </c>
      <c r="W61" s="850">
        <f t="shared" si="29"/>
        <v>20694</v>
      </c>
    </row>
    <row r="62" spans="1:23" s="558" customFormat="1" ht="17.25" customHeight="1">
      <c r="A62" s="101">
        <v>59</v>
      </c>
      <c r="B62" s="815" t="s">
        <v>152</v>
      </c>
      <c r="C62" s="843">
        <f>'[2]ALL-Reformatted'!R64</f>
        <v>13</v>
      </c>
      <c r="D62" s="844">
        <f>'Table 3 Levels 1&amp;2'!BN67*90%+'Table 3 Levels 1&amp;2'!BV67*90%</f>
        <v>5627.014679716618</v>
      </c>
      <c r="E62" s="844">
        <f t="shared" si="16"/>
        <v>73151.190836316033</v>
      </c>
      <c r="F62" s="845">
        <f>'Table 4 Level 3'!N64*90%</f>
        <v>620.56799999999998</v>
      </c>
      <c r="G62" s="845">
        <f t="shared" si="17"/>
        <v>8067.384</v>
      </c>
      <c r="H62" s="845">
        <f t="shared" si="18"/>
        <v>81218.574836316038</v>
      </c>
      <c r="I62" s="845">
        <f>(('Table 3 Levels 1&amp;2'!BN67+'Table 3 Levels 1&amp;2'!BV67-D62)+('Table 4 Level 3'!N64-F62))*C62</f>
        <v>9024.2860929240014</v>
      </c>
      <c r="J62" s="845">
        <f t="shared" si="19"/>
        <v>-203</v>
      </c>
      <c r="K62" s="846">
        <f t="shared" si="20"/>
        <v>81015.574836316038</v>
      </c>
      <c r="L62" s="846">
        <f>'[24]Oct midyear LA Virtual Admy'!M62+'[25]LAVCA Adjusted amounts '!X62+'[26]Feb midyear adj_LA virtual '!M64</f>
        <v>3105.1726114170128</v>
      </c>
      <c r="M62" s="847">
        <f t="shared" si="21"/>
        <v>84120.747447733054</v>
      </c>
      <c r="N62" s="847">
        <f t="shared" si="22"/>
        <v>7010</v>
      </c>
      <c r="O62" s="848">
        <f>'[18]FY2012-13 Final'!K66*90%</f>
        <v>1375.2</v>
      </c>
      <c r="P62" s="849">
        <f t="shared" si="23"/>
        <v>17877.600000000002</v>
      </c>
      <c r="Q62" s="849">
        <f t="shared" si="24"/>
        <v>-45</v>
      </c>
      <c r="R62" s="849">
        <f t="shared" si="25"/>
        <v>17832.600000000002</v>
      </c>
      <c r="S62" s="848">
        <f>'[26]Feb midyear adj_LA virtual '!S64+'[24]Oct midyear LA Virtual Admy'!R62</f>
        <v>739.80000000000007</v>
      </c>
      <c r="T62" s="873">
        <f t="shared" si="26"/>
        <v>18572.400000000001</v>
      </c>
      <c r="U62" s="873">
        <f t="shared" si="27"/>
        <v>1548</v>
      </c>
      <c r="V62" s="850">
        <f t="shared" si="28"/>
        <v>102693.14744773306</v>
      </c>
      <c r="W62" s="850">
        <f t="shared" si="29"/>
        <v>8558</v>
      </c>
    </row>
    <row r="63" spans="1:23" s="558" customFormat="1" ht="17.25" customHeight="1">
      <c r="A63" s="102">
        <v>60</v>
      </c>
      <c r="B63" s="816" t="s">
        <v>153</v>
      </c>
      <c r="C63" s="851">
        <f>'[2]ALL-Reformatted'!R65</f>
        <v>17</v>
      </c>
      <c r="D63" s="852">
        <f>'Table 3 Levels 1&amp;2'!BN68*90%+'Table 3 Levels 1&amp;2'!BV68*90%</f>
        <v>4412.3917590241836</v>
      </c>
      <c r="E63" s="852">
        <f t="shared" si="16"/>
        <v>75010.659903411113</v>
      </c>
      <c r="F63" s="853">
        <f>'Table 4 Level 3'!N65*90%</f>
        <v>534.63599999999997</v>
      </c>
      <c r="G63" s="853">
        <f t="shared" si="17"/>
        <v>9088.8119999999999</v>
      </c>
      <c r="H63" s="853">
        <f t="shared" si="18"/>
        <v>84099.471903411119</v>
      </c>
      <c r="I63" s="853">
        <f>(('Table 3 Levels 1&amp;2'!BN68+'Table 3 Levels 1&amp;2'!BV68-D63)+('Table 4 Level 3'!N65-F63))*C63</f>
        <v>9344.3857670456709</v>
      </c>
      <c r="J63" s="853">
        <f t="shared" si="19"/>
        <v>-210</v>
      </c>
      <c r="K63" s="854">
        <f t="shared" si="20"/>
        <v>83889.471903411119</v>
      </c>
      <c r="L63" s="854">
        <f>'[24]Oct midyear LA Virtual Admy'!M63+'[25]LAVCA Adjusted amounts '!X63+'[26]Feb midyear adj_LA virtual '!M65</f>
        <v>-9903.1299713968147</v>
      </c>
      <c r="M63" s="855">
        <f t="shared" si="21"/>
        <v>73986.3419320143</v>
      </c>
      <c r="N63" s="855">
        <f t="shared" si="22"/>
        <v>6166</v>
      </c>
      <c r="O63" s="856">
        <f>'[18]FY2012-13 Final'!K67*90%</f>
        <v>3526.2000000000003</v>
      </c>
      <c r="P63" s="857">
        <f t="shared" si="23"/>
        <v>59945.4</v>
      </c>
      <c r="Q63" s="857">
        <f t="shared" si="24"/>
        <v>-150</v>
      </c>
      <c r="R63" s="857">
        <f t="shared" si="25"/>
        <v>59795.4</v>
      </c>
      <c r="S63" s="856">
        <f>'[26]Feb midyear adj_LA virtual '!S65+'[24]Oct midyear LA Virtual Admy'!R63</f>
        <v>-3026.4000000000005</v>
      </c>
      <c r="T63" s="874">
        <f t="shared" si="26"/>
        <v>56769</v>
      </c>
      <c r="U63" s="874">
        <f t="shared" si="27"/>
        <v>4731</v>
      </c>
      <c r="V63" s="858">
        <f t="shared" si="28"/>
        <v>130755.3419320143</v>
      </c>
      <c r="W63" s="858">
        <f t="shared" si="29"/>
        <v>10897</v>
      </c>
    </row>
    <row r="64" spans="1:23" s="558" customFormat="1" ht="17.25" customHeight="1">
      <c r="A64" s="101">
        <v>61</v>
      </c>
      <c r="B64" s="815" t="s">
        <v>154</v>
      </c>
      <c r="C64" s="835">
        <f>'[2]ALL-Reformatted'!R66</f>
        <v>6</v>
      </c>
      <c r="D64" s="836">
        <f>'Table 3 Levels 1&amp;2'!BN69*90%+'Table 3 Levels 1&amp;2'!BV69*90%</f>
        <v>2585.4947191205324</v>
      </c>
      <c r="E64" s="836">
        <f t="shared" si="16"/>
        <v>15512.968314723195</v>
      </c>
      <c r="F64" s="837">
        <f>'Table 4 Level 3'!N66*90%</f>
        <v>750.33899999999994</v>
      </c>
      <c r="G64" s="837">
        <f t="shared" si="17"/>
        <v>4502.0339999999997</v>
      </c>
      <c r="H64" s="837">
        <f t="shared" si="18"/>
        <v>20015.002314723195</v>
      </c>
      <c r="I64" s="837">
        <f>(('Table 3 Levels 1&amp;2'!BN69+'Table 3 Levels 1&amp;2'!BV69-D64)+('Table 4 Level 3'!N66-F64))*C64</f>
        <v>2223.8891460803516</v>
      </c>
      <c r="J64" s="837">
        <f t="shared" si="19"/>
        <v>-50</v>
      </c>
      <c r="K64" s="838">
        <f t="shared" si="20"/>
        <v>19965.002314723195</v>
      </c>
      <c r="L64" s="838">
        <f>'[24]Oct midyear LA Virtual Admy'!M64+'[25]LAVCA Adjusted amounts '!X64+'[26]Feb midyear adj_LA virtual '!M66</f>
        <v>360.83995032001894</v>
      </c>
      <c r="M64" s="839">
        <f t="shared" si="21"/>
        <v>20325.842265043215</v>
      </c>
      <c r="N64" s="839">
        <f t="shared" si="22"/>
        <v>1694</v>
      </c>
      <c r="O64" s="840">
        <f>'[18]FY2012-13 Final'!K68*90%</f>
        <v>6012</v>
      </c>
      <c r="P64" s="841">
        <f t="shared" si="23"/>
        <v>36072</v>
      </c>
      <c r="Q64" s="841">
        <f t="shared" si="24"/>
        <v>-90</v>
      </c>
      <c r="R64" s="841">
        <f t="shared" si="25"/>
        <v>35982</v>
      </c>
      <c r="S64" s="840">
        <f>'[26]Feb midyear adj_LA virtual '!S66+'[24]Oct midyear LA Virtual Admy'!R64</f>
        <v>5440.5</v>
      </c>
      <c r="T64" s="872">
        <f t="shared" si="26"/>
        <v>41422.5</v>
      </c>
      <c r="U64" s="872">
        <f t="shared" si="27"/>
        <v>3452</v>
      </c>
      <c r="V64" s="842">
        <f t="shared" si="28"/>
        <v>61748.342265043219</v>
      </c>
      <c r="W64" s="842">
        <f t="shared" si="29"/>
        <v>5146</v>
      </c>
    </row>
    <row r="65" spans="1:148" s="558" customFormat="1" ht="17.25" customHeight="1">
      <c r="A65" s="101">
        <v>62</v>
      </c>
      <c r="B65" s="815" t="s">
        <v>155</v>
      </c>
      <c r="C65" s="843">
        <f>'[2]ALL-Reformatted'!R67</f>
        <v>1</v>
      </c>
      <c r="D65" s="844">
        <f>'Table 3 Levels 1&amp;2'!BN70*90%+'Table 3 Levels 1&amp;2'!BV70*90%</f>
        <v>5034.8262958101723</v>
      </c>
      <c r="E65" s="844">
        <f t="shared" si="16"/>
        <v>5034.8262958101723</v>
      </c>
      <c r="F65" s="845">
        <f>'Table 4 Level 3'!N67*90%</f>
        <v>464.47200000000004</v>
      </c>
      <c r="G65" s="845">
        <f t="shared" si="17"/>
        <v>464.47200000000004</v>
      </c>
      <c r="H65" s="845">
        <f t="shared" si="18"/>
        <v>5499.298295810172</v>
      </c>
      <c r="I65" s="845">
        <f>(('Table 3 Levels 1&amp;2'!BN70+'Table 3 Levels 1&amp;2'!BV70-D65)+('Table 4 Level 3'!N67-F65))*C65</f>
        <v>611.03314397890767</v>
      </c>
      <c r="J65" s="845">
        <f t="shared" si="19"/>
        <v>-14</v>
      </c>
      <c r="K65" s="846">
        <f t="shared" si="20"/>
        <v>5485.298295810172</v>
      </c>
      <c r="L65" s="846">
        <f>'[24]Oct midyear LA Virtual Admy'!M65+'[25]LAVCA Adjusted amounts '!X65+'[26]Feb midyear adj_LA virtual '!M67</f>
        <v>-2708.4619629907634</v>
      </c>
      <c r="M65" s="847">
        <f t="shared" si="21"/>
        <v>2776.8363328194087</v>
      </c>
      <c r="N65" s="847">
        <f t="shared" si="22"/>
        <v>231</v>
      </c>
      <c r="O65" s="848">
        <f>'[18]FY2012-13 Final'!K69*90%</f>
        <v>1578.6000000000001</v>
      </c>
      <c r="P65" s="849">
        <f t="shared" si="23"/>
        <v>1578.6000000000001</v>
      </c>
      <c r="Q65" s="849">
        <f t="shared" si="24"/>
        <v>-4</v>
      </c>
      <c r="R65" s="849">
        <f t="shared" si="25"/>
        <v>1574.6000000000001</v>
      </c>
      <c r="S65" s="848">
        <f>'[26]Feb midyear adj_LA virtual '!S67+'[24]Oct midyear LA Virtual Admy'!R65</f>
        <v>-756.45</v>
      </c>
      <c r="T65" s="873">
        <f t="shared" si="26"/>
        <v>818.15000000000009</v>
      </c>
      <c r="U65" s="873">
        <f t="shared" si="27"/>
        <v>68</v>
      </c>
      <c r="V65" s="850">
        <f t="shared" si="28"/>
        <v>3594.9863328194087</v>
      </c>
      <c r="W65" s="850">
        <f t="shared" si="29"/>
        <v>299</v>
      </c>
    </row>
    <row r="66" spans="1:148" s="558" customFormat="1" ht="17.25" customHeight="1">
      <c r="A66" s="101">
        <v>63</v>
      </c>
      <c r="B66" s="815" t="s">
        <v>156</v>
      </c>
      <c r="C66" s="843">
        <f>'[2]ALL-Reformatted'!R68</f>
        <v>0</v>
      </c>
      <c r="D66" s="844">
        <f>'Table 3 Levels 1&amp;2'!BN71*90%+'Table 3 Levels 1&amp;2'!BV71*90%</f>
        <v>3886.9748370808948</v>
      </c>
      <c r="E66" s="844">
        <f t="shared" si="16"/>
        <v>0</v>
      </c>
      <c r="F66" s="845">
        <f>'Table 4 Level 3'!N68*90%</f>
        <v>681.11099999999999</v>
      </c>
      <c r="G66" s="845">
        <f t="shared" si="17"/>
        <v>0</v>
      </c>
      <c r="H66" s="845">
        <f t="shared" si="18"/>
        <v>0</v>
      </c>
      <c r="I66" s="845">
        <f>(('Table 3 Levels 1&amp;2'!BN71+'Table 3 Levels 1&amp;2'!BV71-D66)+('Table 4 Level 3'!N68-F66))*C66</f>
        <v>0</v>
      </c>
      <c r="J66" s="845">
        <f t="shared" si="19"/>
        <v>0</v>
      </c>
      <c r="K66" s="846">
        <f t="shared" si="20"/>
        <v>0</v>
      </c>
      <c r="L66" s="846">
        <f>'[24]Oct midyear LA Virtual Admy'!M66+'[25]LAVCA Adjusted amounts '!X66+'[26]Feb midyear adj_LA virtual '!M68</f>
        <v>-13509.784000925216</v>
      </c>
      <c r="M66" s="847">
        <f t="shared" si="21"/>
        <v>-13509.784000925216</v>
      </c>
      <c r="N66" s="847">
        <f t="shared" si="22"/>
        <v>-1126</v>
      </c>
      <c r="O66" s="848">
        <f>'[18]FY2012-13 Final'!K70*90%</f>
        <v>6463.8</v>
      </c>
      <c r="P66" s="849">
        <f t="shared" si="23"/>
        <v>0</v>
      </c>
      <c r="Q66" s="849">
        <f t="shared" si="24"/>
        <v>0</v>
      </c>
      <c r="R66" s="849">
        <f t="shared" si="25"/>
        <v>0</v>
      </c>
      <c r="S66" s="848">
        <f>'[26]Feb midyear adj_LA virtual '!S68+'[24]Oct midyear LA Virtual Admy'!R66</f>
        <v>-18848.7</v>
      </c>
      <c r="T66" s="873">
        <f t="shared" si="26"/>
        <v>-18848.7</v>
      </c>
      <c r="U66" s="873">
        <f t="shared" si="27"/>
        <v>-1571</v>
      </c>
      <c r="V66" s="850">
        <f t="shared" si="28"/>
        <v>-32358.484000925215</v>
      </c>
      <c r="W66" s="850">
        <f t="shared" si="29"/>
        <v>-2697</v>
      </c>
    </row>
    <row r="67" spans="1:148" s="558" customFormat="1" ht="17.25" customHeight="1">
      <c r="A67" s="101">
        <v>64</v>
      </c>
      <c r="B67" s="815" t="s">
        <v>157</v>
      </c>
      <c r="C67" s="843">
        <f>'[2]ALL-Reformatted'!R69</f>
        <v>1</v>
      </c>
      <c r="D67" s="844">
        <f>'Table 3 Levels 1&amp;2'!BN72*90%+'Table 3 Levels 1&amp;2'!BV72*90%</f>
        <v>5329.5677040046039</v>
      </c>
      <c r="E67" s="844">
        <f t="shared" si="16"/>
        <v>5329.5677040046039</v>
      </c>
      <c r="F67" s="845">
        <f>'Table 4 Level 3'!N69*90%</f>
        <v>533.39400000000001</v>
      </c>
      <c r="G67" s="845">
        <f t="shared" si="17"/>
        <v>533.39400000000001</v>
      </c>
      <c r="H67" s="845">
        <f t="shared" si="18"/>
        <v>5862.9617040046041</v>
      </c>
      <c r="I67" s="845">
        <f>(('Table 3 Levels 1&amp;2'!BN72+'Table 3 Levels 1&amp;2'!BV72-D67)+('Table 4 Level 3'!N69-F67))*C67</f>
        <v>651.44018933384484</v>
      </c>
      <c r="J67" s="845">
        <f t="shared" si="19"/>
        <v>-15</v>
      </c>
      <c r="K67" s="846">
        <f t="shared" si="20"/>
        <v>5847.9617040046041</v>
      </c>
      <c r="L67" s="846">
        <f>'[24]Oct midyear LA Virtual Admy'!M67+'[25]LAVCA Adjusted amounts '!X67+'[26]Feb midyear adj_LA virtual '!M69</f>
        <v>0</v>
      </c>
      <c r="M67" s="847">
        <f t="shared" si="21"/>
        <v>5847.9617040046041</v>
      </c>
      <c r="N67" s="847">
        <f t="shared" si="22"/>
        <v>487</v>
      </c>
      <c r="O67" s="848">
        <f>'[18]FY2012-13 Final'!K71*90%</f>
        <v>2430.9</v>
      </c>
      <c r="P67" s="849">
        <f t="shared" si="23"/>
        <v>2430.9</v>
      </c>
      <c r="Q67" s="849">
        <f t="shared" si="24"/>
        <v>-6</v>
      </c>
      <c r="R67" s="849">
        <f t="shared" si="25"/>
        <v>2424.9</v>
      </c>
      <c r="S67" s="848">
        <f>'[26]Feb midyear adj_LA virtual '!S69+'[24]Oct midyear LA Virtual Admy'!R67</f>
        <v>0</v>
      </c>
      <c r="T67" s="873">
        <f t="shared" si="26"/>
        <v>2424.9</v>
      </c>
      <c r="U67" s="873">
        <f t="shared" si="27"/>
        <v>202</v>
      </c>
      <c r="V67" s="850">
        <f t="shared" si="28"/>
        <v>8272.8617040046047</v>
      </c>
      <c r="W67" s="850">
        <f t="shared" si="29"/>
        <v>689</v>
      </c>
    </row>
    <row r="68" spans="1:148" s="558" customFormat="1" ht="17.25" customHeight="1">
      <c r="A68" s="102">
        <v>65</v>
      </c>
      <c r="B68" s="816" t="s">
        <v>158</v>
      </c>
      <c r="C68" s="851">
        <f>'[2]ALL-Reformatted'!R70</f>
        <v>0</v>
      </c>
      <c r="D68" s="852">
        <f>'Table 3 Levels 1&amp;2'!BN73*90%+'Table 3 Levels 1&amp;2'!BV73*90%</f>
        <v>4121.0281142704143</v>
      </c>
      <c r="E68" s="852">
        <f t="shared" si="16"/>
        <v>0</v>
      </c>
      <c r="F68" s="853">
        <f>'Table 4 Level 3'!N70*90%</f>
        <v>746.20799999999997</v>
      </c>
      <c r="G68" s="853">
        <f t="shared" si="17"/>
        <v>0</v>
      </c>
      <c r="H68" s="853">
        <f t="shared" si="18"/>
        <v>0</v>
      </c>
      <c r="I68" s="853">
        <f>(('Table 3 Levels 1&amp;2'!BN73+'Table 3 Levels 1&amp;2'!BV73-D68)+('Table 4 Level 3'!N70-F68))*C68</f>
        <v>0</v>
      </c>
      <c r="J68" s="853">
        <f t="shared" si="19"/>
        <v>0</v>
      </c>
      <c r="K68" s="854">
        <f t="shared" si="20"/>
        <v>0</v>
      </c>
      <c r="L68" s="854">
        <f>'[24]Oct midyear LA Virtual Admy'!M68+'[25]LAVCA Adjusted amounts '!X68+'[26]Feb midyear adj_LA virtual '!M70</f>
        <v>-9608.6961131163589</v>
      </c>
      <c r="M68" s="855">
        <f t="shared" si="21"/>
        <v>-9608.6961131163589</v>
      </c>
      <c r="N68" s="855">
        <f t="shared" si="22"/>
        <v>-801</v>
      </c>
      <c r="O68" s="856">
        <f>'[18]FY2012-13 Final'!K72*90%</f>
        <v>4331.7</v>
      </c>
      <c r="P68" s="857">
        <f t="shared" si="23"/>
        <v>0</v>
      </c>
      <c r="Q68" s="857">
        <f t="shared" si="24"/>
        <v>0</v>
      </c>
      <c r="R68" s="857">
        <f t="shared" si="25"/>
        <v>0</v>
      </c>
      <c r="S68" s="856">
        <f>'[26]Feb midyear adj_LA virtual '!S70+'[24]Oct midyear LA Virtual Admy'!R68</f>
        <v>-8415</v>
      </c>
      <c r="T68" s="874">
        <f t="shared" si="26"/>
        <v>-8415</v>
      </c>
      <c r="U68" s="874">
        <f t="shared" si="27"/>
        <v>-701</v>
      </c>
      <c r="V68" s="858">
        <f t="shared" si="28"/>
        <v>-18023.696113116359</v>
      </c>
      <c r="W68" s="858">
        <f t="shared" si="29"/>
        <v>-1502</v>
      </c>
    </row>
    <row r="69" spans="1:148" s="558" customFormat="1" ht="17.25" customHeight="1">
      <c r="A69" s="101">
        <v>66</v>
      </c>
      <c r="B69" s="815" t="s">
        <v>159</v>
      </c>
      <c r="C69" s="835">
        <f>'[2]ALL-Reformatted'!R71</f>
        <v>3</v>
      </c>
      <c r="D69" s="836">
        <f>'Table 3 Levels 1&amp;2'!BN74*90%+'Table 3 Levels 1&amp;2'!BV74*90%</f>
        <v>5706.7886963944002</v>
      </c>
      <c r="E69" s="836">
        <f t="shared" ref="E69:E72" si="30">C69*D69</f>
        <v>17120.366089183201</v>
      </c>
      <c r="F69" s="837">
        <f>'Table 4 Level 3'!N71*90%</f>
        <v>657.05399999999997</v>
      </c>
      <c r="G69" s="837">
        <f t="shared" ref="G69:G72" si="31">F69*C69</f>
        <v>1971.1619999999998</v>
      </c>
      <c r="H69" s="837">
        <f t="shared" ref="H69:H72" si="32">E69+G69</f>
        <v>19091.528089183201</v>
      </c>
      <c r="I69" s="837">
        <f>(('Table 3 Levels 1&amp;2'!BN74+'Table 3 Levels 1&amp;2'!BV74-D69)+('Table 4 Level 3'!N71-F69))*C69</f>
        <v>2121.2808987981361</v>
      </c>
      <c r="J69" s="837">
        <f t="shared" ref="J69:J72" si="33">ROUND(-0.25%*H69,0)</f>
        <v>-48</v>
      </c>
      <c r="K69" s="838">
        <f t="shared" ref="K69:K72" si="34">H69+J69</f>
        <v>19043.528089183201</v>
      </c>
      <c r="L69" s="838">
        <f>'[24]Oct midyear LA Virtual Admy'!M69+'[25]LAVCA Adjusted amounts '!X69+'[26]Feb midyear adj_LA virtual '!M71</f>
        <v>-12410.974999368524</v>
      </c>
      <c r="M69" s="839">
        <f t="shared" ref="M69:M72" si="35">SUM(K69:L69)</f>
        <v>6632.5530898146772</v>
      </c>
      <c r="N69" s="839">
        <f t="shared" ref="N69:N72" si="36">ROUND(M69/12,0)</f>
        <v>553</v>
      </c>
      <c r="O69" s="840">
        <f>'[18]FY2012-13 Final'!K73*90%</f>
        <v>3164.4</v>
      </c>
      <c r="P69" s="841">
        <f t="shared" ref="P69:P72" si="37">O69*C69</f>
        <v>9493.2000000000007</v>
      </c>
      <c r="Q69" s="841">
        <f t="shared" ref="Q69:Q72" si="38">ROUND(P69*-0.25%,0)</f>
        <v>-24</v>
      </c>
      <c r="R69" s="841">
        <f t="shared" ref="R69:R72" si="39">SUM(P69:Q69)</f>
        <v>9469.2000000000007</v>
      </c>
      <c r="S69" s="840">
        <f>'[26]Feb midyear adj_LA virtual '!S71+'[24]Oct midyear LA Virtual Admy'!R69</f>
        <v>-6170.4000000000005</v>
      </c>
      <c r="T69" s="872">
        <f t="shared" ref="T69:T72" si="40">SUM(R69:S69)</f>
        <v>3298.8</v>
      </c>
      <c r="U69" s="872">
        <f t="shared" ref="U69:U72" si="41">ROUND(T69/12,0)</f>
        <v>275</v>
      </c>
      <c r="V69" s="842">
        <f t="shared" ref="V69:V72" si="42">T69+M69</f>
        <v>9931.3530898146782</v>
      </c>
      <c r="W69" s="842">
        <f t="shared" ref="W69:W72" si="43">N69+U69</f>
        <v>828</v>
      </c>
    </row>
    <row r="70" spans="1:148" s="558" customFormat="1" ht="17.25" customHeight="1">
      <c r="A70" s="101">
        <v>67</v>
      </c>
      <c r="B70" s="815" t="s">
        <v>32</v>
      </c>
      <c r="C70" s="843">
        <f>'[2]ALL-Reformatted'!R72</f>
        <v>1</v>
      </c>
      <c r="D70" s="844">
        <f>'Table 3 Levels 1&amp;2'!BN75*90%+'Table 3 Levels 1&amp;2'!BV75*90%</f>
        <v>4485.6990267330757</v>
      </c>
      <c r="E70" s="844">
        <f t="shared" si="30"/>
        <v>4485.6990267330757</v>
      </c>
      <c r="F70" s="845">
        <f>'Table 4 Level 3'!N72*90%</f>
        <v>644.04899999999998</v>
      </c>
      <c r="G70" s="845">
        <f t="shared" si="31"/>
        <v>644.04899999999998</v>
      </c>
      <c r="H70" s="845">
        <f t="shared" si="32"/>
        <v>5129.7480267330757</v>
      </c>
      <c r="I70" s="845">
        <f>(('Table 3 Levels 1&amp;2'!BN75+'Table 3 Levels 1&amp;2'!BV75-D70)+('Table 4 Level 3'!N72-F70))*C70</f>
        <v>569.97200297034158</v>
      </c>
      <c r="J70" s="845">
        <f t="shared" si="33"/>
        <v>-13</v>
      </c>
      <c r="K70" s="846">
        <f t="shared" si="34"/>
        <v>5116.7480267330757</v>
      </c>
      <c r="L70" s="846">
        <f>'[24]Oct midyear LA Virtual Admy'!M70+'[25]LAVCA Adjusted amounts '!X70+'[26]Feb midyear adj_LA virtual '!M72</f>
        <v>-5142.0204675875975</v>
      </c>
      <c r="M70" s="847">
        <f t="shared" si="35"/>
        <v>-25.272440854521847</v>
      </c>
      <c r="N70" s="847">
        <f t="shared" si="36"/>
        <v>-2</v>
      </c>
      <c r="O70" s="848">
        <f>'[18]FY2012-13 Final'!K74*90%</f>
        <v>4546.8</v>
      </c>
      <c r="P70" s="849">
        <f t="shared" si="37"/>
        <v>4546.8</v>
      </c>
      <c r="Q70" s="849">
        <f t="shared" si="38"/>
        <v>-11</v>
      </c>
      <c r="R70" s="849">
        <f t="shared" si="39"/>
        <v>4535.8</v>
      </c>
      <c r="S70" s="848">
        <f>'[26]Feb midyear adj_LA virtual '!S72+'[24]Oct midyear LA Virtual Admy'!R70</f>
        <v>-3922.2000000000003</v>
      </c>
      <c r="T70" s="873">
        <f t="shared" si="40"/>
        <v>613.59999999999991</v>
      </c>
      <c r="U70" s="873">
        <f t="shared" si="41"/>
        <v>51</v>
      </c>
      <c r="V70" s="850">
        <f t="shared" si="42"/>
        <v>588.32755914547806</v>
      </c>
      <c r="W70" s="850">
        <f t="shared" si="43"/>
        <v>49</v>
      </c>
    </row>
    <row r="71" spans="1:148" s="558" customFormat="1" ht="17.25" customHeight="1">
      <c r="A71" s="101">
        <v>68</v>
      </c>
      <c r="B71" s="815" t="s">
        <v>30</v>
      </c>
      <c r="C71" s="843">
        <f>'[2]ALL-Reformatted'!R73</f>
        <v>3</v>
      </c>
      <c r="D71" s="844">
        <f>'Table 3 Levels 1&amp;2'!BN76*90%+'Table 3 Levels 1&amp;2'!BV76*90%</f>
        <v>5411.5068874715762</v>
      </c>
      <c r="E71" s="844">
        <f t="shared" si="30"/>
        <v>16234.520662414729</v>
      </c>
      <c r="F71" s="845">
        <f>'Table 4 Level 3'!N73*90%</f>
        <v>718.83</v>
      </c>
      <c r="G71" s="845">
        <f t="shared" si="31"/>
        <v>2156.4900000000002</v>
      </c>
      <c r="H71" s="845">
        <f t="shared" si="32"/>
        <v>18391.01066241473</v>
      </c>
      <c r="I71" s="845">
        <f>(('Table 3 Levels 1&amp;2'!BN76+'Table 3 Levels 1&amp;2'!BV76-D71)+('Table 4 Level 3'!N73-F71))*C71</f>
        <v>2043.4456291571892</v>
      </c>
      <c r="J71" s="845">
        <f t="shared" si="33"/>
        <v>-46</v>
      </c>
      <c r="K71" s="846">
        <f t="shared" si="34"/>
        <v>18345.01066241473</v>
      </c>
      <c r="L71" s="846">
        <f>'[24]Oct midyear LA Virtual Admy'!M71+'[25]LAVCA Adjusted amounts '!X71+'[26]Feb midyear adj_LA virtual '!M73</f>
        <v>-2995.0170228479201</v>
      </c>
      <c r="M71" s="847">
        <f t="shared" si="35"/>
        <v>15349.99363956681</v>
      </c>
      <c r="N71" s="847">
        <f t="shared" si="36"/>
        <v>1279</v>
      </c>
      <c r="O71" s="848">
        <f>'[18]FY2012-13 Final'!K75*90%</f>
        <v>2486.7000000000003</v>
      </c>
      <c r="P71" s="849">
        <f t="shared" si="37"/>
        <v>7460.1</v>
      </c>
      <c r="Q71" s="849">
        <f t="shared" si="38"/>
        <v>-19</v>
      </c>
      <c r="R71" s="849">
        <f t="shared" si="39"/>
        <v>7441.1</v>
      </c>
      <c r="S71" s="848">
        <f>'[26]Feb midyear adj_LA virtual '!S73+'[24]Oct midyear LA Virtual Admy'!R71</f>
        <v>-1305</v>
      </c>
      <c r="T71" s="873">
        <f t="shared" si="40"/>
        <v>6136.1</v>
      </c>
      <c r="U71" s="873">
        <f t="shared" si="41"/>
        <v>511</v>
      </c>
      <c r="V71" s="850">
        <f t="shared" si="42"/>
        <v>21486.09363956681</v>
      </c>
      <c r="W71" s="850">
        <f t="shared" si="43"/>
        <v>1790</v>
      </c>
    </row>
    <row r="72" spans="1:148" s="558" customFormat="1" ht="17.25" customHeight="1">
      <c r="A72" s="101">
        <v>69</v>
      </c>
      <c r="B72" s="815" t="s">
        <v>213</v>
      </c>
      <c r="C72" s="843">
        <f>'[2]ALL-Reformatted'!R74</f>
        <v>7</v>
      </c>
      <c r="D72" s="844">
        <f>'Table 3 Levels 1&amp;2'!BN77*90%+'Table 3 Levels 1&amp;2'!BV77*90%</f>
        <v>5003.7425107817671</v>
      </c>
      <c r="E72" s="844">
        <f t="shared" si="30"/>
        <v>35026.197575472368</v>
      </c>
      <c r="F72" s="845">
        <f>'Table 4 Level 3'!N74*90%</f>
        <v>635.10299999999995</v>
      </c>
      <c r="G72" s="845">
        <f t="shared" si="31"/>
        <v>4445.7209999999995</v>
      </c>
      <c r="H72" s="845">
        <f t="shared" si="32"/>
        <v>39471.918575472366</v>
      </c>
      <c r="I72" s="845">
        <f>(('Table 3 Levels 1&amp;2'!BN77+'Table 3 Levels 1&amp;2'!BV77-D72)+('Table 4 Level 3'!N74-F72))*C72</f>
        <v>4385.7687306080397</v>
      </c>
      <c r="J72" s="845">
        <f t="shared" si="33"/>
        <v>-99</v>
      </c>
      <c r="K72" s="846">
        <f t="shared" si="34"/>
        <v>39372.918575472366</v>
      </c>
      <c r="L72" s="846">
        <f>'[24]Oct midyear LA Virtual Admy'!M72+'[25]LAVCA Adjusted amounts '!X72+'[26]Feb midyear adj_LA virtual '!M74</f>
        <v>13947.73694849098</v>
      </c>
      <c r="M72" s="847">
        <f t="shared" si="35"/>
        <v>53320.655523963345</v>
      </c>
      <c r="N72" s="847">
        <f t="shared" si="36"/>
        <v>4443</v>
      </c>
      <c r="O72" s="848">
        <f>'[18]FY2012-13 Final'!K76*90%</f>
        <v>2994.3</v>
      </c>
      <c r="P72" s="849">
        <f t="shared" si="37"/>
        <v>20960.100000000002</v>
      </c>
      <c r="Q72" s="849">
        <f t="shared" si="38"/>
        <v>-52</v>
      </c>
      <c r="R72" s="849">
        <f t="shared" si="39"/>
        <v>20908.100000000002</v>
      </c>
      <c r="S72" s="848">
        <f>'[26]Feb midyear adj_LA virtual '!S74+'[24]Oct midyear LA Virtual Admy'!R72</f>
        <v>7452</v>
      </c>
      <c r="T72" s="873">
        <f t="shared" si="40"/>
        <v>28360.100000000002</v>
      </c>
      <c r="U72" s="873">
        <f t="shared" si="41"/>
        <v>2363</v>
      </c>
      <c r="V72" s="850">
        <f t="shared" si="42"/>
        <v>81680.755523963351</v>
      </c>
      <c r="W72" s="850">
        <f t="shared" si="43"/>
        <v>6806</v>
      </c>
    </row>
    <row r="73" spans="1:148" s="865" customFormat="1" ht="24" customHeight="1">
      <c r="A73" s="859"/>
      <c r="B73" s="817" t="s">
        <v>470</v>
      </c>
      <c r="C73" s="860">
        <f>SUM(C4:C72)</f>
        <v>1130</v>
      </c>
      <c r="D73" s="861"/>
      <c r="E73" s="861">
        <f t="shared" ref="E73:N73" si="44">SUM(E4:E72)</f>
        <v>4491829.1398370108</v>
      </c>
      <c r="F73" s="862"/>
      <c r="G73" s="862">
        <f t="shared" si="44"/>
        <v>712717.87361792324</v>
      </c>
      <c r="H73" s="862">
        <f t="shared" si="44"/>
        <v>5204547.0134549327</v>
      </c>
      <c r="I73" s="862">
        <f t="shared" si="44"/>
        <v>577305.30871637049</v>
      </c>
      <c r="J73" s="862">
        <f t="shared" si="44"/>
        <v>-13015</v>
      </c>
      <c r="K73" s="863">
        <f t="shared" si="44"/>
        <v>5191532.0134549327</v>
      </c>
      <c r="L73" s="863">
        <f t="shared" si="44"/>
        <v>-61736.308203692904</v>
      </c>
      <c r="M73" s="864">
        <f t="shared" si="44"/>
        <v>5129795.7052512439</v>
      </c>
      <c r="N73" s="864">
        <f t="shared" si="44"/>
        <v>427485</v>
      </c>
      <c r="O73" s="818"/>
      <c r="P73" s="819">
        <f>SUM(P4:P72)</f>
        <v>4253733</v>
      </c>
      <c r="Q73" s="819">
        <f t="shared" ref="Q73:W73" si="45">SUM(Q4:Q72)</f>
        <v>-10635</v>
      </c>
      <c r="R73" s="819">
        <f t="shared" si="45"/>
        <v>4243098</v>
      </c>
      <c r="S73" s="819">
        <f t="shared" si="45"/>
        <v>61449.700000000033</v>
      </c>
      <c r="T73" s="875">
        <f t="shared" si="45"/>
        <v>4304547.6999999993</v>
      </c>
      <c r="U73" s="875">
        <f t="shared" si="45"/>
        <v>358711</v>
      </c>
      <c r="V73" s="819">
        <f t="shared" si="45"/>
        <v>9434343.4052512459</v>
      </c>
      <c r="W73" s="819">
        <f t="shared" si="45"/>
        <v>786196</v>
      </c>
    </row>
    <row r="74" spans="1:148" s="825" customFormat="1" ht="10.5" customHeight="1">
      <c r="A74" s="834"/>
      <c r="B74" s="833"/>
      <c r="C74" s="821"/>
      <c r="D74" s="822"/>
      <c r="E74" s="822"/>
      <c r="F74" s="822"/>
      <c r="G74" s="822"/>
      <c r="H74" s="822"/>
      <c r="I74" s="822"/>
      <c r="J74" s="822"/>
      <c r="K74" s="822"/>
      <c r="L74" s="822"/>
      <c r="M74" s="822"/>
      <c r="N74" s="822"/>
      <c r="O74" s="823"/>
      <c r="P74" s="823"/>
      <c r="Q74" s="824"/>
      <c r="R74" s="824"/>
      <c r="S74" s="824"/>
      <c r="T74" s="823"/>
      <c r="U74" s="823"/>
      <c r="V74" s="823"/>
      <c r="W74" s="823"/>
      <c r="X74" s="558"/>
      <c r="Y74" s="558"/>
      <c r="Z74" s="558"/>
      <c r="AA74" s="558"/>
      <c r="AB74" s="558"/>
      <c r="AC74" s="558"/>
      <c r="AD74" s="558"/>
      <c r="AE74" s="558"/>
      <c r="AF74" s="558"/>
      <c r="AG74" s="558"/>
      <c r="AH74" s="558"/>
      <c r="AI74" s="558"/>
      <c r="AJ74" s="558"/>
      <c r="AK74" s="558"/>
      <c r="AL74" s="558"/>
      <c r="AM74" s="558"/>
      <c r="AN74" s="558"/>
      <c r="AO74" s="558"/>
      <c r="AP74" s="558"/>
      <c r="AQ74" s="558"/>
      <c r="AR74" s="558"/>
      <c r="AS74" s="558"/>
      <c r="AT74" s="558"/>
      <c r="AU74" s="558"/>
      <c r="AV74" s="558"/>
      <c r="AW74" s="558"/>
      <c r="AX74" s="558"/>
      <c r="AY74" s="558"/>
      <c r="AZ74" s="558"/>
      <c r="BA74" s="558"/>
      <c r="BB74" s="558"/>
      <c r="BC74" s="558"/>
      <c r="BD74" s="558"/>
      <c r="BE74" s="558"/>
      <c r="BF74" s="558"/>
      <c r="BG74" s="558"/>
      <c r="BH74" s="558"/>
      <c r="BI74" s="558"/>
      <c r="BJ74" s="558"/>
      <c r="BK74" s="558"/>
      <c r="BL74" s="558"/>
      <c r="BM74" s="558"/>
      <c r="BN74" s="558"/>
      <c r="BO74" s="558"/>
      <c r="BP74" s="558"/>
      <c r="BQ74" s="558"/>
      <c r="BR74" s="558"/>
      <c r="BS74" s="558"/>
      <c r="BT74" s="558"/>
      <c r="BU74" s="558"/>
      <c r="BV74" s="558"/>
      <c r="BW74" s="558"/>
      <c r="BX74" s="558"/>
      <c r="BY74" s="558"/>
      <c r="BZ74" s="558"/>
      <c r="CA74" s="558"/>
      <c r="CB74" s="558"/>
      <c r="CC74" s="558"/>
      <c r="CD74" s="558"/>
      <c r="CE74" s="558"/>
      <c r="CF74" s="558"/>
      <c r="CG74" s="558"/>
      <c r="CH74" s="558"/>
      <c r="CI74" s="558"/>
      <c r="CJ74" s="558"/>
      <c r="CK74" s="558"/>
      <c r="CL74" s="558"/>
      <c r="CM74" s="558"/>
      <c r="CN74" s="558"/>
      <c r="CO74" s="558"/>
      <c r="CP74" s="558"/>
      <c r="CQ74" s="558"/>
      <c r="CR74" s="558"/>
      <c r="CS74" s="558"/>
      <c r="CT74" s="558"/>
      <c r="CU74" s="558"/>
      <c r="CV74" s="558"/>
      <c r="CW74" s="558"/>
      <c r="CX74" s="558"/>
      <c r="CY74" s="558"/>
      <c r="CZ74" s="558"/>
      <c r="DA74" s="558"/>
      <c r="DB74" s="558"/>
      <c r="DC74" s="558"/>
      <c r="DD74" s="558"/>
      <c r="DE74" s="558"/>
      <c r="DF74" s="558"/>
      <c r="DG74" s="558"/>
      <c r="DH74" s="558"/>
      <c r="DI74" s="558"/>
      <c r="DJ74" s="558"/>
      <c r="DK74" s="558"/>
      <c r="DL74" s="558"/>
      <c r="DM74" s="558"/>
      <c r="DN74" s="558"/>
      <c r="DO74" s="558"/>
      <c r="DP74" s="558"/>
      <c r="DQ74" s="558"/>
      <c r="DR74" s="558"/>
      <c r="DS74" s="558"/>
      <c r="DT74" s="558"/>
      <c r="DU74" s="558"/>
      <c r="DV74" s="558"/>
      <c r="DW74" s="558"/>
      <c r="DX74" s="558"/>
      <c r="DY74" s="558"/>
      <c r="DZ74" s="558"/>
      <c r="EA74" s="558"/>
      <c r="EB74" s="558"/>
      <c r="EC74" s="558"/>
      <c r="ED74" s="558"/>
      <c r="EE74" s="558"/>
      <c r="EF74" s="558"/>
      <c r="EG74" s="558"/>
      <c r="EH74" s="558"/>
      <c r="EI74" s="558"/>
      <c r="EJ74" s="558"/>
      <c r="EK74" s="558"/>
      <c r="EL74" s="558"/>
      <c r="EM74" s="558"/>
      <c r="EN74" s="558"/>
      <c r="EO74" s="558"/>
      <c r="EP74" s="558"/>
      <c r="EQ74" s="558"/>
      <c r="ER74" s="558"/>
    </row>
    <row r="75" spans="1:148" s="558" customFormat="1" ht="18.75" customHeight="1">
      <c r="A75" s="834"/>
      <c r="B75" s="870" t="s">
        <v>472</v>
      </c>
      <c r="C75" s="554"/>
      <c r="D75" s="555"/>
      <c r="E75" s="555"/>
      <c r="F75" s="557"/>
      <c r="G75" s="557"/>
      <c r="H75" s="557"/>
      <c r="I75" s="557"/>
      <c r="J75" s="557">
        <f>-J73</f>
        <v>13015</v>
      </c>
      <c r="K75" s="731">
        <f>J75</f>
        <v>13015</v>
      </c>
      <c r="L75" s="731"/>
      <c r="M75" s="730">
        <f>K75</f>
        <v>13015</v>
      </c>
      <c r="N75" s="730"/>
      <c r="O75" s="556"/>
      <c r="P75" s="585"/>
      <c r="Q75" s="585">
        <f>-Q73</f>
        <v>10635</v>
      </c>
      <c r="R75" s="585">
        <f>Q75</f>
        <v>10635</v>
      </c>
      <c r="S75" s="585"/>
      <c r="T75" s="876">
        <f>Q75</f>
        <v>10635</v>
      </c>
      <c r="U75" s="876"/>
      <c r="V75" s="586">
        <f t="shared" ref="V75" si="46">T75+M75</f>
        <v>23650</v>
      </c>
      <c r="W75" s="586"/>
    </row>
    <row r="76" spans="1:148" s="825" customFormat="1" ht="10.5" customHeight="1">
      <c r="A76" s="834"/>
      <c r="B76" s="833"/>
      <c r="C76" s="821"/>
      <c r="D76" s="822"/>
      <c r="E76" s="822"/>
      <c r="F76" s="822"/>
      <c r="G76" s="822"/>
      <c r="H76" s="822"/>
      <c r="I76" s="822"/>
      <c r="J76" s="822"/>
      <c r="K76" s="822"/>
      <c r="L76" s="822"/>
      <c r="M76" s="822"/>
      <c r="N76" s="822"/>
      <c r="O76" s="823"/>
      <c r="P76" s="823"/>
      <c r="Q76" s="824"/>
      <c r="R76" s="824"/>
      <c r="S76" s="824"/>
      <c r="T76" s="823"/>
      <c r="U76" s="823"/>
      <c r="V76" s="823"/>
      <c r="W76" s="823"/>
      <c r="X76" s="558"/>
      <c r="Y76" s="558"/>
      <c r="Z76" s="558"/>
      <c r="AA76" s="558"/>
      <c r="AB76" s="558"/>
      <c r="AC76" s="558"/>
      <c r="AD76" s="558"/>
      <c r="AE76" s="558"/>
      <c r="AF76" s="558"/>
      <c r="AG76" s="558"/>
      <c r="AH76" s="558"/>
      <c r="AI76" s="558"/>
      <c r="AJ76" s="558"/>
      <c r="AK76" s="558"/>
      <c r="AL76" s="558"/>
      <c r="AM76" s="558"/>
      <c r="AN76" s="558"/>
      <c r="AO76" s="558"/>
      <c r="AP76" s="558"/>
      <c r="AQ76" s="558"/>
      <c r="AR76" s="558"/>
      <c r="AS76" s="558"/>
      <c r="AT76" s="558"/>
      <c r="AU76" s="558"/>
      <c r="AV76" s="558"/>
      <c r="AW76" s="558"/>
      <c r="AX76" s="558"/>
      <c r="AY76" s="558"/>
      <c r="AZ76" s="558"/>
      <c r="BA76" s="558"/>
      <c r="BB76" s="558"/>
      <c r="BC76" s="558"/>
      <c r="BD76" s="558"/>
      <c r="BE76" s="558"/>
      <c r="BF76" s="558"/>
      <c r="BG76" s="558"/>
      <c r="BH76" s="558"/>
      <c r="BI76" s="558"/>
      <c r="BJ76" s="558"/>
      <c r="BK76" s="558"/>
      <c r="BL76" s="558"/>
      <c r="BM76" s="558"/>
      <c r="BN76" s="558"/>
      <c r="BO76" s="558"/>
      <c r="BP76" s="558"/>
      <c r="BQ76" s="558"/>
      <c r="BR76" s="558"/>
      <c r="BS76" s="558"/>
      <c r="BT76" s="558"/>
      <c r="BU76" s="558"/>
      <c r="BV76" s="558"/>
      <c r="BW76" s="558"/>
      <c r="BX76" s="558"/>
      <c r="BY76" s="558"/>
      <c r="BZ76" s="558"/>
      <c r="CA76" s="558"/>
      <c r="CB76" s="558"/>
      <c r="CC76" s="558"/>
      <c r="CD76" s="558"/>
      <c r="CE76" s="558"/>
      <c r="CF76" s="558"/>
      <c r="CG76" s="558"/>
      <c r="CH76" s="558"/>
      <c r="CI76" s="558"/>
      <c r="CJ76" s="558"/>
      <c r="CK76" s="558"/>
      <c r="CL76" s="558"/>
      <c r="CM76" s="558"/>
      <c r="CN76" s="558"/>
      <c r="CO76" s="558"/>
      <c r="CP76" s="558"/>
      <c r="CQ76" s="558"/>
      <c r="CR76" s="558"/>
      <c r="CS76" s="558"/>
      <c r="CT76" s="558"/>
      <c r="CU76" s="558"/>
      <c r="CV76" s="558"/>
      <c r="CW76" s="558"/>
      <c r="CX76" s="558"/>
      <c r="CY76" s="558"/>
      <c r="CZ76" s="558"/>
      <c r="DA76" s="558"/>
      <c r="DB76" s="558"/>
      <c r="DC76" s="558"/>
      <c r="DD76" s="558"/>
      <c r="DE76" s="558"/>
      <c r="DF76" s="558"/>
      <c r="DG76" s="558"/>
      <c r="DH76" s="558"/>
      <c r="DI76" s="558"/>
      <c r="DJ76" s="558"/>
      <c r="DK76" s="558"/>
      <c r="DL76" s="558"/>
      <c r="DM76" s="558"/>
      <c r="DN76" s="558"/>
      <c r="DO76" s="558"/>
      <c r="DP76" s="558"/>
      <c r="DQ76" s="558"/>
      <c r="DR76" s="558"/>
      <c r="DS76" s="558"/>
      <c r="DT76" s="558"/>
      <c r="DU76" s="558"/>
      <c r="DV76" s="558"/>
      <c r="DW76" s="558"/>
      <c r="DX76" s="558"/>
      <c r="DY76" s="558"/>
      <c r="DZ76" s="558"/>
      <c r="EA76" s="558"/>
      <c r="EB76" s="558"/>
      <c r="EC76" s="558"/>
      <c r="ED76" s="558"/>
      <c r="EE76" s="558"/>
      <c r="EF76" s="558"/>
      <c r="EG76" s="558"/>
      <c r="EH76" s="558"/>
      <c r="EI76" s="558"/>
      <c r="EJ76" s="558"/>
      <c r="EK76" s="558"/>
      <c r="EL76" s="558"/>
      <c r="EM76" s="558"/>
      <c r="EN76" s="558"/>
      <c r="EO76" s="558"/>
      <c r="EP76" s="558"/>
      <c r="EQ76" s="558"/>
      <c r="ER76" s="558"/>
    </row>
    <row r="77" spans="1:148" s="869" customFormat="1" ht="33.75" customHeight="1">
      <c r="A77" s="866"/>
      <c r="B77" s="826" t="s">
        <v>471</v>
      </c>
      <c r="C77" s="867">
        <f>SUM(C73:C76)</f>
        <v>1130</v>
      </c>
      <c r="D77" s="868"/>
      <c r="E77" s="868">
        <f t="shared" ref="E77:V77" si="47">SUM(E73:E76)</f>
        <v>4491829.1398370108</v>
      </c>
      <c r="F77" s="827"/>
      <c r="G77" s="827">
        <f t="shared" si="47"/>
        <v>712717.87361792324</v>
      </c>
      <c r="H77" s="827">
        <f t="shared" si="47"/>
        <v>5204547.0134549327</v>
      </c>
      <c r="I77" s="827"/>
      <c r="J77" s="827">
        <f t="shared" si="47"/>
        <v>0</v>
      </c>
      <c r="K77" s="828">
        <f t="shared" si="47"/>
        <v>5204547.0134549327</v>
      </c>
      <c r="L77" s="828">
        <f t="shared" si="47"/>
        <v>-61736.308203692904</v>
      </c>
      <c r="M77" s="829">
        <f t="shared" si="47"/>
        <v>5142810.7052512439</v>
      </c>
      <c r="N77" s="829"/>
      <c r="O77" s="830"/>
      <c r="P77" s="831">
        <f t="shared" si="47"/>
        <v>4253733</v>
      </c>
      <c r="Q77" s="831">
        <f t="shared" si="47"/>
        <v>0</v>
      </c>
      <c r="R77" s="831">
        <f t="shared" si="47"/>
        <v>4253733</v>
      </c>
      <c r="S77" s="831">
        <f t="shared" si="47"/>
        <v>61449.700000000033</v>
      </c>
      <c r="T77" s="877">
        <f t="shared" si="47"/>
        <v>4315182.6999999993</v>
      </c>
      <c r="U77" s="877"/>
      <c r="V77" s="832">
        <f t="shared" si="47"/>
        <v>9457993.4052512459</v>
      </c>
      <c r="W77" s="832"/>
    </row>
    <row r="78" spans="1:148" ht="12.75" customHeight="1">
      <c r="B78" s="559"/>
      <c r="C78" s="560"/>
      <c r="D78" s="561"/>
      <c r="E78" s="560"/>
      <c r="F78" s="560"/>
      <c r="G78" s="560"/>
      <c r="H78" s="562"/>
      <c r="I78" s="562"/>
      <c r="J78" s="562"/>
      <c r="K78" s="562"/>
      <c r="L78" s="562"/>
      <c r="M78" s="562"/>
      <c r="N78" s="562"/>
    </row>
    <row r="79" spans="1:148" ht="25.5" customHeight="1">
      <c r="C79" s="2103"/>
      <c r="D79" s="2103"/>
      <c r="E79" s="2103"/>
      <c r="F79" s="2103"/>
      <c r="G79" s="2103"/>
      <c r="H79" s="2103"/>
      <c r="I79" s="2103"/>
      <c r="J79" s="2103"/>
      <c r="K79" s="2103"/>
      <c r="L79" s="2103"/>
      <c r="M79" s="2103"/>
      <c r="N79" s="2103"/>
    </row>
    <row r="80" spans="1:148" s="767" customFormat="1" ht="33.75" hidden="1" customHeight="1">
      <c r="C80" s="765"/>
      <c r="D80" s="766"/>
      <c r="E80" s="766"/>
      <c r="F80" s="766"/>
      <c r="G80" s="766">
        <f>(G77/90%)*10%</f>
        <v>79190.874846435909</v>
      </c>
      <c r="H80" s="766"/>
      <c r="I80" s="766"/>
      <c r="J80" s="766"/>
    </row>
    <row r="81" spans="2:14" s="767" customFormat="1" ht="62.25" customHeight="1">
      <c r="C81" s="2051"/>
      <c r="D81" s="2051"/>
      <c r="E81" s="2051"/>
      <c r="F81" s="2051"/>
      <c r="G81" s="2051"/>
      <c r="H81" s="2051"/>
      <c r="I81" s="2051"/>
      <c r="J81" s="2051"/>
      <c r="K81" s="2051"/>
      <c r="L81" s="2051"/>
      <c r="M81" s="2051"/>
      <c r="N81" s="2051"/>
    </row>
    <row r="82" spans="2:14" ht="28.5" customHeight="1">
      <c r="C82" s="563"/>
    </row>
    <row r="83" spans="2:14" ht="28.5" customHeight="1">
      <c r="B83" s="564"/>
    </row>
  </sheetData>
  <mergeCells count="25">
    <mergeCell ref="A1:A2"/>
    <mergeCell ref="D1:D2"/>
    <mergeCell ref="U1:U2"/>
    <mergeCell ref="C79:N79"/>
    <mergeCell ref="C81:N81"/>
    <mergeCell ref="L1:L2"/>
    <mergeCell ref="M1:M2"/>
    <mergeCell ref="N1:N2"/>
    <mergeCell ref="T1:T2"/>
    <mergeCell ref="I1:I2"/>
    <mergeCell ref="V1:V2"/>
    <mergeCell ref="W1:W2"/>
    <mergeCell ref="B1:B2"/>
    <mergeCell ref="C1:C2"/>
    <mergeCell ref="E1:E2"/>
    <mergeCell ref="F1:F2"/>
    <mergeCell ref="G1:G2"/>
    <mergeCell ref="H1:H2"/>
    <mergeCell ref="J1:J2"/>
    <mergeCell ref="K1:K2"/>
    <mergeCell ref="O1:O2"/>
    <mergeCell ref="P1:P2"/>
    <mergeCell ref="Q1:Q2"/>
    <mergeCell ref="R1:R2"/>
    <mergeCell ref="S1:S2"/>
  </mergeCells>
  <printOptions horizontalCentered="1"/>
  <pageMargins left="0.2" right="0.32" top="0.86" bottom="0.25" header="0.24" footer="0.25"/>
  <pageSetup paperSize="5" scale="59" firstPageNumber="90" orientation="portrait" useFirstPageNumber="1" r:id="rId1"/>
  <headerFooter alignWithMargins="0">
    <oddHeader xml:space="preserve">&amp;L&amp;"Arial,Bold"&amp;20Table 5C-2: FY2013-14 Budget Letter (Projection) 
Type 2 Charter School Allocation (Louisiana Virtual Charter Academy) </oddHeader>
    <oddFooter>&amp;R&amp;P</oddFooter>
  </headerFooter>
  <colBreaks count="2" manualBreakCount="2">
    <brk id="9" max="78" man="1"/>
    <brk id="14" max="78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83"/>
  <sheetViews>
    <sheetView view="pageBreakPreview" zoomScale="90" zoomScaleNormal="85" zoomScaleSheetLayoutView="90" workbookViewId="0">
      <pane ySplit="3" topLeftCell="A4" activePane="bottomLeft" state="frozen"/>
      <selection activeCell="A2" sqref="A2:B4"/>
      <selection pane="bottomLeft" activeCell="B1" sqref="B1:B2"/>
    </sheetView>
  </sheetViews>
  <sheetFormatPr defaultColWidth="9.140625" defaultRowHeight="60.75" customHeight="1"/>
  <cols>
    <col min="1" max="1" width="3.42578125" style="549" bestFit="1" customWidth="1"/>
    <col min="2" max="2" width="33.28515625" style="549" customWidth="1"/>
    <col min="3" max="3" width="13.5703125" style="549" customWidth="1"/>
    <col min="4" max="4" width="13.42578125" style="549" customWidth="1"/>
    <col min="5" max="5" width="16.140625" style="562" customWidth="1"/>
    <col min="6" max="6" width="16.28515625" style="562" customWidth="1"/>
    <col min="7" max="7" width="15.5703125" style="562" customWidth="1"/>
    <col min="8" max="9" width="18.42578125" style="549" customWidth="1"/>
    <col min="10" max="10" width="16.28515625" style="549" customWidth="1"/>
    <col min="11" max="11" width="18.5703125" style="549" customWidth="1"/>
    <col min="12" max="12" width="13.7109375" style="549" bestFit="1" customWidth="1"/>
    <col min="13" max="13" width="17.5703125" style="549" bestFit="1" customWidth="1"/>
    <col min="14" max="14" width="15.28515625" style="549" bestFit="1" customWidth="1"/>
    <col min="15" max="15" width="11.7109375" style="549" customWidth="1"/>
    <col min="16" max="16" width="17.85546875" style="549" customWidth="1"/>
    <col min="17" max="17" width="12.7109375" style="549" bestFit="1" customWidth="1"/>
    <col min="18" max="18" width="15.7109375" style="549" customWidth="1"/>
    <col min="19" max="19" width="14.28515625" style="549" customWidth="1"/>
    <col min="20" max="20" width="15.5703125" style="549" customWidth="1"/>
    <col min="21" max="21" width="13" style="549" customWidth="1"/>
    <col min="22" max="22" width="17.28515625" style="549" customWidth="1"/>
    <col min="23" max="23" width="14.140625" style="549" customWidth="1"/>
    <col min="24" max="16384" width="9.140625" style="549"/>
  </cols>
  <sheetData>
    <row r="1" spans="1:23" ht="60.75" customHeight="1">
      <c r="A1" s="2090" t="s">
        <v>425</v>
      </c>
      <c r="B1" s="2090" t="s">
        <v>668</v>
      </c>
      <c r="C1" s="2092" t="s">
        <v>1178</v>
      </c>
      <c r="D1" s="1862" t="s">
        <v>468</v>
      </c>
      <c r="E1" s="2094" t="s">
        <v>1395</v>
      </c>
      <c r="F1" s="2095" t="s">
        <v>658</v>
      </c>
      <c r="G1" s="2046" t="s">
        <v>469</v>
      </c>
      <c r="H1" s="2094" t="s">
        <v>1404</v>
      </c>
      <c r="I1" s="2106" t="s">
        <v>687</v>
      </c>
      <c r="J1" s="1953" t="s">
        <v>422</v>
      </c>
      <c r="K1" s="2094" t="s">
        <v>1405</v>
      </c>
      <c r="L1" s="2104" t="s">
        <v>1230</v>
      </c>
      <c r="M1" s="2094" t="s">
        <v>423</v>
      </c>
      <c r="N1" s="2106" t="s">
        <v>1409</v>
      </c>
      <c r="O1" s="1990" t="s">
        <v>695</v>
      </c>
      <c r="P1" s="1990" t="s">
        <v>1406</v>
      </c>
      <c r="Q1" s="2096" t="s">
        <v>424</v>
      </c>
      <c r="R1" s="2108" t="s">
        <v>1407</v>
      </c>
      <c r="S1" s="2104" t="s">
        <v>1230</v>
      </c>
      <c r="T1" s="2097" t="s">
        <v>1408</v>
      </c>
      <c r="U1" s="2101" t="s">
        <v>1375</v>
      </c>
      <c r="V1" s="2057" t="s">
        <v>1410</v>
      </c>
      <c r="W1" s="2057" t="s">
        <v>1411</v>
      </c>
    </row>
    <row r="2" spans="1:23" ht="79.5" customHeight="1">
      <c r="A2" s="2091"/>
      <c r="B2" s="2091"/>
      <c r="C2" s="2093"/>
      <c r="D2" s="1864"/>
      <c r="E2" s="2094"/>
      <c r="F2" s="2095"/>
      <c r="G2" s="2047"/>
      <c r="H2" s="2094"/>
      <c r="I2" s="2107"/>
      <c r="J2" s="1864"/>
      <c r="K2" s="2094"/>
      <c r="L2" s="2105"/>
      <c r="M2" s="2094"/>
      <c r="N2" s="2107"/>
      <c r="O2" s="1991"/>
      <c r="P2" s="1991"/>
      <c r="Q2" s="1991"/>
      <c r="R2" s="2102"/>
      <c r="S2" s="2105"/>
      <c r="T2" s="2098"/>
      <c r="U2" s="2102"/>
      <c r="V2" s="2058"/>
      <c r="W2" s="2058"/>
    </row>
    <row r="3" spans="1:23" s="553" customFormat="1" ht="16.5" customHeight="1">
      <c r="A3" s="550"/>
      <c r="B3" s="550"/>
      <c r="C3" s="551">
        <v>1</v>
      </c>
      <c r="D3" s="552">
        <f>C3+1</f>
        <v>2</v>
      </c>
      <c r="E3" s="552">
        <f>D3+1</f>
        <v>3</v>
      </c>
      <c r="F3" s="552">
        <f>E3+1</f>
        <v>4</v>
      </c>
      <c r="G3" s="552">
        <f>F3+1</f>
        <v>5</v>
      </c>
      <c r="H3" s="552">
        <f t="shared" ref="H3" si="0">G3+1</f>
        <v>6</v>
      </c>
      <c r="I3" s="552">
        <f t="shared" ref="I3" si="1">H3+1</f>
        <v>7</v>
      </c>
      <c r="J3" s="552">
        <f t="shared" ref="J3" si="2">I3+1</f>
        <v>8</v>
      </c>
      <c r="K3" s="552">
        <f t="shared" ref="K3" si="3">J3+1</f>
        <v>9</v>
      </c>
      <c r="L3" s="552">
        <f t="shared" ref="L3" si="4">K3+1</f>
        <v>10</v>
      </c>
      <c r="M3" s="552">
        <f t="shared" ref="M3" si="5">L3+1</f>
        <v>11</v>
      </c>
      <c r="N3" s="552">
        <f t="shared" ref="N3" si="6">M3+1</f>
        <v>12</v>
      </c>
      <c r="O3" s="552">
        <f t="shared" ref="O3" si="7">N3+1</f>
        <v>13</v>
      </c>
      <c r="P3" s="552">
        <f t="shared" ref="P3" si="8">O3+1</f>
        <v>14</v>
      </c>
      <c r="Q3" s="552">
        <f t="shared" ref="Q3" si="9">P3+1</f>
        <v>15</v>
      </c>
      <c r="R3" s="552">
        <f t="shared" ref="R3" si="10">Q3+1</f>
        <v>16</v>
      </c>
      <c r="S3" s="552">
        <f t="shared" ref="S3" si="11">R3+1</f>
        <v>17</v>
      </c>
      <c r="T3" s="552">
        <f t="shared" ref="T3" si="12">S3+1</f>
        <v>18</v>
      </c>
      <c r="U3" s="552">
        <f t="shared" ref="U3" si="13">T3+1</f>
        <v>19</v>
      </c>
      <c r="V3" s="552">
        <f t="shared" ref="V3" si="14">U3+1</f>
        <v>20</v>
      </c>
      <c r="W3" s="552">
        <f t="shared" ref="W3" si="15">V3+1</f>
        <v>21</v>
      </c>
    </row>
    <row r="4" spans="1:23" s="558" customFormat="1" ht="16.5" customHeight="1">
      <c r="A4" s="101">
        <v>1</v>
      </c>
      <c r="B4" s="815" t="s">
        <v>95</v>
      </c>
      <c r="C4" s="835">
        <f>'[2]ALL-Reformatted'!T6</f>
        <v>18</v>
      </c>
      <c r="D4" s="836">
        <f>'Table 3 Levels 1&amp;2'!BN9*90%+'Table 3 Levels 1&amp;2'!BV9*90%</f>
        <v>4108.6897254148853</v>
      </c>
      <c r="E4" s="836">
        <f>C4*D4</f>
        <v>73956.415057467937</v>
      </c>
      <c r="F4" s="837">
        <f>'Table 4 Level 3'!N6*90%</f>
        <v>699.73200000000008</v>
      </c>
      <c r="G4" s="837">
        <f>F4*C4</f>
        <v>12595.176000000001</v>
      </c>
      <c r="H4" s="837">
        <f>E4+G4</f>
        <v>86551.591057467944</v>
      </c>
      <c r="I4" s="837">
        <f>(('Table 3 Levels 1&amp;2'!BN9+'Table 3 Levels 1&amp;2'!BV9-D4)+('Table 4 Level 3'!N6-F4))*C4</f>
        <v>9616.8434508297687</v>
      </c>
      <c r="J4" s="837">
        <f>ROUND(-0.25%*H4,0)</f>
        <v>-216</v>
      </c>
      <c r="K4" s="838">
        <f>H4+J4</f>
        <v>86335.591057467944</v>
      </c>
      <c r="L4" s="838">
        <f>'[24]Oct midyear LA Connections'!M4</f>
        <v>4859.36782369508</v>
      </c>
      <c r="M4" s="839">
        <f>SUM(K4:L4)</f>
        <v>91194.958881163024</v>
      </c>
      <c r="N4" s="839">
        <f>ROUND(M4/12,0)</f>
        <v>7600</v>
      </c>
      <c r="O4" s="841">
        <f>'[18]FY2012-13 Final'!K8*90%</f>
        <v>1900.8</v>
      </c>
      <c r="P4" s="841">
        <f>O4*C4</f>
        <v>34214.400000000001</v>
      </c>
      <c r="Q4" s="841">
        <f>ROUND(P4*-0.25%,0)</f>
        <v>-86</v>
      </c>
      <c r="R4" s="841">
        <f>SUM(P4:Q4)</f>
        <v>34128.400000000001</v>
      </c>
      <c r="S4" s="840">
        <f>'[24]Oct midyear LA Connections'!R4</f>
        <v>2112</v>
      </c>
      <c r="T4" s="872">
        <f>SUM(R4:S4)</f>
        <v>36240.400000000001</v>
      </c>
      <c r="U4" s="872">
        <f>ROUND(T4/12,0)</f>
        <v>3020</v>
      </c>
      <c r="V4" s="842">
        <f>T4+M4</f>
        <v>127435.35888116303</v>
      </c>
      <c r="W4" s="842">
        <f>N4+U4</f>
        <v>10620</v>
      </c>
    </row>
    <row r="5" spans="1:23" s="558" customFormat="1" ht="16.5" customHeight="1">
      <c r="A5" s="101">
        <v>2</v>
      </c>
      <c r="B5" s="815" t="s">
        <v>96</v>
      </c>
      <c r="C5" s="843">
        <f>'[2]ALL-Reformatted'!T7</f>
        <v>2</v>
      </c>
      <c r="D5" s="844">
        <f>'Table 3 Levels 1&amp;2'!BN10*90%+'Table 3 Levels 1&amp;2'!BV10*90%</f>
        <v>5518.8432290262444</v>
      </c>
      <c r="E5" s="844">
        <f t="shared" ref="E5:E68" si="16">C5*D5</f>
        <v>11037.686458052489</v>
      </c>
      <c r="F5" s="845">
        <f>'Table 4 Level 3'!N7*90%</f>
        <v>758.08800000000008</v>
      </c>
      <c r="G5" s="845">
        <f t="shared" ref="G5:G68" si="17">F5*C5</f>
        <v>1516.1760000000002</v>
      </c>
      <c r="H5" s="845">
        <f t="shared" ref="H5:H68" si="18">E5+G5</f>
        <v>12553.862458052488</v>
      </c>
      <c r="I5" s="845">
        <f>(('Table 3 Levels 1&amp;2'!BN10+'Table 3 Levels 1&amp;2'!BV10-D5)+('Table 4 Level 3'!N7-F5))*C5</f>
        <v>1394.8736064502773</v>
      </c>
      <c r="J5" s="845">
        <f t="shared" ref="J5:J68" si="19">ROUND(-0.25%*H5,0)</f>
        <v>-31</v>
      </c>
      <c r="K5" s="846">
        <f t="shared" ref="K5:K68" si="20">H5+J5</f>
        <v>12522.862458052488</v>
      </c>
      <c r="L5" s="846">
        <f>'[24]Oct midyear LA Connections'!M5</f>
        <v>6276.7396499094393</v>
      </c>
      <c r="M5" s="847">
        <f t="shared" ref="M5:M68" si="21">SUM(K5:L5)</f>
        <v>18799.602107961928</v>
      </c>
      <c r="N5" s="847">
        <f t="shared" ref="N5:N68" si="22">ROUND(M5/12,0)</f>
        <v>1567</v>
      </c>
      <c r="O5" s="849">
        <f>'[18]FY2012-13 Final'!K9*90%</f>
        <v>2325.6</v>
      </c>
      <c r="P5" s="849">
        <f t="shared" ref="P5:P68" si="23">O5*C5</f>
        <v>4651.2</v>
      </c>
      <c r="Q5" s="849">
        <f t="shared" ref="Q5:Q68" si="24">ROUND(P5*-0.25%,0)</f>
        <v>-12</v>
      </c>
      <c r="R5" s="849">
        <f t="shared" ref="R5:R68" si="25">SUM(P5:Q5)</f>
        <v>4639.2</v>
      </c>
      <c r="S5" s="848">
        <f>'[24]Oct midyear LA Connections'!R5</f>
        <v>2584</v>
      </c>
      <c r="T5" s="873">
        <f t="shared" ref="T5:T68" si="26">SUM(R5:S5)</f>
        <v>7223.2</v>
      </c>
      <c r="U5" s="873">
        <f t="shared" ref="U5:U68" si="27">ROUND(T5/12,0)</f>
        <v>602</v>
      </c>
      <c r="V5" s="850">
        <f t="shared" ref="V5:V68" si="28">T5+M5</f>
        <v>26022.802107961928</v>
      </c>
      <c r="W5" s="850">
        <f t="shared" ref="W5:W68" si="29">N5+U5</f>
        <v>2169</v>
      </c>
    </row>
    <row r="6" spans="1:23" s="558" customFormat="1" ht="16.5" customHeight="1">
      <c r="A6" s="101">
        <v>3</v>
      </c>
      <c r="B6" s="815" t="s">
        <v>97</v>
      </c>
      <c r="C6" s="843">
        <f>'[2]ALL-Reformatted'!T8</f>
        <v>27</v>
      </c>
      <c r="D6" s="844">
        <f>'Table 3 Levels 1&amp;2'!BN11*90%+'Table 3 Levels 1&amp;2'!BV11*90%</f>
        <v>3768.2663568332787</v>
      </c>
      <c r="E6" s="844">
        <f t="shared" si="16"/>
        <v>101743.19163449852</v>
      </c>
      <c r="F6" s="845">
        <f>'Table 4 Level 3'!N8*90%</f>
        <v>537.15600000000006</v>
      </c>
      <c r="G6" s="845">
        <f t="shared" si="17"/>
        <v>14503.212000000001</v>
      </c>
      <c r="H6" s="845">
        <f t="shared" si="18"/>
        <v>116246.40363449852</v>
      </c>
      <c r="I6" s="845">
        <f>(('Table 3 Levels 1&amp;2'!BN11+'Table 3 Levels 1&amp;2'!BV11-D6)+('Table 4 Level 3'!N8-F6))*C6</f>
        <v>12916.267070499833</v>
      </c>
      <c r="J6" s="845">
        <f t="shared" si="19"/>
        <v>-291</v>
      </c>
      <c r="K6" s="846">
        <f t="shared" si="20"/>
        <v>115955.40363449852</v>
      </c>
      <c r="L6" s="846">
        <f>'[24]Oct midyear LA Connections'!M6</f>
        <v>0</v>
      </c>
      <c r="M6" s="847">
        <f t="shared" si="21"/>
        <v>115955.40363449852</v>
      </c>
      <c r="N6" s="847">
        <f t="shared" si="22"/>
        <v>9663</v>
      </c>
      <c r="O6" s="849">
        <f>'[18]FY2012-13 Final'!K10*90%</f>
        <v>4469.4000000000005</v>
      </c>
      <c r="P6" s="849">
        <f t="shared" si="23"/>
        <v>120673.80000000002</v>
      </c>
      <c r="Q6" s="849">
        <f t="shared" si="24"/>
        <v>-302</v>
      </c>
      <c r="R6" s="849">
        <f t="shared" si="25"/>
        <v>120371.80000000002</v>
      </c>
      <c r="S6" s="848">
        <f>'[24]Oct midyear LA Connections'!R6</f>
        <v>0</v>
      </c>
      <c r="T6" s="873">
        <f t="shared" si="26"/>
        <v>120371.80000000002</v>
      </c>
      <c r="U6" s="873">
        <f t="shared" si="27"/>
        <v>10031</v>
      </c>
      <c r="V6" s="850">
        <f t="shared" si="28"/>
        <v>236327.20363449852</v>
      </c>
      <c r="W6" s="850">
        <f t="shared" si="29"/>
        <v>19694</v>
      </c>
    </row>
    <row r="7" spans="1:23" s="558" customFormat="1" ht="16.5" customHeight="1">
      <c r="A7" s="101">
        <v>4</v>
      </c>
      <c r="B7" s="815" t="s">
        <v>98</v>
      </c>
      <c r="C7" s="843">
        <f>'[2]ALL-Reformatted'!T9</f>
        <v>3</v>
      </c>
      <c r="D7" s="844">
        <f>'Table 3 Levels 1&amp;2'!BN12*90%+'Table 3 Levels 1&amp;2'!BV12*90%</f>
        <v>5326.9918883264327</v>
      </c>
      <c r="E7" s="844">
        <f t="shared" si="16"/>
        <v>15980.975664979298</v>
      </c>
      <c r="F7" s="845">
        <f>'Table 4 Level 3'!N9*90%</f>
        <v>527.18399999999997</v>
      </c>
      <c r="G7" s="845">
        <f t="shared" si="17"/>
        <v>1581.5519999999999</v>
      </c>
      <c r="H7" s="845">
        <f t="shared" si="18"/>
        <v>17562.527664979298</v>
      </c>
      <c r="I7" s="845">
        <f>(('Table 3 Levels 1&amp;2'!BN12+'Table 3 Levels 1&amp;2'!BV12-D7)+('Table 4 Level 3'!N9-F7))*C7</f>
        <v>1951.3919627754767</v>
      </c>
      <c r="J7" s="845">
        <f t="shared" si="19"/>
        <v>-44</v>
      </c>
      <c r="K7" s="846">
        <f t="shared" si="20"/>
        <v>17518.527664979298</v>
      </c>
      <c r="L7" s="846">
        <f>'[24]Oct midyear LA Connections'!M7</f>
        <v>11973.646737419585</v>
      </c>
      <c r="M7" s="847">
        <f t="shared" si="21"/>
        <v>29492.174402398883</v>
      </c>
      <c r="N7" s="847">
        <f t="shared" si="22"/>
        <v>2458</v>
      </c>
      <c r="O7" s="849">
        <f>'[18]FY2012-13 Final'!K11*90%</f>
        <v>3100.5</v>
      </c>
      <c r="P7" s="849">
        <f t="shared" si="23"/>
        <v>9301.5</v>
      </c>
      <c r="Q7" s="849">
        <f t="shared" si="24"/>
        <v>-23</v>
      </c>
      <c r="R7" s="849">
        <f t="shared" si="25"/>
        <v>9278.5</v>
      </c>
      <c r="S7" s="848">
        <f>'[24]Oct midyear LA Connections'!R7</f>
        <v>6890</v>
      </c>
      <c r="T7" s="873">
        <f t="shared" si="26"/>
        <v>16168.5</v>
      </c>
      <c r="U7" s="873">
        <f t="shared" si="27"/>
        <v>1347</v>
      </c>
      <c r="V7" s="850">
        <f t="shared" si="28"/>
        <v>45660.674402398887</v>
      </c>
      <c r="W7" s="850">
        <f t="shared" si="29"/>
        <v>3805</v>
      </c>
    </row>
    <row r="8" spans="1:23" s="558" customFormat="1" ht="16.5" customHeight="1">
      <c r="A8" s="102">
        <v>5</v>
      </c>
      <c r="B8" s="816" t="s">
        <v>99</v>
      </c>
      <c r="C8" s="851">
        <f>'[2]ALL-Reformatted'!T10</f>
        <v>14</v>
      </c>
      <c r="D8" s="852">
        <f>'Table 3 Levels 1&amp;2'!BN13*90%+'Table 3 Levels 1&amp;2'!BV13*90%</f>
        <v>4392.313591783296</v>
      </c>
      <c r="E8" s="852">
        <f t="shared" si="16"/>
        <v>61492.390284966146</v>
      </c>
      <c r="F8" s="853">
        <f>'Table 4 Level 3'!N10*90%</f>
        <v>500.31899999999996</v>
      </c>
      <c r="G8" s="853">
        <f t="shared" si="17"/>
        <v>7004.4659999999994</v>
      </c>
      <c r="H8" s="853">
        <f t="shared" si="18"/>
        <v>68496.856284966139</v>
      </c>
      <c r="I8" s="853">
        <f>(('Table 3 Levels 1&amp;2'!BN13+'Table 3 Levels 1&amp;2'!BV13-D8)+('Table 4 Level 3'!N10-F8))*C8</f>
        <v>7610.7618094406816</v>
      </c>
      <c r="J8" s="853">
        <f t="shared" si="19"/>
        <v>-171</v>
      </c>
      <c r="K8" s="854">
        <f t="shared" si="20"/>
        <v>68325.856284966139</v>
      </c>
      <c r="L8" s="854">
        <f>'[24]Oct midyear LA Connections'!M8</f>
        <v>0</v>
      </c>
      <c r="M8" s="855">
        <f t="shared" si="21"/>
        <v>68325.856284966139</v>
      </c>
      <c r="N8" s="855">
        <f t="shared" si="22"/>
        <v>5694</v>
      </c>
      <c r="O8" s="857">
        <f>'[18]FY2012-13 Final'!K12*90%</f>
        <v>1217.7</v>
      </c>
      <c r="P8" s="857">
        <f t="shared" si="23"/>
        <v>17047.8</v>
      </c>
      <c r="Q8" s="857">
        <f t="shared" si="24"/>
        <v>-43</v>
      </c>
      <c r="R8" s="857">
        <f t="shared" si="25"/>
        <v>17004.8</v>
      </c>
      <c r="S8" s="856">
        <f>'[24]Oct midyear LA Connections'!R8</f>
        <v>0</v>
      </c>
      <c r="T8" s="874">
        <f t="shared" si="26"/>
        <v>17004.8</v>
      </c>
      <c r="U8" s="874">
        <f t="shared" si="27"/>
        <v>1417</v>
      </c>
      <c r="V8" s="858">
        <f t="shared" si="28"/>
        <v>85330.656284966142</v>
      </c>
      <c r="W8" s="858">
        <f t="shared" si="29"/>
        <v>7111</v>
      </c>
    </row>
    <row r="9" spans="1:23" s="558" customFormat="1" ht="16.5" customHeight="1">
      <c r="A9" s="101">
        <v>6</v>
      </c>
      <c r="B9" s="815" t="s">
        <v>100</v>
      </c>
      <c r="C9" s="835">
        <f>'[2]ALL-Reformatted'!T11</f>
        <v>22</v>
      </c>
      <c r="D9" s="836">
        <f>'Table 3 Levels 1&amp;2'!BN14*90%+'Table 3 Levels 1&amp;2'!BV14*90%</f>
        <v>4841.7983746631871</v>
      </c>
      <c r="E9" s="836">
        <f t="shared" si="16"/>
        <v>106519.56424259012</v>
      </c>
      <c r="F9" s="837">
        <f>'Table 4 Level 3'!N11*90%</f>
        <v>490.9319999999999</v>
      </c>
      <c r="G9" s="837">
        <f t="shared" si="17"/>
        <v>10800.503999999997</v>
      </c>
      <c r="H9" s="837">
        <f t="shared" si="18"/>
        <v>117320.06824259012</v>
      </c>
      <c r="I9" s="837">
        <f>(('Table 3 Levels 1&amp;2'!BN14+'Table 3 Levels 1&amp;2'!BV14-D9)+('Table 4 Level 3'!N11-F9))*C9</f>
        <v>13035.563138065567</v>
      </c>
      <c r="J9" s="837">
        <f t="shared" si="19"/>
        <v>-293</v>
      </c>
      <c r="K9" s="838">
        <f t="shared" si="20"/>
        <v>117027.06824259012</v>
      </c>
      <c r="L9" s="838">
        <f>'[24]Oct midyear LA Connections'!M9</f>
        <v>-5475.2111890695742</v>
      </c>
      <c r="M9" s="839">
        <f t="shared" si="21"/>
        <v>111551.85705352054</v>
      </c>
      <c r="N9" s="839">
        <f t="shared" si="22"/>
        <v>9296</v>
      </c>
      <c r="O9" s="841">
        <f>'[18]FY2012-13 Final'!K13*90%</f>
        <v>3218.4</v>
      </c>
      <c r="P9" s="841">
        <f t="shared" si="23"/>
        <v>70804.800000000003</v>
      </c>
      <c r="Q9" s="841">
        <f t="shared" si="24"/>
        <v>-177</v>
      </c>
      <c r="R9" s="841">
        <f t="shared" si="25"/>
        <v>70627.8</v>
      </c>
      <c r="S9" s="840">
        <f>'[24]Oct midyear LA Connections'!R9</f>
        <v>-3576</v>
      </c>
      <c r="T9" s="872">
        <f t="shared" si="26"/>
        <v>67051.8</v>
      </c>
      <c r="U9" s="872">
        <f t="shared" si="27"/>
        <v>5588</v>
      </c>
      <c r="V9" s="842">
        <f t="shared" si="28"/>
        <v>178603.65705352055</v>
      </c>
      <c r="W9" s="842">
        <f t="shared" si="29"/>
        <v>14884</v>
      </c>
    </row>
    <row r="10" spans="1:23" s="558" customFormat="1" ht="16.5" customHeight="1">
      <c r="A10" s="101">
        <v>7</v>
      </c>
      <c r="B10" s="815" t="s">
        <v>101</v>
      </c>
      <c r="C10" s="843">
        <f>'[2]ALL-Reformatted'!T12</f>
        <v>8</v>
      </c>
      <c r="D10" s="844">
        <f>'Table 3 Levels 1&amp;2'!BN15*90%+'Table 3 Levels 1&amp;2'!BV15*90%</f>
        <v>1528.3216587516961</v>
      </c>
      <c r="E10" s="844">
        <f t="shared" si="16"/>
        <v>12226.573270013569</v>
      </c>
      <c r="F10" s="845">
        <f>'Table 4 Level 3'!N12*90%</f>
        <v>681.22799999999984</v>
      </c>
      <c r="G10" s="845">
        <f t="shared" si="17"/>
        <v>5449.8239999999987</v>
      </c>
      <c r="H10" s="845">
        <f t="shared" si="18"/>
        <v>17676.397270013567</v>
      </c>
      <c r="I10" s="845">
        <f>(('Table 3 Levels 1&amp;2'!BN15+'Table 3 Levels 1&amp;2'!BV15-D10)+('Table 4 Level 3'!N12-F10))*C10</f>
        <v>1964.0441411126176</v>
      </c>
      <c r="J10" s="845">
        <f t="shared" si="19"/>
        <v>-44</v>
      </c>
      <c r="K10" s="846">
        <f t="shared" si="20"/>
        <v>17632.397270013567</v>
      </c>
      <c r="L10" s="846">
        <f>'[24]Oct midyear LA Connections'!M10</f>
        <v>0</v>
      </c>
      <c r="M10" s="847">
        <f t="shared" si="21"/>
        <v>17632.397270013567</v>
      </c>
      <c r="N10" s="847">
        <f t="shared" si="22"/>
        <v>1469</v>
      </c>
      <c r="O10" s="849">
        <f>'[18]FY2012-13 Final'!K14*90%</f>
        <v>11218.5</v>
      </c>
      <c r="P10" s="849">
        <f t="shared" si="23"/>
        <v>89748</v>
      </c>
      <c r="Q10" s="849">
        <f t="shared" si="24"/>
        <v>-224</v>
      </c>
      <c r="R10" s="849">
        <f t="shared" si="25"/>
        <v>89524</v>
      </c>
      <c r="S10" s="848">
        <f>'[24]Oct midyear LA Connections'!R10</f>
        <v>0</v>
      </c>
      <c r="T10" s="873">
        <f t="shared" si="26"/>
        <v>89524</v>
      </c>
      <c r="U10" s="873">
        <f t="shared" si="27"/>
        <v>7460</v>
      </c>
      <c r="V10" s="850">
        <f t="shared" si="28"/>
        <v>107156.39727001356</v>
      </c>
      <c r="W10" s="850">
        <f t="shared" si="29"/>
        <v>8929</v>
      </c>
    </row>
    <row r="11" spans="1:23" s="558" customFormat="1" ht="16.5" customHeight="1">
      <c r="A11" s="101">
        <v>8</v>
      </c>
      <c r="B11" s="815" t="s">
        <v>102</v>
      </c>
      <c r="C11" s="843">
        <f>'[2]ALL-Reformatted'!T13</f>
        <v>45</v>
      </c>
      <c r="D11" s="844">
        <f>'Table 3 Levels 1&amp;2'!BN16*90%+'Table 3 Levels 1&amp;2'!BV16*90%</f>
        <v>3815.8721028647078</v>
      </c>
      <c r="E11" s="844">
        <f t="shared" si="16"/>
        <v>171714.24462891184</v>
      </c>
      <c r="F11" s="845">
        <f>'Table 4 Level 3'!N13*90%</f>
        <v>653.18399999999997</v>
      </c>
      <c r="G11" s="845">
        <f t="shared" si="17"/>
        <v>29393.279999999999</v>
      </c>
      <c r="H11" s="845">
        <f t="shared" si="18"/>
        <v>201107.52462891184</v>
      </c>
      <c r="I11" s="845">
        <f>(('Table 3 Levels 1&amp;2'!BN16+'Table 3 Levels 1&amp;2'!BV16-D11)+('Table 4 Level 3'!N13-F11))*C11</f>
        <v>22345.280514323531</v>
      </c>
      <c r="J11" s="845">
        <f t="shared" si="19"/>
        <v>-503</v>
      </c>
      <c r="K11" s="846">
        <f t="shared" si="20"/>
        <v>200604.52462891184</v>
      </c>
      <c r="L11" s="846">
        <f>'[24]Oct midyear LA Connections'!M11</f>
        <v>0</v>
      </c>
      <c r="M11" s="847">
        <f t="shared" si="21"/>
        <v>200604.52462891184</v>
      </c>
      <c r="N11" s="847">
        <f t="shared" si="22"/>
        <v>16717</v>
      </c>
      <c r="O11" s="849">
        <f>'[18]FY2012-13 Final'!K15*90%</f>
        <v>3765.6</v>
      </c>
      <c r="P11" s="849">
        <f t="shared" si="23"/>
        <v>169452</v>
      </c>
      <c r="Q11" s="849">
        <f t="shared" si="24"/>
        <v>-424</v>
      </c>
      <c r="R11" s="849">
        <f t="shared" si="25"/>
        <v>169028</v>
      </c>
      <c r="S11" s="848">
        <f>'[24]Oct midyear LA Connections'!R11</f>
        <v>0</v>
      </c>
      <c r="T11" s="873">
        <f t="shared" si="26"/>
        <v>169028</v>
      </c>
      <c r="U11" s="873">
        <f t="shared" si="27"/>
        <v>14086</v>
      </c>
      <c r="V11" s="850">
        <f t="shared" si="28"/>
        <v>369632.52462891187</v>
      </c>
      <c r="W11" s="850">
        <f t="shared" si="29"/>
        <v>30803</v>
      </c>
    </row>
    <row r="12" spans="1:23" s="558" customFormat="1" ht="16.5" customHeight="1">
      <c r="A12" s="101">
        <v>9</v>
      </c>
      <c r="B12" s="815" t="s">
        <v>103</v>
      </c>
      <c r="C12" s="843">
        <f>'[2]ALL-Reformatted'!T14</f>
        <v>65</v>
      </c>
      <c r="D12" s="844">
        <f>'Table 3 Levels 1&amp;2'!BN17*90%+'Table 3 Levels 1&amp;2'!BV17*90%</f>
        <v>3925.1477587835716</v>
      </c>
      <c r="E12" s="844">
        <f t="shared" si="16"/>
        <v>255134.60432093215</v>
      </c>
      <c r="F12" s="845">
        <f>'Table 4 Level 3'!N14*90%</f>
        <v>670.28399999999999</v>
      </c>
      <c r="G12" s="845">
        <f t="shared" si="17"/>
        <v>43568.46</v>
      </c>
      <c r="H12" s="845">
        <f t="shared" si="18"/>
        <v>298703.06432093214</v>
      </c>
      <c r="I12" s="845">
        <f>(('Table 3 Levels 1&amp;2'!BN17+'Table 3 Levels 1&amp;2'!BV17-D12)+('Table 4 Level 3'!N14-F12))*C12</f>
        <v>33189.229368992455</v>
      </c>
      <c r="J12" s="845">
        <f t="shared" si="19"/>
        <v>-747</v>
      </c>
      <c r="K12" s="846">
        <f t="shared" si="20"/>
        <v>297956.06432093214</v>
      </c>
      <c r="L12" s="846">
        <f>'[24]Oct midyear LA Connections'!M12</f>
        <v>4511.7735544712632</v>
      </c>
      <c r="M12" s="847">
        <f t="shared" si="21"/>
        <v>302467.83787540341</v>
      </c>
      <c r="N12" s="847">
        <f t="shared" si="22"/>
        <v>25206</v>
      </c>
      <c r="O12" s="849">
        <f>'[18]FY2012-13 Final'!K16*90%</f>
        <v>4176</v>
      </c>
      <c r="P12" s="849">
        <f t="shared" si="23"/>
        <v>271440</v>
      </c>
      <c r="Q12" s="849">
        <f t="shared" si="24"/>
        <v>-679</v>
      </c>
      <c r="R12" s="849">
        <f t="shared" si="25"/>
        <v>270761</v>
      </c>
      <c r="S12" s="848">
        <f>'[24]Oct midyear LA Connections'!R12</f>
        <v>4640</v>
      </c>
      <c r="T12" s="873">
        <f t="shared" si="26"/>
        <v>275401</v>
      </c>
      <c r="U12" s="873">
        <f t="shared" si="27"/>
        <v>22950</v>
      </c>
      <c r="V12" s="850">
        <f t="shared" si="28"/>
        <v>577868.83787540346</v>
      </c>
      <c r="W12" s="850">
        <f t="shared" si="29"/>
        <v>48156</v>
      </c>
    </row>
    <row r="13" spans="1:23" s="558" customFormat="1" ht="16.5" customHeight="1">
      <c r="A13" s="102">
        <v>10</v>
      </c>
      <c r="B13" s="816" t="s">
        <v>104</v>
      </c>
      <c r="C13" s="851">
        <f>'[2]ALL-Reformatted'!T15</f>
        <v>53</v>
      </c>
      <c r="D13" s="852">
        <f>'Table 3 Levels 1&amp;2'!BN18*90%+'Table 3 Levels 1&amp;2'!BV18*90%</f>
        <v>3761.5177487614283</v>
      </c>
      <c r="E13" s="852">
        <f t="shared" si="16"/>
        <v>199360.44068435571</v>
      </c>
      <c r="F13" s="853">
        <f>'Table 4 Level 3'!N15*90%</f>
        <v>547.2360000000001</v>
      </c>
      <c r="G13" s="853">
        <f t="shared" si="17"/>
        <v>29003.508000000005</v>
      </c>
      <c r="H13" s="853">
        <f t="shared" si="18"/>
        <v>228363.94868435571</v>
      </c>
      <c r="I13" s="853">
        <f>(('Table 3 Levels 1&amp;2'!BN18+'Table 3 Levels 1&amp;2'!BV18-D13)+('Table 4 Level 3'!N15-F13))*C13</f>
        <v>25373.77207603951</v>
      </c>
      <c r="J13" s="853">
        <f t="shared" si="19"/>
        <v>-571</v>
      </c>
      <c r="K13" s="854">
        <f t="shared" si="20"/>
        <v>227792.94868435571</v>
      </c>
      <c r="L13" s="854">
        <f>'[24]Oct midyear LA Connections'!M13</f>
        <v>-8834.5946473338408</v>
      </c>
      <c r="M13" s="855">
        <f t="shared" si="21"/>
        <v>218958.35403702187</v>
      </c>
      <c r="N13" s="855">
        <f t="shared" si="22"/>
        <v>18247</v>
      </c>
      <c r="O13" s="857">
        <f>'[18]FY2012-13 Final'!K17*90%</f>
        <v>3951.9</v>
      </c>
      <c r="P13" s="857">
        <f t="shared" si="23"/>
        <v>209450.7</v>
      </c>
      <c r="Q13" s="857">
        <f t="shared" si="24"/>
        <v>-524</v>
      </c>
      <c r="R13" s="857">
        <f t="shared" si="25"/>
        <v>208926.7</v>
      </c>
      <c r="S13" s="856">
        <f>'[24]Oct midyear LA Connections'!R13</f>
        <v>-8782</v>
      </c>
      <c r="T13" s="874">
        <f t="shared" si="26"/>
        <v>200144.7</v>
      </c>
      <c r="U13" s="874">
        <f t="shared" si="27"/>
        <v>16679</v>
      </c>
      <c r="V13" s="858">
        <f t="shared" si="28"/>
        <v>419103.05403702188</v>
      </c>
      <c r="W13" s="858">
        <f t="shared" si="29"/>
        <v>34926</v>
      </c>
    </row>
    <row r="14" spans="1:23" s="558" customFormat="1" ht="16.5" customHeight="1">
      <c r="A14" s="101">
        <v>11</v>
      </c>
      <c r="B14" s="815" t="s">
        <v>105</v>
      </c>
      <c r="C14" s="835">
        <f>'[2]ALL-Reformatted'!T16</f>
        <v>2</v>
      </c>
      <c r="D14" s="836">
        <f>'Table 3 Levels 1&amp;2'!BN19*90%+'Table 3 Levels 1&amp;2'!BV19*90%</f>
        <v>6142.5199666338813</v>
      </c>
      <c r="E14" s="836">
        <f t="shared" si="16"/>
        <v>12285.039933267763</v>
      </c>
      <c r="F14" s="837">
        <f>'Table 4 Level 3'!N16*90%</f>
        <v>635.89499999999998</v>
      </c>
      <c r="G14" s="837">
        <f t="shared" si="17"/>
        <v>1271.79</v>
      </c>
      <c r="H14" s="837">
        <f t="shared" si="18"/>
        <v>13556.829933267763</v>
      </c>
      <c r="I14" s="837">
        <f>(('Table 3 Levels 1&amp;2'!BN19+'Table 3 Levels 1&amp;2'!BV19-D14)+('Table 4 Level 3'!N16-F14))*C14</f>
        <v>1506.3144370297509</v>
      </c>
      <c r="J14" s="837">
        <f t="shared" si="19"/>
        <v>-34</v>
      </c>
      <c r="K14" s="838">
        <f t="shared" si="20"/>
        <v>13522.829933267763</v>
      </c>
      <c r="L14" s="838">
        <f>'[24]Oct midyear LA Connections'!M14</f>
        <v>0</v>
      </c>
      <c r="M14" s="839">
        <f t="shared" si="21"/>
        <v>13522.829933267763</v>
      </c>
      <c r="N14" s="839">
        <f t="shared" si="22"/>
        <v>1127</v>
      </c>
      <c r="O14" s="841">
        <f>'[18]FY2012-13 Final'!K18*90%</f>
        <v>3087</v>
      </c>
      <c r="P14" s="841">
        <f t="shared" si="23"/>
        <v>6174</v>
      </c>
      <c r="Q14" s="841">
        <f t="shared" si="24"/>
        <v>-15</v>
      </c>
      <c r="R14" s="841">
        <f t="shared" si="25"/>
        <v>6159</v>
      </c>
      <c r="S14" s="840">
        <f>'[24]Oct midyear LA Connections'!R14</f>
        <v>0</v>
      </c>
      <c r="T14" s="872">
        <f t="shared" si="26"/>
        <v>6159</v>
      </c>
      <c r="U14" s="872">
        <f t="shared" si="27"/>
        <v>513</v>
      </c>
      <c r="V14" s="842">
        <f t="shared" si="28"/>
        <v>19681.829933267763</v>
      </c>
      <c r="W14" s="842">
        <f t="shared" si="29"/>
        <v>1640</v>
      </c>
    </row>
    <row r="15" spans="1:23" s="558" customFormat="1" ht="16.5" customHeight="1">
      <c r="A15" s="101">
        <v>12</v>
      </c>
      <c r="B15" s="815" t="s">
        <v>106</v>
      </c>
      <c r="C15" s="843">
        <f>'[2]ALL-Reformatted'!T17</f>
        <v>1</v>
      </c>
      <c r="D15" s="844">
        <f>'Table 3 Levels 1&amp;2'!BN20*90%+'Table 3 Levels 1&amp;2'!BV20*90%</f>
        <v>1519.2443327841845</v>
      </c>
      <c r="E15" s="844">
        <f t="shared" si="16"/>
        <v>1519.2443327841845</v>
      </c>
      <c r="F15" s="845">
        <f>'Table 4 Level 3'!N17*90%</f>
        <v>956.97899999999993</v>
      </c>
      <c r="G15" s="845">
        <f t="shared" si="17"/>
        <v>956.97899999999993</v>
      </c>
      <c r="H15" s="845">
        <f t="shared" si="18"/>
        <v>2476.2233327841845</v>
      </c>
      <c r="I15" s="845">
        <f>(('Table 3 Levels 1&amp;2'!BN20+'Table 3 Levels 1&amp;2'!BV20-D15)+('Table 4 Level 3'!N17-F15))*C15</f>
        <v>275.13592586490938</v>
      </c>
      <c r="J15" s="845">
        <f t="shared" si="19"/>
        <v>-6</v>
      </c>
      <c r="K15" s="846">
        <f t="shared" si="20"/>
        <v>2470.2233327841845</v>
      </c>
      <c r="L15" s="846">
        <f>'[24]Oct midyear LA Connections'!M15</f>
        <v>5120.275959183673</v>
      </c>
      <c r="M15" s="847">
        <f t="shared" si="21"/>
        <v>7590.4992919678571</v>
      </c>
      <c r="N15" s="847">
        <f t="shared" si="22"/>
        <v>633</v>
      </c>
      <c r="O15" s="849">
        <f>'[18]FY2012-13 Final'!K19*90%</f>
        <v>11302.2</v>
      </c>
      <c r="P15" s="849">
        <f t="shared" si="23"/>
        <v>11302.2</v>
      </c>
      <c r="Q15" s="849">
        <f t="shared" si="24"/>
        <v>-28</v>
      </c>
      <c r="R15" s="849">
        <f t="shared" si="25"/>
        <v>11274.2</v>
      </c>
      <c r="S15" s="848">
        <f>'[24]Oct midyear LA Connections'!R15</f>
        <v>25116</v>
      </c>
      <c r="T15" s="873">
        <f t="shared" si="26"/>
        <v>36390.199999999997</v>
      </c>
      <c r="U15" s="873">
        <f t="shared" si="27"/>
        <v>3033</v>
      </c>
      <c r="V15" s="850">
        <f t="shared" si="28"/>
        <v>43980.699291967852</v>
      </c>
      <c r="W15" s="850">
        <f t="shared" si="29"/>
        <v>3666</v>
      </c>
    </row>
    <row r="16" spans="1:23" s="558" customFormat="1" ht="16.5" customHeight="1">
      <c r="A16" s="101">
        <v>13</v>
      </c>
      <c r="B16" s="815" t="s">
        <v>107</v>
      </c>
      <c r="C16" s="843">
        <f>'[2]ALL-Reformatted'!T18</f>
        <v>3</v>
      </c>
      <c r="D16" s="844">
        <f>'Table 3 Levels 1&amp;2'!BN21*90%+'Table 3 Levels 1&amp;2'!BV21*90%</f>
        <v>5568.4486145148612</v>
      </c>
      <c r="E16" s="844">
        <f t="shared" si="16"/>
        <v>16705.345843544583</v>
      </c>
      <c r="F16" s="845">
        <f>'Table 4 Level 3'!N18*90%</f>
        <v>674.48700000000008</v>
      </c>
      <c r="G16" s="845">
        <f t="shared" si="17"/>
        <v>2023.4610000000002</v>
      </c>
      <c r="H16" s="845">
        <f t="shared" si="18"/>
        <v>18728.806843544582</v>
      </c>
      <c r="I16" s="845">
        <f>(('Table 3 Levels 1&amp;2'!BN21+'Table 3 Levels 1&amp;2'!BV21-D16)+('Table 4 Level 3'!N18-F16))*C16</f>
        <v>2080.9785381716192</v>
      </c>
      <c r="J16" s="845">
        <f t="shared" si="19"/>
        <v>-47</v>
      </c>
      <c r="K16" s="846">
        <f t="shared" si="20"/>
        <v>18681.806843544582</v>
      </c>
      <c r="L16" s="846">
        <f>'[24]Oct midyear LA Connections'!M16</f>
        <v>-6187.466871332982</v>
      </c>
      <c r="M16" s="847">
        <f t="shared" si="21"/>
        <v>12494.339972211601</v>
      </c>
      <c r="N16" s="847">
        <f t="shared" si="22"/>
        <v>1041</v>
      </c>
      <c r="O16" s="849">
        <f>'[18]FY2012-13 Final'!K20*90%</f>
        <v>2282.4</v>
      </c>
      <c r="P16" s="849">
        <f t="shared" si="23"/>
        <v>6847.2000000000007</v>
      </c>
      <c r="Q16" s="849">
        <f t="shared" si="24"/>
        <v>-17</v>
      </c>
      <c r="R16" s="849">
        <f t="shared" si="25"/>
        <v>6830.2000000000007</v>
      </c>
      <c r="S16" s="848">
        <f>'[24]Oct midyear LA Connections'!R16</f>
        <v>-2536</v>
      </c>
      <c r="T16" s="873">
        <f t="shared" si="26"/>
        <v>4294.2000000000007</v>
      </c>
      <c r="U16" s="873">
        <f t="shared" si="27"/>
        <v>358</v>
      </c>
      <c r="V16" s="850">
        <f t="shared" si="28"/>
        <v>16788.539972211602</v>
      </c>
      <c r="W16" s="850">
        <f t="shared" si="29"/>
        <v>1399</v>
      </c>
    </row>
    <row r="17" spans="1:23" s="558" customFormat="1" ht="16.5" customHeight="1">
      <c r="A17" s="101">
        <v>14</v>
      </c>
      <c r="B17" s="815" t="s">
        <v>108</v>
      </c>
      <c r="C17" s="843">
        <f>'[2]ALL-Reformatted'!T19</f>
        <v>11</v>
      </c>
      <c r="D17" s="844">
        <f>'Table 3 Levels 1&amp;2'!BN22*90%+'Table 3 Levels 1&amp;2'!BV22*90%</f>
        <v>4805.2698673157029</v>
      </c>
      <c r="E17" s="844">
        <f t="shared" si="16"/>
        <v>52857.968540472735</v>
      </c>
      <c r="F17" s="845">
        <f>'Table 4 Level 3'!N19*90%</f>
        <v>728.98199999999997</v>
      </c>
      <c r="G17" s="845">
        <f t="shared" si="17"/>
        <v>8018.8019999999997</v>
      </c>
      <c r="H17" s="845">
        <f t="shared" si="18"/>
        <v>60876.770540472731</v>
      </c>
      <c r="I17" s="845">
        <f>(('Table 3 Levels 1&amp;2'!BN22+'Table 3 Levels 1&amp;2'!BV22-D17)+('Table 4 Level 3'!N19-F17))*C17</f>
        <v>6764.0856156080827</v>
      </c>
      <c r="J17" s="845">
        <f t="shared" si="19"/>
        <v>-152</v>
      </c>
      <c r="K17" s="846">
        <f t="shared" si="20"/>
        <v>60724.770540472731</v>
      </c>
      <c r="L17" s="846">
        <f>'[24]Oct midyear LA Connections'!M17</f>
        <v>0</v>
      </c>
      <c r="M17" s="847">
        <f t="shared" si="21"/>
        <v>60724.770540472731</v>
      </c>
      <c r="N17" s="847">
        <f t="shared" si="22"/>
        <v>5060</v>
      </c>
      <c r="O17" s="849">
        <f>'[18]FY2012-13 Final'!K21*90%</f>
        <v>3499.2000000000003</v>
      </c>
      <c r="P17" s="849">
        <f t="shared" si="23"/>
        <v>38491.200000000004</v>
      </c>
      <c r="Q17" s="849">
        <f t="shared" si="24"/>
        <v>-96</v>
      </c>
      <c r="R17" s="849">
        <f t="shared" si="25"/>
        <v>38395.200000000004</v>
      </c>
      <c r="S17" s="848">
        <f>'[24]Oct midyear LA Connections'!R17</f>
        <v>0</v>
      </c>
      <c r="T17" s="873">
        <f t="shared" si="26"/>
        <v>38395.200000000004</v>
      </c>
      <c r="U17" s="873">
        <f t="shared" si="27"/>
        <v>3200</v>
      </c>
      <c r="V17" s="850">
        <f t="shared" si="28"/>
        <v>99119.970540472743</v>
      </c>
      <c r="W17" s="850">
        <f t="shared" si="29"/>
        <v>8260</v>
      </c>
    </row>
    <row r="18" spans="1:23" s="558" customFormat="1" ht="16.5" customHeight="1">
      <c r="A18" s="102">
        <v>15</v>
      </c>
      <c r="B18" s="816" t="s">
        <v>109</v>
      </c>
      <c r="C18" s="851">
        <f>'[2]ALL-Reformatted'!T20</f>
        <v>3</v>
      </c>
      <c r="D18" s="852">
        <f>'Table 3 Levels 1&amp;2'!BN23*90%+'Table 3 Levels 1&amp;2'!BV23*90%</f>
        <v>4943.3210471109605</v>
      </c>
      <c r="E18" s="852">
        <f t="shared" si="16"/>
        <v>14829.963141332883</v>
      </c>
      <c r="F18" s="853">
        <f>'Table 4 Level 3'!N20*90%</f>
        <v>498.41999999999996</v>
      </c>
      <c r="G18" s="853">
        <f t="shared" si="17"/>
        <v>1495.2599999999998</v>
      </c>
      <c r="H18" s="853">
        <f t="shared" si="18"/>
        <v>16325.223141332883</v>
      </c>
      <c r="I18" s="853">
        <f>(('Table 3 Levels 1&amp;2'!BN23+'Table 3 Levels 1&amp;2'!BV23-D18)+('Table 4 Level 3'!N20-F18))*C18</f>
        <v>1813.9136823703216</v>
      </c>
      <c r="J18" s="853">
        <f t="shared" si="19"/>
        <v>-41</v>
      </c>
      <c r="K18" s="854">
        <f t="shared" si="20"/>
        <v>16284.223141332883</v>
      </c>
      <c r="L18" s="854">
        <f>'[24]Oct midyear LA Connections'!M18</f>
        <v>5384.5058422961702</v>
      </c>
      <c r="M18" s="855">
        <f t="shared" si="21"/>
        <v>21668.728983629051</v>
      </c>
      <c r="N18" s="855">
        <f t="shared" si="22"/>
        <v>1806</v>
      </c>
      <c r="O18" s="857">
        <f>'[18]FY2012-13 Final'!K22*90%</f>
        <v>2476.8000000000002</v>
      </c>
      <c r="P18" s="857">
        <f t="shared" si="23"/>
        <v>7430.4000000000005</v>
      </c>
      <c r="Q18" s="857">
        <f t="shared" si="24"/>
        <v>-19</v>
      </c>
      <c r="R18" s="857">
        <f t="shared" si="25"/>
        <v>7411.4000000000005</v>
      </c>
      <c r="S18" s="856">
        <f>'[24]Oct midyear LA Connections'!R18</f>
        <v>2752</v>
      </c>
      <c r="T18" s="874">
        <f t="shared" si="26"/>
        <v>10163.400000000001</v>
      </c>
      <c r="U18" s="874">
        <f t="shared" si="27"/>
        <v>847</v>
      </c>
      <c r="V18" s="858">
        <f t="shared" si="28"/>
        <v>31832.128983629053</v>
      </c>
      <c r="W18" s="858">
        <f t="shared" si="29"/>
        <v>2653</v>
      </c>
    </row>
    <row r="19" spans="1:23" s="558" customFormat="1" ht="16.5" customHeight="1">
      <c r="A19" s="101">
        <v>16</v>
      </c>
      <c r="B19" s="815" t="s">
        <v>110</v>
      </c>
      <c r="C19" s="835">
        <f>'[2]ALL-Reformatted'!T21</f>
        <v>6</v>
      </c>
      <c r="D19" s="836">
        <f>'Table 3 Levels 1&amp;2'!BN24*90%+'Table 3 Levels 1&amp;2'!BV24*90%</f>
        <v>1355.5038067150635</v>
      </c>
      <c r="E19" s="836">
        <f t="shared" si="16"/>
        <v>8133.0228402903813</v>
      </c>
      <c r="F19" s="837">
        <f>'Table 4 Level 3'!N21*90%</f>
        <v>618.05700000000002</v>
      </c>
      <c r="G19" s="837">
        <f t="shared" si="17"/>
        <v>3708.3420000000001</v>
      </c>
      <c r="H19" s="837">
        <f t="shared" si="18"/>
        <v>11841.364840290382</v>
      </c>
      <c r="I19" s="837">
        <f>(('Table 3 Levels 1&amp;2'!BN24+'Table 3 Levels 1&amp;2'!BV24-D19)+('Table 4 Level 3'!N21-F19))*C19</f>
        <v>1315.7072044767092</v>
      </c>
      <c r="J19" s="837">
        <f t="shared" si="19"/>
        <v>-30</v>
      </c>
      <c r="K19" s="838">
        <f t="shared" si="20"/>
        <v>11811.364840290382</v>
      </c>
      <c r="L19" s="838">
        <f>'[24]Oct midyear LA Connections'!M19</f>
        <v>-1969.1793678713175</v>
      </c>
      <c r="M19" s="839">
        <f t="shared" si="21"/>
        <v>9842.1854724190634</v>
      </c>
      <c r="N19" s="839">
        <f t="shared" si="22"/>
        <v>820</v>
      </c>
      <c r="O19" s="841">
        <f>'[18]FY2012-13 Final'!K23*90%</f>
        <v>13582.800000000001</v>
      </c>
      <c r="P19" s="841">
        <f t="shared" si="23"/>
        <v>81496.800000000003</v>
      </c>
      <c r="Q19" s="841">
        <f t="shared" si="24"/>
        <v>-204</v>
      </c>
      <c r="R19" s="841">
        <f t="shared" si="25"/>
        <v>81292.800000000003</v>
      </c>
      <c r="S19" s="840">
        <f>'[24]Oct midyear LA Connections'!R19</f>
        <v>-15092</v>
      </c>
      <c r="T19" s="872">
        <f t="shared" si="26"/>
        <v>66200.800000000003</v>
      </c>
      <c r="U19" s="872">
        <f t="shared" si="27"/>
        <v>5517</v>
      </c>
      <c r="V19" s="842">
        <f t="shared" si="28"/>
        <v>76042.985472419066</v>
      </c>
      <c r="W19" s="842">
        <f t="shared" si="29"/>
        <v>6337</v>
      </c>
    </row>
    <row r="20" spans="1:23" s="558" customFormat="1" ht="16.5" customHeight="1">
      <c r="A20" s="101">
        <v>17</v>
      </c>
      <c r="B20" s="815" t="s">
        <v>111</v>
      </c>
      <c r="C20" s="843">
        <f>'[2]ALL-Reformatted'!T22</f>
        <v>76</v>
      </c>
      <c r="D20" s="844">
        <f>'Table 3 Levels 1&amp;2'!BN25*90%+'Table 3 Levels 1&amp;2'!BV25*90%</f>
        <v>2980.4497613964863</v>
      </c>
      <c r="E20" s="844">
        <f t="shared" si="16"/>
        <v>226514.18186613297</v>
      </c>
      <c r="F20" s="845">
        <f>'Table 5B2_RSD_LA'!F7*90%</f>
        <v>721.32986175126121</v>
      </c>
      <c r="G20" s="845">
        <f t="shared" si="17"/>
        <v>54821.069493095849</v>
      </c>
      <c r="H20" s="845">
        <f t="shared" si="18"/>
        <v>281335.2513592288</v>
      </c>
      <c r="I20" s="845">
        <f>(('Table 3 Levels 1&amp;2'!BN25+'Table 3 Levels 1&amp;2'!BV25-D20)+('Table 4 Level 3'!N22-F20))*C20</f>
        <v>31259.472373247656</v>
      </c>
      <c r="J20" s="845">
        <f t="shared" si="19"/>
        <v>-703</v>
      </c>
      <c r="K20" s="846">
        <f t="shared" si="20"/>
        <v>280632.2513592288</v>
      </c>
      <c r="L20" s="846">
        <f>'[24]Oct midyear LA Connections'!M20</f>
        <v>-18846.221942813136</v>
      </c>
      <c r="M20" s="847">
        <f t="shared" si="21"/>
        <v>261786.02941641567</v>
      </c>
      <c r="N20" s="847">
        <f t="shared" si="22"/>
        <v>21816</v>
      </c>
      <c r="O20" s="849">
        <f>'[18]FY2012-13 Final'!K24*90%</f>
        <v>5895.9000000000005</v>
      </c>
      <c r="P20" s="849">
        <f t="shared" si="23"/>
        <v>448088.4</v>
      </c>
      <c r="Q20" s="849">
        <f t="shared" si="24"/>
        <v>-1120</v>
      </c>
      <c r="R20" s="849">
        <f t="shared" si="25"/>
        <v>446968.4</v>
      </c>
      <c r="S20" s="848">
        <f>'[24]Oct midyear LA Connections'!R20</f>
        <v>-32755</v>
      </c>
      <c r="T20" s="873">
        <f t="shared" si="26"/>
        <v>414213.4</v>
      </c>
      <c r="U20" s="873">
        <f t="shared" si="27"/>
        <v>34518</v>
      </c>
      <c r="V20" s="850">
        <f t="shared" si="28"/>
        <v>675999.42941641575</v>
      </c>
      <c r="W20" s="850">
        <f t="shared" si="29"/>
        <v>56334</v>
      </c>
    </row>
    <row r="21" spans="1:23" s="558" customFormat="1" ht="16.5" customHeight="1">
      <c r="A21" s="101">
        <v>18</v>
      </c>
      <c r="B21" s="815" t="s">
        <v>112</v>
      </c>
      <c r="C21" s="843">
        <f>'[2]ALL-Reformatted'!T23</f>
        <v>0</v>
      </c>
      <c r="D21" s="844">
        <f>'Table 3 Levels 1&amp;2'!BN26*90%+'Table 3 Levels 1&amp;2'!BV26*90%</f>
        <v>5367.9141181828873</v>
      </c>
      <c r="E21" s="844">
        <f t="shared" si="16"/>
        <v>0</v>
      </c>
      <c r="F21" s="845">
        <f>'Table 4 Level 3'!N23*90%</f>
        <v>761.3549999999999</v>
      </c>
      <c r="G21" s="845">
        <f t="shared" si="17"/>
        <v>0</v>
      </c>
      <c r="H21" s="845">
        <f t="shared" si="18"/>
        <v>0</v>
      </c>
      <c r="I21" s="845">
        <f>(('Table 3 Levels 1&amp;2'!BN26+'Table 3 Levels 1&amp;2'!BV26-D21)+('Table 4 Level 3'!N23-F21))*C21</f>
        <v>0</v>
      </c>
      <c r="J21" s="845">
        <f t="shared" si="19"/>
        <v>0</v>
      </c>
      <c r="K21" s="846">
        <f t="shared" si="20"/>
        <v>0</v>
      </c>
      <c r="L21" s="846">
        <f>'[24]Oct midyear LA Connections'!M21</f>
        <v>0</v>
      </c>
      <c r="M21" s="847">
        <f t="shared" si="21"/>
        <v>0</v>
      </c>
      <c r="N21" s="847">
        <f t="shared" si="22"/>
        <v>0</v>
      </c>
      <c r="O21" s="849">
        <f>'[18]FY2012-13 Final'!K25*90%</f>
        <v>1948.5</v>
      </c>
      <c r="P21" s="849">
        <f t="shared" si="23"/>
        <v>0</v>
      </c>
      <c r="Q21" s="849">
        <f t="shared" si="24"/>
        <v>0</v>
      </c>
      <c r="R21" s="849">
        <f t="shared" si="25"/>
        <v>0</v>
      </c>
      <c r="S21" s="848">
        <f>'[24]Oct midyear LA Connections'!R21</f>
        <v>0</v>
      </c>
      <c r="T21" s="873">
        <f t="shared" si="26"/>
        <v>0</v>
      </c>
      <c r="U21" s="873">
        <f t="shared" si="27"/>
        <v>0</v>
      </c>
      <c r="V21" s="850">
        <f t="shared" si="28"/>
        <v>0</v>
      </c>
      <c r="W21" s="850">
        <f t="shared" si="29"/>
        <v>0</v>
      </c>
    </row>
    <row r="22" spans="1:23" s="558" customFormat="1" ht="16.5" customHeight="1">
      <c r="A22" s="101">
        <v>19</v>
      </c>
      <c r="B22" s="815" t="s">
        <v>113</v>
      </c>
      <c r="C22" s="843">
        <f>'[2]ALL-Reformatted'!T24</f>
        <v>6</v>
      </c>
      <c r="D22" s="844">
        <f>'Table 3 Levels 1&amp;2'!BN27*90%+'Table 3 Levels 1&amp;2'!BV27*90%</f>
        <v>4754.7979342628932</v>
      </c>
      <c r="E22" s="844">
        <f t="shared" si="16"/>
        <v>28528.787605577359</v>
      </c>
      <c r="F22" s="845">
        <f>'Table 4 Level 3'!N24*90%</f>
        <v>814.88699999999994</v>
      </c>
      <c r="G22" s="845">
        <f t="shared" si="17"/>
        <v>4889.3220000000001</v>
      </c>
      <c r="H22" s="845">
        <f t="shared" si="18"/>
        <v>33418.10960557736</v>
      </c>
      <c r="I22" s="845">
        <f>(('Table 3 Levels 1&amp;2'!BN27+'Table 3 Levels 1&amp;2'!BV27-D22)+('Table 4 Level 3'!N24-F22))*C22</f>
        <v>3713.1232895085977</v>
      </c>
      <c r="J22" s="845">
        <f t="shared" si="19"/>
        <v>-84</v>
      </c>
      <c r="K22" s="846">
        <f t="shared" si="20"/>
        <v>33334.10960557736</v>
      </c>
      <c r="L22" s="846">
        <f>'[24]Oct midyear LA Connections'!M22</f>
        <v>0</v>
      </c>
      <c r="M22" s="847">
        <f t="shared" si="21"/>
        <v>33334.10960557736</v>
      </c>
      <c r="N22" s="847">
        <f t="shared" si="22"/>
        <v>2778</v>
      </c>
      <c r="O22" s="849">
        <f>'[18]FY2012-13 Final'!K26*90%</f>
        <v>2456.1</v>
      </c>
      <c r="P22" s="849">
        <f t="shared" si="23"/>
        <v>14736.599999999999</v>
      </c>
      <c r="Q22" s="849">
        <f t="shared" si="24"/>
        <v>-37</v>
      </c>
      <c r="R22" s="849">
        <f t="shared" si="25"/>
        <v>14699.599999999999</v>
      </c>
      <c r="S22" s="848">
        <f>'[24]Oct midyear LA Connections'!R22</f>
        <v>0</v>
      </c>
      <c r="T22" s="873">
        <f t="shared" si="26"/>
        <v>14699.599999999999</v>
      </c>
      <c r="U22" s="873">
        <f t="shared" si="27"/>
        <v>1225</v>
      </c>
      <c r="V22" s="850">
        <f t="shared" si="28"/>
        <v>48033.709605577358</v>
      </c>
      <c r="W22" s="850">
        <f t="shared" si="29"/>
        <v>4003</v>
      </c>
    </row>
    <row r="23" spans="1:23" s="558" customFormat="1" ht="16.5" customHeight="1">
      <c r="A23" s="102">
        <v>20</v>
      </c>
      <c r="B23" s="816" t="s">
        <v>114</v>
      </c>
      <c r="C23" s="851">
        <f>'[2]ALL-Reformatted'!T25</f>
        <v>4</v>
      </c>
      <c r="D23" s="852">
        <f>'Table 3 Levels 1&amp;2'!BN28*90%+'Table 3 Levels 1&amp;2'!BV28*90%</f>
        <v>4850.6442385342325</v>
      </c>
      <c r="E23" s="852">
        <f t="shared" si="16"/>
        <v>19402.57695413693</v>
      </c>
      <c r="F23" s="853">
        <f>'Table 4 Level 3'!N25*90%</f>
        <v>527.553</v>
      </c>
      <c r="G23" s="853">
        <f t="shared" si="17"/>
        <v>2110.212</v>
      </c>
      <c r="H23" s="853">
        <f t="shared" si="18"/>
        <v>21512.78895413693</v>
      </c>
      <c r="I23" s="853">
        <f>(('Table 3 Levels 1&amp;2'!BN28+'Table 3 Levels 1&amp;2'!BV28-D23)+('Table 4 Level 3'!N25-F23))*C23</f>
        <v>2390.3098837929929</v>
      </c>
      <c r="J23" s="853">
        <f t="shared" si="19"/>
        <v>-54</v>
      </c>
      <c r="K23" s="854">
        <f t="shared" si="20"/>
        <v>21458.78895413693</v>
      </c>
      <c r="L23" s="854">
        <f>'[24]Oct midyear LA Connections'!M23</f>
        <v>0</v>
      </c>
      <c r="M23" s="855">
        <f t="shared" si="21"/>
        <v>21458.78895413693</v>
      </c>
      <c r="N23" s="855">
        <f t="shared" si="22"/>
        <v>1788</v>
      </c>
      <c r="O23" s="857">
        <f>'[18]FY2012-13 Final'!K27*90%</f>
        <v>2100.6</v>
      </c>
      <c r="P23" s="857">
        <f t="shared" si="23"/>
        <v>8402.4</v>
      </c>
      <c r="Q23" s="857">
        <f t="shared" si="24"/>
        <v>-21</v>
      </c>
      <c r="R23" s="857">
        <f t="shared" si="25"/>
        <v>8381.4</v>
      </c>
      <c r="S23" s="856">
        <f>'[24]Oct midyear LA Connections'!R23</f>
        <v>0</v>
      </c>
      <c r="T23" s="874">
        <f t="shared" si="26"/>
        <v>8381.4</v>
      </c>
      <c r="U23" s="874">
        <f t="shared" si="27"/>
        <v>698</v>
      </c>
      <c r="V23" s="858">
        <f t="shared" si="28"/>
        <v>29840.188954136931</v>
      </c>
      <c r="W23" s="858">
        <f t="shared" si="29"/>
        <v>2486</v>
      </c>
    </row>
    <row r="24" spans="1:23" s="558" customFormat="1" ht="16.5" customHeight="1">
      <c r="A24" s="101">
        <v>21</v>
      </c>
      <c r="B24" s="815" t="s">
        <v>115</v>
      </c>
      <c r="C24" s="835">
        <f>'[2]ALL-Reformatted'!T26</f>
        <v>10</v>
      </c>
      <c r="D24" s="836">
        <f>'Table 3 Levels 1&amp;2'!BN29*90%+'Table 3 Levels 1&amp;2'!BV29*90%</f>
        <v>5093.8406829587511</v>
      </c>
      <c r="E24" s="836">
        <f t="shared" si="16"/>
        <v>50938.406829587511</v>
      </c>
      <c r="F24" s="837">
        <f>'Table 4 Level 3'!N26*90%</f>
        <v>549.31500000000005</v>
      </c>
      <c r="G24" s="837">
        <f t="shared" si="17"/>
        <v>5493.1500000000005</v>
      </c>
      <c r="H24" s="837">
        <f t="shared" si="18"/>
        <v>56431.556829587513</v>
      </c>
      <c r="I24" s="837">
        <f>(('Table 3 Levels 1&amp;2'!BN29+'Table 3 Levels 1&amp;2'!BV29-D24)+('Table 4 Level 3'!N26-F24))*C24</f>
        <v>6270.1729810652714</v>
      </c>
      <c r="J24" s="837">
        <f t="shared" si="19"/>
        <v>-141</v>
      </c>
      <c r="K24" s="838">
        <f t="shared" si="20"/>
        <v>56290.556829587513</v>
      </c>
      <c r="L24" s="838">
        <f>'[24]Oct midyear LA Connections'!M24</f>
        <v>0</v>
      </c>
      <c r="M24" s="839">
        <f t="shared" si="21"/>
        <v>56290.556829587513</v>
      </c>
      <c r="N24" s="839">
        <f t="shared" si="22"/>
        <v>4691</v>
      </c>
      <c r="O24" s="841">
        <f>'[18]FY2012-13 Final'!K28*90%</f>
        <v>2009.7</v>
      </c>
      <c r="P24" s="841">
        <f t="shared" si="23"/>
        <v>20097</v>
      </c>
      <c r="Q24" s="841">
        <f t="shared" si="24"/>
        <v>-50</v>
      </c>
      <c r="R24" s="841">
        <f t="shared" si="25"/>
        <v>20047</v>
      </c>
      <c r="S24" s="840">
        <f>'[24]Oct midyear LA Connections'!R24</f>
        <v>0</v>
      </c>
      <c r="T24" s="872">
        <f t="shared" si="26"/>
        <v>20047</v>
      </c>
      <c r="U24" s="872">
        <f t="shared" si="27"/>
        <v>1671</v>
      </c>
      <c r="V24" s="842">
        <f t="shared" si="28"/>
        <v>76337.556829587513</v>
      </c>
      <c r="W24" s="842">
        <f t="shared" si="29"/>
        <v>6362</v>
      </c>
    </row>
    <row r="25" spans="1:23" s="558" customFormat="1" ht="16.5" customHeight="1">
      <c r="A25" s="101">
        <v>22</v>
      </c>
      <c r="B25" s="815" t="s">
        <v>116</v>
      </c>
      <c r="C25" s="843">
        <f>'[2]ALL-Reformatted'!T27</f>
        <v>5</v>
      </c>
      <c r="D25" s="844">
        <f>'Table 3 Levels 1&amp;2'!BN30*90%+'Table 3 Levels 1&amp;2'!BV30*90%</f>
        <v>5572.0797866062476</v>
      </c>
      <c r="E25" s="844">
        <f t="shared" si="16"/>
        <v>27860.39893303124</v>
      </c>
      <c r="F25" s="845">
        <f>'Table 4 Level 3'!N27*90%</f>
        <v>446.72400000000005</v>
      </c>
      <c r="G25" s="845">
        <f t="shared" si="17"/>
        <v>2233.6200000000003</v>
      </c>
      <c r="H25" s="845">
        <f t="shared" si="18"/>
        <v>30094.018933031239</v>
      </c>
      <c r="I25" s="845">
        <f>(('Table 3 Levels 1&amp;2'!BN30+'Table 3 Levels 1&amp;2'!BV30-D25)+('Table 4 Level 3'!N27-F25))*C25</f>
        <v>3343.7798814479152</v>
      </c>
      <c r="J25" s="845">
        <f t="shared" si="19"/>
        <v>-75</v>
      </c>
      <c r="K25" s="846">
        <f t="shared" si="20"/>
        <v>30019.018933031239</v>
      </c>
      <c r="L25" s="846">
        <f>'[24]Oct midyear LA Connections'!M25</f>
        <v>0</v>
      </c>
      <c r="M25" s="847">
        <f t="shared" si="21"/>
        <v>30019.018933031239</v>
      </c>
      <c r="N25" s="847">
        <f t="shared" si="22"/>
        <v>2502</v>
      </c>
      <c r="O25" s="849">
        <f>'[18]FY2012-13 Final'!K29*90%</f>
        <v>1269</v>
      </c>
      <c r="P25" s="849">
        <f t="shared" si="23"/>
        <v>6345</v>
      </c>
      <c r="Q25" s="849">
        <f t="shared" si="24"/>
        <v>-16</v>
      </c>
      <c r="R25" s="849">
        <f t="shared" si="25"/>
        <v>6329</v>
      </c>
      <c r="S25" s="848">
        <f>'[24]Oct midyear LA Connections'!R25</f>
        <v>0</v>
      </c>
      <c r="T25" s="873">
        <f t="shared" si="26"/>
        <v>6329</v>
      </c>
      <c r="U25" s="873">
        <f t="shared" si="27"/>
        <v>527</v>
      </c>
      <c r="V25" s="850">
        <f t="shared" si="28"/>
        <v>36348.018933031242</v>
      </c>
      <c r="W25" s="850">
        <f t="shared" si="29"/>
        <v>3029</v>
      </c>
    </row>
    <row r="26" spans="1:23" s="558" customFormat="1" ht="16.5" customHeight="1">
      <c r="A26" s="101">
        <v>23</v>
      </c>
      <c r="B26" s="815" t="s">
        <v>117</v>
      </c>
      <c r="C26" s="843">
        <f>'[2]ALL-Reformatted'!T28</f>
        <v>18</v>
      </c>
      <c r="D26" s="844">
        <f>'Table 3 Levels 1&amp;2'!BN31*90%+'Table 3 Levels 1&amp;2'!BV31*90%</f>
        <v>4309.459291948091</v>
      </c>
      <c r="E26" s="844">
        <f t="shared" si="16"/>
        <v>77570.267255065643</v>
      </c>
      <c r="F26" s="845">
        <f>'Table 4 Level 3'!N28*90%</f>
        <v>619.72200000000009</v>
      </c>
      <c r="G26" s="845">
        <f t="shared" si="17"/>
        <v>11154.996000000001</v>
      </c>
      <c r="H26" s="845">
        <f t="shared" si="18"/>
        <v>88725.263255065642</v>
      </c>
      <c r="I26" s="845">
        <f>(('Table 3 Levels 1&amp;2'!BN31+'Table 3 Levels 1&amp;2'!BV31-D26)+('Table 4 Level 3'!N28-F26))*C26</f>
        <v>9858.3625838961761</v>
      </c>
      <c r="J26" s="845">
        <f t="shared" si="19"/>
        <v>-222</v>
      </c>
      <c r="K26" s="846">
        <f t="shared" si="20"/>
        <v>88503.263255065642</v>
      </c>
      <c r="L26" s="846">
        <f>'[24]Oct midyear LA Connections'!M26</f>
        <v>4947.8489368326118</v>
      </c>
      <c r="M26" s="847">
        <f t="shared" si="21"/>
        <v>93451.112191898254</v>
      </c>
      <c r="N26" s="847">
        <f t="shared" si="22"/>
        <v>7788</v>
      </c>
      <c r="O26" s="849">
        <f>'[18]FY2012-13 Final'!K30*90%</f>
        <v>2932.2000000000003</v>
      </c>
      <c r="P26" s="849">
        <f t="shared" si="23"/>
        <v>52779.600000000006</v>
      </c>
      <c r="Q26" s="849">
        <f t="shared" si="24"/>
        <v>-132</v>
      </c>
      <c r="R26" s="849">
        <f t="shared" si="25"/>
        <v>52647.600000000006</v>
      </c>
      <c r="S26" s="848">
        <f>'[24]Oct midyear LA Connections'!R26</f>
        <v>3258</v>
      </c>
      <c r="T26" s="873">
        <f t="shared" si="26"/>
        <v>55905.600000000006</v>
      </c>
      <c r="U26" s="873">
        <f t="shared" si="27"/>
        <v>4659</v>
      </c>
      <c r="V26" s="850">
        <f t="shared" si="28"/>
        <v>149356.71219189826</v>
      </c>
      <c r="W26" s="850">
        <f t="shared" si="29"/>
        <v>12447</v>
      </c>
    </row>
    <row r="27" spans="1:23" s="558" customFormat="1" ht="16.5" customHeight="1">
      <c r="A27" s="101">
        <v>24</v>
      </c>
      <c r="B27" s="815" t="s">
        <v>118</v>
      </c>
      <c r="C27" s="843">
        <f>'[2]ALL-Reformatted'!T29</f>
        <v>1</v>
      </c>
      <c r="D27" s="844">
        <f>'Table 3 Levels 1&amp;2'!BN32*90%+'Table 3 Levels 1&amp;2'!BV32*90%</f>
        <v>2468.9953582417584</v>
      </c>
      <c r="E27" s="844">
        <f t="shared" si="16"/>
        <v>2468.9953582417584</v>
      </c>
      <c r="F27" s="845">
        <f>'Table 4 Level 3'!N29*90%</f>
        <v>768.82499999999993</v>
      </c>
      <c r="G27" s="845">
        <f t="shared" si="17"/>
        <v>768.82499999999993</v>
      </c>
      <c r="H27" s="845">
        <f t="shared" si="18"/>
        <v>3237.8203582417582</v>
      </c>
      <c r="I27" s="845">
        <f>(('Table 3 Levels 1&amp;2'!BN32+'Table 3 Levels 1&amp;2'!BV32-D27)+('Table 4 Level 3'!N29-F27))*C27</f>
        <v>359.7578175824176</v>
      </c>
      <c r="J27" s="845">
        <f t="shared" si="19"/>
        <v>-8</v>
      </c>
      <c r="K27" s="846">
        <f t="shared" si="20"/>
        <v>3229.8203582417582</v>
      </c>
      <c r="L27" s="846">
        <f>'[24]Oct midyear LA Connections'!M27</f>
        <v>-3153.625870730074</v>
      </c>
      <c r="M27" s="847">
        <f t="shared" si="21"/>
        <v>76.194487511684201</v>
      </c>
      <c r="N27" s="847">
        <f t="shared" si="22"/>
        <v>6</v>
      </c>
      <c r="O27" s="849">
        <f>'[18]FY2012-13 Final'!K31*90%</f>
        <v>8352</v>
      </c>
      <c r="P27" s="849">
        <f t="shared" si="23"/>
        <v>8352</v>
      </c>
      <c r="Q27" s="849">
        <f t="shared" si="24"/>
        <v>-21</v>
      </c>
      <c r="R27" s="849">
        <f t="shared" si="25"/>
        <v>8331</v>
      </c>
      <c r="S27" s="848">
        <f>'[24]Oct midyear LA Connections'!R27</f>
        <v>-9280</v>
      </c>
      <c r="T27" s="873">
        <f t="shared" si="26"/>
        <v>-949</v>
      </c>
      <c r="U27" s="873">
        <f t="shared" si="27"/>
        <v>-79</v>
      </c>
      <c r="V27" s="850">
        <f t="shared" si="28"/>
        <v>-872.8055124883158</v>
      </c>
      <c r="W27" s="850">
        <f t="shared" si="29"/>
        <v>-73</v>
      </c>
    </row>
    <row r="28" spans="1:23" s="558" customFormat="1" ht="16.5" customHeight="1">
      <c r="A28" s="102">
        <v>25</v>
      </c>
      <c r="B28" s="816" t="s">
        <v>119</v>
      </c>
      <c r="C28" s="851">
        <f>'[2]ALL-Reformatted'!T30</f>
        <v>1</v>
      </c>
      <c r="D28" s="852">
        <f>'Table 3 Levels 1&amp;2'!BN33*90%+'Table 3 Levels 1&amp;2'!BV33*90%</f>
        <v>3419.4501246102459</v>
      </c>
      <c r="E28" s="852">
        <f t="shared" si="16"/>
        <v>3419.4501246102459</v>
      </c>
      <c r="F28" s="853">
        <f>'Table 4 Level 3'!N30*90%</f>
        <v>588.35700000000008</v>
      </c>
      <c r="G28" s="853">
        <f t="shared" si="17"/>
        <v>588.35700000000008</v>
      </c>
      <c r="H28" s="853">
        <f t="shared" si="18"/>
        <v>4007.8071246102459</v>
      </c>
      <c r="I28" s="853">
        <f>(('Table 3 Levels 1&amp;2'!BN33+'Table 3 Levels 1&amp;2'!BV33-D28)+('Table 4 Level 3'!N30-F28))*C28</f>
        <v>445.3119027344718</v>
      </c>
      <c r="J28" s="853">
        <f t="shared" si="19"/>
        <v>-10</v>
      </c>
      <c r="K28" s="854">
        <f t="shared" si="20"/>
        <v>3997.8071246102459</v>
      </c>
      <c r="L28" s="854">
        <f>'[24]Oct midyear LA Connections'!M28</f>
        <v>0</v>
      </c>
      <c r="M28" s="855">
        <f t="shared" si="21"/>
        <v>3997.8071246102459</v>
      </c>
      <c r="N28" s="855">
        <f t="shared" si="22"/>
        <v>333</v>
      </c>
      <c r="O28" s="857">
        <f>'[18]FY2012-13 Final'!K32*90%</f>
        <v>4815.9000000000005</v>
      </c>
      <c r="P28" s="857">
        <f t="shared" si="23"/>
        <v>4815.9000000000005</v>
      </c>
      <c r="Q28" s="857">
        <f t="shared" si="24"/>
        <v>-12</v>
      </c>
      <c r="R28" s="857">
        <f t="shared" si="25"/>
        <v>4803.9000000000005</v>
      </c>
      <c r="S28" s="856">
        <f>'[24]Oct midyear LA Connections'!R28</f>
        <v>0</v>
      </c>
      <c r="T28" s="874">
        <f t="shared" si="26"/>
        <v>4803.9000000000005</v>
      </c>
      <c r="U28" s="874">
        <f t="shared" si="27"/>
        <v>400</v>
      </c>
      <c r="V28" s="858">
        <f t="shared" si="28"/>
        <v>8801.707124610246</v>
      </c>
      <c r="W28" s="858">
        <f t="shared" si="29"/>
        <v>733</v>
      </c>
    </row>
    <row r="29" spans="1:23" s="558" customFormat="1" ht="16.5" customHeight="1">
      <c r="A29" s="101">
        <v>26</v>
      </c>
      <c r="B29" s="815" t="s">
        <v>120</v>
      </c>
      <c r="C29" s="835">
        <f>'[2]ALL-Reformatted'!T31</f>
        <v>98</v>
      </c>
      <c r="D29" s="836">
        <f>'Table 3 Levels 1&amp;2'!BN34*90%+'Table 3 Levels 1&amp;2'!BV34*90%</f>
        <v>2988.7057890740475</v>
      </c>
      <c r="E29" s="836">
        <f t="shared" si="16"/>
        <v>292893.16732925666</v>
      </c>
      <c r="F29" s="837">
        <f>'Table 4 Level 3'!N31*90%</f>
        <v>753.14700000000005</v>
      </c>
      <c r="G29" s="837">
        <f t="shared" si="17"/>
        <v>73808.406000000003</v>
      </c>
      <c r="H29" s="837">
        <f t="shared" si="18"/>
        <v>366701.57332925667</v>
      </c>
      <c r="I29" s="837">
        <f>(('Table 3 Levels 1&amp;2'!BN34+'Table 3 Levels 1&amp;2'!BV34-D29)+('Table 4 Level 3'!N31-F29))*C29</f>
        <v>40744.619258806248</v>
      </c>
      <c r="J29" s="837">
        <f t="shared" si="19"/>
        <v>-917</v>
      </c>
      <c r="K29" s="838">
        <f t="shared" si="20"/>
        <v>365784.57332925667</v>
      </c>
      <c r="L29" s="838">
        <f>'[24]Oct midyear LA Connections'!M29</f>
        <v>0</v>
      </c>
      <c r="M29" s="839">
        <f t="shared" si="21"/>
        <v>365784.57332925667</v>
      </c>
      <c r="N29" s="839">
        <f t="shared" si="22"/>
        <v>30482</v>
      </c>
      <c r="O29" s="841">
        <f>'[18]FY2012-13 Final'!K33*90%</f>
        <v>4590</v>
      </c>
      <c r="P29" s="841">
        <f t="shared" si="23"/>
        <v>449820</v>
      </c>
      <c r="Q29" s="841">
        <f t="shared" si="24"/>
        <v>-1125</v>
      </c>
      <c r="R29" s="841">
        <f t="shared" si="25"/>
        <v>448695</v>
      </c>
      <c r="S29" s="840">
        <f>'[24]Oct midyear LA Connections'!R29</f>
        <v>0</v>
      </c>
      <c r="T29" s="872">
        <f t="shared" si="26"/>
        <v>448695</v>
      </c>
      <c r="U29" s="872">
        <f t="shared" si="27"/>
        <v>37391</v>
      </c>
      <c r="V29" s="842">
        <f t="shared" si="28"/>
        <v>814479.57332925661</v>
      </c>
      <c r="W29" s="842">
        <f t="shared" si="29"/>
        <v>67873</v>
      </c>
    </row>
    <row r="30" spans="1:23" s="558" customFormat="1" ht="16.5" customHeight="1">
      <c r="A30" s="101">
        <v>27</v>
      </c>
      <c r="B30" s="815" t="s">
        <v>121</v>
      </c>
      <c r="C30" s="843">
        <f>'[2]ALL-Reformatted'!T32</f>
        <v>7</v>
      </c>
      <c r="D30" s="844">
        <f>'Table 3 Levels 1&amp;2'!BN35*90%+'Table 3 Levels 1&amp;2'!BV35*90%</f>
        <v>5072.9327512175523</v>
      </c>
      <c r="E30" s="844">
        <f t="shared" si="16"/>
        <v>35510.529258522867</v>
      </c>
      <c r="F30" s="845">
        <f>'Table 4 Level 3'!N32*90%</f>
        <v>623.75400000000002</v>
      </c>
      <c r="G30" s="845">
        <f t="shared" si="17"/>
        <v>4366.2780000000002</v>
      </c>
      <c r="H30" s="845">
        <f t="shared" si="18"/>
        <v>39876.807258522866</v>
      </c>
      <c r="I30" s="845">
        <f>(('Table 3 Levels 1&amp;2'!BN35+'Table 3 Levels 1&amp;2'!BV35-D30)+('Table 4 Level 3'!N32-F30))*C30</f>
        <v>4430.7563620580968</v>
      </c>
      <c r="J30" s="845">
        <f t="shared" si="19"/>
        <v>-100</v>
      </c>
      <c r="K30" s="846">
        <f t="shared" si="20"/>
        <v>39776.807258522866</v>
      </c>
      <c r="L30" s="846">
        <f>'[24]Oct midyear LA Connections'!M30</f>
        <v>0</v>
      </c>
      <c r="M30" s="847">
        <f t="shared" si="21"/>
        <v>39776.807258522866</v>
      </c>
      <c r="N30" s="847">
        <f t="shared" si="22"/>
        <v>3315</v>
      </c>
      <c r="O30" s="849">
        <f>'[18]FY2012-13 Final'!K34*90%</f>
        <v>2781.9</v>
      </c>
      <c r="P30" s="849">
        <f t="shared" si="23"/>
        <v>19473.3</v>
      </c>
      <c r="Q30" s="849">
        <f t="shared" si="24"/>
        <v>-49</v>
      </c>
      <c r="R30" s="849">
        <f t="shared" si="25"/>
        <v>19424.3</v>
      </c>
      <c r="S30" s="848">
        <f>'[24]Oct midyear LA Connections'!R30</f>
        <v>0</v>
      </c>
      <c r="T30" s="873">
        <f t="shared" si="26"/>
        <v>19424.3</v>
      </c>
      <c r="U30" s="873">
        <f t="shared" si="27"/>
        <v>1619</v>
      </c>
      <c r="V30" s="850">
        <f t="shared" si="28"/>
        <v>59201.107258522869</v>
      </c>
      <c r="W30" s="850">
        <f t="shared" si="29"/>
        <v>4934</v>
      </c>
    </row>
    <row r="31" spans="1:23" s="558" customFormat="1" ht="16.5" customHeight="1">
      <c r="A31" s="101">
        <v>28</v>
      </c>
      <c r="B31" s="815" t="s">
        <v>122</v>
      </c>
      <c r="C31" s="843">
        <f>'[2]ALL-Reformatted'!T33</f>
        <v>46</v>
      </c>
      <c r="D31" s="844">
        <f>'Table 3 Levels 1&amp;2'!BN36*90%+'Table 3 Levels 1&amp;2'!BV36*90%</f>
        <v>2796.1250870258073</v>
      </c>
      <c r="E31" s="844">
        <f t="shared" si="16"/>
        <v>128621.75400318713</v>
      </c>
      <c r="F31" s="845">
        <f>'Table 4 Level 3'!N33*90%</f>
        <v>624.96</v>
      </c>
      <c r="G31" s="845">
        <f t="shared" si="17"/>
        <v>28748.160000000003</v>
      </c>
      <c r="H31" s="845">
        <f t="shared" si="18"/>
        <v>157369.91400318715</v>
      </c>
      <c r="I31" s="845">
        <f>(('Table 3 Levels 1&amp;2'!BN36+'Table 3 Levels 1&amp;2'!BV36-D31)+('Table 4 Level 3'!N33-F31))*C31</f>
        <v>17485.546000354119</v>
      </c>
      <c r="J31" s="845">
        <f t="shared" si="19"/>
        <v>-393</v>
      </c>
      <c r="K31" s="846">
        <f t="shared" si="20"/>
        <v>156976.91400318715</v>
      </c>
      <c r="L31" s="846">
        <f>'[24]Oct midyear LA Connections'!M31</f>
        <v>-3505.4420854652053</v>
      </c>
      <c r="M31" s="847">
        <f t="shared" si="21"/>
        <v>153471.47191772194</v>
      </c>
      <c r="N31" s="847">
        <f t="shared" si="22"/>
        <v>12789</v>
      </c>
      <c r="O31" s="849">
        <f>'[18]FY2012-13 Final'!K35*90%</f>
        <v>4790.7</v>
      </c>
      <c r="P31" s="849">
        <f t="shared" si="23"/>
        <v>220372.19999999998</v>
      </c>
      <c r="Q31" s="849">
        <f t="shared" si="24"/>
        <v>-551</v>
      </c>
      <c r="R31" s="849">
        <f t="shared" si="25"/>
        <v>219821.19999999998</v>
      </c>
      <c r="S31" s="848">
        <f>'[24]Oct midyear LA Connections'!R31</f>
        <v>-5323</v>
      </c>
      <c r="T31" s="873">
        <f t="shared" si="26"/>
        <v>214498.19999999998</v>
      </c>
      <c r="U31" s="873">
        <f t="shared" si="27"/>
        <v>17875</v>
      </c>
      <c r="V31" s="850">
        <f t="shared" si="28"/>
        <v>367969.67191772192</v>
      </c>
      <c r="W31" s="850">
        <f t="shared" si="29"/>
        <v>30664</v>
      </c>
    </row>
    <row r="32" spans="1:23" s="558" customFormat="1" ht="16.5" customHeight="1">
      <c r="A32" s="101">
        <v>29</v>
      </c>
      <c r="B32" s="815" t="s">
        <v>123</v>
      </c>
      <c r="C32" s="843">
        <f>'[2]ALL-Reformatted'!T34</f>
        <v>8</v>
      </c>
      <c r="D32" s="844">
        <f>'Table 3 Levels 1&amp;2'!BN37*90%+'Table 3 Levels 1&amp;2'!BV37*90%</f>
        <v>3520.9662278510086</v>
      </c>
      <c r="E32" s="844">
        <f t="shared" si="16"/>
        <v>28167.729822808069</v>
      </c>
      <c r="F32" s="845">
        <f>'Table 4 Level 3'!N34*90%</f>
        <v>679.45499999999993</v>
      </c>
      <c r="G32" s="845">
        <f t="shared" si="17"/>
        <v>5435.6399999999994</v>
      </c>
      <c r="H32" s="845">
        <f t="shared" si="18"/>
        <v>33603.369822808068</v>
      </c>
      <c r="I32" s="845">
        <f>(('Table 3 Levels 1&amp;2'!BN37+'Table 3 Levels 1&amp;2'!BV37-D32)+('Table 4 Level 3'!N34-F32))*C32</f>
        <v>3733.7077580897831</v>
      </c>
      <c r="J32" s="845">
        <f t="shared" si="19"/>
        <v>-84</v>
      </c>
      <c r="K32" s="846">
        <f t="shared" si="20"/>
        <v>33519.369822808068</v>
      </c>
      <c r="L32" s="846">
        <f>'[24]Oct midyear LA Connections'!M32</f>
        <v>0</v>
      </c>
      <c r="M32" s="847">
        <f t="shared" si="21"/>
        <v>33519.369822808068</v>
      </c>
      <c r="N32" s="847">
        <f t="shared" si="22"/>
        <v>2793</v>
      </c>
      <c r="O32" s="849">
        <f>'[18]FY2012-13 Final'!K36*90%</f>
        <v>3949.2000000000003</v>
      </c>
      <c r="P32" s="849">
        <f t="shared" si="23"/>
        <v>31593.600000000002</v>
      </c>
      <c r="Q32" s="849">
        <f t="shared" si="24"/>
        <v>-79</v>
      </c>
      <c r="R32" s="849">
        <f t="shared" si="25"/>
        <v>31514.600000000002</v>
      </c>
      <c r="S32" s="848">
        <f>'[24]Oct midyear LA Connections'!R32</f>
        <v>0</v>
      </c>
      <c r="T32" s="873">
        <f t="shared" si="26"/>
        <v>31514.600000000002</v>
      </c>
      <c r="U32" s="873">
        <f t="shared" si="27"/>
        <v>2626</v>
      </c>
      <c r="V32" s="850">
        <f t="shared" si="28"/>
        <v>65033.969822808067</v>
      </c>
      <c r="W32" s="850">
        <f t="shared" si="29"/>
        <v>5419</v>
      </c>
    </row>
    <row r="33" spans="1:23" s="558" customFormat="1" ht="16.5" customHeight="1">
      <c r="A33" s="102">
        <v>30</v>
      </c>
      <c r="B33" s="816" t="s">
        <v>124</v>
      </c>
      <c r="C33" s="851">
        <f>'[2]ALL-Reformatted'!T35</f>
        <v>2</v>
      </c>
      <c r="D33" s="852">
        <f>'Table 3 Levels 1&amp;2'!BN38*90%+'Table 3 Levels 1&amp;2'!BV38*90%</f>
        <v>5034.6082476550355</v>
      </c>
      <c r="E33" s="852">
        <f t="shared" si="16"/>
        <v>10069.216495310071</v>
      </c>
      <c r="F33" s="853">
        <f>'Table 4 Level 3'!N35*90%</f>
        <v>654.45299999999997</v>
      </c>
      <c r="G33" s="853">
        <f t="shared" si="17"/>
        <v>1308.9059999999999</v>
      </c>
      <c r="H33" s="853">
        <f t="shared" si="18"/>
        <v>11378.122495310072</v>
      </c>
      <c r="I33" s="853">
        <f>(('Table 3 Levels 1&amp;2'!BN38+'Table 3 Levels 1&amp;2'!BV38-D33)+('Table 4 Level 3'!N35-F33))*C33</f>
        <v>1264.2358328122307</v>
      </c>
      <c r="J33" s="853">
        <f t="shared" si="19"/>
        <v>-28</v>
      </c>
      <c r="K33" s="854">
        <f t="shared" si="20"/>
        <v>11350.122495310072</v>
      </c>
      <c r="L33" s="854">
        <f>'[24]Oct midyear LA Connections'!M33</f>
        <v>0</v>
      </c>
      <c r="M33" s="855">
        <f t="shared" si="21"/>
        <v>11350.122495310072</v>
      </c>
      <c r="N33" s="855">
        <f t="shared" si="22"/>
        <v>946</v>
      </c>
      <c r="O33" s="857">
        <f>'[18]FY2012-13 Final'!K37*90%</f>
        <v>3331.8</v>
      </c>
      <c r="P33" s="857">
        <f t="shared" si="23"/>
        <v>6663.6</v>
      </c>
      <c r="Q33" s="857">
        <f t="shared" si="24"/>
        <v>-17</v>
      </c>
      <c r="R33" s="857">
        <f t="shared" si="25"/>
        <v>6646.6</v>
      </c>
      <c r="S33" s="856">
        <f>'[24]Oct midyear LA Connections'!R33</f>
        <v>0</v>
      </c>
      <c r="T33" s="874">
        <f t="shared" si="26"/>
        <v>6646.6</v>
      </c>
      <c r="U33" s="874">
        <f t="shared" si="27"/>
        <v>554</v>
      </c>
      <c r="V33" s="858">
        <f t="shared" si="28"/>
        <v>17996.722495310074</v>
      </c>
      <c r="W33" s="858">
        <f t="shared" si="29"/>
        <v>1500</v>
      </c>
    </row>
    <row r="34" spans="1:23" s="558" customFormat="1" ht="16.5" customHeight="1">
      <c r="A34" s="101">
        <v>31</v>
      </c>
      <c r="B34" s="815" t="s">
        <v>125</v>
      </c>
      <c r="C34" s="835">
        <f>'[2]ALL-Reformatted'!T36</f>
        <v>4</v>
      </c>
      <c r="D34" s="836">
        <f>'Table 3 Levels 1&amp;2'!BN39*90%+'Table 3 Levels 1&amp;2'!BV39*90%</f>
        <v>3888.102770020781</v>
      </c>
      <c r="E34" s="836">
        <f t="shared" si="16"/>
        <v>15552.411080083124</v>
      </c>
      <c r="F34" s="837">
        <f>'Table 4 Level 3'!N36*90%</f>
        <v>558.74700000000007</v>
      </c>
      <c r="G34" s="837">
        <f t="shared" si="17"/>
        <v>2234.9880000000003</v>
      </c>
      <c r="H34" s="837">
        <f t="shared" si="18"/>
        <v>17787.399080083123</v>
      </c>
      <c r="I34" s="837">
        <f>(('Table 3 Levels 1&amp;2'!BN39+'Table 3 Levels 1&amp;2'!BV39-D34)+('Table 4 Level 3'!N36-F34))*C34</f>
        <v>1976.3776755647918</v>
      </c>
      <c r="J34" s="837">
        <f t="shared" si="19"/>
        <v>-44</v>
      </c>
      <c r="K34" s="838">
        <f t="shared" si="20"/>
        <v>17743.399080083123</v>
      </c>
      <c r="L34" s="838">
        <f>'[24]Oct midyear LA Connections'!M34</f>
        <v>0</v>
      </c>
      <c r="M34" s="839">
        <f t="shared" si="21"/>
        <v>17743.399080083123</v>
      </c>
      <c r="N34" s="839">
        <f t="shared" si="22"/>
        <v>1479</v>
      </c>
      <c r="O34" s="841">
        <f>'[18]FY2012-13 Final'!K38*90%</f>
        <v>4202.1000000000004</v>
      </c>
      <c r="P34" s="841">
        <f t="shared" si="23"/>
        <v>16808.400000000001</v>
      </c>
      <c r="Q34" s="841">
        <f t="shared" si="24"/>
        <v>-42</v>
      </c>
      <c r="R34" s="841">
        <f t="shared" si="25"/>
        <v>16766.400000000001</v>
      </c>
      <c r="S34" s="840">
        <f>'[24]Oct midyear LA Connections'!R34</f>
        <v>0</v>
      </c>
      <c r="T34" s="872">
        <f t="shared" si="26"/>
        <v>16766.400000000001</v>
      </c>
      <c r="U34" s="872">
        <f t="shared" si="27"/>
        <v>1397</v>
      </c>
      <c r="V34" s="842">
        <f t="shared" si="28"/>
        <v>34509.799080083125</v>
      </c>
      <c r="W34" s="842">
        <f t="shared" si="29"/>
        <v>2876</v>
      </c>
    </row>
    <row r="35" spans="1:23" s="558" customFormat="1" ht="16.5" customHeight="1">
      <c r="A35" s="101">
        <v>32</v>
      </c>
      <c r="B35" s="815" t="s">
        <v>126</v>
      </c>
      <c r="C35" s="843">
        <f>'[2]ALL-Reformatted'!T37</f>
        <v>76</v>
      </c>
      <c r="D35" s="844">
        <f>'Table 3 Levels 1&amp;2'!BN40*90%+'Table 3 Levels 1&amp;2'!BV40*90%</f>
        <v>4954.0031288418313</v>
      </c>
      <c r="E35" s="844">
        <f t="shared" si="16"/>
        <v>376504.23779197916</v>
      </c>
      <c r="F35" s="845">
        <f>'Table 4 Level 3'!N37*90%</f>
        <v>503.79300000000001</v>
      </c>
      <c r="G35" s="845">
        <f t="shared" si="17"/>
        <v>38288.268000000004</v>
      </c>
      <c r="H35" s="845">
        <f t="shared" si="18"/>
        <v>414792.50579197914</v>
      </c>
      <c r="I35" s="845">
        <f>(('Table 3 Levels 1&amp;2'!BN40+'Table 3 Levels 1&amp;2'!BV40-D35)+('Table 4 Level 3'!N37-F35))*C35</f>
        <v>46088.05619910876</v>
      </c>
      <c r="J35" s="845">
        <f t="shared" si="19"/>
        <v>-1037</v>
      </c>
      <c r="K35" s="846">
        <f t="shared" si="20"/>
        <v>413755.50579197914</v>
      </c>
      <c r="L35" s="846">
        <f>'[24]Oct midyear LA Connections'!M35</f>
        <v>21725.689189409488</v>
      </c>
      <c r="M35" s="847">
        <f t="shared" si="21"/>
        <v>435481.19498138863</v>
      </c>
      <c r="N35" s="847">
        <f t="shared" si="22"/>
        <v>36290</v>
      </c>
      <c r="O35" s="849">
        <f>'[18]FY2012-13 Final'!K39*90%</f>
        <v>1768.5</v>
      </c>
      <c r="P35" s="849">
        <f t="shared" si="23"/>
        <v>134406</v>
      </c>
      <c r="Q35" s="849">
        <f t="shared" si="24"/>
        <v>-336</v>
      </c>
      <c r="R35" s="849">
        <f t="shared" si="25"/>
        <v>134070</v>
      </c>
      <c r="S35" s="848">
        <f>'[24]Oct midyear LA Connections'!R35</f>
        <v>7860</v>
      </c>
      <c r="T35" s="873">
        <f t="shared" si="26"/>
        <v>141930</v>
      </c>
      <c r="U35" s="873">
        <f t="shared" si="27"/>
        <v>11828</v>
      </c>
      <c r="V35" s="850">
        <f t="shared" si="28"/>
        <v>577411.19498138863</v>
      </c>
      <c r="W35" s="850">
        <f t="shared" si="29"/>
        <v>48118</v>
      </c>
    </row>
    <row r="36" spans="1:23" s="558" customFormat="1" ht="16.5" customHeight="1">
      <c r="A36" s="101">
        <v>33</v>
      </c>
      <c r="B36" s="815" t="s">
        <v>127</v>
      </c>
      <c r="C36" s="843">
        <f>'[2]ALL-Reformatted'!T38</f>
        <v>4</v>
      </c>
      <c r="D36" s="844">
        <f>'Table 3 Levels 1&amp;2'!BN41*90%+'Table 3 Levels 1&amp;2'!BV41*90%</f>
        <v>4789.865452606884</v>
      </c>
      <c r="E36" s="844">
        <f t="shared" si="16"/>
        <v>19159.461810427536</v>
      </c>
      <c r="F36" s="845">
        <f>'Table 4 Level 3'!N38*90%</f>
        <v>589.77900000000011</v>
      </c>
      <c r="G36" s="845">
        <f t="shared" si="17"/>
        <v>2359.1160000000004</v>
      </c>
      <c r="H36" s="845">
        <f t="shared" si="18"/>
        <v>21518.577810427538</v>
      </c>
      <c r="I36" s="845">
        <f>(('Table 3 Levels 1&amp;2'!BN41+'Table 3 Levels 1&amp;2'!BV41-D36)+('Table 4 Level 3'!N38-F36))*C36</f>
        <v>2390.9530900475038</v>
      </c>
      <c r="J36" s="845">
        <f t="shared" si="19"/>
        <v>-54</v>
      </c>
      <c r="K36" s="846">
        <f t="shared" si="20"/>
        <v>21464.577810427538</v>
      </c>
      <c r="L36" s="846">
        <f>'[24]Oct midyear LA Connections'!M36</f>
        <v>0</v>
      </c>
      <c r="M36" s="847">
        <f t="shared" si="21"/>
        <v>21464.577810427538</v>
      </c>
      <c r="N36" s="847">
        <f t="shared" si="22"/>
        <v>1789</v>
      </c>
      <c r="O36" s="849">
        <f>'[18]FY2012-13 Final'!K40*90%</f>
        <v>2493.9</v>
      </c>
      <c r="P36" s="849">
        <f t="shared" si="23"/>
        <v>9975.6</v>
      </c>
      <c r="Q36" s="849">
        <f t="shared" si="24"/>
        <v>-25</v>
      </c>
      <c r="R36" s="849">
        <f t="shared" si="25"/>
        <v>9950.6</v>
      </c>
      <c r="S36" s="848">
        <f>'[24]Oct midyear LA Connections'!R36</f>
        <v>0</v>
      </c>
      <c r="T36" s="873">
        <f t="shared" si="26"/>
        <v>9950.6</v>
      </c>
      <c r="U36" s="873">
        <f t="shared" si="27"/>
        <v>829</v>
      </c>
      <c r="V36" s="850">
        <f t="shared" si="28"/>
        <v>31415.177810427536</v>
      </c>
      <c r="W36" s="850">
        <f t="shared" si="29"/>
        <v>2618</v>
      </c>
    </row>
    <row r="37" spans="1:23" s="558" customFormat="1" ht="16.5" customHeight="1">
      <c r="A37" s="101">
        <v>34</v>
      </c>
      <c r="B37" s="815" t="s">
        <v>128</v>
      </c>
      <c r="C37" s="843">
        <f>'[2]ALL-Reformatted'!T39</f>
        <v>7</v>
      </c>
      <c r="D37" s="844">
        <f>'Table 3 Levels 1&amp;2'!BN42*90%+'Table 3 Levels 1&amp;2'!BV42*90%</f>
        <v>5363.156556658475</v>
      </c>
      <c r="E37" s="844">
        <f t="shared" si="16"/>
        <v>37542.095896609324</v>
      </c>
      <c r="F37" s="845">
        <f>'Table 4 Level 3'!N39*90%</f>
        <v>579.69900000000018</v>
      </c>
      <c r="G37" s="845">
        <f t="shared" si="17"/>
        <v>4057.8930000000014</v>
      </c>
      <c r="H37" s="845">
        <f t="shared" si="18"/>
        <v>41599.988896609328</v>
      </c>
      <c r="I37" s="845">
        <f>(('Table 3 Levels 1&amp;2'!BN42+'Table 3 Levels 1&amp;2'!BV42-D37)+('Table 4 Level 3'!N39-F37))*C37</f>
        <v>4622.2209885121474</v>
      </c>
      <c r="J37" s="845">
        <f t="shared" si="19"/>
        <v>-104</v>
      </c>
      <c r="K37" s="846">
        <f t="shared" si="20"/>
        <v>41495.988896609328</v>
      </c>
      <c r="L37" s="846">
        <f>'[24]Oct midyear LA Connections'!M37</f>
        <v>0</v>
      </c>
      <c r="M37" s="847">
        <f t="shared" si="21"/>
        <v>41495.988896609328</v>
      </c>
      <c r="N37" s="847">
        <f t="shared" si="22"/>
        <v>3458</v>
      </c>
      <c r="O37" s="849">
        <f>'[18]FY2012-13 Final'!K41*90%</f>
        <v>2482.2000000000003</v>
      </c>
      <c r="P37" s="849">
        <f t="shared" si="23"/>
        <v>17375.400000000001</v>
      </c>
      <c r="Q37" s="849">
        <f t="shared" si="24"/>
        <v>-43</v>
      </c>
      <c r="R37" s="849">
        <f t="shared" si="25"/>
        <v>17332.400000000001</v>
      </c>
      <c r="S37" s="848">
        <f>'[24]Oct midyear LA Connections'!R37</f>
        <v>0</v>
      </c>
      <c r="T37" s="873">
        <f t="shared" si="26"/>
        <v>17332.400000000001</v>
      </c>
      <c r="U37" s="873">
        <f t="shared" si="27"/>
        <v>1444</v>
      </c>
      <c r="V37" s="850">
        <f t="shared" si="28"/>
        <v>58828.388896609329</v>
      </c>
      <c r="W37" s="850">
        <f t="shared" si="29"/>
        <v>4902</v>
      </c>
    </row>
    <row r="38" spans="1:23" s="558" customFormat="1" ht="16.5" customHeight="1">
      <c r="A38" s="102">
        <v>35</v>
      </c>
      <c r="B38" s="816" t="s">
        <v>129</v>
      </c>
      <c r="C38" s="851">
        <f>'[2]ALL-Reformatted'!T40</f>
        <v>16</v>
      </c>
      <c r="D38" s="852">
        <f>'Table 3 Levels 1&amp;2'!BN43*90%+'Table 3 Levels 1&amp;2'!BV43*90%</f>
        <v>4114.752850341054</v>
      </c>
      <c r="E38" s="852">
        <f t="shared" si="16"/>
        <v>65836.045605456864</v>
      </c>
      <c r="F38" s="853">
        <f>'Table 4 Level 3'!N40*90%</f>
        <v>484.16400000000004</v>
      </c>
      <c r="G38" s="853">
        <f t="shared" si="17"/>
        <v>7746.6240000000007</v>
      </c>
      <c r="H38" s="853">
        <f t="shared" si="18"/>
        <v>73582.66960545686</v>
      </c>
      <c r="I38" s="853">
        <f>(('Table 3 Levels 1&amp;2'!BN43+'Table 3 Levels 1&amp;2'!BV43-D38)+('Table 4 Level 3'!N40-F38))*C38</f>
        <v>8175.8521783840797</v>
      </c>
      <c r="J38" s="853">
        <f t="shared" si="19"/>
        <v>-184</v>
      </c>
      <c r="K38" s="854">
        <f t="shared" si="20"/>
        <v>73398.66960545686</v>
      </c>
      <c r="L38" s="854">
        <f>'[24]Oct midyear LA Connections'!M38</f>
        <v>0</v>
      </c>
      <c r="M38" s="855">
        <f t="shared" si="21"/>
        <v>73398.66960545686</v>
      </c>
      <c r="N38" s="855">
        <f t="shared" si="22"/>
        <v>6117</v>
      </c>
      <c r="O38" s="857">
        <f>'[18]FY2012-13 Final'!K42*90%</f>
        <v>3242.7000000000003</v>
      </c>
      <c r="P38" s="857">
        <f t="shared" si="23"/>
        <v>51883.200000000004</v>
      </c>
      <c r="Q38" s="857">
        <f t="shared" si="24"/>
        <v>-130</v>
      </c>
      <c r="R38" s="857">
        <f t="shared" si="25"/>
        <v>51753.200000000004</v>
      </c>
      <c r="S38" s="856">
        <f>'[24]Oct midyear LA Connections'!R38</f>
        <v>0</v>
      </c>
      <c r="T38" s="874">
        <f t="shared" si="26"/>
        <v>51753.200000000004</v>
      </c>
      <c r="U38" s="874">
        <f t="shared" si="27"/>
        <v>4313</v>
      </c>
      <c r="V38" s="858">
        <f t="shared" si="28"/>
        <v>125151.86960545686</v>
      </c>
      <c r="W38" s="858">
        <f t="shared" si="29"/>
        <v>10430</v>
      </c>
    </row>
    <row r="39" spans="1:23" s="558" customFormat="1" ht="16.5" customHeight="1">
      <c r="A39" s="101">
        <v>36</v>
      </c>
      <c r="B39" s="815" t="s">
        <v>130</v>
      </c>
      <c r="C39" s="835">
        <f>'[2]ALL-Reformatted'!T41</f>
        <v>43</v>
      </c>
      <c r="D39" s="836">
        <f>'Table 3 Levels 1&amp;2'!BN44*90%+'Table 3 Levels 1&amp;2'!BV44*90%</f>
        <v>3299.7722411452783</v>
      </c>
      <c r="E39" s="836">
        <f t="shared" si="16"/>
        <v>141890.20636924697</v>
      </c>
      <c r="F39" s="837">
        <f>'Table 5B1_RSD_Orleans'!F78*90%</f>
        <v>671.43020547945218</v>
      </c>
      <c r="G39" s="837">
        <f t="shared" si="17"/>
        <v>28871.498835616443</v>
      </c>
      <c r="H39" s="837">
        <f t="shared" si="18"/>
        <v>170761.70520486342</v>
      </c>
      <c r="I39" s="837">
        <f>(('Table 3 Levels 1&amp;2'!BN44+'Table 3 Levels 1&amp;2'!BV44-D39)+('Table 4 Level 3'!N41-F39))*C39</f>
        <v>18165.046079756561</v>
      </c>
      <c r="J39" s="837">
        <f t="shared" si="19"/>
        <v>-427</v>
      </c>
      <c r="K39" s="838">
        <f t="shared" si="20"/>
        <v>170334.70520486342</v>
      </c>
      <c r="L39" s="838">
        <f>'[24]Oct midyear LA Connections'!M39</f>
        <v>0</v>
      </c>
      <c r="M39" s="839">
        <f t="shared" si="21"/>
        <v>170334.70520486342</v>
      </c>
      <c r="N39" s="839">
        <f t="shared" si="22"/>
        <v>14195</v>
      </c>
      <c r="O39" s="841">
        <f>'[18]FY2012-13 Final'!K43*90%</f>
        <v>4140.9000000000005</v>
      </c>
      <c r="P39" s="841">
        <f t="shared" si="23"/>
        <v>178058.7</v>
      </c>
      <c r="Q39" s="841">
        <f t="shared" si="24"/>
        <v>-445</v>
      </c>
      <c r="R39" s="841">
        <f t="shared" si="25"/>
        <v>177613.7</v>
      </c>
      <c r="S39" s="840">
        <f>'[24]Oct midyear LA Connections'!R39</f>
        <v>0</v>
      </c>
      <c r="T39" s="872">
        <f t="shared" si="26"/>
        <v>177613.7</v>
      </c>
      <c r="U39" s="872">
        <f t="shared" si="27"/>
        <v>14801</v>
      </c>
      <c r="V39" s="842">
        <f t="shared" si="28"/>
        <v>347948.4052048634</v>
      </c>
      <c r="W39" s="842">
        <f t="shared" si="29"/>
        <v>28996</v>
      </c>
    </row>
    <row r="40" spans="1:23" s="558" customFormat="1" ht="16.5" customHeight="1">
      <c r="A40" s="101">
        <v>37</v>
      </c>
      <c r="B40" s="815" t="s">
        <v>131</v>
      </c>
      <c r="C40" s="843">
        <f>'[2]ALL-Reformatted'!T42</f>
        <v>17</v>
      </c>
      <c r="D40" s="844">
        <f>'Table 3 Levels 1&amp;2'!BN45*90%+'Table 3 Levels 1&amp;2'!BV45*90%</f>
        <v>4936.3280138036871</v>
      </c>
      <c r="E40" s="844">
        <f t="shared" si="16"/>
        <v>83917.576234662687</v>
      </c>
      <c r="F40" s="845">
        <f>'Table 4 Level 3'!N42*90%</f>
        <v>588.24900000000002</v>
      </c>
      <c r="G40" s="845">
        <f t="shared" si="17"/>
        <v>10000.233</v>
      </c>
      <c r="H40" s="845">
        <f t="shared" si="18"/>
        <v>93917.80923466268</v>
      </c>
      <c r="I40" s="845">
        <f>(('Table 3 Levels 1&amp;2'!BN45+'Table 3 Levels 1&amp;2'!BV45-D40)+('Table 4 Level 3'!N42-F40))*C40</f>
        <v>10435.312137184745</v>
      </c>
      <c r="J40" s="845">
        <f t="shared" si="19"/>
        <v>-235</v>
      </c>
      <c r="K40" s="846">
        <f t="shared" si="20"/>
        <v>93682.80923466268</v>
      </c>
      <c r="L40" s="846">
        <f>'[24]Oct midyear LA Connections'!M40</f>
        <v>-11048.242696934016</v>
      </c>
      <c r="M40" s="847">
        <f t="shared" si="21"/>
        <v>82634.566537728664</v>
      </c>
      <c r="N40" s="847">
        <f t="shared" si="22"/>
        <v>6886</v>
      </c>
      <c r="O40" s="849">
        <f>'[18]FY2012-13 Final'!K44*90%</f>
        <v>2789.1</v>
      </c>
      <c r="P40" s="849">
        <f t="shared" si="23"/>
        <v>47414.7</v>
      </c>
      <c r="Q40" s="849">
        <f t="shared" si="24"/>
        <v>-119</v>
      </c>
      <c r="R40" s="849">
        <f t="shared" si="25"/>
        <v>47295.7</v>
      </c>
      <c r="S40" s="848">
        <f>'[24]Oct midyear LA Connections'!R40</f>
        <v>-6198</v>
      </c>
      <c r="T40" s="873">
        <f t="shared" si="26"/>
        <v>41097.699999999997</v>
      </c>
      <c r="U40" s="873">
        <f t="shared" si="27"/>
        <v>3425</v>
      </c>
      <c r="V40" s="850">
        <f t="shared" si="28"/>
        <v>123732.26653772866</v>
      </c>
      <c r="W40" s="850">
        <f t="shared" si="29"/>
        <v>10311</v>
      </c>
    </row>
    <row r="41" spans="1:23" s="558" customFormat="1" ht="16.5" customHeight="1">
      <c r="A41" s="101">
        <v>38</v>
      </c>
      <c r="B41" s="815" t="s">
        <v>132</v>
      </c>
      <c r="C41" s="843">
        <f>'[2]ALL-Reformatted'!T43</f>
        <v>6</v>
      </c>
      <c r="D41" s="844">
        <f>'Table 3 Levels 1&amp;2'!BN46*90%+'Table 3 Levels 1&amp;2'!BV46*90%</f>
        <v>1870.7326046755059</v>
      </c>
      <c r="E41" s="844">
        <f t="shared" si="16"/>
        <v>11224.395628053035</v>
      </c>
      <c r="F41" s="845">
        <f>'Table 4 Level 3'!N43*90%</f>
        <v>746.92800000000011</v>
      </c>
      <c r="G41" s="845">
        <f t="shared" si="17"/>
        <v>4481.5680000000011</v>
      </c>
      <c r="H41" s="845">
        <f t="shared" si="18"/>
        <v>15705.963628053036</v>
      </c>
      <c r="I41" s="845">
        <f>(('Table 3 Levels 1&amp;2'!BN46+'Table 3 Levels 1&amp;2'!BV46-D41)+('Table 4 Level 3'!N43-F41))*C41</f>
        <v>1745.1070697836694</v>
      </c>
      <c r="J41" s="845">
        <f t="shared" si="19"/>
        <v>-39</v>
      </c>
      <c r="K41" s="846">
        <f t="shared" si="20"/>
        <v>15666.963628053036</v>
      </c>
      <c r="L41" s="846">
        <f>'[24]Oct midyear LA Connections'!M41</f>
        <v>0</v>
      </c>
      <c r="M41" s="847">
        <f t="shared" si="21"/>
        <v>15666.963628053036</v>
      </c>
      <c r="N41" s="847">
        <f t="shared" si="22"/>
        <v>1306</v>
      </c>
      <c r="O41" s="849">
        <f>'[18]FY2012-13 Final'!K45*90%</f>
        <v>8706.6</v>
      </c>
      <c r="P41" s="849">
        <f t="shared" si="23"/>
        <v>52239.600000000006</v>
      </c>
      <c r="Q41" s="849">
        <f t="shared" si="24"/>
        <v>-131</v>
      </c>
      <c r="R41" s="849">
        <f t="shared" si="25"/>
        <v>52108.600000000006</v>
      </c>
      <c r="S41" s="848">
        <f>'[24]Oct midyear LA Connections'!R41</f>
        <v>0</v>
      </c>
      <c r="T41" s="873">
        <f t="shared" si="26"/>
        <v>52108.600000000006</v>
      </c>
      <c r="U41" s="873">
        <f t="shared" si="27"/>
        <v>4342</v>
      </c>
      <c r="V41" s="850">
        <f t="shared" si="28"/>
        <v>67775.563628053045</v>
      </c>
      <c r="W41" s="850">
        <f t="shared" si="29"/>
        <v>5648</v>
      </c>
    </row>
    <row r="42" spans="1:23" s="558" customFormat="1" ht="16.5" customHeight="1">
      <c r="A42" s="101">
        <v>39</v>
      </c>
      <c r="B42" s="815" t="s">
        <v>133</v>
      </c>
      <c r="C42" s="843">
        <f>'[2]ALL-Reformatted'!T44</f>
        <v>5</v>
      </c>
      <c r="D42" s="844">
        <f>'Table 3 Levels 1&amp;2'!BN47*90%+'Table 3 Levels 1&amp;2'!BV47*90%</f>
        <v>3260.2391099138104</v>
      </c>
      <c r="E42" s="844">
        <f t="shared" si="16"/>
        <v>16301.195549569053</v>
      </c>
      <c r="F42" s="845">
        <f>'Table 5B2_RSD_LA'!F21*90%</f>
        <v>701.69015738498797</v>
      </c>
      <c r="G42" s="845">
        <f t="shared" si="17"/>
        <v>3508.4507869249401</v>
      </c>
      <c r="H42" s="845">
        <f t="shared" si="18"/>
        <v>19809.646336493992</v>
      </c>
      <c r="I42" s="845">
        <f>(('Table 3 Levels 1&amp;2'!BN47+'Table 3 Levels 1&amp;2'!BV47-D42)+('Table 4 Level 3'!N44-F42))*C42</f>
        <v>2201.0718151659976</v>
      </c>
      <c r="J42" s="845">
        <f t="shared" si="19"/>
        <v>-50</v>
      </c>
      <c r="K42" s="846">
        <f t="shared" si="20"/>
        <v>19759.646336493992</v>
      </c>
      <c r="L42" s="846">
        <f>'[24]Oct midyear LA Connections'!M42</f>
        <v>4019.2599871076809</v>
      </c>
      <c r="M42" s="847">
        <f t="shared" si="21"/>
        <v>23778.906323601674</v>
      </c>
      <c r="N42" s="847">
        <f t="shared" si="22"/>
        <v>1982</v>
      </c>
      <c r="O42" s="849">
        <f>'[18]FY2012-13 Final'!K46*90%</f>
        <v>3849.3</v>
      </c>
      <c r="P42" s="849">
        <f t="shared" si="23"/>
        <v>19246.5</v>
      </c>
      <c r="Q42" s="849">
        <f t="shared" si="24"/>
        <v>-48</v>
      </c>
      <c r="R42" s="849">
        <f t="shared" si="25"/>
        <v>19198.5</v>
      </c>
      <c r="S42" s="848">
        <f>'[24]Oct midyear LA Connections'!R42</f>
        <v>4277</v>
      </c>
      <c r="T42" s="873">
        <f t="shared" si="26"/>
        <v>23475.5</v>
      </c>
      <c r="U42" s="873">
        <f t="shared" si="27"/>
        <v>1956</v>
      </c>
      <c r="V42" s="850">
        <f t="shared" si="28"/>
        <v>47254.406323601674</v>
      </c>
      <c r="W42" s="850">
        <f t="shared" si="29"/>
        <v>3938</v>
      </c>
    </row>
    <row r="43" spans="1:23" s="558" customFormat="1" ht="16.5" customHeight="1">
      <c r="A43" s="102">
        <v>40</v>
      </c>
      <c r="B43" s="816" t="s">
        <v>134</v>
      </c>
      <c r="C43" s="851">
        <f>'[2]ALL-Reformatted'!T45</f>
        <v>27</v>
      </c>
      <c r="D43" s="852">
        <f>'Table 3 Levels 1&amp;2'!BN48*90%+'Table 3 Levels 1&amp;2'!BV48*90%</f>
        <v>4397.0748608862077</v>
      </c>
      <c r="E43" s="852">
        <f t="shared" si="16"/>
        <v>118721.02124392761</v>
      </c>
      <c r="F43" s="853">
        <f>'Table 4 Level 3'!N45*90%</f>
        <v>630.24300000000005</v>
      </c>
      <c r="G43" s="853">
        <f t="shared" si="17"/>
        <v>17016.561000000002</v>
      </c>
      <c r="H43" s="853">
        <f t="shared" si="18"/>
        <v>135737.58224392761</v>
      </c>
      <c r="I43" s="853">
        <f>(('Table 3 Levels 1&amp;2'!BN48+'Table 3 Levels 1&amp;2'!BV48-D43)+('Table 4 Level 3'!N45-F43))*C43</f>
        <v>15081.953582658625</v>
      </c>
      <c r="J43" s="853">
        <f t="shared" si="19"/>
        <v>-339</v>
      </c>
      <c r="K43" s="854">
        <f t="shared" si="20"/>
        <v>135398.58224392761</v>
      </c>
      <c r="L43" s="854">
        <f>'[24]Oct midyear LA Connections'!M43</f>
        <v>0</v>
      </c>
      <c r="M43" s="855">
        <f t="shared" si="21"/>
        <v>135398.58224392761</v>
      </c>
      <c r="N43" s="855">
        <f t="shared" si="22"/>
        <v>11283</v>
      </c>
      <c r="O43" s="857">
        <f>'[18]FY2012-13 Final'!K47*90%</f>
        <v>2628.9</v>
      </c>
      <c r="P43" s="857">
        <f t="shared" si="23"/>
        <v>70980.3</v>
      </c>
      <c r="Q43" s="857">
        <f t="shared" si="24"/>
        <v>-177</v>
      </c>
      <c r="R43" s="857">
        <f t="shared" si="25"/>
        <v>70803.3</v>
      </c>
      <c r="S43" s="856">
        <f>'[24]Oct midyear LA Connections'!R43</f>
        <v>0</v>
      </c>
      <c r="T43" s="874">
        <f t="shared" si="26"/>
        <v>70803.3</v>
      </c>
      <c r="U43" s="874">
        <f t="shared" si="27"/>
        <v>5900</v>
      </c>
      <c r="V43" s="858">
        <f t="shared" si="28"/>
        <v>206201.88224392763</v>
      </c>
      <c r="W43" s="858">
        <f t="shared" si="29"/>
        <v>17183</v>
      </c>
    </row>
    <row r="44" spans="1:23" s="558" customFormat="1" ht="16.5" customHeight="1">
      <c r="A44" s="101">
        <v>41</v>
      </c>
      <c r="B44" s="815" t="s">
        <v>135</v>
      </c>
      <c r="C44" s="835">
        <f>'[2]ALL-Reformatted'!T46</f>
        <v>1</v>
      </c>
      <c r="D44" s="836">
        <f>'Table 3 Levels 1&amp;2'!BN49*90%+'Table 3 Levels 1&amp;2'!BV49*90%</f>
        <v>1441.8358309709427</v>
      </c>
      <c r="E44" s="836">
        <f t="shared" si="16"/>
        <v>1441.8358309709427</v>
      </c>
      <c r="F44" s="837">
        <f>'Table 4 Level 3'!N46*90%</f>
        <v>797.59800000000007</v>
      </c>
      <c r="G44" s="837">
        <f t="shared" si="17"/>
        <v>797.59800000000007</v>
      </c>
      <c r="H44" s="837">
        <f t="shared" si="18"/>
        <v>2239.4338309709428</v>
      </c>
      <c r="I44" s="837">
        <f>(('Table 3 Levels 1&amp;2'!BN49+'Table 3 Levels 1&amp;2'!BV49-D44)+('Table 4 Level 3'!N46-F44))*C44</f>
        <v>248.82598121899366</v>
      </c>
      <c r="J44" s="837">
        <f t="shared" si="19"/>
        <v>-6</v>
      </c>
      <c r="K44" s="838">
        <f t="shared" si="20"/>
        <v>2233.4338309709428</v>
      </c>
      <c r="L44" s="838">
        <f>'[24]Oct midyear LA Connections'!M44</f>
        <v>0</v>
      </c>
      <c r="M44" s="839">
        <f t="shared" si="21"/>
        <v>2233.4338309709428</v>
      </c>
      <c r="N44" s="839">
        <f t="shared" si="22"/>
        <v>186</v>
      </c>
      <c r="O44" s="841">
        <f>'[18]FY2012-13 Final'!K48*90%</f>
        <v>10823.4</v>
      </c>
      <c r="P44" s="841">
        <f t="shared" si="23"/>
        <v>10823.4</v>
      </c>
      <c r="Q44" s="841">
        <f t="shared" si="24"/>
        <v>-27</v>
      </c>
      <c r="R44" s="841">
        <f t="shared" si="25"/>
        <v>10796.4</v>
      </c>
      <c r="S44" s="840">
        <f>'[24]Oct midyear LA Connections'!R44</f>
        <v>0</v>
      </c>
      <c r="T44" s="872">
        <f t="shared" si="26"/>
        <v>10796.4</v>
      </c>
      <c r="U44" s="872">
        <f t="shared" si="27"/>
        <v>900</v>
      </c>
      <c r="V44" s="842">
        <f t="shared" si="28"/>
        <v>13029.833830970943</v>
      </c>
      <c r="W44" s="842">
        <f t="shared" si="29"/>
        <v>1086</v>
      </c>
    </row>
    <row r="45" spans="1:23" s="558" customFormat="1" ht="16.5" customHeight="1">
      <c r="A45" s="101">
        <v>42</v>
      </c>
      <c r="B45" s="815" t="s">
        <v>136</v>
      </c>
      <c r="C45" s="843">
        <f>'[2]ALL-Reformatted'!T47</f>
        <v>5</v>
      </c>
      <c r="D45" s="844">
        <f>'Table 3 Levels 1&amp;2'!BN50*90%+'Table 3 Levels 1&amp;2'!BV50*90%</f>
        <v>4588.7555111764286</v>
      </c>
      <c r="E45" s="844">
        <f t="shared" si="16"/>
        <v>22943.777555882145</v>
      </c>
      <c r="F45" s="845">
        <f>'Table 4 Level 3'!N47*90%</f>
        <v>480.85199999999998</v>
      </c>
      <c r="G45" s="845">
        <f t="shared" si="17"/>
        <v>2404.2599999999998</v>
      </c>
      <c r="H45" s="845">
        <f t="shared" si="18"/>
        <v>25348.037555882143</v>
      </c>
      <c r="I45" s="845">
        <f>(('Table 3 Levels 1&amp;2'!BN50+'Table 3 Levels 1&amp;2'!BV50-D45)+('Table 4 Level 3'!N47-F45))*C45</f>
        <v>2816.4486173202345</v>
      </c>
      <c r="J45" s="845">
        <f t="shared" si="19"/>
        <v>-63</v>
      </c>
      <c r="K45" s="846">
        <f t="shared" si="20"/>
        <v>25285.037555882143</v>
      </c>
      <c r="L45" s="846">
        <f>'[24]Oct midyear LA Connections'!M45</f>
        <v>0</v>
      </c>
      <c r="M45" s="847">
        <f t="shared" si="21"/>
        <v>25285.037555882143</v>
      </c>
      <c r="N45" s="847">
        <f t="shared" si="22"/>
        <v>2107</v>
      </c>
      <c r="O45" s="849">
        <f>'[18]FY2012-13 Final'!K49*90%</f>
        <v>2298.6</v>
      </c>
      <c r="P45" s="849">
        <f t="shared" si="23"/>
        <v>11493</v>
      </c>
      <c r="Q45" s="849">
        <f t="shared" si="24"/>
        <v>-29</v>
      </c>
      <c r="R45" s="849">
        <f t="shared" si="25"/>
        <v>11464</v>
      </c>
      <c r="S45" s="848">
        <f>'[24]Oct midyear LA Connections'!R45</f>
        <v>0</v>
      </c>
      <c r="T45" s="873">
        <f t="shared" si="26"/>
        <v>11464</v>
      </c>
      <c r="U45" s="873">
        <f t="shared" si="27"/>
        <v>955</v>
      </c>
      <c r="V45" s="850">
        <f t="shared" si="28"/>
        <v>36749.03755588214</v>
      </c>
      <c r="W45" s="850">
        <f t="shared" si="29"/>
        <v>3062</v>
      </c>
    </row>
    <row r="46" spans="1:23" s="558" customFormat="1" ht="16.5" customHeight="1">
      <c r="A46" s="101">
        <v>43</v>
      </c>
      <c r="B46" s="815" t="s">
        <v>137</v>
      </c>
      <c r="C46" s="843">
        <f>'[2]ALL-Reformatted'!T48</f>
        <v>6</v>
      </c>
      <c r="D46" s="844">
        <f>'Table 3 Levels 1&amp;2'!BN51*90%+'Table 3 Levels 1&amp;2'!BV51*90%</f>
        <v>4231.2026317504196</v>
      </c>
      <c r="E46" s="844">
        <f t="shared" si="16"/>
        <v>25387.215790502516</v>
      </c>
      <c r="F46" s="845">
        <f>'Table 4 Level 3'!N48*90%</f>
        <v>517.14899999999989</v>
      </c>
      <c r="G46" s="845">
        <f t="shared" si="17"/>
        <v>3102.8939999999993</v>
      </c>
      <c r="H46" s="845">
        <f t="shared" si="18"/>
        <v>28490.109790502516</v>
      </c>
      <c r="I46" s="845">
        <f>(('Table 3 Levels 1&amp;2'!BN51+'Table 3 Levels 1&amp;2'!BV51-D46)+('Table 4 Level 3'!N48-F46))*C46</f>
        <v>3165.5677545002823</v>
      </c>
      <c r="J46" s="845">
        <f t="shared" si="19"/>
        <v>-71</v>
      </c>
      <c r="K46" s="846">
        <f t="shared" si="20"/>
        <v>28419.109790502516</v>
      </c>
      <c r="L46" s="846">
        <f>'[24]Oct midyear LA Connections'!M46</f>
        <v>0</v>
      </c>
      <c r="M46" s="847">
        <f t="shared" si="21"/>
        <v>28419.109790502516</v>
      </c>
      <c r="N46" s="847">
        <f t="shared" si="22"/>
        <v>2368</v>
      </c>
      <c r="O46" s="849">
        <f>'[18]FY2012-13 Final'!K50*90%</f>
        <v>4738.5</v>
      </c>
      <c r="P46" s="849">
        <f t="shared" si="23"/>
        <v>28431</v>
      </c>
      <c r="Q46" s="849">
        <f t="shared" si="24"/>
        <v>-71</v>
      </c>
      <c r="R46" s="849">
        <f t="shared" si="25"/>
        <v>28360</v>
      </c>
      <c r="S46" s="848">
        <f>'[24]Oct midyear LA Connections'!R46</f>
        <v>0</v>
      </c>
      <c r="T46" s="873">
        <f t="shared" si="26"/>
        <v>28360</v>
      </c>
      <c r="U46" s="873">
        <f t="shared" si="27"/>
        <v>2363</v>
      </c>
      <c r="V46" s="850">
        <f t="shared" si="28"/>
        <v>56779.109790502516</v>
      </c>
      <c r="W46" s="850">
        <f t="shared" si="29"/>
        <v>4731</v>
      </c>
    </row>
    <row r="47" spans="1:23" s="558" customFormat="1" ht="16.5" customHeight="1">
      <c r="A47" s="101">
        <v>44</v>
      </c>
      <c r="B47" s="815" t="s">
        <v>138</v>
      </c>
      <c r="C47" s="843">
        <f>'[2]ALL-Reformatted'!T49</f>
        <v>9</v>
      </c>
      <c r="D47" s="844">
        <f>'Table 3 Levels 1&amp;2'!BN52*90%+'Table 3 Levels 1&amp;2'!BV52*90%</f>
        <v>4184.6003569123859</v>
      </c>
      <c r="E47" s="844">
        <f t="shared" si="16"/>
        <v>37661.403212211473</v>
      </c>
      <c r="F47" s="845">
        <f>'Table 4 Level 3'!N49*90%</f>
        <v>596.84400000000005</v>
      </c>
      <c r="G47" s="845">
        <f t="shared" si="17"/>
        <v>5371.5960000000005</v>
      </c>
      <c r="H47" s="845">
        <f t="shared" si="18"/>
        <v>43032.999212211471</v>
      </c>
      <c r="I47" s="845">
        <f>(('Table 3 Levels 1&amp;2'!BN52+'Table 3 Levels 1&amp;2'!BV52-D47)+('Table 4 Level 3'!N49-F47))*C47</f>
        <v>4781.4443569123787</v>
      </c>
      <c r="J47" s="845">
        <f t="shared" si="19"/>
        <v>-108</v>
      </c>
      <c r="K47" s="846">
        <f t="shared" si="20"/>
        <v>42924.999212211471</v>
      </c>
      <c r="L47" s="846">
        <f>'[24]Oct midyear LA Connections'!M47</f>
        <v>0</v>
      </c>
      <c r="M47" s="847">
        <f t="shared" si="21"/>
        <v>42924.999212211471</v>
      </c>
      <c r="N47" s="847">
        <f t="shared" si="22"/>
        <v>3577</v>
      </c>
      <c r="O47" s="849">
        <f>'[18]FY2012-13 Final'!K51*90%</f>
        <v>3698.1</v>
      </c>
      <c r="P47" s="849">
        <f t="shared" si="23"/>
        <v>33282.9</v>
      </c>
      <c r="Q47" s="849">
        <f t="shared" si="24"/>
        <v>-83</v>
      </c>
      <c r="R47" s="849">
        <f t="shared" si="25"/>
        <v>33199.9</v>
      </c>
      <c r="S47" s="848">
        <f>'[24]Oct midyear LA Connections'!R47</f>
        <v>0</v>
      </c>
      <c r="T47" s="873">
        <f t="shared" si="26"/>
        <v>33199.9</v>
      </c>
      <c r="U47" s="873">
        <f t="shared" si="27"/>
        <v>2767</v>
      </c>
      <c r="V47" s="850">
        <f t="shared" si="28"/>
        <v>76124.899212211472</v>
      </c>
      <c r="W47" s="850">
        <f t="shared" si="29"/>
        <v>6344</v>
      </c>
    </row>
    <row r="48" spans="1:23" s="558" customFormat="1" ht="16.5" customHeight="1">
      <c r="A48" s="102">
        <v>45</v>
      </c>
      <c r="B48" s="816" t="s">
        <v>139</v>
      </c>
      <c r="C48" s="851">
        <f>'[2]ALL-Reformatted'!T50</f>
        <v>19</v>
      </c>
      <c r="D48" s="852">
        <f>'Table 3 Levels 1&amp;2'!BN53*90%+'Table 3 Levels 1&amp;2'!BV53*90%</f>
        <v>1943.3320958083834</v>
      </c>
      <c r="E48" s="852">
        <f t="shared" si="16"/>
        <v>36923.309820359282</v>
      </c>
      <c r="F48" s="853">
        <f>'Table 4 Level 3'!N50*90%</f>
        <v>678.56400000000019</v>
      </c>
      <c r="G48" s="853">
        <f t="shared" si="17"/>
        <v>12892.716000000004</v>
      </c>
      <c r="H48" s="853">
        <f t="shared" si="18"/>
        <v>49816.025820359282</v>
      </c>
      <c r="I48" s="853">
        <f>(('Table 3 Levels 1&amp;2'!BN53+'Table 3 Levels 1&amp;2'!BV53-D48)+('Table 4 Level 3'!N50-F48))*C48</f>
        <v>5535.1139800399169</v>
      </c>
      <c r="J48" s="853">
        <f t="shared" si="19"/>
        <v>-125</v>
      </c>
      <c r="K48" s="854">
        <f t="shared" si="20"/>
        <v>49691.025820359282</v>
      </c>
      <c r="L48" s="854">
        <f>'[24]Oct midyear LA Connections'!M48</f>
        <v>0</v>
      </c>
      <c r="M48" s="855">
        <f t="shared" si="21"/>
        <v>49691.025820359282</v>
      </c>
      <c r="N48" s="855">
        <f t="shared" si="22"/>
        <v>4141</v>
      </c>
      <c r="O48" s="857">
        <f>'[18]FY2012-13 Final'!K52*90%</f>
        <v>11184.300000000001</v>
      </c>
      <c r="P48" s="857">
        <f t="shared" si="23"/>
        <v>212501.7</v>
      </c>
      <c r="Q48" s="857">
        <f t="shared" si="24"/>
        <v>-531</v>
      </c>
      <c r="R48" s="857">
        <f t="shared" si="25"/>
        <v>211970.7</v>
      </c>
      <c r="S48" s="856">
        <f>'[24]Oct midyear LA Connections'!R48</f>
        <v>0</v>
      </c>
      <c r="T48" s="874">
        <f t="shared" si="26"/>
        <v>211970.7</v>
      </c>
      <c r="U48" s="874">
        <f t="shared" si="27"/>
        <v>17664</v>
      </c>
      <c r="V48" s="858">
        <f t="shared" si="28"/>
        <v>261661.72582035931</v>
      </c>
      <c r="W48" s="858">
        <f t="shared" si="29"/>
        <v>21805</v>
      </c>
    </row>
    <row r="49" spans="1:23" s="558" customFormat="1" ht="16.5" customHeight="1">
      <c r="A49" s="101">
        <v>46</v>
      </c>
      <c r="B49" s="815" t="s">
        <v>140</v>
      </c>
      <c r="C49" s="835">
        <f>'[2]ALL-Reformatted'!T51</f>
        <v>5</v>
      </c>
      <c r="D49" s="836">
        <f>'Table 3 Levels 1&amp;2'!BN54*90%+'Table 3 Levels 1&amp;2'!BV54*90%</f>
        <v>5020.8532321597777</v>
      </c>
      <c r="E49" s="836">
        <f t="shared" si="16"/>
        <v>25104.266160798888</v>
      </c>
      <c r="F49" s="837">
        <f>'Table 4 Level 3'!N51*90%</f>
        <v>655.25400000000002</v>
      </c>
      <c r="G49" s="837">
        <f t="shared" si="17"/>
        <v>3276.27</v>
      </c>
      <c r="H49" s="837">
        <f t="shared" si="18"/>
        <v>28380.536160798889</v>
      </c>
      <c r="I49" s="837">
        <f>(('Table 3 Levels 1&amp;2'!BN54+'Table 3 Levels 1&amp;2'!BV54-D49)+('Table 4 Level 3'!N51-F49))*C49</f>
        <v>3153.3929067554318</v>
      </c>
      <c r="J49" s="837">
        <f t="shared" si="19"/>
        <v>-71</v>
      </c>
      <c r="K49" s="838">
        <f t="shared" si="20"/>
        <v>28309.536160798889</v>
      </c>
      <c r="L49" s="838">
        <f>'[24]Oct midyear LA Connections'!M49</f>
        <v>0</v>
      </c>
      <c r="M49" s="839">
        <f t="shared" si="21"/>
        <v>28309.536160798889</v>
      </c>
      <c r="N49" s="839">
        <f t="shared" si="22"/>
        <v>2359</v>
      </c>
      <c r="O49" s="841">
        <f>'[18]FY2012-13 Final'!K53*90%</f>
        <v>1771.2</v>
      </c>
      <c r="P49" s="841">
        <f t="shared" si="23"/>
        <v>8856</v>
      </c>
      <c r="Q49" s="841">
        <f t="shared" si="24"/>
        <v>-22</v>
      </c>
      <c r="R49" s="841">
        <f t="shared" si="25"/>
        <v>8834</v>
      </c>
      <c r="S49" s="840">
        <f>'[24]Oct midyear LA Connections'!R49</f>
        <v>0</v>
      </c>
      <c r="T49" s="872">
        <f t="shared" si="26"/>
        <v>8834</v>
      </c>
      <c r="U49" s="872">
        <f t="shared" si="27"/>
        <v>736</v>
      </c>
      <c r="V49" s="842">
        <f t="shared" si="28"/>
        <v>37143.536160798889</v>
      </c>
      <c r="W49" s="842">
        <f t="shared" si="29"/>
        <v>3095</v>
      </c>
    </row>
    <row r="50" spans="1:23" s="558" customFormat="1" ht="16.5" customHeight="1">
      <c r="A50" s="101">
        <v>47</v>
      </c>
      <c r="B50" s="815" t="s">
        <v>141</v>
      </c>
      <c r="C50" s="843">
        <f>'[2]ALL-Reformatted'!T52</f>
        <v>1</v>
      </c>
      <c r="D50" s="844">
        <f>'Table 3 Levels 1&amp;2'!BN55*90%+'Table 3 Levels 1&amp;2'!BV55*90%</f>
        <v>2438.1522132492737</v>
      </c>
      <c r="E50" s="844">
        <f t="shared" si="16"/>
        <v>2438.1522132492737</v>
      </c>
      <c r="F50" s="845">
        <f>'Table 4 Level 3'!N52*90%</f>
        <v>819.68399999999997</v>
      </c>
      <c r="G50" s="845">
        <f t="shared" si="17"/>
        <v>819.68399999999997</v>
      </c>
      <c r="H50" s="845">
        <f t="shared" si="18"/>
        <v>3257.8362132492739</v>
      </c>
      <c r="I50" s="845">
        <f>(('Table 3 Levels 1&amp;2'!BN55+'Table 3 Levels 1&amp;2'!BV55-D50)+('Table 4 Level 3'!N52-F50))*C50</f>
        <v>361.98180147214134</v>
      </c>
      <c r="J50" s="845">
        <f t="shared" si="19"/>
        <v>-8</v>
      </c>
      <c r="K50" s="846">
        <f t="shared" si="20"/>
        <v>3249.8362132492739</v>
      </c>
      <c r="L50" s="846">
        <f>'[24]Oct midyear LA Connections'!M50</f>
        <v>0</v>
      </c>
      <c r="M50" s="847">
        <f t="shared" si="21"/>
        <v>3249.8362132492739</v>
      </c>
      <c r="N50" s="847">
        <f t="shared" si="22"/>
        <v>271</v>
      </c>
      <c r="O50" s="849">
        <f>'[18]FY2012-13 Final'!K54*90%</f>
        <v>9044.1</v>
      </c>
      <c r="P50" s="849">
        <f t="shared" si="23"/>
        <v>9044.1</v>
      </c>
      <c r="Q50" s="849">
        <f t="shared" si="24"/>
        <v>-23</v>
      </c>
      <c r="R50" s="849">
        <f t="shared" si="25"/>
        <v>9021.1</v>
      </c>
      <c r="S50" s="848">
        <f>'[24]Oct midyear LA Connections'!R50</f>
        <v>0</v>
      </c>
      <c r="T50" s="873">
        <f t="shared" si="26"/>
        <v>9021.1</v>
      </c>
      <c r="U50" s="873">
        <f t="shared" si="27"/>
        <v>752</v>
      </c>
      <c r="V50" s="850">
        <f t="shared" si="28"/>
        <v>12270.936213249275</v>
      </c>
      <c r="W50" s="850">
        <f t="shared" si="29"/>
        <v>1023</v>
      </c>
    </row>
    <row r="51" spans="1:23" s="558" customFormat="1" ht="16.5" customHeight="1">
      <c r="A51" s="101">
        <v>48</v>
      </c>
      <c r="B51" s="815" t="s">
        <v>202</v>
      </c>
      <c r="C51" s="843">
        <f>'[2]ALL-Reformatted'!T53</f>
        <v>18</v>
      </c>
      <c r="D51" s="844">
        <f>'Table 3 Levels 1&amp;2'!BN56*90%+'Table 3 Levels 1&amp;2'!BV56*90%</f>
        <v>3833.4722538157703</v>
      </c>
      <c r="E51" s="844">
        <f t="shared" si="16"/>
        <v>69002.50056868387</v>
      </c>
      <c r="F51" s="845">
        <f>'Table 4 Level 3'!N53*90%</f>
        <v>783.96300000000008</v>
      </c>
      <c r="G51" s="845">
        <f t="shared" si="17"/>
        <v>14111.334000000001</v>
      </c>
      <c r="H51" s="845">
        <f t="shared" si="18"/>
        <v>83113.834568683873</v>
      </c>
      <c r="I51" s="845">
        <f>(('Table 3 Levels 1&amp;2'!BN56+'Table 3 Levels 1&amp;2'!BV56-D51)+('Table 4 Level 3'!N53-F51))*C51</f>
        <v>9234.8705076315291</v>
      </c>
      <c r="J51" s="845">
        <f t="shared" si="19"/>
        <v>-208</v>
      </c>
      <c r="K51" s="846">
        <f t="shared" si="20"/>
        <v>82905.834568683873</v>
      </c>
      <c r="L51" s="846">
        <f>'[24]Oct midyear LA Connections'!M51</f>
        <v>0</v>
      </c>
      <c r="M51" s="847">
        <f t="shared" si="21"/>
        <v>82905.834568683873</v>
      </c>
      <c r="N51" s="847">
        <f t="shared" si="22"/>
        <v>6909</v>
      </c>
      <c r="O51" s="849">
        <f>'[18]FY2012-13 Final'!K55*90%</f>
        <v>5179.5</v>
      </c>
      <c r="P51" s="849">
        <f t="shared" si="23"/>
        <v>93231</v>
      </c>
      <c r="Q51" s="849">
        <f t="shared" si="24"/>
        <v>-233</v>
      </c>
      <c r="R51" s="849">
        <f t="shared" si="25"/>
        <v>92998</v>
      </c>
      <c r="S51" s="848">
        <f>'[24]Oct midyear LA Connections'!R51</f>
        <v>0</v>
      </c>
      <c r="T51" s="873">
        <f t="shared" si="26"/>
        <v>92998</v>
      </c>
      <c r="U51" s="873">
        <f t="shared" si="27"/>
        <v>7750</v>
      </c>
      <c r="V51" s="850">
        <f t="shared" si="28"/>
        <v>175903.83456868387</v>
      </c>
      <c r="W51" s="850">
        <f t="shared" si="29"/>
        <v>14659</v>
      </c>
    </row>
    <row r="52" spans="1:23" s="558" customFormat="1" ht="16.5" customHeight="1">
      <c r="A52" s="101">
        <v>49</v>
      </c>
      <c r="B52" s="815" t="s">
        <v>142</v>
      </c>
      <c r="C52" s="843">
        <f>'[2]ALL-Reformatted'!T54</f>
        <v>32</v>
      </c>
      <c r="D52" s="844">
        <f>'Table 3 Levels 1&amp;2'!BN57*90%+'Table 3 Levels 1&amp;2'!BV57*90%</f>
        <v>4311.0462552640647</v>
      </c>
      <c r="E52" s="844">
        <f t="shared" si="16"/>
        <v>137953.48016845007</v>
      </c>
      <c r="F52" s="845">
        <f>'Table 4 Level 3'!N54*90%</f>
        <v>516.99599999999998</v>
      </c>
      <c r="G52" s="845">
        <f t="shared" si="17"/>
        <v>16543.871999999999</v>
      </c>
      <c r="H52" s="845">
        <f t="shared" si="18"/>
        <v>154497.35216845007</v>
      </c>
      <c r="I52" s="845">
        <f>(('Table 3 Levels 1&amp;2'!BN57+'Table 3 Levels 1&amp;2'!BV57-D52)+('Table 4 Level 3'!N54-F52))*C52</f>
        <v>17166.372463161111</v>
      </c>
      <c r="J52" s="845">
        <f t="shared" si="19"/>
        <v>-386</v>
      </c>
      <c r="K52" s="846">
        <f t="shared" si="20"/>
        <v>154111.35216845007</v>
      </c>
      <c r="L52" s="846">
        <f>'[24]Oct midyear LA Connections'!M52</f>
        <v>-4837.1914930569401</v>
      </c>
      <c r="M52" s="847">
        <f t="shared" si="21"/>
        <v>149274.16067539313</v>
      </c>
      <c r="N52" s="847">
        <f t="shared" si="22"/>
        <v>12440</v>
      </c>
      <c r="O52" s="849">
        <f>'[18]FY2012-13 Final'!K56*90%</f>
        <v>2101.5</v>
      </c>
      <c r="P52" s="849">
        <f t="shared" si="23"/>
        <v>67248</v>
      </c>
      <c r="Q52" s="849">
        <f t="shared" si="24"/>
        <v>-168</v>
      </c>
      <c r="R52" s="849">
        <f t="shared" si="25"/>
        <v>67080</v>
      </c>
      <c r="S52" s="848">
        <f>'[24]Oct midyear LA Connections'!R52</f>
        <v>-2335</v>
      </c>
      <c r="T52" s="873">
        <f t="shared" si="26"/>
        <v>64745</v>
      </c>
      <c r="U52" s="873">
        <f t="shared" si="27"/>
        <v>5395</v>
      </c>
      <c r="V52" s="850">
        <f t="shared" si="28"/>
        <v>214019.16067539313</v>
      </c>
      <c r="W52" s="850">
        <f t="shared" si="29"/>
        <v>17835</v>
      </c>
    </row>
    <row r="53" spans="1:23" s="558" customFormat="1" ht="16.5" customHeight="1">
      <c r="A53" s="102">
        <v>50</v>
      </c>
      <c r="B53" s="816" t="s">
        <v>143</v>
      </c>
      <c r="C53" s="851">
        <f>'[2]ALL-Reformatted'!T55</f>
        <v>11</v>
      </c>
      <c r="D53" s="852">
        <f>'Table 3 Levels 1&amp;2'!BN58*90%+'Table 3 Levels 1&amp;2'!BV58*90%</f>
        <v>4458.903754131522</v>
      </c>
      <c r="E53" s="852">
        <f t="shared" si="16"/>
        <v>49047.941295446741</v>
      </c>
      <c r="F53" s="853">
        <f>'Table 4 Level 3'!N55*90%</f>
        <v>571.01400000000001</v>
      </c>
      <c r="G53" s="853">
        <f t="shared" si="17"/>
        <v>6281.1540000000005</v>
      </c>
      <c r="H53" s="853">
        <f t="shared" si="18"/>
        <v>55329.095295446743</v>
      </c>
      <c r="I53" s="853">
        <f>(('Table 3 Levels 1&amp;2'!BN58+'Table 3 Levels 1&amp;2'!BV58-D53)+('Table 4 Level 3'!N55-F53))*C53</f>
        <v>6147.6772550496335</v>
      </c>
      <c r="J53" s="853">
        <f t="shared" si="19"/>
        <v>-138</v>
      </c>
      <c r="K53" s="854">
        <f t="shared" si="20"/>
        <v>55191.095295446743</v>
      </c>
      <c r="L53" s="854">
        <f>'[24]Oct midyear LA Connections'!M53</f>
        <v>0</v>
      </c>
      <c r="M53" s="855">
        <f t="shared" si="21"/>
        <v>55191.095295446743</v>
      </c>
      <c r="N53" s="855">
        <f t="shared" si="22"/>
        <v>4599</v>
      </c>
      <c r="O53" s="857">
        <f>'[18]FY2012-13 Final'!K57*90%</f>
        <v>2520.9</v>
      </c>
      <c r="P53" s="857">
        <f t="shared" si="23"/>
        <v>27729.9</v>
      </c>
      <c r="Q53" s="857">
        <f t="shared" si="24"/>
        <v>-69</v>
      </c>
      <c r="R53" s="857">
        <f t="shared" si="25"/>
        <v>27660.9</v>
      </c>
      <c r="S53" s="856">
        <f>'[24]Oct midyear LA Connections'!R53</f>
        <v>0</v>
      </c>
      <c r="T53" s="874">
        <f t="shared" si="26"/>
        <v>27660.9</v>
      </c>
      <c r="U53" s="874">
        <f t="shared" si="27"/>
        <v>2305</v>
      </c>
      <c r="V53" s="858">
        <f t="shared" si="28"/>
        <v>82851.995295446744</v>
      </c>
      <c r="W53" s="858">
        <f t="shared" si="29"/>
        <v>6904</v>
      </c>
    </row>
    <row r="54" spans="1:23" s="558" customFormat="1" ht="16.5" customHeight="1">
      <c r="A54" s="101">
        <v>51</v>
      </c>
      <c r="B54" s="815" t="s">
        <v>144</v>
      </c>
      <c r="C54" s="835">
        <f>'[2]ALL-Reformatted'!T56</f>
        <v>1</v>
      </c>
      <c r="D54" s="836">
        <f>'Table 3 Levels 1&amp;2'!BN59*90%+'Table 3 Levels 1&amp;2'!BV59*90%</f>
        <v>3861.3115554435417</v>
      </c>
      <c r="E54" s="836">
        <f t="shared" si="16"/>
        <v>3861.3115554435417</v>
      </c>
      <c r="F54" s="837">
        <f>'Table 4 Level 3'!N56*90%</f>
        <v>635.99400000000003</v>
      </c>
      <c r="G54" s="837">
        <f t="shared" si="17"/>
        <v>635.99400000000003</v>
      </c>
      <c r="H54" s="837">
        <f t="shared" si="18"/>
        <v>4497.3055554435414</v>
      </c>
      <c r="I54" s="837">
        <f>(('Table 3 Levels 1&amp;2'!BN59+'Table 3 Levels 1&amp;2'!BV59-D54)+('Table 4 Level 3'!N56-F54))*C54</f>
        <v>499.70061727150437</v>
      </c>
      <c r="J54" s="837">
        <f t="shared" si="19"/>
        <v>-11</v>
      </c>
      <c r="K54" s="838">
        <f t="shared" si="20"/>
        <v>4486.3055554435414</v>
      </c>
      <c r="L54" s="838">
        <f>'[24]Oct midyear LA Connections'!M54</f>
        <v>-4581.6369404417728</v>
      </c>
      <c r="M54" s="839">
        <f t="shared" si="21"/>
        <v>-95.331384998231442</v>
      </c>
      <c r="N54" s="839">
        <f t="shared" si="22"/>
        <v>-8</v>
      </c>
      <c r="O54" s="841">
        <f>'[18]FY2012-13 Final'!K58*90%</f>
        <v>3647.7000000000003</v>
      </c>
      <c r="P54" s="841">
        <f t="shared" si="23"/>
        <v>3647.7000000000003</v>
      </c>
      <c r="Q54" s="841">
        <f t="shared" si="24"/>
        <v>-9</v>
      </c>
      <c r="R54" s="841">
        <f t="shared" si="25"/>
        <v>3638.7000000000003</v>
      </c>
      <c r="S54" s="840">
        <f>'[24]Oct midyear LA Connections'!R54</f>
        <v>-4053</v>
      </c>
      <c r="T54" s="872">
        <f t="shared" si="26"/>
        <v>-414.29999999999973</v>
      </c>
      <c r="U54" s="872">
        <f t="shared" si="27"/>
        <v>-35</v>
      </c>
      <c r="V54" s="842">
        <f t="shared" si="28"/>
        <v>-509.63138499823117</v>
      </c>
      <c r="W54" s="842">
        <f t="shared" si="29"/>
        <v>-43</v>
      </c>
    </row>
    <row r="55" spans="1:23" s="558" customFormat="1" ht="16.5" customHeight="1">
      <c r="A55" s="101">
        <v>52</v>
      </c>
      <c r="B55" s="815" t="s">
        <v>145</v>
      </c>
      <c r="C55" s="843">
        <f>'[2]ALL-Reformatted'!T57</f>
        <v>107</v>
      </c>
      <c r="D55" s="844">
        <f>'Table 3 Levels 1&amp;2'!BN60*90%+'Table 3 Levels 1&amp;2'!BV60*90%</f>
        <v>4489.7774365006835</v>
      </c>
      <c r="E55" s="844">
        <f t="shared" si="16"/>
        <v>480406.18570557312</v>
      </c>
      <c r="F55" s="845">
        <f>'Table 4 Level 3'!N57*90%</f>
        <v>592.53300000000002</v>
      </c>
      <c r="G55" s="845">
        <f t="shared" si="17"/>
        <v>63401.031000000003</v>
      </c>
      <c r="H55" s="845">
        <f t="shared" si="18"/>
        <v>543807.21670557314</v>
      </c>
      <c r="I55" s="845">
        <f>(('Table 3 Levels 1&amp;2'!BN60+'Table 3 Levels 1&amp;2'!BV60-D55)+('Table 4 Level 3'!N57-F55))*C55</f>
        <v>60423.024078396957</v>
      </c>
      <c r="J55" s="845">
        <f t="shared" si="19"/>
        <v>-1360</v>
      </c>
      <c r="K55" s="846">
        <f t="shared" si="20"/>
        <v>542447.21670557314</v>
      </c>
      <c r="L55" s="846">
        <f>'[24]Oct midyear LA Connections'!M55</f>
        <v>0</v>
      </c>
      <c r="M55" s="847">
        <f t="shared" si="21"/>
        <v>542447.21670557314</v>
      </c>
      <c r="N55" s="847">
        <f t="shared" si="22"/>
        <v>45204</v>
      </c>
      <c r="O55" s="849">
        <f>'[18]FY2012-13 Final'!K59*90%</f>
        <v>4397.4000000000005</v>
      </c>
      <c r="P55" s="849">
        <f t="shared" si="23"/>
        <v>470521.80000000005</v>
      </c>
      <c r="Q55" s="849">
        <f t="shared" si="24"/>
        <v>-1176</v>
      </c>
      <c r="R55" s="849">
        <f t="shared" si="25"/>
        <v>469345.80000000005</v>
      </c>
      <c r="S55" s="848">
        <f>'[24]Oct midyear LA Connections'!R55</f>
        <v>0</v>
      </c>
      <c r="T55" s="873">
        <f t="shared" si="26"/>
        <v>469345.80000000005</v>
      </c>
      <c r="U55" s="873">
        <f t="shared" si="27"/>
        <v>39112</v>
      </c>
      <c r="V55" s="850">
        <f t="shared" si="28"/>
        <v>1011793.0167055732</v>
      </c>
      <c r="W55" s="850">
        <f t="shared" si="29"/>
        <v>84316</v>
      </c>
    </row>
    <row r="56" spans="1:23" s="558" customFormat="1" ht="16.5" customHeight="1">
      <c r="A56" s="101">
        <v>53</v>
      </c>
      <c r="B56" s="815" t="s">
        <v>146</v>
      </c>
      <c r="C56" s="843">
        <f>'[2]ALL-Reformatted'!T58</f>
        <v>55</v>
      </c>
      <c r="D56" s="844">
        <f>'Table 3 Levels 1&amp;2'!BN61*90%+'Table 3 Levels 1&amp;2'!BV61*90%</f>
        <v>4265.7369351446177</v>
      </c>
      <c r="E56" s="844">
        <f t="shared" si="16"/>
        <v>234615.53143295398</v>
      </c>
      <c r="F56" s="845">
        <f>'Table 4 Level 3'!N58*90%</f>
        <v>620.76600000000008</v>
      </c>
      <c r="G56" s="845">
        <f t="shared" si="17"/>
        <v>34142.130000000005</v>
      </c>
      <c r="H56" s="845">
        <f t="shared" si="18"/>
        <v>268757.66143295402</v>
      </c>
      <c r="I56" s="845">
        <f>(('Table 3 Levels 1&amp;2'!BN61+'Table 3 Levels 1&amp;2'!BV61-D56)+('Table 4 Level 3'!N58-F56))*C56</f>
        <v>29861.962381439349</v>
      </c>
      <c r="J56" s="845">
        <f t="shared" si="19"/>
        <v>-672</v>
      </c>
      <c r="K56" s="846">
        <f t="shared" si="20"/>
        <v>268085.66143295402</v>
      </c>
      <c r="L56" s="846">
        <f>'[24]Oct midyear LA Connections'!M56</f>
        <v>-19706.443153476343</v>
      </c>
      <c r="M56" s="847">
        <f t="shared" si="21"/>
        <v>248379.21827947767</v>
      </c>
      <c r="N56" s="847">
        <f t="shared" si="22"/>
        <v>20698</v>
      </c>
      <c r="O56" s="849">
        <f>'[18]FY2012-13 Final'!K60*90%</f>
        <v>1736.1000000000001</v>
      </c>
      <c r="P56" s="849">
        <f t="shared" si="23"/>
        <v>95485.500000000015</v>
      </c>
      <c r="Q56" s="849">
        <f t="shared" si="24"/>
        <v>-239</v>
      </c>
      <c r="R56" s="849">
        <f t="shared" si="25"/>
        <v>95246.500000000015</v>
      </c>
      <c r="S56" s="848">
        <f>'[24]Oct midyear LA Connections'!R56</f>
        <v>-7716</v>
      </c>
      <c r="T56" s="873">
        <f t="shared" si="26"/>
        <v>87530.500000000015</v>
      </c>
      <c r="U56" s="873">
        <f t="shared" si="27"/>
        <v>7294</v>
      </c>
      <c r="V56" s="850">
        <f t="shared" si="28"/>
        <v>335909.71827947767</v>
      </c>
      <c r="W56" s="850">
        <f t="shared" si="29"/>
        <v>27992</v>
      </c>
    </row>
    <row r="57" spans="1:23" s="558" customFormat="1" ht="16.5" customHeight="1">
      <c r="A57" s="101">
        <v>54</v>
      </c>
      <c r="B57" s="815" t="s">
        <v>147</v>
      </c>
      <c r="C57" s="843">
        <f>'[2]ALL-Reformatted'!T59</f>
        <v>5</v>
      </c>
      <c r="D57" s="844">
        <f>'Table 3 Levels 1&amp;2'!BN62*90%+'Table 3 Levels 1&amp;2'!BV62*90%</f>
        <v>5316.4148794139555</v>
      </c>
      <c r="E57" s="844">
        <f t="shared" si="16"/>
        <v>26582.074397069777</v>
      </c>
      <c r="F57" s="845">
        <f>'Table 4 Level 3'!N59*90%</f>
        <v>856.30500000000006</v>
      </c>
      <c r="G57" s="845">
        <f t="shared" si="17"/>
        <v>4281.5250000000005</v>
      </c>
      <c r="H57" s="845">
        <f t="shared" si="18"/>
        <v>30863.599397069778</v>
      </c>
      <c r="I57" s="845">
        <f>(('Table 3 Levels 1&amp;2'!BN62+'Table 3 Levels 1&amp;2'!BV62-D57)+('Table 4 Level 3'!N59-F57))*C57</f>
        <v>3429.2888218966414</v>
      </c>
      <c r="J57" s="845">
        <f t="shared" si="19"/>
        <v>-77</v>
      </c>
      <c r="K57" s="846">
        <f t="shared" si="20"/>
        <v>30786.599397069778</v>
      </c>
      <c r="L57" s="846">
        <f>'[24]Oct midyear LA Connections'!M57</f>
        <v>0</v>
      </c>
      <c r="M57" s="847">
        <f t="shared" si="21"/>
        <v>30786.599397069778</v>
      </c>
      <c r="N57" s="847">
        <f t="shared" si="22"/>
        <v>2566</v>
      </c>
      <c r="O57" s="849">
        <f>'[18]FY2012-13 Final'!K61*90%</f>
        <v>3043.8</v>
      </c>
      <c r="P57" s="849">
        <f t="shared" si="23"/>
        <v>15219</v>
      </c>
      <c r="Q57" s="849">
        <f t="shared" si="24"/>
        <v>-38</v>
      </c>
      <c r="R57" s="849">
        <f t="shared" si="25"/>
        <v>15181</v>
      </c>
      <c r="S57" s="848">
        <f>'[24]Oct midyear LA Connections'!R57</f>
        <v>0</v>
      </c>
      <c r="T57" s="873">
        <f t="shared" si="26"/>
        <v>15181</v>
      </c>
      <c r="U57" s="873">
        <f t="shared" si="27"/>
        <v>1265</v>
      </c>
      <c r="V57" s="850">
        <f t="shared" si="28"/>
        <v>45967.599397069775</v>
      </c>
      <c r="W57" s="850">
        <f t="shared" si="29"/>
        <v>3831</v>
      </c>
    </row>
    <row r="58" spans="1:23" s="558" customFormat="1" ht="16.5" customHeight="1">
      <c r="A58" s="102">
        <v>55</v>
      </c>
      <c r="B58" s="816" t="s">
        <v>148</v>
      </c>
      <c r="C58" s="851">
        <f>'[2]ALL-Reformatted'!T60</f>
        <v>39</v>
      </c>
      <c r="D58" s="852">
        <f>'Table 3 Levels 1&amp;2'!BN63*90%+'Table 3 Levels 1&amp;2'!BV63*90%</f>
        <v>3703.5859331411912</v>
      </c>
      <c r="E58" s="852">
        <f t="shared" si="16"/>
        <v>144439.85139250645</v>
      </c>
      <c r="F58" s="853">
        <f>'Table 4 Level 3'!N60*90%</f>
        <v>715.62599999999998</v>
      </c>
      <c r="G58" s="853">
        <f t="shared" si="17"/>
        <v>27909.414000000001</v>
      </c>
      <c r="H58" s="853">
        <f t="shared" si="18"/>
        <v>172349.26539250644</v>
      </c>
      <c r="I58" s="853">
        <f>(('Table 3 Levels 1&amp;2'!BN63+'Table 3 Levels 1&amp;2'!BV63-D58)+('Table 4 Level 3'!N60-F58))*C58</f>
        <v>19149.918376945163</v>
      </c>
      <c r="J58" s="853">
        <f t="shared" si="19"/>
        <v>-431</v>
      </c>
      <c r="K58" s="854">
        <f t="shared" si="20"/>
        <v>171918.26539250644</v>
      </c>
      <c r="L58" s="854">
        <f>'[24]Oct midyear LA Connections'!M58</f>
        <v>0</v>
      </c>
      <c r="M58" s="855">
        <f t="shared" si="21"/>
        <v>171918.26539250644</v>
      </c>
      <c r="N58" s="855">
        <f t="shared" si="22"/>
        <v>14327</v>
      </c>
      <c r="O58" s="857">
        <f>'[18]FY2012-13 Final'!K62*90%</f>
        <v>2814.3</v>
      </c>
      <c r="P58" s="857">
        <f t="shared" si="23"/>
        <v>109757.70000000001</v>
      </c>
      <c r="Q58" s="857">
        <f t="shared" si="24"/>
        <v>-274</v>
      </c>
      <c r="R58" s="857">
        <f t="shared" si="25"/>
        <v>109483.70000000001</v>
      </c>
      <c r="S58" s="856">
        <f>'[24]Oct midyear LA Connections'!R58</f>
        <v>0</v>
      </c>
      <c r="T58" s="874">
        <f t="shared" si="26"/>
        <v>109483.70000000001</v>
      </c>
      <c r="U58" s="874">
        <f t="shared" si="27"/>
        <v>9124</v>
      </c>
      <c r="V58" s="858">
        <f t="shared" si="28"/>
        <v>281401.96539250645</v>
      </c>
      <c r="W58" s="858">
        <f t="shared" si="29"/>
        <v>23451</v>
      </c>
    </row>
    <row r="59" spans="1:23" s="558" customFormat="1" ht="16.5" customHeight="1">
      <c r="A59" s="101">
        <v>56</v>
      </c>
      <c r="B59" s="815" t="s">
        <v>149</v>
      </c>
      <c r="C59" s="835">
        <f>'[2]ALL-Reformatted'!T61</f>
        <v>5</v>
      </c>
      <c r="D59" s="836">
        <f>'Table 3 Levels 1&amp;2'!BN64*90%+'Table 3 Levels 1&amp;2'!BV64*90%</f>
        <v>4432.4128853947468</v>
      </c>
      <c r="E59" s="836">
        <f t="shared" si="16"/>
        <v>22162.064426973735</v>
      </c>
      <c r="F59" s="837">
        <f>'Table 4 Level 3'!N61*90%</f>
        <v>553.19400000000007</v>
      </c>
      <c r="G59" s="837">
        <f t="shared" si="17"/>
        <v>2765.9700000000003</v>
      </c>
      <c r="H59" s="837">
        <f t="shared" si="18"/>
        <v>24928.034426973736</v>
      </c>
      <c r="I59" s="837">
        <f>(('Table 3 Levels 1&amp;2'!BN64+'Table 3 Levels 1&amp;2'!BV64-D59)+('Table 4 Level 3'!N61-F59))*C59</f>
        <v>2769.7816029970845</v>
      </c>
      <c r="J59" s="837">
        <f t="shared" si="19"/>
        <v>-62</v>
      </c>
      <c r="K59" s="838">
        <f t="shared" si="20"/>
        <v>24866.034426973736</v>
      </c>
      <c r="L59" s="838">
        <f>'[24]Oct midyear LA Connections'!M59</f>
        <v>0</v>
      </c>
      <c r="M59" s="839">
        <f t="shared" si="21"/>
        <v>24866.034426973736</v>
      </c>
      <c r="N59" s="839">
        <f t="shared" si="22"/>
        <v>2072</v>
      </c>
      <c r="O59" s="841">
        <f>'[18]FY2012-13 Final'!K63*90%</f>
        <v>2491.2000000000003</v>
      </c>
      <c r="P59" s="841">
        <f t="shared" si="23"/>
        <v>12456.000000000002</v>
      </c>
      <c r="Q59" s="841">
        <f t="shared" si="24"/>
        <v>-31</v>
      </c>
      <c r="R59" s="841">
        <f t="shared" si="25"/>
        <v>12425.000000000002</v>
      </c>
      <c r="S59" s="840">
        <f>'[24]Oct midyear LA Connections'!R59</f>
        <v>0</v>
      </c>
      <c r="T59" s="872">
        <f t="shared" si="26"/>
        <v>12425.000000000002</v>
      </c>
      <c r="U59" s="872">
        <f t="shared" si="27"/>
        <v>1035</v>
      </c>
      <c r="V59" s="842">
        <f t="shared" si="28"/>
        <v>37291.03442697374</v>
      </c>
      <c r="W59" s="842">
        <f t="shared" si="29"/>
        <v>3107</v>
      </c>
    </row>
    <row r="60" spans="1:23" s="558" customFormat="1" ht="16.5" customHeight="1">
      <c r="A60" s="101">
        <v>57</v>
      </c>
      <c r="B60" s="815" t="s">
        <v>150</v>
      </c>
      <c r="C60" s="843">
        <f>'[2]ALL-Reformatted'!T62</f>
        <v>6</v>
      </c>
      <c r="D60" s="844">
        <f>'Table 3 Levels 1&amp;2'!BN65*90%+'Table 3 Levels 1&amp;2'!BV65*90%</f>
        <v>3991.0965069617091</v>
      </c>
      <c r="E60" s="844">
        <f t="shared" si="16"/>
        <v>23946.579041770256</v>
      </c>
      <c r="F60" s="845">
        <f>'Table 4 Level 3'!N62*90%</f>
        <v>688.05899999999997</v>
      </c>
      <c r="G60" s="845">
        <f t="shared" si="17"/>
        <v>4128.3539999999994</v>
      </c>
      <c r="H60" s="845">
        <f t="shared" si="18"/>
        <v>28074.933041770255</v>
      </c>
      <c r="I60" s="845">
        <f>(('Table 3 Levels 1&amp;2'!BN65+'Table 3 Levels 1&amp;2'!BV65-D60)+('Table 4 Level 3'!N62-F60))*C60</f>
        <v>3119.4370046411377</v>
      </c>
      <c r="J60" s="845">
        <f t="shared" si="19"/>
        <v>-70</v>
      </c>
      <c r="K60" s="846">
        <f t="shared" si="20"/>
        <v>28004.933041770255</v>
      </c>
      <c r="L60" s="846">
        <f>'[24]Oct midyear LA Connections'!M60</f>
        <v>0</v>
      </c>
      <c r="M60" s="847">
        <f t="shared" si="21"/>
        <v>28004.933041770255</v>
      </c>
      <c r="N60" s="847">
        <f t="shared" si="22"/>
        <v>2334</v>
      </c>
      <c r="O60" s="849">
        <f>'[18]FY2012-13 Final'!K64*90%</f>
        <v>2688.3</v>
      </c>
      <c r="P60" s="849">
        <f t="shared" si="23"/>
        <v>16129.800000000001</v>
      </c>
      <c r="Q60" s="849">
        <f t="shared" si="24"/>
        <v>-40</v>
      </c>
      <c r="R60" s="849">
        <f t="shared" si="25"/>
        <v>16089.800000000001</v>
      </c>
      <c r="S60" s="848">
        <f>'[24]Oct midyear LA Connections'!R60</f>
        <v>0</v>
      </c>
      <c r="T60" s="873">
        <f t="shared" si="26"/>
        <v>16089.800000000001</v>
      </c>
      <c r="U60" s="873">
        <f t="shared" si="27"/>
        <v>1341</v>
      </c>
      <c r="V60" s="850">
        <f t="shared" si="28"/>
        <v>44094.733041770254</v>
      </c>
      <c r="W60" s="850">
        <f t="shared" si="29"/>
        <v>3675</v>
      </c>
    </row>
    <row r="61" spans="1:23" s="558" customFormat="1" ht="16.5" customHeight="1">
      <c r="A61" s="101">
        <v>58</v>
      </c>
      <c r="B61" s="815" t="s">
        <v>151</v>
      </c>
      <c r="C61" s="843">
        <f>'[2]ALL-Reformatted'!T63</f>
        <v>28</v>
      </c>
      <c r="D61" s="844">
        <f>'Table 3 Levels 1&amp;2'!BN66*90%+'Table 3 Levels 1&amp;2'!BV66*90%</f>
        <v>4891.2453391511954</v>
      </c>
      <c r="E61" s="844">
        <f t="shared" si="16"/>
        <v>136954.86949623347</v>
      </c>
      <c r="F61" s="845">
        <f>'Table 4 Level 3'!N63*90%</f>
        <v>627.33600000000001</v>
      </c>
      <c r="G61" s="845">
        <f t="shared" si="17"/>
        <v>17565.407999999999</v>
      </c>
      <c r="H61" s="845">
        <f t="shared" si="18"/>
        <v>154520.27749623347</v>
      </c>
      <c r="I61" s="845">
        <f>(('Table 3 Levels 1&amp;2'!BN66+'Table 3 Levels 1&amp;2'!BV66-D61)+('Table 4 Level 3'!N63-F61))*C61</f>
        <v>17168.91972180373</v>
      </c>
      <c r="J61" s="845">
        <f t="shared" si="19"/>
        <v>-386</v>
      </c>
      <c r="K61" s="846">
        <f t="shared" si="20"/>
        <v>154134.27749623347</v>
      </c>
      <c r="L61" s="846">
        <f>'[24]Oct midyear LA Connections'!M61</f>
        <v>0</v>
      </c>
      <c r="M61" s="847">
        <f t="shared" si="21"/>
        <v>154134.27749623347</v>
      </c>
      <c r="N61" s="847">
        <f t="shared" si="22"/>
        <v>12845</v>
      </c>
      <c r="O61" s="849">
        <f>'[18]FY2012-13 Final'!K65*90%</f>
        <v>1849.5</v>
      </c>
      <c r="P61" s="849">
        <f t="shared" si="23"/>
        <v>51786</v>
      </c>
      <c r="Q61" s="849">
        <f t="shared" si="24"/>
        <v>-129</v>
      </c>
      <c r="R61" s="849">
        <f t="shared" si="25"/>
        <v>51657</v>
      </c>
      <c r="S61" s="848">
        <f>'[24]Oct midyear LA Connections'!R61</f>
        <v>0</v>
      </c>
      <c r="T61" s="873">
        <f t="shared" si="26"/>
        <v>51657</v>
      </c>
      <c r="U61" s="873">
        <f t="shared" si="27"/>
        <v>4305</v>
      </c>
      <c r="V61" s="850">
        <f t="shared" si="28"/>
        <v>205791.27749623347</v>
      </c>
      <c r="W61" s="850">
        <f t="shared" si="29"/>
        <v>17150</v>
      </c>
    </row>
    <row r="62" spans="1:23" s="558" customFormat="1" ht="16.5" customHeight="1">
      <c r="A62" s="101">
        <v>59</v>
      </c>
      <c r="B62" s="815" t="s">
        <v>152</v>
      </c>
      <c r="C62" s="843">
        <f>'[2]ALL-Reformatted'!T64</f>
        <v>14</v>
      </c>
      <c r="D62" s="844">
        <f>'Table 3 Levels 1&amp;2'!BN67*90%+'Table 3 Levels 1&amp;2'!BV67*90%</f>
        <v>5627.014679716618</v>
      </c>
      <c r="E62" s="844">
        <f t="shared" si="16"/>
        <v>78778.205516032656</v>
      </c>
      <c r="F62" s="845">
        <f>'Table 4 Level 3'!N64*90%</f>
        <v>620.56799999999998</v>
      </c>
      <c r="G62" s="845">
        <f t="shared" si="17"/>
        <v>8687.9519999999993</v>
      </c>
      <c r="H62" s="845">
        <f t="shared" si="18"/>
        <v>87466.157516032661</v>
      </c>
      <c r="I62" s="845">
        <f>(('Table 3 Levels 1&amp;2'!BN67+'Table 3 Levels 1&amp;2'!BV67-D62)+('Table 4 Level 3'!N64-F62))*C62</f>
        <v>9718.461946225847</v>
      </c>
      <c r="J62" s="845">
        <f t="shared" si="19"/>
        <v>-219</v>
      </c>
      <c r="K62" s="846">
        <f t="shared" si="20"/>
        <v>87247.157516032661</v>
      </c>
      <c r="L62" s="846">
        <f>'[24]Oct midyear LA Connections'!M62</f>
        <v>-6316.2147258433943</v>
      </c>
      <c r="M62" s="847">
        <f t="shared" si="21"/>
        <v>80930.942790189263</v>
      </c>
      <c r="N62" s="847">
        <f t="shared" si="22"/>
        <v>6744</v>
      </c>
      <c r="O62" s="849">
        <f>'[18]FY2012-13 Final'!K66*90%</f>
        <v>1375.2</v>
      </c>
      <c r="P62" s="849">
        <f t="shared" si="23"/>
        <v>19252.8</v>
      </c>
      <c r="Q62" s="849">
        <f t="shared" si="24"/>
        <v>-48</v>
      </c>
      <c r="R62" s="849">
        <f t="shared" si="25"/>
        <v>19204.8</v>
      </c>
      <c r="S62" s="848">
        <f>'[24]Oct midyear LA Connections'!R62</f>
        <v>-1528</v>
      </c>
      <c r="T62" s="873">
        <f t="shared" si="26"/>
        <v>17676.8</v>
      </c>
      <c r="U62" s="873">
        <f t="shared" si="27"/>
        <v>1473</v>
      </c>
      <c r="V62" s="850">
        <f t="shared" si="28"/>
        <v>98607.742790189266</v>
      </c>
      <c r="W62" s="850">
        <f t="shared" si="29"/>
        <v>8217</v>
      </c>
    </row>
    <row r="63" spans="1:23" s="558" customFormat="1" ht="16.5" customHeight="1">
      <c r="A63" s="102">
        <v>60</v>
      </c>
      <c r="B63" s="816" t="s">
        <v>153</v>
      </c>
      <c r="C63" s="851">
        <f>'[2]ALL-Reformatted'!T65</f>
        <v>26</v>
      </c>
      <c r="D63" s="852">
        <f>'Table 3 Levels 1&amp;2'!BN68*90%+'Table 3 Levels 1&amp;2'!BV68*90%</f>
        <v>4412.3917590241836</v>
      </c>
      <c r="E63" s="852">
        <f t="shared" si="16"/>
        <v>114722.18573462877</v>
      </c>
      <c r="F63" s="853">
        <f>'Table 4 Level 3'!N65*90%</f>
        <v>534.63599999999997</v>
      </c>
      <c r="G63" s="853">
        <f t="shared" si="17"/>
        <v>13900.536</v>
      </c>
      <c r="H63" s="853">
        <f t="shared" si="18"/>
        <v>128622.72173462878</v>
      </c>
      <c r="I63" s="853">
        <f>(('Table 3 Levels 1&amp;2'!BN68+'Table 3 Levels 1&amp;2'!BV68-D63)+('Table 4 Level 3'!N65-F63))*C63</f>
        <v>14291.413526069849</v>
      </c>
      <c r="J63" s="853">
        <f t="shared" si="19"/>
        <v>-322</v>
      </c>
      <c r="K63" s="854">
        <f t="shared" si="20"/>
        <v>128300.72173462878</v>
      </c>
      <c r="L63" s="854">
        <f>'[24]Oct midyear LA Connections'!M63</f>
        <v>0</v>
      </c>
      <c r="M63" s="855">
        <f t="shared" si="21"/>
        <v>128300.72173462878</v>
      </c>
      <c r="N63" s="855">
        <f t="shared" si="22"/>
        <v>10692</v>
      </c>
      <c r="O63" s="857">
        <f>'[18]FY2012-13 Final'!K67*90%</f>
        <v>3526.2000000000003</v>
      </c>
      <c r="P63" s="857">
        <f t="shared" si="23"/>
        <v>91681.200000000012</v>
      </c>
      <c r="Q63" s="857">
        <f t="shared" si="24"/>
        <v>-229</v>
      </c>
      <c r="R63" s="857">
        <f t="shared" si="25"/>
        <v>91452.200000000012</v>
      </c>
      <c r="S63" s="856">
        <f>'[24]Oct midyear LA Connections'!R63</f>
        <v>0</v>
      </c>
      <c r="T63" s="874">
        <f t="shared" si="26"/>
        <v>91452.200000000012</v>
      </c>
      <c r="U63" s="874">
        <f t="shared" si="27"/>
        <v>7621</v>
      </c>
      <c r="V63" s="858">
        <f t="shared" si="28"/>
        <v>219752.92173462879</v>
      </c>
      <c r="W63" s="858">
        <f t="shared" si="29"/>
        <v>18313</v>
      </c>
    </row>
    <row r="64" spans="1:23" s="558" customFormat="1" ht="16.5" customHeight="1">
      <c r="A64" s="101">
        <v>61</v>
      </c>
      <c r="B64" s="815" t="s">
        <v>154</v>
      </c>
      <c r="C64" s="835">
        <f>'[2]ALL-Reformatted'!T66</f>
        <v>9</v>
      </c>
      <c r="D64" s="836">
        <f>'Table 3 Levels 1&amp;2'!BN69*90%+'Table 3 Levels 1&amp;2'!BV69*90%</f>
        <v>2585.4947191205324</v>
      </c>
      <c r="E64" s="836">
        <f t="shared" si="16"/>
        <v>23269.452472084791</v>
      </c>
      <c r="F64" s="837">
        <f>'Table 4 Level 3'!N66*90%</f>
        <v>750.33899999999994</v>
      </c>
      <c r="G64" s="837">
        <f t="shared" si="17"/>
        <v>6753.0509999999995</v>
      </c>
      <c r="H64" s="837">
        <f t="shared" si="18"/>
        <v>30022.503472084791</v>
      </c>
      <c r="I64" s="837">
        <f>(('Table 3 Levels 1&amp;2'!BN69+'Table 3 Levels 1&amp;2'!BV69-D64)+('Table 4 Level 3'!N66-F64))*C64</f>
        <v>3335.8337191205278</v>
      </c>
      <c r="J64" s="837">
        <f t="shared" si="19"/>
        <v>-75</v>
      </c>
      <c r="K64" s="838">
        <f t="shared" si="20"/>
        <v>29947.503472084791</v>
      </c>
      <c r="L64" s="838">
        <f>'[24]Oct midyear LA Connections'!M64</f>
        <v>0</v>
      </c>
      <c r="M64" s="839">
        <f t="shared" si="21"/>
        <v>29947.503472084791</v>
      </c>
      <c r="N64" s="839">
        <f t="shared" si="22"/>
        <v>2496</v>
      </c>
      <c r="O64" s="841">
        <f>'[18]FY2012-13 Final'!K68*90%</f>
        <v>6012</v>
      </c>
      <c r="P64" s="841">
        <f t="shared" si="23"/>
        <v>54108</v>
      </c>
      <c r="Q64" s="841">
        <f t="shared" si="24"/>
        <v>-135</v>
      </c>
      <c r="R64" s="841">
        <f t="shared" si="25"/>
        <v>53973</v>
      </c>
      <c r="S64" s="840">
        <f>'[24]Oct midyear LA Connections'!R64</f>
        <v>0</v>
      </c>
      <c r="T64" s="872">
        <f t="shared" si="26"/>
        <v>53973</v>
      </c>
      <c r="U64" s="872">
        <f t="shared" si="27"/>
        <v>4498</v>
      </c>
      <c r="V64" s="842">
        <f t="shared" si="28"/>
        <v>83920.503472084791</v>
      </c>
      <c r="W64" s="842">
        <f t="shared" si="29"/>
        <v>6994</v>
      </c>
    </row>
    <row r="65" spans="1:126" s="558" customFormat="1" ht="16.5" customHeight="1">
      <c r="A65" s="101">
        <v>62</v>
      </c>
      <c r="B65" s="815" t="s">
        <v>155</v>
      </c>
      <c r="C65" s="843">
        <f>'[2]ALL-Reformatted'!T67</f>
        <v>1</v>
      </c>
      <c r="D65" s="844">
        <f>'Table 3 Levels 1&amp;2'!BN70*90%+'Table 3 Levels 1&amp;2'!BV70*90%</f>
        <v>5034.8262958101723</v>
      </c>
      <c r="E65" s="844">
        <f t="shared" si="16"/>
        <v>5034.8262958101723</v>
      </c>
      <c r="F65" s="845">
        <f>'Table 4 Level 3'!N67*90%</f>
        <v>464.47200000000004</v>
      </c>
      <c r="G65" s="845">
        <f t="shared" si="17"/>
        <v>464.47200000000004</v>
      </c>
      <c r="H65" s="845">
        <f t="shared" si="18"/>
        <v>5499.298295810172</v>
      </c>
      <c r="I65" s="845">
        <f>(('Table 3 Levels 1&amp;2'!BN70+'Table 3 Levels 1&amp;2'!BV70-D65)+('Table 4 Level 3'!N67-F65))*C65</f>
        <v>611.03314397890767</v>
      </c>
      <c r="J65" s="845">
        <f t="shared" si="19"/>
        <v>-14</v>
      </c>
      <c r="K65" s="846">
        <f t="shared" si="20"/>
        <v>5485.298295810172</v>
      </c>
      <c r="L65" s="846">
        <f>'[24]Oct midyear LA Connections'!M65</f>
        <v>0</v>
      </c>
      <c r="M65" s="847">
        <f t="shared" si="21"/>
        <v>5485.298295810172</v>
      </c>
      <c r="N65" s="847">
        <f t="shared" si="22"/>
        <v>457</v>
      </c>
      <c r="O65" s="849">
        <f>'[18]FY2012-13 Final'!K69*90%</f>
        <v>1578.6000000000001</v>
      </c>
      <c r="P65" s="849">
        <f t="shared" si="23"/>
        <v>1578.6000000000001</v>
      </c>
      <c r="Q65" s="849">
        <f t="shared" si="24"/>
        <v>-4</v>
      </c>
      <c r="R65" s="849">
        <f t="shared" si="25"/>
        <v>1574.6000000000001</v>
      </c>
      <c r="S65" s="848">
        <f>'[24]Oct midyear LA Connections'!R65</f>
        <v>0</v>
      </c>
      <c r="T65" s="873">
        <f t="shared" si="26"/>
        <v>1574.6000000000001</v>
      </c>
      <c r="U65" s="873">
        <f t="shared" si="27"/>
        <v>131</v>
      </c>
      <c r="V65" s="850">
        <f t="shared" si="28"/>
        <v>7059.8982958101724</v>
      </c>
      <c r="W65" s="850">
        <f t="shared" si="29"/>
        <v>588</v>
      </c>
    </row>
    <row r="66" spans="1:126" s="558" customFormat="1" ht="16.5" customHeight="1">
      <c r="A66" s="101">
        <v>63</v>
      </c>
      <c r="B66" s="815" t="s">
        <v>156</v>
      </c>
      <c r="C66" s="843">
        <f>'[2]ALL-Reformatted'!T68</f>
        <v>1</v>
      </c>
      <c r="D66" s="844">
        <f>'Table 3 Levels 1&amp;2'!BN71*90%+'Table 3 Levels 1&amp;2'!BV71*90%</f>
        <v>3886.9748370808948</v>
      </c>
      <c r="E66" s="844">
        <f t="shared" si="16"/>
        <v>3886.9748370808948</v>
      </c>
      <c r="F66" s="845">
        <f>'Table 4 Level 3'!N68*90%</f>
        <v>681.11099999999999</v>
      </c>
      <c r="G66" s="845">
        <f t="shared" si="17"/>
        <v>681.11099999999999</v>
      </c>
      <c r="H66" s="845">
        <f t="shared" si="18"/>
        <v>4568.0858370808946</v>
      </c>
      <c r="I66" s="845">
        <f>(('Table 3 Levels 1&amp;2'!BN71+'Table 3 Levels 1&amp;2'!BV71-D66)+('Table 4 Level 3'!N68-F66))*C66</f>
        <v>507.56509300898858</v>
      </c>
      <c r="J66" s="845">
        <f t="shared" si="19"/>
        <v>-11</v>
      </c>
      <c r="K66" s="846">
        <f t="shared" si="20"/>
        <v>4557.0858370808946</v>
      </c>
      <c r="L66" s="846">
        <f>'[24]Oct midyear LA Connections'!M66</f>
        <v>0</v>
      </c>
      <c r="M66" s="847">
        <f t="shared" si="21"/>
        <v>4557.0858370808946</v>
      </c>
      <c r="N66" s="847">
        <f t="shared" si="22"/>
        <v>380</v>
      </c>
      <c r="O66" s="849">
        <f>'[18]FY2012-13 Final'!K70*90%</f>
        <v>6463.8</v>
      </c>
      <c r="P66" s="849">
        <f t="shared" si="23"/>
        <v>6463.8</v>
      </c>
      <c r="Q66" s="849">
        <f t="shared" si="24"/>
        <v>-16</v>
      </c>
      <c r="R66" s="849">
        <f t="shared" si="25"/>
        <v>6447.8</v>
      </c>
      <c r="S66" s="848">
        <f>'[24]Oct midyear LA Connections'!R66</f>
        <v>0</v>
      </c>
      <c r="T66" s="873">
        <f t="shared" si="26"/>
        <v>6447.8</v>
      </c>
      <c r="U66" s="873">
        <f t="shared" si="27"/>
        <v>537</v>
      </c>
      <c r="V66" s="850">
        <f t="shared" si="28"/>
        <v>11004.885837080896</v>
      </c>
      <c r="W66" s="850">
        <f t="shared" si="29"/>
        <v>917</v>
      </c>
    </row>
    <row r="67" spans="1:126" s="558" customFormat="1" ht="16.5" customHeight="1">
      <c r="A67" s="101">
        <v>64</v>
      </c>
      <c r="B67" s="815" t="s">
        <v>157</v>
      </c>
      <c r="C67" s="843">
        <f>'[2]ALL-Reformatted'!T69</f>
        <v>4</v>
      </c>
      <c r="D67" s="844">
        <f>'Table 3 Levels 1&amp;2'!BN72*90%+'Table 3 Levels 1&amp;2'!BV72*90%</f>
        <v>5329.5677040046039</v>
      </c>
      <c r="E67" s="844">
        <f t="shared" si="16"/>
        <v>21318.270816018416</v>
      </c>
      <c r="F67" s="845">
        <f>'Table 4 Level 3'!N69*90%</f>
        <v>533.39400000000001</v>
      </c>
      <c r="G67" s="845">
        <f t="shared" si="17"/>
        <v>2133.576</v>
      </c>
      <c r="H67" s="845">
        <f t="shared" si="18"/>
        <v>23451.846816018417</v>
      </c>
      <c r="I67" s="845">
        <f>(('Table 3 Levels 1&amp;2'!BN72+'Table 3 Levels 1&amp;2'!BV72-D67)+('Table 4 Level 3'!N69-F67))*C67</f>
        <v>2605.7607573353794</v>
      </c>
      <c r="J67" s="845">
        <f t="shared" si="19"/>
        <v>-59</v>
      </c>
      <c r="K67" s="846">
        <f t="shared" si="20"/>
        <v>23392.846816018417</v>
      </c>
      <c r="L67" s="846">
        <f>'[24]Oct midyear LA Connections'!M67</f>
        <v>0</v>
      </c>
      <c r="M67" s="847">
        <f t="shared" si="21"/>
        <v>23392.846816018417</v>
      </c>
      <c r="N67" s="847">
        <f t="shared" si="22"/>
        <v>1949</v>
      </c>
      <c r="O67" s="849">
        <f>'[18]FY2012-13 Final'!K71*90%</f>
        <v>2430.9</v>
      </c>
      <c r="P67" s="849">
        <f t="shared" si="23"/>
        <v>9723.6</v>
      </c>
      <c r="Q67" s="849">
        <f t="shared" si="24"/>
        <v>-24</v>
      </c>
      <c r="R67" s="849">
        <f t="shared" si="25"/>
        <v>9699.6</v>
      </c>
      <c r="S67" s="848">
        <f>'[24]Oct midyear LA Connections'!R67</f>
        <v>0</v>
      </c>
      <c r="T67" s="873">
        <f t="shared" si="26"/>
        <v>9699.6</v>
      </c>
      <c r="U67" s="873">
        <f t="shared" si="27"/>
        <v>808</v>
      </c>
      <c r="V67" s="850">
        <f t="shared" si="28"/>
        <v>33092.446816018419</v>
      </c>
      <c r="W67" s="850">
        <f t="shared" si="29"/>
        <v>2757</v>
      </c>
    </row>
    <row r="68" spans="1:126" s="558" customFormat="1" ht="16.5" customHeight="1">
      <c r="A68" s="102">
        <v>65</v>
      </c>
      <c r="B68" s="816" t="s">
        <v>158</v>
      </c>
      <c r="C68" s="851">
        <f>'[2]ALL-Reformatted'!T70</f>
        <v>4</v>
      </c>
      <c r="D68" s="852">
        <f>'Table 3 Levels 1&amp;2'!BN73*90%+'Table 3 Levels 1&amp;2'!BV73*90%</f>
        <v>4121.0281142704143</v>
      </c>
      <c r="E68" s="852">
        <f t="shared" si="16"/>
        <v>16484.112457081657</v>
      </c>
      <c r="F68" s="853">
        <f>'Table 4 Level 3'!N70*90%</f>
        <v>746.20799999999997</v>
      </c>
      <c r="G68" s="853">
        <f t="shared" si="17"/>
        <v>2984.8319999999999</v>
      </c>
      <c r="H68" s="853">
        <f t="shared" si="18"/>
        <v>19468.944457081656</v>
      </c>
      <c r="I68" s="853">
        <f>(('Table 3 Levels 1&amp;2'!BN73+'Table 3 Levels 1&amp;2'!BV73-D68)+('Table 4 Level 3'!N70-F68))*C68</f>
        <v>2163.216050786853</v>
      </c>
      <c r="J68" s="853">
        <f t="shared" si="19"/>
        <v>-49</v>
      </c>
      <c r="K68" s="854">
        <f t="shared" si="20"/>
        <v>19419.944457081656</v>
      </c>
      <c r="L68" s="854">
        <f>'[24]Oct midyear LA Connections'!M68</f>
        <v>9776.3844512375817</v>
      </c>
      <c r="M68" s="855">
        <f t="shared" si="21"/>
        <v>29196.328908319236</v>
      </c>
      <c r="N68" s="855">
        <f t="shared" si="22"/>
        <v>2433</v>
      </c>
      <c r="O68" s="857">
        <f>'[18]FY2012-13 Final'!K72*90%</f>
        <v>4331.7</v>
      </c>
      <c r="P68" s="857">
        <f t="shared" si="23"/>
        <v>17326.8</v>
      </c>
      <c r="Q68" s="857">
        <f t="shared" si="24"/>
        <v>-43</v>
      </c>
      <c r="R68" s="857">
        <f t="shared" si="25"/>
        <v>17283.8</v>
      </c>
      <c r="S68" s="856">
        <f>'[24]Oct midyear LA Connections'!R68</f>
        <v>9626</v>
      </c>
      <c r="T68" s="874">
        <f t="shared" si="26"/>
        <v>26909.8</v>
      </c>
      <c r="U68" s="874">
        <f t="shared" si="27"/>
        <v>2242</v>
      </c>
      <c r="V68" s="858">
        <f t="shared" si="28"/>
        <v>56106.128908319239</v>
      </c>
      <c r="W68" s="858">
        <f t="shared" si="29"/>
        <v>4675</v>
      </c>
    </row>
    <row r="69" spans="1:126" s="558" customFormat="1" ht="16.5" customHeight="1">
      <c r="A69" s="101">
        <v>66</v>
      </c>
      <c r="B69" s="815" t="s">
        <v>159</v>
      </c>
      <c r="C69" s="835">
        <f>'[2]ALL-Reformatted'!T71</f>
        <v>2</v>
      </c>
      <c r="D69" s="836">
        <f>'Table 3 Levels 1&amp;2'!BN74*90%+'Table 3 Levels 1&amp;2'!BV74*90%</f>
        <v>5706.7886963944002</v>
      </c>
      <c r="E69" s="836">
        <f t="shared" ref="E69:E72" si="30">C69*D69</f>
        <v>11413.5773927888</v>
      </c>
      <c r="F69" s="837">
        <f>'Table 4 Level 3'!N71*90%</f>
        <v>657.05399999999997</v>
      </c>
      <c r="G69" s="837">
        <f t="shared" ref="G69:G72" si="31">F69*C69</f>
        <v>1314.1079999999999</v>
      </c>
      <c r="H69" s="837">
        <f t="shared" ref="H69:H72" si="32">E69+G69</f>
        <v>12727.685392788801</v>
      </c>
      <c r="I69" s="837">
        <f>(('Table 3 Levels 1&amp;2'!BN74+'Table 3 Levels 1&amp;2'!BV74-D69)+('Table 4 Level 3'!N71-F69))*C69</f>
        <v>1414.187265865424</v>
      </c>
      <c r="J69" s="837">
        <f t="shared" ref="J69:J72" si="33">ROUND(-0.25%*H69,0)</f>
        <v>-32</v>
      </c>
      <c r="K69" s="838">
        <f t="shared" ref="K69:K72" si="34">H69+J69</f>
        <v>12695.685392788801</v>
      </c>
      <c r="L69" s="838">
        <f>'[24]Oct midyear LA Connections'!M69</f>
        <v>6276.5561024235067</v>
      </c>
      <c r="M69" s="839">
        <f t="shared" ref="M69:M72" si="35">SUM(K69:L69)</f>
        <v>18972.241495212307</v>
      </c>
      <c r="N69" s="839">
        <f t="shared" ref="N69:N72" si="36">ROUND(M69/12,0)</f>
        <v>1581</v>
      </c>
      <c r="O69" s="841">
        <f>'[18]FY2012-13 Final'!K73*90%</f>
        <v>3164.4</v>
      </c>
      <c r="P69" s="841">
        <f t="shared" ref="P69:P72" si="37">O69*C69</f>
        <v>6328.8</v>
      </c>
      <c r="Q69" s="841">
        <f t="shared" ref="Q69:Q72" si="38">ROUND(P69*-0.25%,0)</f>
        <v>-16</v>
      </c>
      <c r="R69" s="841">
        <f t="shared" ref="R69:R72" si="39">SUM(P69:Q69)</f>
        <v>6312.8</v>
      </c>
      <c r="S69" s="840">
        <f>'[24]Oct midyear LA Connections'!R69</f>
        <v>3516</v>
      </c>
      <c r="T69" s="872">
        <f t="shared" ref="T69:T72" si="40">SUM(R69:S69)</f>
        <v>9828.7999999999993</v>
      </c>
      <c r="U69" s="872">
        <f t="shared" ref="U69:U72" si="41">ROUND(T69/12,0)</f>
        <v>819</v>
      </c>
      <c r="V69" s="842">
        <f t="shared" ref="V69:V72" si="42">T69+M69</f>
        <v>28801.041495212306</v>
      </c>
      <c r="W69" s="842">
        <f t="shared" ref="W69:W72" si="43">N69+U69</f>
        <v>2400</v>
      </c>
    </row>
    <row r="70" spans="1:126" s="558" customFormat="1" ht="16.5" customHeight="1">
      <c r="A70" s="101">
        <v>67</v>
      </c>
      <c r="B70" s="815" t="s">
        <v>32</v>
      </c>
      <c r="C70" s="843">
        <f>'[2]ALL-Reformatted'!T72</f>
        <v>3</v>
      </c>
      <c r="D70" s="844">
        <f>'Table 3 Levels 1&amp;2'!BN75*90%+'Table 3 Levels 1&amp;2'!BV75*90%</f>
        <v>4485.6990267330757</v>
      </c>
      <c r="E70" s="844">
        <f t="shared" si="30"/>
        <v>13457.097080199226</v>
      </c>
      <c r="F70" s="845">
        <f>'Table 4 Level 3'!N72*90%</f>
        <v>644.04899999999998</v>
      </c>
      <c r="G70" s="845">
        <f t="shared" si="31"/>
        <v>1932.1469999999999</v>
      </c>
      <c r="H70" s="845">
        <f t="shared" si="32"/>
        <v>15389.244080199227</v>
      </c>
      <c r="I70" s="845">
        <f>(('Table 3 Levels 1&amp;2'!BN75+'Table 3 Levels 1&amp;2'!BV75-D70)+('Table 4 Level 3'!N72-F70))*C70</f>
        <v>1709.9160089110246</v>
      </c>
      <c r="J70" s="845">
        <f t="shared" si="33"/>
        <v>-38</v>
      </c>
      <c r="K70" s="846">
        <f t="shared" si="34"/>
        <v>15351.244080199227</v>
      </c>
      <c r="L70" s="846">
        <f>'[24]Oct midyear LA Connections'!M70</f>
        <v>5188.7330908962813</v>
      </c>
      <c r="M70" s="847">
        <f t="shared" si="35"/>
        <v>20539.97717109551</v>
      </c>
      <c r="N70" s="847">
        <f t="shared" si="36"/>
        <v>1712</v>
      </c>
      <c r="O70" s="849">
        <f>'[18]FY2012-13 Final'!K74*90%</f>
        <v>4546.8</v>
      </c>
      <c r="P70" s="849">
        <f t="shared" si="37"/>
        <v>13640.400000000001</v>
      </c>
      <c r="Q70" s="849">
        <f t="shared" si="38"/>
        <v>-34</v>
      </c>
      <c r="R70" s="849">
        <f t="shared" si="39"/>
        <v>13606.400000000001</v>
      </c>
      <c r="S70" s="848">
        <f>'[24]Oct midyear LA Connections'!R70</f>
        <v>5052</v>
      </c>
      <c r="T70" s="873">
        <f t="shared" si="40"/>
        <v>18658.400000000001</v>
      </c>
      <c r="U70" s="873">
        <f t="shared" si="41"/>
        <v>1555</v>
      </c>
      <c r="V70" s="850">
        <f t="shared" si="42"/>
        <v>39198.377171095512</v>
      </c>
      <c r="W70" s="850">
        <f t="shared" si="43"/>
        <v>3267</v>
      </c>
    </row>
    <row r="71" spans="1:126" s="558" customFormat="1" ht="16.5" customHeight="1">
      <c r="A71" s="101">
        <v>68</v>
      </c>
      <c r="B71" s="815" t="s">
        <v>30</v>
      </c>
      <c r="C71" s="843">
        <f>'[2]ALL-Reformatted'!T73</f>
        <v>11</v>
      </c>
      <c r="D71" s="844">
        <f>'Table 3 Levels 1&amp;2'!BN76*90%+'Table 3 Levels 1&amp;2'!BV76*90%</f>
        <v>5411.5068874715762</v>
      </c>
      <c r="E71" s="844">
        <f t="shared" si="30"/>
        <v>59526.575762187334</v>
      </c>
      <c r="F71" s="845">
        <f>'Table 4 Level 3'!N73*90%</f>
        <v>718.83</v>
      </c>
      <c r="G71" s="845">
        <f t="shared" si="31"/>
        <v>7907.13</v>
      </c>
      <c r="H71" s="845">
        <f t="shared" si="32"/>
        <v>67433.705762187339</v>
      </c>
      <c r="I71" s="845">
        <f>(('Table 3 Levels 1&amp;2'!BN76+'Table 3 Levels 1&amp;2'!BV76-D71)+('Table 4 Level 3'!N73-F71))*C71</f>
        <v>7492.6339735763595</v>
      </c>
      <c r="J71" s="845">
        <f t="shared" si="33"/>
        <v>-169</v>
      </c>
      <c r="K71" s="846">
        <f t="shared" si="34"/>
        <v>67264.705762187339</v>
      </c>
      <c r="L71" s="846">
        <f>'[24]Oct midyear LA Connections'!M71</f>
        <v>5994.405072501806</v>
      </c>
      <c r="M71" s="847">
        <f t="shared" si="35"/>
        <v>73259.110834689141</v>
      </c>
      <c r="N71" s="847">
        <f t="shared" si="36"/>
        <v>6105</v>
      </c>
      <c r="O71" s="849">
        <f>'[18]FY2012-13 Final'!K75*90%</f>
        <v>2486.7000000000003</v>
      </c>
      <c r="P71" s="849">
        <f t="shared" si="37"/>
        <v>27353.700000000004</v>
      </c>
      <c r="Q71" s="849">
        <f t="shared" si="38"/>
        <v>-68</v>
      </c>
      <c r="R71" s="849">
        <f t="shared" si="39"/>
        <v>27285.700000000004</v>
      </c>
      <c r="S71" s="848">
        <f>'[24]Oct midyear LA Connections'!R71</f>
        <v>2763</v>
      </c>
      <c r="T71" s="873">
        <f t="shared" si="40"/>
        <v>30048.700000000004</v>
      </c>
      <c r="U71" s="873">
        <f t="shared" si="41"/>
        <v>2504</v>
      </c>
      <c r="V71" s="850">
        <f t="shared" si="42"/>
        <v>103307.81083468915</v>
      </c>
      <c r="W71" s="850">
        <f t="shared" si="43"/>
        <v>8609</v>
      </c>
    </row>
    <row r="72" spans="1:126" s="558" customFormat="1" ht="16.5" customHeight="1">
      <c r="A72" s="101">
        <v>69</v>
      </c>
      <c r="B72" s="815" t="s">
        <v>213</v>
      </c>
      <c r="C72" s="843">
        <f>'[2]ALL-Reformatted'!T74</f>
        <v>2</v>
      </c>
      <c r="D72" s="844">
        <f>'Table 3 Levels 1&amp;2'!BN77*90%+'Table 3 Levels 1&amp;2'!BV77*90%</f>
        <v>5003.7425107817671</v>
      </c>
      <c r="E72" s="844">
        <f t="shared" si="30"/>
        <v>10007.485021563534</v>
      </c>
      <c r="F72" s="845">
        <f>'Table 4 Level 3'!N74*90%</f>
        <v>635.10299999999995</v>
      </c>
      <c r="G72" s="845">
        <f t="shared" si="31"/>
        <v>1270.2059999999999</v>
      </c>
      <c r="H72" s="845">
        <f t="shared" si="32"/>
        <v>11277.691021563534</v>
      </c>
      <c r="I72" s="845">
        <f>(('Table 3 Levels 1&amp;2'!BN77+'Table 3 Levels 1&amp;2'!BV77-D72)+('Table 4 Level 3'!N74-F72))*C72</f>
        <v>1253.0767801737256</v>
      </c>
      <c r="J72" s="845">
        <f t="shared" si="33"/>
        <v>-28</v>
      </c>
      <c r="K72" s="846">
        <f t="shared" si="34"/>
        <v>11249.691021563534</v>
      </c>
      <c r="L72" s="846">
        <f>'[24]Oct midyear LA Connections'!M72</f>
        <v>5592.6087556670964</v>
      </c>
      <c r="M72" s="847">
        <f t="shared" si="35"/>
        <v>16842.29977723063</v>
      </c>
      <c r="N72" s="847">
        <f t="shared" si="36"/>
        <v>1404</v>
      </c>
      <c r="O72" s="849">
        <f>'[18]FY2012-13 Final'!K76*90%</f>
        <v>2994.3</v>
      </c>
      <c r="P72" s="849">
        <f t="shared" si="37"/>
        <v>5988.6</v>
      </c>
      <c r="Q72" s="849">
        <f t="shared" si="38"/>
        <v>-15</v>
      </c>
      <c r="R72" s="849">
        <f t="shared" si="39"/>
        <v>5973.6</v>
      </c>
      <c r="S72" s="848">
        <f>'[24]Oct midyear LA Connections'!R72</f>
        <v>3327</v>
      </c>
      <c r="T72" s="873">
        <f t="shared" si="40"/>
        <v>9300.6</v>
      </c>
      <c r="U72" s="873">
        <f t="shared" si="41"/>
        <v>775</v>
      </c>
      <c r="V72" s="850">
        <f t="shared" si="42"/>
        <v>26142.899777230632</v>
      </c>
      <c r="W72" s="850">
        <f t="shared" si="43"/>
        <v>2179</v>
      </c>
    </row>
    <row r="73" spans="1:126" s="865" customFormat="1" ht="16.5" customHeight="1">
      <c r="A73" s="859"/>
      <c r="B73" s="817" t="s">
        <v>474</v>
      </c>
      <c r="C73" s="860">
        <f>SUM(C4:C72)</f>
        <v>1200</v>
      </c>
      <c r="D73" s="861"/>
      <c r="E73" s="861">
        <f t="shared" ref="E73:W73" si="44">SUM(E4:E72)</f>
        <v>4772881.8933744999</v>
      </c>
      <c r="F73" s="862"/>
      <c r="G73" s="862">
        <f t="shared" si="44"/>
        <v>755643.25911563728</v>
      </c>
      <c r="H73" s="862">
        <f t="shared" si="44"/>
        <v>5528525.1524901381</v>
      </c>
      <c r="I73" s="862">
        <f t="shared" si="44"/>
        <v>613472.09577811998</v>
      </c>
      <c r="J73" s="862">
        <f t="shared" si="44"/>
        <v>-13822</v>
      </c>
      <c r="K73" s="863">
        <f t="shared" si="44"/>
        <v>5514703.1524901381</v>
      </c>
      <c r="L73" s="863">
        <f t="shared" si="44"/>
        <v>7186.3241686826723</v>
      </c>
      <c r="M73" s="864">
        <f t="shared" si="44"/>
        <v>5521889.4766588202</v>
      </c>
      <c r="N73" s="864">
        <f t="shared" si="44"/>
        <v>460164</v>
      </c>
      <c r="O73" s="819"/>
      <c r="P73" s="819">
        <f t="shared" si="44"/>
        <v>4569544.8</v>
      </c>
      <c r="Q73" s="819">
        <f t="shared" si="44"/>
        <v>-11423</v>
      </c>
      <c r="R73" s="819">
        <f t="shared" si="44"/>
        <v>4558121.8</v>
      </c>
      <c r="S73" s="819">
        <f t="shared" si="44"/>
        <v>-15401</v>
      </c>
      <c r="T73" s="875">
        <f t="shared" si="44"/>
        <v>4542720.8</v>
      </c>
      <c r="U73" s="875">
        <f t="shared" si="44"/>
        <v>378558</v>
      </c>
      <c r="V73" s="820">
        <f t="shared" si="44"/>
        <v>10064610.276658818</v>
      </c>
      <c r="W73" s="820">
        <f t="shared" si="44"/>
        <v>838722</v>
      </c>
    </row>
    <row r="74" spans="1:126" s="825" customFormat="1" ht="6.75" customHeight="1">
      <c r="A74" s="834"/>
      <c r="B74" s="833"/>
      <c r="C74" s="821"/>
      <c r="D74" s="822"/>
      <c r="E74" s="822"/>
      <c r="F74" s="822"/>
      <c r="G74" s="822"/>
      <c r="H74" s="822"/>
      <c r="I74" s="822"/>
      <c r="J74" s="822"/>
      <c r="K74" s="822"/>
      <c r="L74" s="822"/>
      <c r="M74" s="822"/>
      <c r="N74" s="822"/>
      <c r="O74" s="823"/>
      <c r="P74" s="823"/>
      <c r="Q74" s="824"/>
      <c r="R74" s="824"/>
      <c r="S74" s="824"/>
      <c r="T74" s="878"/>
      <c r="U74" s="878"/>
      <c r="V74" s="823"/>
      <c r="W74" s="823"/>
      <c r="X74" s="558"/>
      <c r="Y74" s="558"/>
      <c r="Z74" s="558"/>
      <c r="AA74" s="558"/>
      <c r="AB74" s="558"/>
      <c r="AC74" s="558"/>
      <c r="AD74" s="558"/>
      <c r="AE74" s="558"/>
      <c r="AF74" s="558"/>
      <c r="AG74" s="558"/>
      <c r="AH74" s="558"/>
      <c r="AI74" s="558"/>
      <c r="AJ74" s="558"/>
      <c r="AK74" s="558"/>
      <c r="AL74" s="558"/>
      <c r="AM74" s="558"/>
      <c r="AN74" s="558"/>
      <c r="AO74" s="558"/>
      <c r="AP74" s="558"/>
      <c r="AQ74" s="558"/>
      <c r="AR74" s="558"/>
      <c r="AS74" s="558"/>
      <c r="AT74" s="558"/>
      <c r="AU74" s="558"/>
      <c r="AV74" s="558"/>
      <c r="AW74" s="558"/>
      <c r="AX74" s="558"/>
      <c r="AY74" s="558"/>
      <c r="AZ74" s="558"/>
      <c r="BA74" s="558"/>
      <c r="BB74" s="558"/>
      <c r="BC74" s="558"/>
      <c r="BD74" s="558"/>
      <c r="BE74" s="558"/>
      <c r="BF74" s="558"/>
      <c r="BG74" s="558"/>
      <c r="BH74" s="558"/>
      <c r="BI74" s="558"/>
      <c r="BJ74" s="558"/>
      <c r="BK74" s="558"/>
      <c r="BL74" s="558"/>
      <c r="BM74" s="558"/>
      <c r="BN74" s="558"/>
      <c r="BO74" s="558"/>
      <c r="BP74" s="558"/>
      <c r="BQ74" s="558"/>
      <c r="BR74" s="558"/>
      <c r="BS74" s="558"/>
      <c r="BT74" s="558"/>
      <c r="BU74" s="558"/>
      <c r="BV74" s="558"/>
      <c r="BW74" s="558"/>
      <c r="BX74" s="558"/>
      <c r="BY74" s="558"/>
      <c r="BZ74" s="558"/>
      <c r="CA74" s="558"/>
      <c r="CB74" s="558"/>
      <c r="CC74" s="558"/>
      <c r="CD74" s="558"/>
      <c r="CE74" s="558"/>
      <c r="CF74" s="558"/>
      <c r="CG74" s="558"/>
      <c r="CH74" s="558"/>
      <c r="CI74" s="558"/>
      <c r="CJ74" s="558"/>
      <c r="CK74" s="558"/>
      <c r="CL74" s="558"/>
      <c r="CM74" s="558"/>
      <c r="CN74" s="558"/>
      <c r="CO74" s="558"/>
      <c r="CP74" s="558"/>
      <c r="CQ74" s="558"/>
      <c r="CR74" s="558"/>
      <c r="CS74" s="558"/>
      <c r="CT74" s="558"/>
      <c r="CU74" s="558"/>
      <c r="CV74" s="558"/>
      <c r="CW74" s="558"/>
      <c r="CX74" s="558"/>
      <c r="CY74" s="558"/>
      <c r="CZ74" s="558"/>
      <c r="DA74" s="558"/>
      <c r="DB74" s="558"/>
      <c r="DC74" s="558"/>
      <c r="DD74" s="558"/>
      <c r="DE74" s="558"/>
      <c r="DF74" s="558"/>
      <c r="DG74" s="558"/>
      <c r="DH74" s="558"/>
      <c r="DI74" s="558"/>
      <c r="DJ74" s="558"/>
      <c r="DK74" s="558"/>
      <c r="DL74" s="558"/>
      <c r="DM74" s="558"/>
      <c r="DN74" s="558"/>
      <c r="DO74" s="558"/>
      <c r="DP74" s="558"/>
      <c r="DQ74" s="558"/>
      <c r="DR74" s="558"/>
      <c r="DS74" s="558"/>
      <c r="DT74" s="558"/>
      <c r="DU74" s="558"/>
      <c r="DV74" s="558"/>
    </row>
    <row r="75" spans="1:126" s="558" customFormat="1" ht="21.75" customHeight="1">
      <c r="A75" s="834"/>
      <c r="B75" s="870" t="s">
        <v>472</v>
      </c>
      <c r="C75" s="554"/>
      <c r="D75" s="555"/>
      <c r="E75" s="555"/>
      <c r="F75" s="557"/>
      <c r="G75" s="557"/>
      <c r="H75" s="557"/>
      <c r="I75" s="557"/>
      <c r="J75" s="557">
        <f>-J73</f>
        <v>13822</v>
      </c>
      <c r="K75" s="731">
        <f>J75</f>
        <v>13822</v>
      </c>
      <c r="L75" s="731"/>
      <c r="M75" s="730">
        <f>K75</f>
        <v>13822</v>
      </c>
      <c r="N75" s="730"/>
      <c r="O75" s="556"/>
      <c r="P75" s="585"/>
      <c r="Q75" s="585">
        <f>-Q73</f>
        <v>11423</v>
      </c>
      <c r="R75" s="585">
        <f>Q75</f>
        <v>11423</v>
      </c>
      <c r="S75" s="585"/>
      <c r="T75" s="876">
        <f>R75</f>
        <v>11423</v>
      </c>
      <c r="U75" s="876"/>
      <c r="V75" s="586">
        <f t="shared" ref="V75" si="45">T75+M75</f>
        <v>25245</v>
      </c>
      <c r="W75" s="586"/>
    </row>
    <row r="76" spans="1:126" s="825" customFormat="1" ht="6" customHeight="1">
      <c r="A76" s="834"/>
      <c r="B76" s="833"/>
      <c r="C76" s="821"/>
      <c r="D76" s="822"/>
      <c r="E76" s="822"/>
      <c r="F76" s="822"/>
      <c r="G76" s="822"/>
      <c r="H76" s="822"/>
      <c r="I76" s="822"/>
      <c r="J76" s="822"/>
      <c r="K76" s="822"/>
      <c r="L76" s="822"/>
      <c r="M76" s="822"/>
      <c r="N76" s="822"/>
      <c r="O76" s="823"/>
      <c r="P76" s="823"/>
      <c r="Q76" s="824"/>
      <c r="R76" s="824"/>
      <c r="S76" s="824"/>
      <c r="T76" s="878"/>
      <c r="U76" s="878"/>
      <c r="V76" s="823"/>
      <c r="W76" s="823"/>
      <c r="X76" s="558"/>
      <c r="Y76" s="558"/>
      <c r="Z76" s="558"/>
      <c r="AA76" s="558"/>
      <c r="AB76" s="558"/>
      <c r="AC76" s="558"/>
      <c r="AD76" s="558"/>
      <c r="AE76" s="558"/>
      <c r="AF76" s="558"/>
      <c r="AG76" s="558"/>
      <c r="AH76" s="558"/>
      <c r="AI76" s="558"/>
      <c r="AJ76" s="558"/>
      <c r="AK76" s="558"/>
      <c r="AL76" s="558"/>
      <c r="AM76" s="558"/>
      <c r="AN76" s="558"/>
      <c r="AO76" s="558"/>
      <c r="AP76" s="558"/>
      <c r="AQ76" s="558"/>
      <c r="AR76" s="558"/>
      <c r="AS76" s="558"/>
      <c r="AT76" s="558"/>
      <c r="AU76" s="558"/>
      <c r="AV76" s="558"/>
      <c r="AW76" s="558"/>
      <c r="AX76" s="558"/>
      <c r="AY76" s="558"/>
      <c r="AZ76" s="558"/>
      <c r="BA76" s="558"/>
      <c r="BB76" s="558"/>
      <c r="BC76" s="558"/>
      <c r="BD76" s="558"/>
      <c r="BE76" s="558"/>
      <c r="BF76" s="558"/>
      <c r="BG76" s="558"/>
      <c r="BH76" s="558"/>
      <c r="BI76" s="558"/>
      <c r="BJ76" s="558"/>
      <c r="BK76" s="558"/>
      <c r="BL76" s="558"/>
      <c r="BM76" s="558"/>
      <c r="BN76" s="558"/>
      <c r="BO76" s="558"/>
      <c r="BP76" s="558"/>
      <c r="BQ76" s="558"/>
      <c r="BR76" s="558"/>
      <c r="BS76" s="558"/>
      <c r="BT76" s="558"/>
      <c r="BU76" s="558"/>
      <c r="BV76" s="558"/>
      <c r="BW76" s="558"/>
      <c r="BX76" s="558"/>
      <c r="BY76" s="558"/>
      <c r="BZ76" s="558"/>
      <c r="CA76" s="558"/>
      <c r="CB76" s="558"/>
      <c r="CC76" s="558"/>
      <c r="CD76" s="558"/>
      <c r="CE76" s="558"/>
      <c r="CF76" s="558"/>
      <c r="CG76" s="558"/>
      <c r="CH76" s="558"/>
      <c r="CI76" s="558"/>
      <c r="CJ76" s="558"/>
      <c r="CK76" s="558"/>
      <c r="CL76" s="558"/>
      <c r="CM76" s="558"/>
      <c r="CN76" s="558"/>
      <c r="CO76" s="558"/>
      <c r="CP76" s="558"/>
      <c r="CQ76" s="558"/>
      <c r="CR76" s="558"/>
      <c r="CS76" s="558"/>
      <c r="CT76" s="558"/>
      <c r="CU76" s="558"/>
      <c r="CV76" s="558"/>
      <c r="CW76" s="558"/>
      <c r="CX76" s="558"/>
      <c r="CY76" s="558"/>
      <c r="CZ76" s="558"/>
      <c r="DA76" s="558"/>
      <c r="DB76" s="558"/>
      <c r="DC76" s="558"/>
      <c r="DD76" s="558"/>
      <c r="DE76" s="558"/>
      <c r="DF76" s="558"/>
      <c r="DG76" s="558"/>
      <c r="DH76" s="558"/>
      <c r="DI76" s="558"/>
      <c r="DJ76" s="558"/>
      <c r="DK76" s="558"/>
      <c r="DL76" s="558"/>
      <c r="DM76" s="558"/>
      <c r="DN76" s="558"/>
      <c r="DO76" s="558"/>
      <c r="DP76" s="558"/>
      <c r="DQ76" s="558"/>
      <c r="DR76" s="558"/>
      <c r="DS76" s="558"/>
      <c r="DT76" s="558"/>
      <c r="DU76" s="558"/>
      <c r="DV76" s="558"/>
    </row>
    <row r="77" spans="1:126" s="869" customFormat="1" ht="33" customHeight="1">
      <c r="A77" s="866"/>
      <c r="B77" s="826" t="s">
        <v>473</v>
      </c>
      <c r="C77" s="867">
        <f>SUM(C73:C76)</f>
        <v>1200</v>
      </c>
      <c r="D77" s="868"/>
      <c r="E77" s="868">
        <f t="shared" ref="E77:V77" si="46">SUM(E73:E76)</f>
        <v>4772881.8933744999</v>
      </c>
      <c r="F77" s="827"/>
      <c r="G77" s="827">
        <f t="shared" si="46"/>
        <v>755643.25911563728</v>
      </c>
      <c r="H77" s="827">
        <f t="shared" si="46"/>
        <v>5528525.1524901381</v>
      </c>
      <c r="I77" s="827"/>
      <c r="J77" s="827">
        <f t="shared" si="46"/>
        <v>0</v>
      </c>
      <c r="K77" s="828">
        <f t="shared" si="46"/>
        <v>5528525.1524901381</v>
      </c>
      <c r="L77" s="828">
        <f t="shared" si="46"/>
        <v>7186.3241686826723</v>
      </c>
      <c r="M77" s="829">
        <f t="shared" si="46"/>
        <v>5535711.4766588202</v>
      </c>
      <c r="N77" s="829"/>
      <c r="O77" s="830"/>
      <c r="P77" s="831">
        <f t="shared" si="46"/>
        <v>4569544.8</v>
      </c>
      <c r="Q77" s="831">
        <f t="shared" si="46"/>
        <v>0</v>
      </c>
      <c r="R77" s="831">
        <f t="shared" si="46"/>
        <v>4569544.8</v>
      </c>
      <c r="S77" s="831">
        <f t="shared" si="46"/>
        <v>-15401</v>
      </c>
      <c r="T77" s="877">
        <f t="shared" si="46"/>
        <v>4554143.8</v>
      </c>
      <c r="U77" s="877"/>
      <c r="V77" s="832">
        <f t="shared" si="46"/>
        <v>10089855.276658818</v>
      </c>
      <c r="W77" s="832"/>
    </row>
    <row r="78" spans="1:126" ht="13.5" customHeight="1">
      <c r="B78" s="559"/>
      <c r="C78" s="560"/>
      <c r="D78" s="561"/>
      <c r="E78" s="560"/>
      <c r="F78" s="560"/>
      <c r="G78" s="560"/>
      <c r="H78" s="562"/>
      <c r="I78" s="562"/>
      <c r="J78" s="562"/>
      <c r="K78" s="562"/>
      <c r="L78" s="562"/>
      <c r="M78" s="562"/>
      <c r="N78" s="562"/>
    </row>
    <row r="79" spans="1:126" ht="17.25" customHeight="1">
      <c r="C79" s="2103"/>
      <c r="D79" s="2103"/>
      <c r="E79" s="2103"/>
      <c r="F79" s="2103"/>
      <c r="G79" s="2103"/>
      <c r="H79" s="2103"/>
      <c r="I79" s="2103"/>
      <c r="J79" s="2103"/>
      <c r="K79" s="2103"/>
      <c r="L79" s="2103"/>
      <c r="M79" s="2103"/>
      <c r="N79" s="2103"/>
    </row>
    <row r="80" spans="1:126" s="767" customFormat="1" ht="60.75" hidden="1" customHeight="1">
      <c r="C80" s="765"/>
      <c r="D80" s="766"/>
      <c r="E80" s="766"/>
      <c r="F80" s="766"/>
      <c r="G80" s="766">
        <f>(G77/90%)*10%</f>
        <v>83960.362123959698</v>
      </c>
      <c r="H80" s="766"/>
      <c r="I80" s="766"/>
      <c r="J80" s="766"/>
    </row>
    <row r="81" spans="2:14" s="767" customFormat="1" ht="60.75" customHeight="1">
      <c r="C81" s="2051"/>
      <c r="D81" s="2051"/>
      <c r="E81" s="2051"/>
      <c r="F81" s="2051"/>
      <c r="G81" s="2051"/>
      <c r="H81" s="2051"/>
      <c r="I81" s="2051"/>
      <c r="J81" s="2051"/>
      <c r="K81" s="2051"/>
      <c r="L81" s="2051"/>
      <c r="M81" s="2051"/>
      <c r="N81" s="2051"/>
    </row>
    <row r="82" spans="2:14" ht="60.75" customHeight="1">
      <c r="C82" s="563"/>
    </row>
    <row r="83" spans="2:14" ht="60.75" customHeight="1">
      <c r="B83" s="564"/>
    </row>
  </sheetData>
  <mergeCells count="25">
    <mergeCell ref="C81:N81"/>
    <mergeCell ref="T1:T2"/>
    <mergeCell ref="U1:U2"/>
    <mergeCell ref="V1:V2"/>
    <mergeCell ref="W1:W2"/>
    <mergeCell ref="C79:N79"/>
    <mergeCell ref="O1:O2"/>
    <mergeCell ref="P1:P2"/>
    <mergeCell ref="Q1:Q2"/>
    <mergeCell ref="R1:R2"/>
    <mergeCell ref="S1:S2"/>
    <mergeCell ref="J1:J2"/>
    <mergeCell ref="K1:K2"/>
    <mergeCell ref="L1:L2"/>
    <mergeCell ref="M1:M2"/>
    <mergeCell ref="N1:N2"/>
    <mergeCell ref="F1:F2"/>
    <mergeCell ref="G1:G2"/>
    <mergeCell ref="H1:H2"/>
    <mergeCell ref="I1:I2"/>
    <mergeCell ref="A1:A2"/>
    <mergeCell ref="B1:B2"/>
    <mergeCell ref="C1:C2"/>
    <mergeCell ref="D1:D2"/>
    <mergeCell ref="E1:E2"/>
  </mergeCells>
  <printOptions horizontalCentered="1"/>
  <pageMargins left="0.2" right="0.25" top="0.86" bottom="0.25" header="0.24" footer="0.25"/>
  <pageSetup paperSize="5" scale="60" firstPageNumber="93" orientation="portrait" useFirstPageNumber="1" r:id="rId1"/>
  <headerFooter alignWithMargins="0">
    <oddHeader xml:space="preserve">&amp;L&amp;"Arial,Bold"&amp;20Table 5C-3: FY2013-14 MFP Budget Letter (Projection)
Type 2 Charter School Allocation (Louisiana Connections Academy) </oddHeader>
    <oddFooter>&amp;R&amp;P</oddFooter>
  </headerFooter>
  <colBreaks count="3" manualBreakCount="3">
    <brk id="9" max="78" man="1"/>
    <brk id="14" max="78" man="1"/>
    <brk id="23" max="78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U106"/>
  <sheetViews>
    <sheetView view="pageBreakPreview" zoomScaleNormal="100" zoomScaleSheetLayoutView="100" workbookViewId="0">
      <pane xSplit="2" ySplit="6" topLeftCell="C7" activePane="bottomRight" state="frozen"/>
      <selection activeCell="A2" sqref="A2:B4"/>
      <selection pane="topRight" activeCell="A2" sqref="A2:B4"/>
      <selection pane="bottomLeft" activeCell="A2" sqref="A2:B4"/>
      <selection pane="bottomRight" activeCell="A2" sqref="A2:B4"/>
    </sheetView>
  </sheetViews>
  <sheetFormatPr defaultColWidth="12.5703125" defaultRowHeight="12.75"/>
  <cols>
    <col min="1" max="1" width="3.28515625" style="971" customWidth="1"/>
    <col min="2" max="2" width="23.7109375" style="971" customWidth="1"/>
    <col min="3" max="3" width="12.7109375" style="974" customWidth="1"/>
    <col min="4" max="4" width="15.28515625" style="974" customWidth="1"/>
    <col min="5" max="5" width="10.7109375" style="974" bestFit="1" customWidth="1"/>
    <col min="6" max="6" width="12.5703125" style="974" bestFit="1" customWidth="1"/>
    <col min="7" max="7" width="11.85546875" style="974" customWidth="1"/>
    <col min="8" max="8" width="10.85546875" style="974" bestFit="1" customWidth="1"/>
    <col min="9" max="9" width="12.28515625" style="974" customWidth="1"/>
    <col min="10" max="10" width="13.42578125" style="974" customWidth="1"/>
    <col min="11" max="11" width="12.28515625" style="974" customWidth="1"/>
    <col min="12" max="12" width="11.5703125" style="974" customWidth="1"/>
    <col min="13" max="13" width="17.7109375" style="1049" customWidth="1"/>
    <col min="14" max="14" width="13.7109375" style="974" bestFit="1" customWidth="1"/>
    <col min="15" max="18" width="13.7109375" style="974" customWidth="1"/>
    <col min="19" max="19" width="10.85546875" style="974" bestFit="1" customWidth="1"/>
    <col min="20" max="21" width="12.5703125" style="971" customWidth="1"/>
    <col min="22" max="16384" width="12.5703125" style="971"/>
  </cols>
  <sheetData>
    <row r="1" spans="1:21" ht="9" customHeight="1">
      <c r="B1" s="972"/>
      <c r="C1" s="973"/>
      <c r="D1" s="973"/>
    </row>
    <row r="2" spans="1:21" s="976" customFormat="1" ht="37.5" customHeight="1">
      <c r="A2" s="2000" t="s">
        <v>485</v>
      </c>
      <c r="B2" s="2001"/>
      <c r="C2" s="2065" t="s">
        <v>483</v>
      </c>
      <c r="D2" s="2017"/>
      <c r="E2" s="2017"/>
      <c r="F2" s="2017"/>
      <c r="G2" s="2017"/>
      <c r="H2" s="2017"/>
      <c r="I2" s="2017"/>
      <c r="J2" s="2017"/>
      <c r="K2" s="2017"/>
      <c r="L2" s="2018"/>
      <c r="M2" s="1992" t="s">
        <v>1357</v>
      </c>
      <c r="N2" s="1993"/>
      <c r="O2" s="1993"/>
      <c r="P2" s="1993"/>
      <c r="Q2" s="1993"/>
      <c r="R2" s="1993"/>
      <c r="S2" s="1994"/>
      <c r="T2" s="1995" t="s">
        <v>1412</v>
      </c>
      <c r="U2" s="1995" t="s">
        <v>1355</v>
      </c>
    </row>
    <row r="3" spans="1:21" ht="110.25" customHeight="1">
      <c r="A3" s="2002"/>
      <c r="B3" s="2003"/>
      <c r="C3" s="2109" t="s">
        <v>1180</v>
      </c>
      <c r="D3" s="2008" t="s">
        <v>1393</v>
      </c>
      <c r="E3" s="2008" t="s">
        <v>1377</v>
      </c>
      <c r="F3" s="977" t="s">
        <v>492</v>
      </c>
      <c r="G3" s="2006" t="s">
        <v>1378</v>
      </c>
      <c r="H3" s="1096" t="s">
        <v>510</v>
      </c>
      <c r="I3" s="2006" t="s">
        <v>1379</v>
      </c>
      <c r="J3" s="2006" t="s">
        <v>1230</v>
      </c>
      <c r="K3" s="2006" t="s">
        <v>1380</v>
      </c>
      <c r="L3" s="2008" t="s">
        <v>1356</v>
      </c>
      <c r="M3" s="1203" t="s">
        <v>694</v>
      </c>
      <c r="N3" s="1743" t="s">
        <v>1382</v>
      </c>
      <c r="O3" s="1205" t="s">
        <v>512</v>
      </c>
      <c r="P3" s="1743" t="s">
        <v>1383</v>
      </c>
      <c r="Q3" s="2019" t="s">
        <v>1230</v>
      </c>
      <c r="R3" s="2019" t="s">
        <v>1384</v>
      </c>
      <c r="S3" s="1743" t="s">
        <v>1385</v>
      </c>
      <c r="T3" s="1996"/>
      <c r="U3" s="1996"/>
    </row>
    <row r="4" spans="1:21" ht="30" customHeight="1">
      <c r="A4" s="2004"/>
      <c r="B4" s="2005"/>
      <c r="C4" s="2110"/>
      <c r="D4" s="2008"/>
      <c r="E4" s="2008"/>
      <c r="F4" s="1067">
        <v>716.29552188552179</v>
      </c>
      <c r="G4" s="2007"/>
      <c r="H4" s="1107">
        <v>2.5000000000000001E-3</v>
      </c>
      <c r="I4" s="2007"/>
      <c r="J4" s="2007"/>
      <c r="K4" s="2007"/>
      <c r="L4" s="2008"/>
      <c r="M4" s="1204"/>
      <c r="N4" s="1202"/>
      <c r="O4" s="1108">
        <v>2.5000000000000001E-3</v>
      </c>
      <c r="P4" s="1202"/>
      <c r="Q4" s="1999"/>
      <c r="R4" s="1999"/>
      <c r="S4" s="1202"/>
      <c r="T4" s="1997"/>
      <c r="U4" s="1997"/>
    </row>
    <row r="5" spans="1:21" s="981" customFormat="1" ht="14.25" customHeight="1">
      <c r="A5" s="978"/>
      <c r="B5" s="979"/>
      <c r="C5" s="980">
        <v>1</v>
      </c>
      <c r="D5" s="980">
        <f t="shared" ref="D5:N5" si="0">C5+1</f>
        <v>2</v>
      </c>
      <c r="E5" s="980">
        <f>D5+1</f>
        <v>3</v>
      </c>
      <c r="F5" s="980">
        <f t="shared" ref="F5:G5" si="1">E5+1</f>
        <v>4</v>
      </c>
      <c r="G5" s="980">
        <f t="shared" si="1"/>
        <v>5</v>
      </c>
      <c r="H5" s="980">
        <f t="shared" ref="H5" si="2">G5+1</f>
        <v>6</v>
      </c>
      <c r="I5" s="980">
        <f t="shared" ref="I5" si="3">H5+1</f>
        <v>7</v>
      </c>
      <c r="J5" s="980">
        <f t="shared" ref="J5" si="4">I5+1</f>
        <v>8</v>
      </c>
      <c r="K5" s="980">
        <f t="shared" ref="K5" si="5">J5+1</f>
        <v>9</v>
      </c>
      <c r="L5" s="980">
        <f t="shared" ref="L5" si="6">K5+1</f>
        <v>10</v>
      </c>
      <c r="M5" s="980">
        <f t="shared" si="0"/>
        <v>11</v>
      </c>
      <c r="N5" s="980">
        <f t="shared" si="0"/>
        <v>12</v>
      </c>
      <c r="O5" s="980">
        <f t="shared" ref="O5" si="7">N5+1</f>
        <v>13</v>
      </c>
      <c r="P5" s="980">
        <f t="shared" ref="P5" si="8">O5+1</f>
        <v>14</v>
      </c>
      <c r="Q5" s="980">
        <f t="shared" ref="Q5" si="9">P5+1</f>
        <v>15</v>
      </c>
      <c r="R5" s="980">
        <f t="shared" ref="R5" si="10">Q5+1</f>
        <v>16</v>
      </c>
      <c r="S5" s="980">
        <f t="shared" ref="S5" si="11">R5+1</f>
        <v>17</v>
      </c>
      <c r="T5" s="980">
        <f t="shared" ref="T5" si="12">S5+1</f>
        <v>18</v>
      </c>
      <c r="U5" s="980">
        <f t="shared" ref="U5" si="13">T5+1</f>
        <v>19</v>
      </c>
    </row>
    <row r="6" spans="1:21" s="1045" customFormat="1" ht="27" customHeight="1">
      <c r="A6" s="1041"/>
      <c r="B6" s="1042"/>
      <c r="C6" s="1043" t="s">
        <v>441</v>
      </c>
      <c r="D6" s="1044" t="s">
        <v>363</v>
      </c>
      <c r="E6" s="1043" t="s">
        <v>532</v>
      </c>
      <c r="F6" s="1044" t="s">
        <v>494</v>
      </c>
      <c r="G6" s="1043" t="s">
        <v>493</v>
      </c>
      <c r="H6" s="1043" t="s">
        <v>511</v>
      </c>
      <c r="I6" s="1043" t="s">
        <v>513</v>
      </c>
      <c r="J6" s="1043"/>
      <c r="K6" s="1043" t="s">
        <v>642</v>
      </c>
      <c r="L6" s="1043" t="s">
        <v>537</v>
      </c>
      <c r="M6" s="1066" t="s">
        <v>363</v>
      </c>
      <c r="N6" s="1044" t="s">
        <v>538</v>
      </c>
      <c r="O6" s="1044" t="s">
        <v>643</v>
      </c>
      <c r="P6" s="1044" t="s">
        <v>640</v>
      </c>
      <c r="Q6" s="1044"/>
      <c r="R6" s="1044" t="s">
        <v>641</v>
      </c>
      <c r="S6" s="1044" t="s">
        <v>540</v>
      </c>
      <c r="T6" s="1044" t="s">
        <v>541</v>
      </c>
      <c r="U6" s="1044" t="s">
        <v>542</v>
      </c>
    </row>
    <row r="7" spans="1:21" ht="12.75" customHeight="1">
      <c r="A7" s="987">
        <v>1</v>
      </c>
      <c r="B7" s="988" t="s">
        <v>95</v>
      </c>
      <c r="C7" s="989">
        <f>'[2]ALL-Reformatted'!G6</f>
        <v>0</v>
      </c>
      <c r="D7" s="990">
        <f>'Table 3 Levels 1&amp;2'!BN9+'Table 3 Levels 1&amp;2'!BV9</f>
        <v>4565.2108060165392</v>
      </c>
      <c r="E7" s="1099">
        <f t="shared" ref="E7:E38" si="14">D7*C7</f>
        <v>0</v>
      </c>
      <c r="F7" s="1099">
        <f>C7*$F$4</f>
        <v>0</v>
      </c>
      <c r="G7" s="991">
        <f t="shared" ref="G7:G38" si="15">E7+F7</f>
        <v>0</v>
      </c>
      <c r="H7" s="1109">
        <f>-G7*$H$4</f>
        <v>0</v>
      </c>
      <c r="I7" s="991">
        <f>SUM(G7:H7)</f>
        <v>0</v>
      </c>
      <c r="J7" s="991"/>
      <c r="K7" s="991">
        <f>SUM(I7:J7)</f>
        <v>0</v>
      </c>
      <c r="L7" s="991">
        <f>ROUND(K7/12,0)</f>
        <v>0</v>
      </c>
      <c r="M7" s="1051">
        <f>'[18]FY2012-13 Final'!K8</f>
        <v>2112</v>
      </c>
      <c r="N7" s="992">
        <f t="shared" ref="N7:N38" si="16">M7*C7</f>
        <v>0</v>
      </c>
      <c r="O7" s="1117">
        <f>-N7*$O$4</f>
        <v>0</v>
      </c>
      <c r="P7" s="992">
        <f>SUM(N7:O7)</f>
        <v>0</v>
      </c>
      <c r="Q7" s="992"/>
      <c r="R7" s="992">
        <f>SUM(P7:Q7)</f>
        <v>0</v>
      </c>
      <c r="S7" s="992">
        <f>ROUND(R7/12,0)</f>
        <v>0</v>
      </c>
      <c r="T7" s="993">
        <f>K7+R7</f>
        <v>0</v>
      </c>
      <c r="U7" s="993">
        <f t="shared" ref="U7:U38" si="17">L7+S7</f>
        <v>0</v>
      </c>
    </row>
    <row r="8" spans="1:21">
      <c r="A8" s="994">
        <v>2</v>
      </c>
      <c r="B8" s="995" t="s">
        <v>96</v>
      </c>
      <c r="C8" s="1193">
        <f>'[2]ALL-Reformatted'!G7</f>
        <v>0</v>
      </c>
      <c r="D8" s="997">
        <f>'Table 3 Levels 1&amp;2'!BN10+'Table 3 Levels 1&amp;2'!BV10</f>
        <v>6132.0480322513831</v>
      </c>
      <c r="E8" s="1100">
        <f t="shared" si="14"/>
        <v>0</v>
      </c>
      <c r="F8" s="1100">
        <f t="shared" ref="F8:F71" si="18">C8*$F$4</f>
        <v>0</v>
      </c>
      <c r="G8" s="1052">
        <f t="shared" si="15"/>
        <v>0</v>
      </c>
      <c r="H8" s="1110">
        <f t="shared" ref="H8:H71" si="19">-G8*$H$4</f>
        <v>0</v>
      </c>
      <c r="I8" s="1052">
        <f t="shared" ref="I8:I71" si="20">SUM(G8:H8)</f>
        <v>0</v>
      </c>
      <c r="J8" s="1052"/>
      <c r="K8" s="1052">
        <f t="shared" ref="K8:K71" si="21">SUM(I8:J8)</f>
        <v>0</v>
      </c>
      <c r="L8" s="1052">
        <f t="shared" ref="L8:L71" si="22">ROUND(K8/12,0)</f>
        <v>0</v>
      </c>
      <c r="M8" s="1051">
        <f>'[18]FY2012-13 Final'!K9</f>
        <v>2584</v>
      </c>
      <c r="N8" s="1053">
        <f t="shared" si="16"/>
        <v>0</v>
      </c>
      <c r="O8" s="1118">
        <f t="shared" ref="O8:O71" si="23">-N8*$O$4</f>
        <v>0</v>
      </c>
      <c r="P8" s="1053">
        <f t="shared" ref="P8:P71" si="24">SUM(N8:O8)</f>
        <v>0</v>
      </c>
      <c r="Q8" s="1053"/>
      <c r="R8" s="1053">
        <f t="shared" ref="R8:R71" si="25">SUM(P8:Q8)</f>
        <v>0</v>
      </c>
      <c r="S8" s="1053">
        <f t="shared" ref="S8:S71" si="26">ROUND(R8/12,0)</f>
        <v>0</v>
      </c>
      <c r="T8" s="1054">
        <f t="shared" ref="T8:T71" si="27">K8+R8</f>
        <v>0</v>
      </c>
      <c r="U8" s="1054">
        <f t="shared" si="17"/>
        <v>0</v>
      </c>
    </row>
    <row r="9" spans="1:21" ht="12.75" customHeight="1">
      <c r="A9" s="994">
        <v>3</v>
      </c>
      <c r="B9" s="995" t="s">
        <v>97</v>
      </c>
      <c r="C9" s="1193">
        <f>'[2]ALL-Reformatted'!G8</f>
        <v>0</v>
      </c>
      <c r="D9" s="997">
        <f>'Table 3 Levels 1&amp;2'!BN11+'Table 3 Levels 1&amp;2'!BV11</f>
        <v>4186.9626187036429</v>
      </c>
      <c r="E9" s="1100">
        <f t="shared" si="14"/>
        <v>0</v>
      </c>
      <c r="F9" s="1100">
        <f t="shared" si="18"/>
        <v>0</v>
      </c>
      <c r="G9" s="1052">
        <f t="shared" si="15"/>
        <v>0</v>
      </c>
      <c r="H9" s="1110">
        <f t="shared" si="19"/>
        <v>0</v>
      </c>
      <c r="I9" s="1052">
        <f t="shared" si="20"/>
        <v>0</v>
      </c>
      <c r="J9" s="1052"/>
      <c r="K9" s="1052">
        <f t="shared" si="21"/>
        <v>0</v>
      </c>
      <c r="L9" s="1052">
        <f t="shared" si="22"/>
        <v>0</v>
      </c>
      <c r="M9" s="1051">
        <f>'[18]FY2012-13 Final'!K10</f>
        <v>4966</v>
      </c>
      <c r="N9" s="1053">
        <f t="shared" si="16"/>
        <v>0</v>
      </c>
      <c r="O9" s="1118">
        <f t="shared" si="23"/>
        <v>0</v>
      </c>
      <c r="P9" s="1053">
        <f t="shared" si="24"/>
        <v>0</v>
      </c>
      <c r="Q9" s="1053"/>
      <c r="R9" s="1053">
        <f t="shared" si="25"/>
        <v>0</v>
      </c>
      <c r="S9" s="1053">
        <f t="shared" si="26"/>
        <v>0</v>
      </c>
      <c r="T9" s="1054">
        <f t="shared" si="27"/>
        <v>0</v>
      </c>
      <c r="U9" s="1054">
        <f t="shared" si="17"/>
        <v>0</v>
      </c>
    </row>
    <row r="10" spans="1:21" ht="12.75" customHeight="1">
      <c r="A10" s="994">
        <v>4</v>
      </c>
      <c r="B10" s="995" t="s">
        <v>98</v>
      </c>
      <c r="C10" s="1193">
        <f>'[2]ALL-Reformatted'!G9</f>
        <v>0</v>
      </c>
      <c r="D10" s="997">
        <f>'Table 3 Levels 1&amp;2'!BN12+'Table 3 Levels 1&amp;2'!BV12</f>
        <v>5918.8798759182582</v>
      </c>
      <c r="E10" s="1100">
        <f t="shared" si="14"/>
        <v>0</v>
      </c>
      <c r="F10" s="1100">
        <f t="shared" si="18"/>
        <v>0</v>
      </c>
      <c r="G10" s="1052">
        <f t="shared" si="15"/>
        <v>0</v>
      </c>
      <c r="H10" s="1110">
        <f t="shared" si="19"/>
        <v>0</v>
      </c>
      <c r="I10" s="1052">
        <f t="shared" si="20"/>
        <v>0</v>
      </c>
      <c r="J10" s="1052"/>
      <c r="K10" s="1052">
        <f t="shared" si="21"/>
        <v>0</v>
      </c>
      <c r="L10" s="1052">
        <f t="shared" si="22"/>
        <v>0</v>
      </c>
      <c r="M10" s="1051">
        <f>'[18]FY2012-13 Final'!K11</f>
        <v>3445</v>
      </c>
      <c r="N10" s="1053">
        <f t="shared" si="16"/>
        <v>0</v>
      </c>
      <c r="O10" s="1118">
        <f t="shared" si="23"/>
        <v>0</v>
      </c>
      <c r="P10" s="1053">
        <f t="shared" si="24"/>
        <v>0</v>
      </c>
      <c r="Q10" s="1053"/>
      <c r="R10" s="1053">
        <f t="shared" si="25"/>
        <v>0</v>
      </c>
      <c r="S10" s="1053">
        <f t="shared" si="26"/>
        <v>0</v>
      </c>
      <c r="T10" s="1054">
        <f t="shared" si="27"/>
        <v>0</v>
      </c>
      <c r="U10" s="1054">
        <f t="shared" si="17"/>
        <v>0</v>
      </c>
    </row>
    <row r="11" spans="1:21" ht="12.75" customHeight="1">
      <c r="A11" s="998">
        <v>5</v>
      </c>
      <c r="B11" s="999" t="s">
        <v>99</v>
      </c>
      <c r="C11" s="1194">
        <f>'[2]ALL-Reformatted'!G10</f>
        <v>0</v>
      </c>
      <c r="D11" s="1001">
        <f>'Table 3 Levels 1&amp;2'!BN13+'Table 3 Levels 1&amp;2'!BV13</f>
        <v>4880.3484353147733</v>
      </c>
      <c r="E11" s="1101">
        <f t="shared" si="14"/>
        <v>0</v>
      </c>
      <c r="F11" s="1101">
        <f t="shared" si="18"/>
        <v>0</v>
      </c>
      <c r="G11" s="1055">
        <f t="shared" si="15"/>
        <v>0</v>
      </c>
      <c r="H11" s="1111">
        <f t="shared" si="19"/>
        <v>0</v>
      </c>
      <c r="I11" s="1055">
        <f t="shared" si="20"/>
        <v>0</v>
      </c>
      <c r="J11" s="1055"/>
      <c r="K11" s="1055">
        <f t="shared" si="21"/>
        <v>0</v>
      </c>
      <c r="L11" s="1055">
        <f t="shared" si="22"/>
        <v>0</v>
      </c>
      <c r="M11" s="1056">
        <f>'[18]FY2012-13 Final'!K12</f>
        <v>1353</v>
      </c>
      <c r="N11" s="1057">
        <f t="shared" si="16"/>
        <v>0</v>
      </c>
      <c r="O11" s="1119">
        <f t="shared" si="23"/>
        <v>0</v>
      </c>
      <c r="P11" s="1057">
        <f t="shared" si="24"/>
        <v>0</v>
      </c>
      <c r="Q11" s="1057"/>
      <c r="R11" s="1057">
        <f t="shared" si="25"/>
        <v>0</v>
      </c>
      <c r="S11" s="1057">
        <f t="shared" si="26"/>
        <v>0</v>
      </c>
      <c r="T11" s="1058">
        <f t="shared" si="27"/>
        <v>0</v>
      </c>
      <c r="U11" s="1058">
        <f t="shared" si="17"/>
        <v>0</v>
      </c>
    </row>
    <row r="12" spans="1:21" ht="12.75" customHeight="1">
      <c r="A12" s="987">
        <v>6</v>
      </c>
      <c r="B12" s="988" t="s">
        <v>100</v>
      </c>
      <c r="C12" s="1195">
        <f>'[2]ALL-Reformatted'!G11</f>
        <v>0</v>
      </c>
      <c r="D12" s="990">
        <f>'Table 3 Levels 1&amp;2'!BN14+'Table 3 Levels 1&amp;2'!BV14</f>
        <v>5379.7759718479856</v>
      </c>
      <c r="E12" s="1099">
        <f t="shared" si="14"/>
        <v>0</v>
      </c>
      <c r="F12" s="1099">
        <f t="shared" si="18"/>
        <v>0</v>
      </c>
      <c r="G12" s="991">
        <f t="shared" si="15"/>
        <v>0</v>
      </c>
      <c r="H12" s="1109">
        <f t="shared" si="19"/>
        <v>0</v>
      </c>
      <c r="I12" s="991">
        <f t="shared" si="20"/>
        <v>0</v>
      </c>
      <c r="J12" s="991"/>
      <c r="K12" s="991">
        <f t="shared" si="21"/>
        <v>0</v>
      </c>
      <c r="L12" s="991">
        <f t="shared" si="22"/>
        <v>0</v>
      </c>
      <c r="M12" s="1051">
        <f>'[18]FY2012-13 Final'!K13</f>
        <v>3576</v>
      </c>
      <c r="N12" s="992">
        <f t="shared" si="16"/>
        <v>0</v>
      </c>
      <c r="O12" s="1117">
        <f t="shared" si="23"/>
        <v>0</v>
      </c>
      <c r="P12" s="992">
        <f t="shared" si="24"/>
        <v>0</v>
      </c>
      <c r="Q12" s="992"/>
      <c r="R12" s="992">
        <f t="shared" si="25"/>
        <v>0</v>
      </c>
      <c r="S12" s="992">
        <f t="shared" si="26"/>
        <v>0</v>
      </c>
      <c r="T12" s="993">
        <f t="shared" si="27"/>
        <v>0</v>
      </c>
      <c r="U12" s="993">
        <f t="shared" si="17"/>
        <v>0</v>
      </c>
    </row>
    <row r="13" spans="1:21" ht="12.75" customHeight="1">
      <c r="A13" s="994">
        <v>7</v>
      </c>
      <c r="B13" s="995" t="s">
        <v>101</v>
      </c>
      <c r="C13" s="1193">
        <f>'[2]ALL-Reformatted'!G12</f>
        <v>0</v>
      </c>
      <c r="D13" s="997">
        <f>'Table 3 Levels 1&amp;2'!BN15+'Table 3 Levels 1&amp;2'!BV15</f>
        <v>1698.1351763907733</v>
      </c>
      <c r="E13" s="1100">
        <f t="shared" si="14"/>
        <v>0</v>
      </c>
      <c r="F13" s="1100">
        <f t="shared" si="18"/>
        <v>0</v>
      </c>
      <c r="G13" s="1052">
        <f t="shared" si="15"/>
        <v>0</v>
      </c>
      <c r="H13" s="1110">
        <f t="shared" si="19"/>
        <v>0</v>
      </c>
      <c r="I13" s="1052">
        <f t="shared" si="20"/>
        <v>0</v>
      </c>
      <c r="J13" s="1052"/>
      <c r="K13" s="1052">
        <f t="shared" si="21"/>
        <v>0</v>
      </c>
      <c r="L13" s="1052">
        <f t="shared" si="22"/>
        <v>0</v>
      </c>
      <c r="M13" s="1051">
        <f>'[18]FY2012-13 Final'!K14</f>
        <v>12465</v>
      </c>
      <c r="N13" s="1053">
        <f t="shared" si="16"/>
        <v>0</v>
      </c>
      <c r="O13" s="1118">
        <f t="shared" si="23"/>
        <v>0</v>
      </c>
      <c r="P13" s="1053">
        <f t="shared" si="24"/>
        <v>0</v>
      </c>
      <c r="Q13" s="1053"/>
      <c r="R13" s="1053">
        <f t="shared" si="25"/>
        <v>0</v>
      </c>
      <c r="S13" s="1053">
        <f t="shared" si="26"/>
        <v>0</v>
      </c>
      <c r="T13" s="1054">
        <f t="shared" si="27"/>
        <v>0</v>
      </c>
      <c r="U13" s="1054">
        <f t="shared" si="17"/>
        <v>0</v>
      </c>
    </row>
    <row r="14" spans="1:21">
      <c r="A14" s="994">
        <v>8</v>
      </c>
      <c r="B14" s="995" t="s">
        <v>102</v>
      </c>
      <c r="C14" s="1193">
        <f>'[2]ALL-Reformatted'!G13</f>
        <v>0</v>
      </c>
      <c r="D14" s="997">
        <f>'Table 3 Levels 1&amp;2'!BN16+'Table 3 Levels 1&amp;2'!BV16</f>
        <v>4239.8578920718974</v>
      </c>
      <c r="E14" s="1100">
        <f t="shared" si="14"/>
        <v>0</v>
      </c>
      <c r="F14" s="1100">
        <f t="shared" si="18"/>
        <v>0</v>
      </c>
      <c r="G14" s="1052">
        <f t="shared" si="15"/>
        <v>0</v>
      </c>
      <c r="H14" s="1110">
        <f t="shared" si="19"/>
        <v>0</v>
      </c>
      <c r="I14" s="1052">
        <f t="shared" si="20"/>
        <v>0</v>
      </c>
      <c r="J14" s="1052"/>
      <c r="K14" s="1052">
        <f t="shared" si="21"/>
        <v>0</v>
      </c>
      <c r="L14" s="1052">
        <f t="shared" si="22"/>
        <v>0</v>
      </c>
      <c r="M14" s="1051">
        <f>'[18]FY2012-13 Final'!K15</f>
        <v>4184</v>
      </c>
      <c r="N14" s="1053">
        <f t="shared" si="16"/>
        <v>0</v>
      </c>
      <c r="O14" s="1118">
        <f t="shared" si="23"/>
        <v>0</v>
      </c>
      <c r="P14" s="1053">
        <f t="shared" si="24"/>
        <v>0</v>
      </c>
      <c r="Q14" s="1053"/>
      <c r="R14" s="1053">
        <f t="shared" si="25"/>
        <v>0</v>
      </c>
      <c r="S14" s="1053">
        <f t="shared" si="26"/>
        <v>0</v>
      </c>
      <c r="T14" s="1054">
        <f t="shared" si="27"/>
        <v>0</v>
      </c>
      <c r="U14" s="1054">
        <f t="shared" si="17"/>
        <v>0</v>
      </c>
    </row>
    <row r="15" spans="1:21" ht="12.75" customHeight="1">
      <c r="A15" s="994">
        <v>9</v>
      </c>
      <c r="B15" s="995" t="s">
        <v>103</v>
      </c>
      <c r="C15" s="1193">
        <f>'[2]ALL-Reformatted'!G14</f>
        <v>0</v>
      </c>
      <c r="D15" s="997">
        <f>'Table 3 Levels 1&amp;2'!BN17+'Table 3 Levels 1&amp;2'!BV17</f>
        <v>4361.2752875373017</v>
      </c>
      <c r="E15" s="1100">
        <f t="shared" si="14"/>
        <v>0</v>
      </c>
      <c r="F15" s="1100">
        <f t="shared" si="18"/>
        <v>0</v>
      </c>
      <c r="G15" s="1052">
        <f t="shared" si="15"/>
        <v>0</v>
      </c>
      <c r="H15" s="1110">
        <f t="shared" si="19"/>
        <v>0</v>
      </c>
      <c r="I15" s="1052">
        <f t="shared" si="20"/>
        <v>0</v>
      </c>
      <c r="J15" s="1052"/>
      <c r="K15" s="1052">
        <f t="shared" si="21"/>
        <v>0</v>
      </c>
      <c r="L15" s="1052">
        <f t="shared" si="22"/>
        <v>0</v>
      </c>
      <c r="M15" s="1051">
        <f>'[18]FY2012-13 Final'!K16</f>
        <v>4640</v>
      </c>
      <c r="N15" s="1053">
        <f t="shared" si="16"/>
        <v>0</v>
      </c>
      <c r="O15" s="1118">
        <f t="shared" si="23"/>
        <v>0</v>
      </c>
      <c r="P15" s="1053">
        <f t="shared" si="24"/>
        <v>0</v>
      </c>
      <c r="Q15" s="1053"/>
      <c r="R15" s="1053">
        <f t="shared" si="25"/>
        <v>0</v>
      </c>
      <c r="S15" s="1053">
        <f t="shared" si="26"/>
        <v>0</v>
      </c>
      <c r="T15" s="1054">
        <f t="shared" si="27"/>
        <v>0</v>
      </c>
      <c r="U15" s="1054">
        <f t="shared" si="17"/>
        <v>0</v>
      </c>
    </row>
    <row r="16" spans="1:21">
      <c r="A16" s="998">
        <v>10</v>
      </c>
      <c r="B16" s="999" t="s">
        <v>104</v>
      </c>
      <c r="C16" s="1194">
        <f>'[2]ALL-Reformatted'!G15</f>
        <v>0</v>
      </c>
      <c r="D16" s="1001">
        <f>'Table 3 Levels 1&amp;2'!BN18+'Table 3 Levels 1&amp;2'!BV18</f>
        <v>4179.4641652904756</v>
      </c>
      <c r="E16" s="1101">
        <f t="shared" si="14"/>
        <v>0</v>
      </c>
      <c r="F16" s="1101">
        <f t="shared" si="18"/>
        <v>0</v>
      </c>
      <c r="G16" s="1055">
        <f t="shared" si="15"/>
        <v>0</v>
      </c>
      <c r="H16" s="1111">
        <f t="shared" si="19"/>
        <v>0</v>
      </c>
      <c r="I16" s="1055">
        <f t="shared" si="20"/>
        <v>0</v>
      </c>
      <c r="J16" s="1055"/>
      <c r="K16" s="1055">
        <f t="shared" si="21"/>
        <v>0</v>
      </c>
      <c r="L16" s="1055">
        <f t="shared" si="22"/>
        <v>0</v>
      </c>
      <c r="M16" s="1056">
        <f>'[18]FY2012-13 Final'!K17</f>
        <v>4391</v>
      </c>
      <c r="N16" s="1057">
        <f t="shared" si="16"/>
        <v>0</v>
      </c>
      <c r="O16" s="1119">
        <f t="shared" si="23"/>
        <v>0</v>
      </c>
      <c r="P16" s="1057">
        <f t="shared" si="24"/>
        <v>0</v>
      </c>
      <c r="Q16" s="1057"/>
      <c r="R16" s="1057">
        <f t="shared" si="25"/>
        <v>0</v>
      </c>
      <c r="S16" s="1057">
        <f t="shared" si="26"/>
        <v>0</v>
      </c>
      <c r="T16" s="1058">
        <f t="shared" si="27"/>
        <v>0</v>
      </c>
      <c r="U16" s="1058">
        <f t="shared" si="17"/>
        <v>0</v>
      </c>
    </row>
    <row r="17" spans="1:21" ht="12.75" customHeight="1">
      <c r="A17" s="987">
        <v>11</v>
      </c>
      <c r="B17" s="988" t="s">
        <v>105</v>
      </c>
      <c r="C17" s="1195">
        <f>'[2]ALL-Reformatted'!G16</f>
        <v>0</v>
      </c>
      <c r="D17" s="990">
        <f>'Table 3 Levels 1&amp;2'!BN19+'Table 3 Levels 1&amp;2'!BV19</f>
        <v>6825.0221851487568</v>
      </c>
      <c r="E17" s="1099">
        <f t="shared" si="14"/>
        <v>0</v>
      </c>
      <c r="F17" s="1099">
        <f t="shared" si="18"/>
        <v>0</v>
      </c>
      <c r="G17" s="991">
        <f t="shared" si="15"/>
        <v>0</v>
      </c>
      <c r="H17" s="1109">
        <f t="shared" si="19"/>
        <v>0</v>
      </c>
      <c r="I17" s="991">
        <f t="shared" si="20"/>
        <v>0</v>
      </c>
      <c r="J17" s="991"/>
      <c r="K17" s="991">
        <f t="shared" si="21"/>
        <v>0</v>
      </c>
      <c r="L17" s="991">
        <f t="shared" si="22"/>
        <v>0</v>
      </c>
      <c r="M17" s="1051">
        <f>'[18]FY2012-13 Final'!K18</f>
        <v>3430</v>
      </c>
      <c r="N17" s="992">
        <f t="shared" si="16"/>
        <v>0</v>
      </c>
      <c r="O17" s="1117">
        <f t="shared" si="23"/>
        <v>0</v>
      </c>
      <c r="P17" s="992">
        <f t="shared" si="24"/>
        <v>0</v>
      </c>
      <c r="Q17" s="992"/>
      <c r="R17" s="992">
        <f t="shared" si="25"/>
        <v>0</v>
      </c>
      <c r="S17" s="992">
        <f t="shared" si="26"/>
        <v>0</v>
      </c>
      <c r="T17" s="993">
        <f t="shared" si="27"/>
        <v>0</v>
      </c>
      <c r="U17" s="993">
        <f t="shared" si="17"/>
        <v>0</v>
      </c>
    </row>
    <row r="18" spans="1:21">
      <c r="A18" s="994">
        <v>12</v>
      </c>
      <c r="B18" s="995" t="s">
        <v>106</v>
      </c>
      <c r="C18" s="1193">
        <f>'[2]ALL-Reformatted'!G17</f>
        <v>0</v>
      </c>
      <c r="D18" s="997">
        <f>'Table 3 Levels 1&amp;2'!BN20+'Table 3 Levels 1&amp;2'!BV20</f>
        <v>1688.0492586490939</v>
      </c>
      <c r="E18" s="1100">
        <f t="shared" si="14"/>
        <v>0</v>
      </c>
      <c r="F18" s="1100">
        <f t="shared" si="18"/>
        <v>0</v>
      </c>
      <c r="G18" s="1052">
        <f t="shared" si="15"/>
        <v>0</v>
      </c>
      <c r="H18" s="1110">
        <f t="shared" si="19"/>
        <v>0</v>
      </c>
      <c r="I18" s="1052">
        <f t="shared" si="20"/>
        <v>0</v>
      </c>
      <c r="J18" s="1052"/>
      <c r="K18" s="1052">
        <f t="shared" si="21"/>
        <v>0</v>
      </c>
      <c r="L18" s="1052">
        <f t="shared" si="22"/>
        <v>0</v>
      </c>
      <c r="M18" s="1051">
        <f>'[18]FY2012-13 Final'!K19</f>
        <v>12558</v>
      </c>
      <c r="N18" s="1053">
        <f t="shared" si="16"/>
        <v>0</v>
      </c>
      <c r="O18" s="1118">
        <f t="shared" si="23"/>
        <v>0</v>
      </c>
      <c r="P18" s="1053">
        <f t="shared" si="24"/>
        <v>0</v>
      </c>
      <c r="Q18" s="1053"/>
      <c r="R18" s="1053">
        <f t="shared" si="25"/>
        <v>0</v>
      </c>
      <c r="S18" s="1053">
        <f t="shared" si="26"/>
        <v>0</v>
      </c>
      <c r="T18" s="1054">
        <f t="shared" si="27"/>
        <v>0</v>
      </c>
      <c r="U18" s="1054">
        <f t="shared" si="17"/>
        <v>0</v>
      </c>
    </row>
    <row r="19" spans="1:21" ht="12.75" customHeight="1">
      <c r="A19" s="994">
        <v>13</v>
      </c>
      <c r="B19" s="995" t="s">
        <v>107</v>
      </c>
      <c r="C19" s="1193">
        <f>'[2]ALL-Reformatted'!G18</f>
        <v>0</v>
      </c>
      <c r="D19" s="997">
        <f>'Table 3 Levels 1&amp;2'!BN21+'Table 3 Levels 1&amp;2'!BV21</f>
        <v>6187.1651272387344</v>
      </c>
      <c r="E19" s="1100">
        <f t="shared" si="14"/>
        <v>0</v>
      </c>
      <c r="F19" s="1100">
        <f t="shared" si="18"/>
        <v>0</v>
      </c>
      <c r="G19" s="1052">
        <f t="shared" si="15"/>
        <v>0</v>
      </c>
      <c r="H19" s="1110">
        <f t="shared" si="19"/>
        <v>0</v>
      </c>
      <c r="I19" s="1052">
        <f t="shared" si="20"/>
        <v>0</v>
      </c>
      <c r="J19" s="1052"/>
      <c r="K19" s="1052">
        <f t="shared" si="21"/>
        <v>0</v>
      </c>
      <c r="L19" s="1052">
        <f t="shared" si="22"/>
        <v>0</v>
      </c>
      <c r="M19" s="1051">
        <f>'[18]FY2012-13 Final'!K20</f>
        <v>2536</v>
      </c>
      <c r="N19" s="1053">
        <f t="shared" si="16"/>
        <v>0</v>
      </c>
      <c r="O19" s="1118">
        <f t="shared" si="23"/>
        <v>0</v>
      </c>
      <c r="P19" s="1053">
        <f t="shared" si="24"/>
        <v>0</v>
      </c>
      <c r="Q19" s="1053"/>
      <c r="R19" s="1053">
        <f t="shared" si="25"/>
        <v>0</v>
      </c>
      <c r="S19" s="1053">
        <f t="shared" si="26"/>
        <v>0</v>
      </c>
      <c r="T19" s="1054">
        <f t="shared" si="27"/>
        <v>0</v>
      </c>
      <c r="U19" s="1054">
        <f t="shared" si="17"/>
        <v>0</v>
      </c>
    </row>
    <row r="20" spans="1:21" ht="12.75" customHeight="1">
      <c r="A20" s="994">
        <v>14</v>
      </c>
      <c r="B20" s="995" t="s">
        <v>108</v>
      </c>
      <c r="C20" s="1193">
        <f>'[2]ALL-Reformatted'!G19</f>
        <v>0</v>
      </c>
      <c r="D20" s="997">
        <f>'Table 3 Levels 1&amp;2'!BN22+'Table 3 Levels 1&amp;2'!BV22</f>
        <v>5339.1887414618923</v>
      </c>
      <c r="E20" s="1100">
        <f t="shared" si="14"/>
        <v>0</v>
      </c>
      <c r="F20" s="1100">
        <f t="shared" si="18"/>
        <v>0</v>
      </c>
      <c r="G20" s="1052">
        <f t="shared" si="15"/>
        <v>0</v>
      </c>
      <c r="H20" s="1110">
        <f t="shared" si="19"/>
        <v>0</v>
      </c>
      <c r="I20" s="1052">
        <f t="shared" si="20"/>
        <v>0</v>
      </c>
      <c r="J20" s="1052"/>
      <c r="K20" s="1052">
        <f t="shared" si="21"/>
        <v>0</v>
      </c>
      <c r="L20" s="1052">
        <f t="shared" si="22"/>
        <v>0</v>
      </c>
      <c r="M20" s="1051">
        <f>'[18]FY2012-13 Final'!K21</f>
        <v>3888</v>
      </c>
      <c r="N20" s="1053">
        <f t="shared" si="16"/>
        <v>0</v>
      </c>
      <c r="O20" s="1118">
        <f t="shared" si="23"/>
        <v>0</v>
      </c>
      <c r="P20" s="1053">
        <f t="shared" si="24"/>
        <v>0</v>
      </c>
      <c r="Q20" s="1053"/>
      <c r="R20" s="1053">
        <f t="shared" si="25"/>
        <v>0</v>
      </c>
      <c r="S20" s="1053">
        <f t="shared" si="26"/>
        <v>0</v>
      </c>
      <c r="T20" s="1054">
        <f t="shared" si="27"/>
        <v>0</v>
      </c>
      <c r="U20" s="1054">
        <f t="shared" si="17"/>
        <v>0</v>
      </c>
    </row>
    <row r="21" spans="1:21" ht="12.75" customHeight="1">
      <c r="A21" s="998">
        <v>15</v>
      </c>
      <c r="B21" s="999" t="s">
        <v>109</v>
      </c>
      <c r="C21" s="1194">
        <f>'[2]ALL-Reformatted'!G20</f>
        <v>0</v>
      </c>
      <c r="D21" s="1001">
        <f>'Table 3 Levels 1&amp;2'!BN23+'Table 3 Levels 1&amp;2'!BV23</f>
        <v>5492.5789412344011</v>
      </c>
      <c r="E21" s="1101">
        <f t="shared" si="14"/>
        <v>0</v>
      </c>
      <c r="F21" s="1101">
        <f t="shared" si="18"/>
        <v>0</v>
      </c>
      <c r="G21" s="1055">
        <f t="shared" si="15"/>
        <v>0</v>
      </c>
      <c r="H21" s="1111">
        <f t="shared" si="19"/>
        <v>0</v>
      </c>
      <c r="I21" s="1055">
        <f t="shared" si="20"/>
        <v>0</v>
      </c>
      <c r="J21" s="1055"/>
      <c r="K21" s="1055">
        <f t="shared" si="21"/>
        <v>0</v>
      </c>
      <c r="L21" s="1055">
        <f t="shared" si="22"/>
        <v>0</v>
      </c>
      <c r="M21" s="1056">
        <f>'[18]FY2012-13 Final'!K22</f>
        <v>2752</v>
      </c>
      <c r="N21" s="1057">
        <f t="shared" si="16"/>
        <v>0</v>
      </c>
      <c r="O21" s="1119">
        <f t="shared" si="23"/>
        <v>0</v>
      </c>
      <c r="P21" s="1057">
        <f t="shared" si="24"/>
        <v>0</v>
      </c>
      <c r="Q21" s="1057"/>
      <c r="R21" s="1057">
        <f t="shared" si="25"/>
        <v>0</v>
      </c>
      <c r="S21" s="1057">
        <f t="shared" si="26"/>
        <v>0</v>
      </c>
      <c r="T21" s="1058">
        <f t="shared" si="27"/>
        <v>0</v>
      </c>
      <c r="U21" s="1058">
        <f t="shared" si="17"/>
        <v>0</v>
      </c>
    </row>
    <row r="22" spans="1:21">
      <c r="A22" s="987">
        <v>16</v>
      </c>
      <c r="B22" s="988" t="s">
        <v>110</v>
      </c>
      <c r="C22" s="1195">
        <f>'[2]ALL-Reformatted'!G21</f>
        <v>0</v>
      </c>
      <c r="D22" s="990">
        <f>'Table 3 Levels 1&amp;2'!BN24+'Table 3 Levels 1&amp;2'!BV24</f>
        <v>1506.1153407945151</v>
      </c>
      <c r="E22" s="1099">
        <f t="shared" si="14"/>
        <v>0</v>
      </c>
      <c r="F22" s="1099">
        <f t="shared" si="18"/>
        <v>0</v>
      </c>
      <c r="G22" s="991">
        <f t="shared" si="15"/>
        <v>0</v>
      </c>
      <c r="H22" s="1109">
        <f t="shared" si="19"/>
        <v>0</v>
      </c>
      <c r="I22" s="991">
        <f t="shared" si="20"/>
        <v>0</v>
      </c>
      <c r="J22" s="991"/>
      <c r="K22" s="991">
        <f t="shared" si="21"/>
        <v>0</v>
      </c>
      <c r="L22" s="991">
        <f t="shared" si="22"/>
        <v>0</v>
      </c>
      <c r="M22" s="1051">
        <f>'[18]FY2012-13 Final'!K23</f>
        <v>15092</v>
      </c>
      <c r="N22" s="992">
        <f t="shared" si="16"/>
        <v>0</v>
      </c>
      <c r="O22" s="1117">
        <f t="shared" si="23"/>
        <v>0</v>
      </c>
      <c r="P22" s="992">
        <f t="shared" si="24"/>
        <v>0</v>
      </c>
      <c r="Q22" s="992"/>
      <c r="R22" s="992">
        <f t="shared" si="25"/>
        <v>0</v>
      </c>
      <c r="S22" s="992">
        <f t="shared" si="26"/>
        <v>0</v>
      </c>
      <c r="T22" s="993">
        <f t="shared" si="27"/>
        <v>0</v>
      </c>
      <c r="U22" s="993">
        <f t="shared" si="17"/>
        <v>0</v>
      </c>
    </row>
    <row r="23" spans="1:21" ht="12.75" customHeight="1">
      <c r="A23" s="994">
        <v>17</v>
      </c>
      <c r="B23" s="995" t="s">
        <v>111</v>
      </c>
      <c r="C23" s="1193">
        <f>'[2]ALL-Reformatted'!G22</f>
        <v>0</v>
      </c>
      <c r="D23" s="997">
        <f>'Table 3 Levels 1&amp;2'!BN25+'Table 3 Levels 1&amp;2'!BV25</f>
        <v>3311.610845996096</v>
      </c>
      <c r="E23" s="1100">
        <f t="shared" si="14"/>
        <v>0</v>
      </c>
      <c r="F23" s="1100">
        <f t="shared" si="18"/>
        <v>0</v>
      </c>
      <c r="G23" s="1052">
        <f t="shared" si="15"/>
        <v>0</v>
      </c>
      <c r="H23" s="1110">
        <f t="shared" si="19"/>
        <v>0</v>
      </c>
      <c r="I23" s="1052">
        <f t="shared" si="20"/>
        <v>0</v>
      </c>
      <c r="J23" s="1052"/>
      <c r="K23" s="1052">
        <f t="shared" si="21"/>
        <v>0</v>
      </c>
      <c r="L23" s="1052">
        <f t="shared" si="22"/>
        <v>0</v>
      </c>
      <c r="M23" s="1051">
        <f>'[18]FY2012-13 Final'!K24</f>
        <v>6551</v>
      </c>
      <c r="N23" s="1053">
        <f t="shared" si="16"/>
        <v>0</v>
      </c>
      <c r="O23" s="1118">
        <f t="shared" si="23"/>
        <v>0</v>
      </c>
      <c r="P23" s="1053">
        <f t="shared" si="24"/>
        <v>0</v>
      </c>
      <c r="Q23" s="1053"/>
      <c r="R23" s="1053">
        <f t="shared" si="25"/>
        <v>0</v>
      </c>
      <c r="S23" s="1053">
        <f t="shared" si="26"/>
        <v>0</v>
      </c>
      <c r="T23" s="1054">
        <f t="shared" si="27"/>
        <v>0</v>
      </c>
      <c r="U23" s="1054">
        <f t="shared" si="17"/>
        <v>0</v>
      </c>
    </row>
    <row r="24" spans="1:21">
      <c r="A24" s="994">
        <v>18</v>
      </c>
      <c r="B24" s="995" t="s">
        <v>112</v>
      </c>
      <c r="C24" s="1193">
        <f>'[2]ALL-Reformatted'!G23</f>
        <v>0</v>
      </c>
      <c r="D24" s="997">
        <f>'Table 3 Levels 1&amp;2'!BN26+'Table 3 Levels 1&amp;2'!BV26</f>
        <v>5964.3490202032081</v>
      </c>
      <c r="E24" s="1100">
        <f t="shared" si="14"/>
        <v>0</v>
      </c>
      <c r="F24" s="1100">
        <f t="shared" si="18"/>
        <v>0</v>
      </c>
      <c r="G24" s="1052">
        <f t="shared" si="15"/>
        <v>0</v>
      </c>
      <c r="H24" s="1110">
        <f t="shared" si="19"/>
        <v>0</v>
      </c>
      <c r="I24" s="1052">
        <f t="shared" si="20"/>
        <v>0</v>
      </c>
      <c r="J24" s="1052"/>
      <c r="K24" s="1052">
        <f t="shared" si="21"/>
        <v>0</v>
      </c>
      <c r="L24" s="1052">
        <f t="shared" si="22"/>
        <v>0</v>
      </c>
      <c r="M24" s="1051">
        <f>'[18]FY2012-13 Final'!K25</f>
        <v>2165</v>
      </c>
      <c r="N24" s="1053">
        <f t="shared" si="16"/>
        <v>0</v>
      </c>
      <c r="O24" s="1118">
        <f t="shared" si="23"/>
        <v>0</v>
      </c>
      <c r="P24" s="1053">
        <f t="shared" si="24"/>
        <v>0</v>
      </c>
      <c r="Q24" s="1053"/>
      <c r="R24" s="1053">
        <f t="shared" si="25"/>
        <v>0</v>
      </c>
      <c r="S24" s="1053">
        <f t="shared" si="26"/>
        <v>0</v>
      </c>
      <c r="T24" s="1054">
        <f t="shared" si="27"/>
        <v>0</v>
      </c>
      <c r="U24" s="1054">
        <f t="shared" si="17"/>
        <v>0</v>
      </c>
    </row>
    <row r="25" spans="1:21" ht="12.75" customHeight="1">
      <c r="A25" s="994">
        <v>19</v>
      </c>
      <c r="B25" s="995" t="s">
        <v>113</v>
      </c>
      <c r="C25" s="1193">
        <f>'[2]ALL-Reformatted'!G24</f>
        <v>0</v>
      </c>
      <c r="D25" s="997">
        <f>'Table 3 Levels 1&amp;2'!BN27+'Table 3 Levels 1&amp;2'!BV27</f>
        <v>5283.1088158476596</v>
      </c>
      <c r="E25" s="1100">
        <f t="shared" si="14"/>
        <v>0</v>
      </c>
      <c r="F25" s="1100">
        <f t="shared" si="18"/>
        <v>0</v>
      </c>
      <c r="G25" s="1052">
        <f t="shared" si="15"/>
        <v>0</v>
      </c>
      <c r="H25" s="1110">
        <f t="shared" si="19"/>
        <v>0</v>
      </c>
      <c r="I25" s="1052">
        <f t="shared" si="20"/>
        <v>0</v>
      </c>
      <c r="J25" s="1052"/>
      <c r="K25" s="1052">
        <f t="shared" si="21"/>
        <v>0</v>
      </c>
      <c r="L25" s="1052">
        <f t="shared" si="22"/>
        <v>0</v>
      </c>
      <c r="M25" s="1051">
        <f>'[18]FY2012-13 Final'!K26</f>
        <v>2729</v>
      </c>
      <c r="N25" s="1053">
        <f t="shared" si="16"/>
        <v>0</v>
      </c>
      <c r="O25" s="1118">
        <f t="shared" si="23"/>
        <v>0</v>
      </c>
      <c r="P25" s="1053">
        <f t="shared" si="24"/>
        <v>0</v>
      </c>
      <c r="Q25" s="1053"/>
      <c r="R25" s="1053">
        <f t="shared" si="25"/>
        <v>0</v>
      </c>
      <c r="S25" s="1053">
        <f t="shared" si="26"/>
        <v>0</v>
      </c>
      <c r="T25" s="1054">
        <f t="shared" si="27"/>
        <v>0</v>
      </c>
      <c r="U25" s="1054">
        <f t="shared" si="17"/>
        <v>0</v>
      </c>
    </row>
    <row r="26" spans="1:21">
      <c r="A26" s="998">
        <v>20</v>
      </c>
      <c r="B26" s="999" t="s">
        <v>114</v>
      </c>
      <c r="C26" s="1194">
        <f>'[2]ALL-Reformatted'!G25</f>
        <v>0</v>
      </c>
      <c r="D26" s="1001">
        <f>'Table 3 Levels 1&amp;2'!BN28+'Table 3 Levels 1&amp;2'!BV28</f>
        <v>5389.6047094824808</v>
      </c>
      <c r="E26" s="1101">
        <f t="shared" si="14"/>
        <v>0</v>
      </c>
      <c r="F26" s="1101">
        <f t="shared" si="18"/>
        <v>0</v>
      </c>
      <c r="G26" s="1055">
        <f t="shared" si="15"/>
        <v>0</v>
      </c>
      <c r="H26" s="1111">
        <f t="shared" si="19"/>
        <v>0</v>
      </c>
      <c r="I26" s="1055">
        <f t="shared" si="20"/>
        <v>0</v>
      </c>
      <c r="J26" s="1055"/>
      <c r="K26" s="1055">
        <f t="shared" si="21"/>
        <v>0</v>
      </c>
      <c r="L26" s="1055">
        <f t="shared" si="22"/>
        <v>0</v>
      </c>
      <c r="M26" s="1056">
        <f>'[18]FY2012-13 Final'!K27</f>
        <v>2334</v>
      </c>
      <c r="N26" s="1057">
        <f t="shared" si="16"/>
        <v>0</v>
      </c>
      <c r="O26" s="1119">
        <f t="shared" si="23"/>
        <v>0</v>
      </c>
      <c r="P26" s="1057">
        <f t="shared" si="24"/>
        <v>0</v>
      </c>
      <c r="Q26" s="1057"/>
      <c r="R26" s="1057">
        <f t="shared" si="25"/>
        <v>0</v>
      </c>
      <c r="S26" s="1057">
        <f t="shared" si="26"/>
        <v>0</v>
      </c>
      <c r="T26" s="1058">
        <f t="shared" si="27"/>
        <v>0</v>
      </c>
      <c r="U26" s="1058">
        <f t="shared" si="17"/>
        <v>0</v>
      </c>
    </row>
    <row r="27" spans="1:21" ht="12.75" customHeight="1">
      <c r="A27" s="987">
        <v>21</v>
      </c>
      <c r="B27" s="988" t="s">
        <v>115</v>
      </c>
      <c r="C27" s="1195">
        <f>'[2]ALL-Reformatted'!G26</f>
        <v>0</v>
      </c>
      <c r="D27" s="990">
        <f>'Table 3 Levels 1&amp;2'!BN29+'Table 3 Levels 1&amp;2'!BV29</f>
        <v>5659.8229810652783</v>
      </c>
      <c r="E27" s="1099">
        <f t="shared" si="14"/>
        <v>0</v>
      </c>
      <c r="F27" s="1099">
        <f t="shared" si="18"/>
        <v>0</v>
      </c>
      <c r="G27" s="991">
        <f t="shared" si="15"/>
        <v>0</v>
      </c>
      <c r="H27" s="1109">
        <f t="shared" si="19"/>
        <v>0</v>
      </c>
      <c r="I27" s="991">
        <f t="shared" si="20"/>
        <v>0</v>
      </c>
      <c r="J27" s="991"/>
      <c r="K27" s="991">
        <f t="shared" si="21"/>
        <v>0</v>
      </c>
      <c r="L27" s="991">
        <f t="shared" si="22"/>
        <v>0</v>
      </c>
      <c r="M27" s="1051">
        <f>'[18]FY2012-13 Final'!K28</f>
        <v>2233</v>
      </c>
      <c r="N27" s="992">
        <f t="shared" si="16"/>
        <v>0</v>
      </c>
      <c r="O27" s="1117">
        <f t="shared" si="23"/>
        <v>0</v>
      </c>
      <c r="P27" s="992">
        <f t="shared" si="24"/>
        <v>0</v>
      </c>
      <c r="Q27" s="992"/>
      <c r="R27" s="992">
        <f t="shared" si="25"/>
        <v>0</v>
      </c>
      <c r="S27" s="992">
        <f t="shared" si="26"/>
        <v>0</v>
      </c>
      <c r="T27" s="993">
        <f t="shared" si="27"/>
        <v>0</v>
      </c>
      <c r="U27" s="993">
        <f t="shared" si="17"/>
        <v>0</v>
      </c>
    </row>
    <row r="28" spans="1:21">
      <c r="A28" s="994">
        <v>22</v>
      </c>
      <c r="B28" s="995" t="s">
        <v>116</v>
      </c>
      <c r="C28" s="1193">
        <f>'[2]ALL-Reformatted'!G27</f>
        <v>0</v>
      </c>
      <c r="D28" s="997">
        <f>'Table 3 Levels 1&amp;2'!BN30+'Table 3 Levels 1&amp;2'!BV30</f>
        <v>6191.1997628958306</v>
      </c>
      <c r="E28" s="1100">
        <f t="shared" si="14"/>
        <v>0</v>
      </c>
      <c r="F28" s="1100">
        <f t="shared" si="18"/>
        <v>0</v>
      </c>
      <c r="G28" s="1052">
        <f t="shared" si="15"/>
        <v>0</v>
      </c>
      <c r="H28" s="1110">
        <f t="shared" si="19"/>
        <v>0</v>
      </c>
      <c r="I28" s="1052">
        <f t="shared" si="20"/>
        <v>0</v>
      </c>
      <c r="J28" s="1052"/>
      <c r="K28" s="1052">
        <f t="shared" si="21"/>
        <v>0</v>
      </c>
      <c r="L28" s="1052">
        <f t="shared" si="22"/>
        <v>0</v>
      </c>
      <c r="M28" s="1051">
        <f>'[18]FY2012-13 Final'!K29</f>
        <v>1410</v>
      </c>
      <c r="N28" s="1053">
        <f t="shared" si="16"/>
        <v>0</v>
      </c>
      <c r="O28" s="1118">
        <f t="shared" si="23"/>
        <v>0</v>
      </c>
      <c r="P28" s="1053">
        <f t="shared" si="24"/>
        <v>0</v>
      </c>
      <c r="Q28" s="1053"/>
      <c r="R28" s="1053">
        <f t="shared" si="25"/>
        <v>0</v>
      </c>
      <c r="S28" s="1053">
        <f t="shared" si="26"/>
        <v>0</v>
      </c>
      <c r="T28" s="1054">
        <f t="shared" si="27"/>
        <v>0</v>
      </c>
      <c r="U28" s="1054">
        <f t="shared" si="17"/>
        <v>0</v>
      </c>
    </row>
    <row r="29" spans="1:21" ht="12.75" customHeight="1">
      <c r="A29" s="994">
        <v>23</v>
      </c>
      <c r="B29" s="995" t="s">
        <v>117</v>
      </c>
      <c r="C29" s="1193">
        <f>'[2]ALL-Reformatted'!G28</f>
        <v>0</v>
      </c>
      <c r="D29" s="997">
        <f>'Table 3 Levels 1&amp;2'!BN31+'Table 3 Levels 1&amp;2'!BV31</f>
        <v>4788.2881021645453</v>
      </c>
      <c r="E29" s="1100">
        <f t="shared" si="14"/>
        <v>0</v>
      </c>
      <c r="F29" s="1100">
        <f t="shared" si="18"/>
        <v>0</v>
      </c>
      <c r="G29" s="1052">
        <f t="shared" si="15"/>
        <v>0</v>
      </c>
      <c r="H29" s="1110">
        <f t="shared" si="19"/>
        <v>0</v>
      </c>
      <c r="I29" s="1052">
        <f t="shared" si="20"/>
        <v>0</v>
      </c>
      <c r="J29" s="1052"/>
      <c r="K29" s="1052">
        <f t="shared" si="21"/>
        <v>0</v>
      </c>
      <c r="L29" s="1052">
        <f t="shared" si="22"/>
        <v>0</v>
      </c>
      <c r="M29" s="1051">
        <f>'[18]FY2012-13 Final'!K30</f>
        <v>3258</v>
      </c>
      <c r="N29" s="1053">
        <f t="shared" si="16"/>
        <v>0</v>
      </c>
      <c r="O29" s="1118">
        <f t="shared" si="23"/>
        <v>0</v>
      </c>
      <c r="P29" s="1053">
        <f t="shared" si="24"/>
        <v>0</v>
      </c>
      <c r="Q29" s="1053"/>
      <c r="R29" s="1053">
        <f t="shared" si="25"/>
        <v>0</v>
      </c>
      <c r="S29" s="1053">
        <f t="shared" si="26"/>
        <v>0</v>
      </c>
      <c r="T29" s="1054">
        <f t="shared" si="27"/>
        <v>0</v>
      </c>
      <c r="U29" s="1054">
        <f t="shared" si="17"/>
        <v>0</v>
      </c>
    </row>
    <row r="30" spans="1:21">
      <c r="A30" s="994">
        <v>24</v>
      </c>
      <c r="B30" s="995" t="s">
        <v>118</v>
      </c>
      <c r="C30" s="1193">
        <f>'[2]ALL-Reformatted'!G29</f>
        <v>0</v>
      </c>
      <c r="D30" s="997">
        <f>'Table 3 Levels 1&amp;2'!BN32+'Table 3 Levels 1&amp;2'!BV32</f>
        <v>2743.328175824176</v>
      </c>
      <c r="E30" s="1100">
        <f t="shared" si="14"/>
        <v>0</v>
      </c>
      <c r="F30" s="1100">
        <f t="shared" si="18"/>
        <v>0</v>
      </c>
      <c r="G30" s="1052">
        <f t="shared" si="15"/>
        <v>0</v>
      </c>
      <c r="H30" s="1110">
        <f t="shared" si="19"/>
        <v>0</v>
      </c>
      <c r="I30" s="1052">
        <f t="shared" si="20"/>
        <v>0</v>
      </c>
      <c r="J30" s="1052"/>
      <c r="K30" s="1052">
        <f t="shared" si="21"/>
        <v>0</v>
      </c>
      <c r="L30" s="1052">
        <f t="shared" si="22"/>
        <v>0</v>
      </c>
      <c r="M30" s="1051">
        <f>'[18]FY2012-13 Final'!K31</f>
        <v>9280</v>
      </c>
      <c r="N30" s="1053">
        <f t="shared" si="16"/>
        <v>0</v>
      </c>
      <c r="O30" s="1118">
        <f t="shared" si="23"/>
        <v>0</v>
      </c>
      <c r="P30" s="1053">
        <f t="shared" si="24"/>
        <v>0</v>
      </c>
      <c r="Q30" s="1053"/>
      <c r="R30" s="1053">
        <f t="shared" si="25"/>
        <v>0</v>
      </c>
      <c r="S30" s="1053">
        <f t="shared" si="26"/>
        <v>0</v>
      </c>
      <c r="T30" s="1054">
        <f t="shared" si="27"/>
        <v>0</v>
      </c>
      <c r="U30" s="1054">
        <f t="shared" si="17"/>
        <v>0</v>
      </c>
    </row>
    <row r="31" spans="1:21" ht="12.75" customHeight="1">
      <c r="A31" s="998">
        <v>25</v>
      </c>
      <c r="B31" s="999" t="s">
        <v>119</v>
      </c>
      <c r="C31" s="1194">
        <f>'[2]ALL-Reformatted'!G30</f>
        <v>0</v>
      </c>
      <c r="D31" s="1001">
        <f>'Table 3 Levels 1&amp;2'!BN33+'Table 3 Levels 1&amp;2'!BV33</f>
        <v>3799.3890273447178</v>
      </c>
      <c r="E31" s="1101">
        <f t="shared" si="14"/>
        <v>0</v>
      </c>
      <c r="F31" s="1101">
        <f t="shared" si="18"/>
        <v>0</v>
      </c>
      <c r="G31" s="1055">
        <f t="shared" si="15"/>
        <v>0</v>
      </c>
      <c r="H31" s="1111">
        <f t="shared" si="19"/>
        <v>0</v>
      </c>
      <c r="I31" s="1055">
        <f t="shared" si="20"/>
        <v>0</v>
      </c>
      <c r="J31" s="1055"/>
      <c r="K31" s="1055">
        <f t="shared" si="21"/>
        <v>0</v>
      </c>
      <c r="L31" s="1055">
        <f t="shared" si="22"/>
        <v>0</v>
      </c>
      <c r="M31" s="1056">
        <f>'[18]FY2012-13 Final'!K32</f>
        <v>5351</v>
      </c>
      <c r="N31" s="1057">
        <f t="shared" si="16"/>
        <v>0</v>
      </c>
      <c r="O31" s="1119">
        <f t="shared" si="23"/>
        <v>0</v>
      </c>
      <c r="P31" s="1057">
        <f t="shared" si="24"/>
        <v>0</v>
      </c>
      <c r="Q31" s="1057"/>
      <c r="R31" s="1057">
        <f t="shared" si="25"/>
        <v>0</v>
      </c>
      <c r="S31" s="1057">
        <f t="shared" si="26"/>
        <v>0</v>
      </c>
      <c r="T31" s="1058">
        <f t="shared" si="27"/>
        <v>0</v>
      </c>
      <c r="U31" s="1058">
        <f t="shared" si="17"/>
        <v>0</v>
      </c>
    </row>
    <row r="32" spans="1:21">
      <c r="A32" s="987">
        <v>26</v>
      </c>
      <c r="B32" s="988" t="s">
        <v>120</v>
      </c>
      <c r="C32" s="1195">
        <f>'[2]ALL-Reformatted'!G31</f>
        <v>0</v>
      </c>
      <c r="D32" s="990">
        <f>'Table 3 Levels 1&amp;2'!BN34+'Table 3 Levels 1&amp;2'!BV34</f>
        <v>3320.7842100822745</v>
      </c>
      <c r="E32" s="1099">
        <f t="shared" si="14"/>
        <v>0</v>
      </c>
      <c r="F32" s="1099">
        <f t="shared" si="18"/>
        <v>0</v>
      </c>
      <c r="G32" s="991">
        <f t="shared" si="15"/>
        <v>0</v>
      </c>
      <c r="H32" s="1109">
        <f t="shared" si="19"/>
        <v>0</v>
      </c>
      <c r="I32" s="991">
        <f t="shared" si="20"/>
        <v>0</v>
      </c>
      <c r="J32" s="991"/>
      <c r="K32" s="991">
        <f t="shared" si="21"/>
        <v>0</v>
      </c>
      <c r="L32" s="991">
        <f t="shared" si="22"/>
        <v>0</v>
      </c>
      <c r="M32" s="1051">
        <f>'[18]FY2012-13 Final'!K33</f>
        <v>5100</v>
      </c>
      <c r="N32" s="992">
        <f t="shared" si="16"/>
        <v>0</v>
      </c>
      <c r="O32" s="1117">
        <f t="shared" si="23"/>
        <v>0</v>
      </c>
      <c r="P32" s="992">
        <f t="shared" si="24"/>
        <v>0</v>
      </c>
      <c r="Q32" s="992"/>
      <c r="R32" s="992">
        <f t="shared" si="25"/>
        <v>0</v>
      </c>
      <c r="S32" s="992">
        <f t="shared" si="26"/>
        <v>0</v>
      </c>
      <c r="T32" s="993">
        <f t="shared" si="27"/>
        <v>0</v>
      </c>
      <c r="U32" s="993">
        <f t="shared" si="17"/>
        <v>0</v>
      </c>
    </row>
    <row r="33" spans="1:21" ht="12.75" customHeight="1">
      <c r="A33" s="994">
        <v>27</v>
      </c>
      <c r="B33" s="995" t="s">
        <v>121</v>
      </c>
      <c r="C33" s="1196">
        <f>'[2]ALL-Reformatted'!G32</f>
        <v>0</v>
      </c>
      <c r="D33" s="1003">
        <f>'Table 3 Levels 1&amp;2'!BN35+'Table 3 Levels 1&amp;2'!BV35</f>
        <v>5636.5919457972805</v>
      </c>
      <c r="E33" s="1102">
        <f t="shared" si="14"/>
        <v>0</v>
      </c>
      <c r="F33" s="1102">
        <f t="shared" si="18"/>
        <v>0</v>
      </c>
      <c r="G33" s="1059">
        <f t="shared" si="15"/>
        <v>0</v>
      </c>
      <c r="H33" s="1112">
        <f t="shared" si="19"/>
        <v>0</v>
      </c>
      <c r="I33" s="1059">
        <f t="shared" si="20"/>
        <v>0</v>
      </c>
      <c r="J33" s="1059"/>
      <c r="K33" s="1059">
        <f t="shared" si="21"/>
        <v>0</v>
      </c>
      <c r="L33" s="1059">
        <f t="shared" si="22"/>
        <v>0</v>
      </c>
      <c r="M33" s="1051">
        <f>'[18]FY2012-13 Final'!K34</f>
        <v>3091</v>
      </c>
      <c r="N33" s="1053">
        <f t="shared" si="16"/>
        <v>0</v>
      </c>
      <c r="O33" s="1118">
        <f t="shared" si="23"/>
        <v>0</v>
      </c>
      <c r="P33" s="1053">
        <f t="shared" si="24"/>
        <v>0</v>
      </c>
      <c r="Q33" s="1053"/>
      <c r="R33" s="1053">
        <f t="shared" si="25"/>
        <v>0</v>
      </c>
      <c r="S33" s="1053">
        <f t="shared" si="26"/>
        <v>0</v>
      </c>
      <c r="T33" s="1054">
        <f t="shared" si="27"/>
        <v>0</v>
      </c>
      <c r="U33" s="1054">
        <f t="shared" si="17"/>
        <v>0</v>
      </c>
    </row>
    <row r="34" spans="1:21">
      <c r="A34" s="994">
        <v>28</v>
      </c>
      <c r="B34" s="995" t="s">
        <v>122</v>
      </c>
      <c r="C34" s="1196">
        <f>'[2]ALL-Reformatted'!G33</f>
        <v>0</v>
      </c>
      <c r="D34" s="1003">
        <f>'Table 3 Levels 1&amp;2'!BN36+'Table 3 Levels 1&amp;2'!BV36</f>
        <v>3106.8056522508969</v>
      </c>
      <c r="E34" s="1102">
        <f t="shared" si="14"/>
        <v>0</v>
      </c>
      <c r="F34" s="1102">
        <f t="shared" si="18"/>
        <v>0</v>
      </c>
      <c r="G34" s="1059">
        <f t="shared" si="15"/>
        <v>0</v>
      </c>
      <c r="H34" s="1112">
        <f t="shared" si="19"/>
        <v>0</v>
      </c>
      <c r="I34" s="1059">
        <f t="shared" si="20"/>
        <v>0</v>
      </c>
      <c r="J34" s="1059"/>
      <c r="K34" s="1059">
        <f t="shared" si="21"/>
        <v>0</v>
      </c>
      <c r="L34" s="1059">
        <f t="shared" si="22"/>
        <v>0</v>
      </c>
      <c r="M34" s="1051">
        <f>'[18]FY2012-13 Final'!K35</f>
        <v>5323</v>
      </c>
      <c r="N34" s="1053">
        <f t="shared" si="16"/>
        <v>0</v>
      </c>
      <c r="O34" s="1118">
        <f t="shared" si="23"/>
        <v>0</v>
      </c>
      <c r="P34" s="1053">
        <f t="shared" si="24"/>
        <v>0</v>
      </c>
      <c r="Q34" s="1053"/>
      <c r="R34" s="1053">
        <f t="shared" si="25"/>
        <v>0</v>
      </c>
      <c r="S34" s="1053">
        <f t="shared" si="26"/>
        <v>0</v>
      </c>
      <c r="T34" s="1054">
        <f t="shared" si="27"/>
        <v>0</v>
      </c>
      <c r="U34" s="1054">
        <f t="shared" si="17"/>
        <v>0</v>
      </c>
    </row>
    <row r="35" spans="1:21" ht="12.75" customHeight="1">
      <c r="A35" s="994">
        <v>29</v>
      </c>
      <c r="B35" s="995" t="s">
        <v>123</v>
      </c>
      <c r="C35" s="1196">
        <f>'[2]ALL-Reformatted'!G34</f>
        <v>0</v>
      </c>
      <c r="D35" s="1003">
        <f>'Table 3 Levels 1&amp;2'!BN37+'Table 3 Levels 1&amp;2'!BV37</f>
        <v>3912.1846976122315</v>
      </c>
      <c r="E35" s="1102">
        <f t="shared" si="14"/>
        <v>0</v>
      </c>
      <c r="F35" s="1102">
        <f t="shared" si="18"/>
        <v>0</v>
      </c>
      <c r="G35" s="1059">
        <f t="shared" si="15"/>
        <v>0</v>
      </c>
      <c r="H35" s="1112">
        <f t="shared" si="19"/>
        <v>0</v>
      </c>
      <c r="I35" s="1059">
        <f t="shared" si="20"/>
        <v>0</v>
      </c>
      <c r="J35" s="1059"/>
      <c r="K35" s="1059">
        <f t="shared" si="21"/>
        <v>0</v>
      </c>
      <c r="L35" s="1059">
        <f t="shared" si="22"/>
        <v>0</v>
      </c>
      <c r="M35" s="1051">
        <f>'[18]FY2012-13 Final'!K36</f>
        <v>4388</v>
      </c>
      <c r="N35" s="1053">
        <f t="shared" si="16"/>
        <v>0</v>
      </c>
      <c r="O35" s="1118">
        <f t="shared" si="23"/>
        <v>0</v>
      </c>
      <c r="P35" s="1053">
        <f t="shared" si="24"/>
        <v>0</v>
      </c>
      <c r="Q35" s="1053"/>
      <c r="R35" s="1053">
        <f t="shared" si="25"/>
        <v>0</v>
      </c>
      <c r="S35" s="1053">
        <f t="shared" si="26"/>
        <v>0</v>
      </c>
      <c r="T35" s="1054">
        <f t="shared" si="27"/>
        <v>0</v>
      </c>
      <c r="U35" s="1054">
        <f t="shared" si="17"/>
        <v>0</v>
      </c>
    </row>
    <row r="36" spans="1:21">
      <c r="A36" s="998">
        <v>30</v>
      </c>
      <c r="B36" s="999" t="s">
        <v>124</v>
      </c>
      <c r="C36" s="1197">
        <f>'[2]ALL-Reformatted'!G35</f>
        <v>0</v>
      </c>
      <c r="D36" s="1005">
        <f>'Table 3 Levels 1&amp;2'!BN38+'Table 3 Levels 1&amp;2'!BV38</f>
        <v>5594.0091640611508</v>
      </c>
      <c r="E36" s="1103">
        <f t="shared" si="14"/>
        <v>0</v>
      </c>
      <c r="F36" s="1103">
        <f t="shared" si="18"/>
        <v>0</v>
      </c>
      <c r="G36" s="1060">
        <f t="shared" si="15"/>
        <v>0</v>
      </c>
      <c r="H36" s="1113">
        <f t="shared" si="19"/>
        <v>0</v>
      </c>
      <c r="I36" s="1060">
        <f t="shared" si="20"/>
        <v>0</v>
      </c>
      <c r="J36" s="1060"/>
      <c r="K36" s="1060">
        <f t="shared" si="21"/>
        <v>0</v>
      </c>
      <c r="L36" s="1060">
        <f t="shared" si="22"/>
        <v>0</v>
      </c>
      <c r="M36" s="1056">
        <f>'[18]FY2012-13 Final'!K37</f>
        <v>3702</v>
      </c>
      <c r="N36" s="1057">
        <f t="shared" si="16"/>
        <v>0</v>
      </c>
      <c r="O36" s="1119">
        <f t="shared" si="23"/>
        <v>0</v>
      </c>
      <c r="P36" s="1057">
        <f t="shared" si="24"/>
        <v>0</v>
      </c>
      <c r="Q36" s="1057"/>
      <c r="R36" s="1057">
        <f t="shared" si="25"/>
        <v>0</v>
      </c>
      <c r="S36" s="1057">
        <f t="shared" si="26"/>
        <v>0</v>
      </c>
      <c r="T36" s="1058">
        <f t="shared" si="27"/>
        <v>0</v>
      </c>
      <c r="U36" s="1058">
        <f t="shared" si="17"/>
        <v>0</v>
      </c>
    </row>
    <row r="37" spans="1:21" ht="12.75" customHeight="1">
      <c r="A37" s="987">
        <v>31</v>
      </c>
      <c r="B37" s="988" t="s">
        <v>125</v>
      </c>
      <c r="C37" s="1198">
        <f>'[2]ALL-Reformatted'!G36</f>
        <v>0</v>
      </c>
      <c r="D37" s="1007">
        <f>'Table 3 Levels 1&amp;2'!BN39+'Table 3 Levels 1&amp;2'!BV39</f>
        <v>4320.114188911979</v>
      </c>
      <c r="E37" s="1104">
        <f t="shared" si="14"/>
        <v>0</v>
      </c>
      <c r="F37" s="1104">
        <f t="shared" si="18"/>
        <v>0</v>
      </c>
      <c r="G37" s="1061">
        <f t="shared" si="15"/>
        <v>0</v>
      </c>
      <c r="H37" s="1114">
        <f t="shared" si="19"/>
        <v>0</v>
      </c>
      <c r="I37" s="1061">
        <f t="shared" si="20"/>
        <v>0</v>
      </c>
      <c r="J37" s="1061"/>
      <c r="K37" s="1061">
        <f t="shared" si="21"/>
        <v>0</v>
      </c>
      <c r="L37" s="1061">
        <f t="shared" si="22"/>
        <v>0</v>
      </c>
      <c r="M37" s="1051">
        <f>'[18]FY2012-13 Final'!K38</f>
        <v>4669</v>
      </c>
      <c r="N37" s="992">
        <f t="shared" si="16"/>
        <v>0</v>
      </c>
      <c r="O37" s="1117">
        <f t="shared" si="23"/>
        <v>0</v>
      </c>
      <c r="P37" s="992">
        <f t="shared" si="24"/>
        <v>0</v>
      </c>
      <c r="Q37" s="992"/>
      <c r="R37" s="992">
        <f t="shared" si="25"/>
        <v>0</v>
      </c>
      <c r="S37" s="992">
        <f t="shared" si="26"/>
        <v>0</v>
      </c>
      <c r="T37" s="993">
        <f t="shared" si="27"/>
        <v>0</v>
      </c>
      <c r="U37" s="993">
        <f t="shared" si="17"/>
        <v>0</v>
      </c>
    </row>
    <row r="38" spans="1:21">
      <c r="A38" s="994">
        <v>32</v>
      </c>
      <c r="B38" s="995" t="s">
        <v>126</v>
      </c>
      <c r="C38" s="1196">
        <f>'[2]ALL-Reformatted'!G37</f>
        <v>0</v>
      </c>
      <c r="D38" s="1003">
        <f>'Table 3 Levels 1&amp;2'!BN40+'Table 3 Levels 1&amp;2'!BV40</f>
        <v>5504.4479209353676</v>
      </c>
      <c r="E38" s="1102">
        <f t="shared" si="14"/>
        <v>0</v>
      </c>
      <c r="F38" s="1102">
        <f t="shared" si="18"/>
        <v>0</v>
      </c>
      <c r="G38" s="1059">
        <f t="shared" si="15"/>
        <v>0</v>
      </c>
      <c r="H38" s="1112">
        <f t="shared" si="19"/>
        <v>0</v>
      </c>
      <c r="I38" s="1059">
        <f t="shared" si="20"/>
        <v>0</v>
      </c>
      <c r="J38" s="1059"/>
      <c r="K38" s="1059">
        <f t="shared" si="21"/>
        <v>0</v>
      </c>
      <c r="L38" s="1059">
        <f t="shared" si="22"/>
        <v>0</v>
      </c>
      <c r="M38" s="1051">
        <f>'[18]FY2012-13 Final'!K39</f>
        <v>1965</v>
      </c>
      <c r="N38" s="1053">
        <f t="shared" si="16"/>
        <v>0</v>
      </c>
      <c r="O38" s="1118">
        <f t="shared" si="23"/>
        <v>0</v>
      </c>
      <c r="P38" s="1053">
        <f t="shared" si="24"/>
        <v>0</v>
      </c>
      <c r="Q38" s="1053"/>
      <c r="R38" s="1053">
        <f t="shared" si="25"/>
        <v>0</v>
      </c>
      <c r="S38" s="1053">
        <f t="shared" si="26"/>
        <v>0</v>
      </c>
      <c r="T38" s="1054">
        <f t="shared" si="27"/>
        <v>0</v>
      </c>
      <c r="U38" s="1054">
        <f t="shared" si="17"/>
        <v>0</v>
      </c>
    </row>
    <row r="39" spans="1:21" ht="12.75" customHeight="1">
      <c r="A39" s="994">
        <v>33</v>
      </c>
      <c r="B39" s="995" t="s">
        <v>127</v>
      </c>
      <c r="C39" s="1196">
        <f>'[2]ALL-Reformatted'!G38</f>
        <v>0</v>
      </c>
      <c r="D39" s="1003">
        <f>'Table 3 Levels 1&amp;2'!BN41+'Table 3 Levels 1&amp;2'!BV41</f>
        <v>5322.07272511876</v>
      </c>
      <c r="E39" s="1102">
        <f t="shared" ref="E39:E70" si="28">D39*C39</f>
        <v>0</v>
      </c>
      <c r="F39" s="1102">
        <f t="shared" si="18"/>
        <v>0</v>
      </c>
      <c r="G39" s="1059">
        <f t="shared" ref="G39:G70" si="29">E39+F39</f>
        <v>0</v>
      </c>
      <c r="H39" s="1112">
        <f t="shared" si="19"/>
        <v>0</v>
      </c>
      <c r="I39" s="1059">
        <f t="shared" si="20"/>
        <v>0</v>
      </c>
      <c r="J39" s="1059"/>
      <c r="K39" s="1059">
        <f t="shared" si="21"/>
        <v>0</v>
      </c>
      <c r="L39" s="1059">
        <f t="shared" si="22"/>
        <v>0</v>
      </c>
      <c r="M39" s="1051">
        <f>'[18]FY2012-13 Final'!K40</f>
        <v>2771</v>
      </c>
      <c r="N39" s="1053">
        <f t="shared" ref="N39:N70" si="30">M39*C39</f>
        <v>0</v>
      </c>
      <c r="O39" s="1118">
        <f t="shared" si="23"/>
        <v>0</v>
      </c>
      <c r="P39" s="1053">
        <f t="shared" si="24"/>
        <v>0</v>
      </c>
      <c r="Q39" s="1053"/>
      <c r="R39" s="1053">
        <f t="shared" si="25"/>
        <v>0</v>
      </c>
      <c r="S39" s="1053">
        <f t="shared" si="26"/>
        <v>0</v>
      </c>
      <c r="T39" s="1054">
        <f t="shared" si="27"/>
        <v>0</v>
      </c>
      <c r="U39" s="1054">
        <f t="shared" ref="U39:U75" si="31">L39+S39</f>
        <v>0</v>
      </c>
    </row>
    <row r="40" spans="1:21">
      <c r="A40" s="994">
        <v>34</v>
      </c>
      <c r="B40" s="995" t="s">
        <v>128</v>
      </c>
      <c r="C40" s="1196">
        <f>'[2]ALL-Reformatted'!G39</f>
        <v>8</v>
      </c>
      <c r="D40" s="1003">
        <f>'Table 3 Levels 1&amp;2'!BN42+'Table 3 Levels 1&amp;2'!BV42</f>
        <v>5959.062840731639</v>
      </c>
      <c r="E40" s="1102">
        <f t="shared" si="28"/>
        <v>47672.502725853112</v>
      </c>
      <c r="F40" s="1102">
        <f t="shared" si="18"/>
        <v>5730.3641750841743</v>
      </c>
      <c r="G40" s="1059">
        <f t="shared" si="29"/>
        <v>53402.866900937282</v>
      </c>
      <c r="H40" s="1112">
        <f t="shared" si="19"/>
        <v>-133.50716725234321</v>
      </c>
      <c r="I40" s="1059">
        <f t="shared" si="20"/>
        <v>53269.359733684942</v>
      </c>
      <c r="J40" s="1059"/>
      <c r="K40" s="1059">
        <f t="shared" si="21"/>
        <v>53269.359733684942</v>
      </c>
      <c r="L40" s="1059">
        <f t="shared" si="22"/>
        <v>4439</v>
      </c>
      <c r="M40" s="1051">
        <f>'[18]FY2012-13 Final'!K41</f>
        <v>2758</v>
      </c>
      <c r="N40" s="1053">
        <f t="shared" si="30"/>
        <v>22064</v>
      </c>
      <c r="O40" s="1118">
        <f t="shared" si="23"/>
        <v>-55.160000000000004</v>
      </c>
      <c r="P40" s="1053">
        <f t="shared" si="24"/>
        <v>22008.84</v>
      </c>
      <c r="Q40" s="1053"/>
      <c r="R40" s="1053">
        <f t="shared" si="25"/>
        <v>22008.84</v>
      </c>
      <c r="S40" s="1053">
        <f t="shared" si="26"/>
        <v>1834</v>
      </c>
      <c r="T40" s="1054">
        <f t="shared" si="27"/>
        <v>75278.199733684945</v>
      </c>
      <c r="U40" s="1054">
        <f t="shared" si="31"/>
        <v>6273</v>
      </c>
    </row>
    <row r="41" spans="1:21" ht="12.75" customHeight="1">
      <c r="A41" s="998">
        <v>35</v>
      </c>
      <c r="B41" s="999" t="s">
        <v>129</v>
      </c>
      <c r="C41" s="1197">
        <f>'[2]ALL-Reformatted'!G40</f>
        <v>0</v>
      </c>
      <c r="D41" s="1005">
        <f>'Table 3 Levels 1&amp;2'!BN43+'Table 3 Levels 1&amp;2'!BV43</f>
        <v>4571.947611490059</v>
      </c>
      <c r="E41" s="1103">
        <f t="shared" si="28"/>
        <v>0</v>
      </c>
      <c r="F41" s="1103">
        <f t="shared" si="18"/>
        <v>0</v>
      </c>
      <c r="G41" s="1060">
        <f t="shared" si="29"/>
        <v>0</v>
      </c>
      <c r="H41" s="1113">
        <f t="shared" si="19"/>
        <v>0</v>
      </c>
      <c r="I41" s="1060">
        <f t="shared" si="20"/>
        <v>0</v>
      </c>
      <c r="J41" s="1060"/>
      <c r="K41" s="1060">
        <f t="shared" si="21"/>
        <v>0</v>
      </c>
      <c r="L41" s="1060">
        <f t="shared" si="22"/>
        <v>0</v>
      </c>
      <c r="M41" s="1056">
        <f>'[18]FY2012-13 Final'!K42</f>
        <v>3603</v>
      </c>
      <c r="N41" s="1057">
        <f t="shared" si="30"/>
        <v>0</v>
      </c>
      <c r="O41" s="1119">
        <f t="shared" si="23"/>
        <v>0</v>
      </c>
      <c r="P41" s="1057">
        <f t="shared" si="24"/>
        <v>0</v>
      </c>
      <c r="Q41" s="1057"/>
      <c r="R41" s="1057">
        <f t="shared" si="25"/>
        <v>0</v>
      </c>
      <c r="S41" s="1057">
        <f t="shared" si="26"/>
        <v>0</v>
      </c>
      <c r="T41" s="1058">
        <f t="shared" si="27"/>
        <v>0</v>
      </c>
      <c r="U41" s="1058">
        <f t="shared" si="31"/>
        <v>0</v>
      </c>
    </row>
    <row r="42" spans="1:21">
      <c r="A42" s="987">
        <v>36</v>
      </c>
      <c r="B42" s="988" t="s">
        <v>130</v>
      </c>
      <c r="C42" s="1198">
        <f>'[2]ALL-Reformatted'!G41</f>
        <v>0</v>
      </c>
      <c r="D42" s="1007">
        <f>'Table 3 Levels 1&amp;2'!BN44+'Table 3 Levels 1&amp;2'!BV44</f>
        <v>3666.4136012725312</v>
      </c>
      <c r="E42" s="1104">
        <f t="shared" si="28"/>
        <v>0</v>
      </c>
      <c r="F42" s="1104">
        <f t="shared" si="18"/>
        <v>0</v>
      </c>
      <c r="G42" s="1061">
        <f t="shared" si="29"/>
        <v>0</v>
      </c>
      <c r="H42" s="1114">
        <f t="shared" si="19"/>
        <v>0</v>
      </c>
      <c r="I42" s="1061">
        <f t="shared" si="20"/>
        <v>0</v>
      </c>
      <c r="J42" s="1061"/>
      <c r="K42" s="1061">
        <f t="shared" si="21"/>
        <v>0</v>
      </c>
      <c r="L42" s="1061">
        <f t="shared" si="22"/>
        <v>0</v>
      </c>
      <c r="M42" s="1051">
        <f>'[18]FY2012-13 Final'!K43</f>
        <v>4601</v>
      </c>
      <c r="N42" s="992">
        <f t="shared" si="30"/>
        <v>0</v>
      </c>
      <c r="O42" s="1117">
        <f t="shared" si="23"/>
        <v>0</v>
      </c>
      <c r="P42" s="992">
        <f t="shared" si="24"/>
        <v>0</v>
      </c>
      <c r="Q42" s="992"/>
      <c r="R42" s="992">
        <f t="shared" si="25"/>
        <v>0</v>
      </c>
      <c r="S42" s="992">
        <f t="shared" si="26"/>
        <v>0</v>
      </c>
      <c r="T42" s="993">
        <f t="shared" si="27"/>
        <v>0</v>
      </c>
      <c r="U42" s="993">
        <f t="shared" si="31"/>
        <v>0</v>
      </c>
    </row>
    <row r="43" spans="1:21" ht="12.75" customHeight="1">
      <c r="A43" s="994">
        <v>37</v>
      </c>
      <c r="B43" s="995" t="s">
        <v>131</v>
      </c>
      <c r="C43" s="1196">
        <f>'[2]ALL-Reformatted'!G42</f>
        <v>122</v>
      </c>
      <c r="D43" s="1003">
        <f>'Table 3 Levels 1&amp;2'!BN45+'Table 3 Levels 1&amp;2'!BV45</f>
        <v>5484.8089042263191</v>
      </c>
      <c r="E43" s="1102">
        <f t="shared" si="28"/>
        <v>669146.68631561089</v>
      </c>
      <c r="F43" s="1102">
        <f t="shared" si="18"/>
        <v>87388.053670033652</v>
      </c>
      <c r="G43" s="1059">
        <f t="shared" si="29"/>
        <v>756534.73998564458</v>
      </c>
      <c r="H43" s="1112">
        <f t="shared" si="19"/>
        <v>-1891.3368499641115</v>
      </c>
      <c r="I43" s="1059">
        <f t="shared" si="20"/>
        <v>754643.40313568048</v>
      </c>
      <c r="J43" s="1059"/>
      <c r="K43" s="1059">
        <f t="shared" si="21"/>
        <v>754643.40313568048</v>
      </c>
      <c r="L43" s="1059">
        <f t="shared" si="22"/>
        <v>62887</v>
      </c>
      <c r="M43" s="1051">
        <f>'[18]FY2012-13 Final'!K44</f>
        <v>3099</v>
      </c>
      <c r="N43" s="1053">
        <f t="shared" si="30"/>
        <v>378078</v>
      </c>
      <c r="O43" s="1118">
        <f t="shared" si="23"/>
        <v>-945.19500000000005</v>
      </c>
      <c r="P43" s="1053">
        <f t="shared" si="24"/>
        <v>377132.80499999999</v>
      </c>
      <c r="Q43" s="1053"/>
      <c r="R43" s="1053">
        <f t="shared" si="25"/>
        <v>377132.80499999999</v>
      </c>
      <c r="S43" s="1053">
        <f t="shared" si="26"/>
        <v>31428</v>
      </c>
      <c r="T43" s="1054">
        <f t="shared" si="27"/>
        <v>1131776.2081356805</v>
      </c>
      <c r="U43" s="1054">
        <f t="shared" si="31"/>
        <v>94315</v>
      </c>
    </row>
    <row r="44" spans="1:21">
      <c r="A44" s="994">
        <v>38</v>
      </c>
      <c r="B44" s="995" t="s">
        <v>132</v>
      </c>
      <c r="C44" s="1196">
        <f>'[2]ALL-Reformatted'!G43</f>
        <v>0</v>
      </c>
      <c r="D44" s="1003">
        <f>'Table 3 Levels 1&amp;2'!BN46+'Table 3 Levels 1&amp;2'!BV46</f>
        <v>2078.5917829727841</v>
      </c>
      <c r="E44" s="1102">
        <f t="shared" si="28"/>
        <v>0</v>
      </c>
      <c r="F44" s="1102">
        <f t="shared" si="18"/>
        <v>0</v>
      </c>
      <c r="G44" s="1059">
        <f t="shared" si="29"/>
        <v>0</v>
      </c>
      <c r="H44" s="1112">
        <f t="shared" si="19"/>
        <v>0</v>
      </c>
      <c r="I44" s="1059">
        <f t="shared" si="20"/>
        <v>0</v>
      </c>
      <c r="J44" s="1059"/>
      <c r="K44" s="1059">
        <f t="shared" si="21"/>
        <v>0</v>
      </c>
      <c r="L44" s="1059">
        <f t="shared" si="22"/>
        <v>0</v>
      </c>
      <c r="M44" s="1051">
        <f>'[18]FY2012-13 Final'!K45</f>
        <v>9674</v>
      </c>
      <c r="N44" s="1053">
        <f t="shared" si="30"/>
        <v>0</v>
      </c>
      <c r="O44" s="1118">
        <f t="shared" si="23"/>
        <v>0</v>
      </c>
      <c r="P44" s="1053">
        <f t="shared" si="24"/>
        <v>0</v>
      </c>
      <c r="Q44" s="1053"/>
      <c r="R44" s="1053">
        <f t="shared" si="25"/>
        <v>0</v>
      </c>
      <c r="S44" s="1053">
        <f t="shared" si="26"/>
        <v>0</v>
      </c>
      <c r="T44" s="1054">
        <f t="shared" si="27"/>
        <v>0</v>
      </c>
      <c r="U44" s="1054">
        <f t="shared" si="31"/>
        <v>0</v>
      </c>
    </row>
    <row r="45" spans="1:21" ht="12.75" customHeight="1">
      <c r="A45" s="994">
        <v>39</v>
      </c>
      <c r="B45" s="995" t="s">
        <v>133</v>
      </c>
      <c r="C45" s="1196">
        <f>'[2]ALL-Reformatted'!G44</f>
        <v>0</v>
      </c>
      <c r="D45" s="1003">
        <f>'Table 3 Levels 1&amp;2'!BN47+'Table 3 Levels 1&amp;2'!BV47</f>
        <v>3622.4878999042335</v>
      </c>
      <c r="E45" s="1102">
        <f t="shared" si="28"/>
        <v>0</v>
      </c>
      <c r="F45" s="1102">
        <f t="shared" si="18"/>
        <v>0</v>
      </c>
      <c r="G45" s="1059">
        <f t="shared" si="29"/>
        <v>0</v>
      </c>
      <c r="H45" s="1112">
        <f t="shared" si="19"/>
        <v>0</v>
      </c>
      <c r="I45" s="1059">
        <f t="shared" si="20"/>
        <v>0</v>
      </c>
      <c r="J45" s="1059"/>
      <c r="K45" s="1059">
        <f t="shared" si="21"/>
        <v>0</v>
      </c>
      <c r="L45" s="1059">
        <f t="shared" si="22"/>
        <v>0</v>
      </c>
      <c r="M45" s="1051">
        <f>'[18]FY2012-13 Final'!K46</f>
        <v>4277</v>
      </c>
      <c r="N45" s="1053">
        <f t="shared" si="30"/>
        <v>0</v>
      </c>
      <c r="O45" s="1118">
        <f t="shared" si="23"/>
        <v>0</v>
      </c>
      <c r="P45" s="1053">
        <f t="shared" si="24"/>
        <v>0</v>
      </c>
      <c r="Q45" s="1053"/>
      <c r="R45" s="1053">
        <f t="shared" si="25"/>
        <v>0</v>
      </c>
      <c r="S45" s="1053">
        <f t="shared" si="26"/>
        <v>0</v>
      </c>
      <c r="T45" s="1054">
        <f t="shared" si="27"/>
        <v>0</v>
      </c>
      <c r="U45" s="1054">
        <f t="shared" si="31"/>
        <v>0</v>
      </c>
    </row>
    <row r="46" spans="1:21">
      <c r="A46" s="998">
        <v>40</v>
      </c>
      <c r="B46" s="999" t="s">
        <v>134</v>
      </c>
      <c r="C46" s="1197">
        <f>'[2]ALL-Reformatted'!G45</f>
        <v>0</v>
      </c>
      <c r="D46" s="1005">
        <f>'Table 3 Levels 1&amp;2'!BN48+'Table 3 Levels 1&amp;2'!BV48</f>
        <v>4885.6387343180086</v>
      </c>
      <c r="E46" s="1103">
        <f t="shared" si="28"/>
        <v>0</v>
      </c>
      <c r="F46" s="1103">
        <f t="shared" si="18"/>
        <v>0</v>
      </c>
      <c r="G46" s="1060">
        <f t="shared" si="29"/>
        <v>0</v>
      </c>
      <c r="H46" s="1113">
        <f t="shared" si="19"/>
        <v>0</v>
      </c>
      <c r="I46" s="1060">
        <f t="shared" si="20"/>
        <v>0</v>
      </c>
      <c r="J46" s="1060"/>
      <c r="K46" s="1060">
        <f t="shared" si="21"/>
        <v>0</v>
      </c>
      <c r="L46" s="1060">
        <f t="shared" si="22"/>
        <v>0</v>
      </c>
      <c r="M46" s="1056">
        <f>'[18]FY2012-13 Final'!K47</f>
        <v>2921</v>
      </c>
      <c r="N46" s="1057">
        <f t="shared" si="30"/>
        <v>0</v>
      </c>
      <c r="O46" s="1119">
        <f t="shared" si="23"/>
        <v>0</v>
      </c>
      <c r="P46" s="1057">
        <f t="shared" si="24"/>
        <v>0</v>
      </c>
      <c r="Q46" s="1057"/>
      <c r="R46" s="1057">
        <f t="shared" si="25"/>
        <v>0</v>
      </c>
      <c r="S46" s="1057">
        <f t="shared" si="26"/>
        <v>0</v>
      </c>
      <c r="T46" s="1058">
        <f t="shared" si="27"/>
        <v>0</v>
      </c>
      <c r="U46" s="1058">
        <f t="shared" si="31"/>
        <v>0</v>
      </c>
    </row>
    <row r="47" spans="1:21" ht="12.75" customHeight="1">
      <c r="A47" s="987">
        <v>41</v>
      </c>
      <c r="B47" s="988" t="s">
        <v>135</v>
      </c>
      <c r="C47" s="1198">
        <f>'[2]ALL-Reformatted'!G46</f>
        <v>0</v>
      </c>
      <c r="D47" s="1007">
        <f>'Table 3 Levels 1&amp;2'!BN49+'Table 3 Levels 1&amp;2'!BV49</f>
        <v>1602.0398121899364</v>
      </c>
      <c r="E47" s="1104">
        <f t="shared" si="28"/>
        <v>0</v>
      </c>
      <c r="F47" s="1104">
        <f t="shared" si="18"/>
        <v>0</v>
      </c>
      <c r="G47" s="1061">
        <f t="shared" si="29"/>
        <v>0</v>
      </c>
      <c r="H47" s="1114">
        <f t="shared" si="19"/>
        <v>0</v>
      </c>
      <c r="I47" s="1061">
        <f t="shared" si="20"/>
        <v>0</v>
      </c>
      <c r="J47" s="1061"/>
      <c r="K47" s="1061">
        <f t="shared" si="21"/>
        <v>0</v>
      </c>
      <c r="L47" s="1061">
        <f t="shared" si="22"/>
        <v>0</v>
      </c>
      <c r="M47" s="1051">
        <f>'[18]FY2012-13 Final'!K48</f>
        <v>12026</v>
      </c>
      <c r="N47" s="992">
        <f t="shared" si="30"/>
        <v>0</v>
      </c>
      <c r="O47" s="1117">
        <f t="shared" si="23"/>
        <v>0</v>
      </c>
      <c r="P47" s="992">
        <f t="shared" si="24"/>
        <v>0</v>
      </c>
      <c r="Q47" s="992"/>
      <c r="R47" s="992">
        <f t="shared" si="25"/>
        <v>0</v>
      </c>
      <c r="S47" s="992">
        <f t="shared" si="26"/>
        <v>0</v>
      </c>
      <c r="T47" s="993">
        <f t="shared" si="27"/>
        <v>0</v>
      </c>
      <c r="U47" s="993">
        <f t="shared" si="31"/>
        <v>0</v>
      </c>
    </row>
    <row r="48" spans="1:21">
      <c r="A48" s="994">
        <v>42</v>
      </c>
      <c r="B48" s="995" t="s">
        <v>136</v>
      </c>
      <c r="C48" s="1196">
        <f>'[2]ALL-Reformatted'!G47</f>
        <v>5</v>
      </c>
      <c r="D48" s="1003">
        <f>'Table 3 Levels 1&amp;2'!BN50+'Table 3 Levels 1&amp;2'!BV50</f>
        <v>5098.6172346404755</v>
      </c>
      <c r="E48" s="1102">
        <f t="shared" si="28"/>
        <v>25493.086173202377</v>
      </c>
      <c r="F48" s="1102">
        <f t="shared" si="18"/>
        <v>3581.477609427609</v>
      </c>
      <c r="G48" s="1059">
        <f t="shared" si="29"/>
        <v>29074.563782629986</v>
      </c>
      <c r="H48" s="1112">
        <f t="shared" si="19"/>
        <v>-72.686409456574964</v>
      </c>
      <c r="I48" s="1059">
        <f t="shared" si="20"/>
        <v>29001.877373173411</v>
      </c>
      <c r="J48" s="1059"/>
      <c r="K48" s="1059">
        <f t="shared" si="21"/>
        <v>29001.877373173411</v>
      </c>
      <c r="L48" s="1059">
        <f t="shared" si="22"/>
        <v>2417</v>
      </c>
      <c r="M48" s="1051">
        <f>'[18]FY2012-13 Final'!K49</f>
        <v>2554</v>
      </c>
      <c r="N48" s="1053">
        <f t="shared" si="30"/>
        <v>12770</v>
      </c>
      <c r="O48" s="1118">
        <f t="shared" si="23"/>
        <v>-31.925000000000001</v>
      </c>
      <c r="P48" s="1053">
        <f t="shared" si="24"/>
        <v>12738.075000000001</v>
      </c>
      <c r="Q48" s="1053"/>
      <c r="R48" s="1053">
        <f t="shared" si="25"/>
        <v>12738.075000000001</v>
      </c>
      <c r="S48" s="1053">
        <f t="shared" si="26"/>
        <v>1062</v>
      </c>
      <c r="T48" s="1054">
        <f t="shared" si="27"/>
        <v>41739.952373173408</v>
      </c>
      <c r="U48" s="1054">
        <f t="shared" si="31"/>
        <v>3479</v>
      </c>
    </row>
    <row r="49" spans="1:21" ht="12.75" customHeight="1">
      <c r="A49" s="994">
        <v>43</v>
      </c>
      <c r="B49" s="995" t="s">
        <v>137</v>
      </c>
      <c r="C49" s="1196">
        <f>'[2]ALL-Reformatted'!G48</f>
        <v>0</v>
      </c>
      <c r="D49" s="1003">
        <f>'Table 3 Levels 1&amp;2'!BN51+'Table 3 Levels 1&amp;2'!BV51</f>
        <v>4701.3362575004667</v>
      </c>
      <c r="E49" s="1102">
        <f t="shared" si="28"/>
        <v>0</v>
      </c>
      <c r="F49" s="1102">
        <f t="shared" si="18"/>
        <v>0</v>
      </c>
      <c r="G49" s="1059">
        <f t="shared" si="29"/>
        <v>0</v>
      </c>
      <c r="H49" s="1112">
        <f t="shared" si="19"/>
        <v>0</v>
      </c>
      <c r="I49" s="1059">
        <f t="shared" si="20"/>
        <v>0</v>
      </c>
      <c r="J49" s="1059"/>
      <c r="K49" s="1059">
        <f t="shared" si="21"/>
        <v>0</v>
      </c>
      <c r="L49" s="1059">
        <f t="shared" si="22"/>
        <v>0</v>
      </c>
      <c r="M49" s="1051">
        <f>'[18]FY2012-13 Final'!K50</f>
        <v>5265</v>
      </c>
      <c r="N49" s="1053">
        <f t="shared" si="30"/>
        <v>0</v>
      </c>
      <c r="O49" s="1118">
        <f t="shared" si="23"/>
        <v>0</v>
      </c>
      <c r="P49" s="1053">
        <f t="shared" si="24"/>
        <v>0</v>
      </c>
      <c r="Q49" s="1053"/>
      <c r="R49" s="1053">
        <f t="shared" si="25"/>
        <v>0</v>
      </c>
      <c r="S49" s="1053">
        <f t="shared" si="26"/>
        <v>0</v>
      </c>
      <c r="T49" s="1054">
        <f t="shared" si="27"/>
        <v>0</v>
      </c>
      <c r="U49" s="1054">
        <f t="shared" si="31"/>
        <v>0</v>
      </c>
    </row>
    <row r="50" spans="1:21">
      <c r="A50" s="994">
        <v>44</v>
      </c>
      <c r="B50" s="995" t="s">
        <v>138</v>
      </c>
      <c r="C50" s="1196">
        <f>'[2]ALL-Reformatted'!G49</f>
        <v>0</v>
      </c>
      <c r="D50" s="1003">
        <f>'Table 3 Levels 1&amp;2'!BN52+'Table 3 Levels 1&amp;2'!BV52</f>
        <v>4649.5559521248724</v>
      </c>
      <c r="E50" s="1102">
        <f t="shared" si="28"/>
        <v>0</v>
      </c>
      <c r="F50" s="1102">
        <f t="shared" si="18"/>
        <v>0</v>
      </c>
      <c r="G50" s="1059">
        <f t="shared" si="29"/>
        <v>0</v>
      </c>
      <c r="H50" s="1112">
        <f t="shared" si="19"/>
        <v>0</v>
      </c>
      <c r="I50" s="1059">
        <f t="shared" si="20"/>
        <v>0</v>
      </c>
      <c r="J50" s="1059"/>
      <c r="K50" s="1059">
        <f t="shared" si="21"/>
        <v>0</v>
      </c>
      <c r="L50" s="1059">
        <f t="shared" si="22"/>
        <v>0</v>
      </c>
      <c r="M50" s="1051">
        <f>'[18]FY2012-13 Final'!K51</f>
        <v>4109</v>
      </c>
      <c r="N50" s="1053">
        <f t="shared" si="30"/>
        <v>0</v>
      </c>
      <c r="O50" s="1118">
        <f t="shared" si="23"/>
        <v>0</v>
      </c>
      <c r="P50" s="1053">
        <f t="shared" si="24"/>
        <v>0</v>
      </c>
      <c r="Q50" s="1053"/>
      <c r="R50" s="1053">
        <f t="shared" si="25"/>
        <v>0</v>
      </c>
      <c r="S50" s="1053">
        <f t="shared" si="26"/>
        <v>0</v>
      </c>
      <c r="T50" s="1054">
        <f t="shared" si="27"/>
        <v>0</v>
      </c>
      <c r="U50" s="1054">
        <f t="shared" si="31"/>
        <v>0</v>
      </c>
    </row>
    <row r="51" spans="1:21" ht="12.75" customHeight="1">
      <c r="A51" s="998">
        <v>45</v>
      </c>
      <c r="B51" s="999" t="s">
        <v>139</v>
      </c>
      <c r="C51" s="1197">
        <f>'[2]ALL-Reformatted'!G50</f>
        <v>0</v>
      </c>
      <c r="D51" s="1005">
        <f>'Table 3 Levels 1&amp;2'!BN53+'Table 3 Levels 1&amp;2'!BV53</f>
        <v>2159.257884231537</v>
      </c>
      <c r="E51" s="1103">
        <f t="shared" si="28"/>
        <v>0</v>
      </c>
      <c r="F51" s="1103">
        <f t="shared" si="18"/>
        <v>0</v>
      </c>
      <c r="G51" s="1060">
        <f t="shared" si="29"/>
        <v>0</v>
      </c>
      <c r="H51" s="1113">
        <f t="shared" si="19"/>
        <v>0</v>
      </c>
      <c r="I51" s="1060">
        <f t="shared" si="20"/>
        <v>0</v>
      </c>
      <c r="J51" s="1060"/>
      <c r="K51" s="1060">
        <f t="shared" si="21"/>
        <v>0</v>
      </c>
      <c r="L51" s="1060">
        <f t="shared" si="22"/>
        <v>0</v>
      </c>
      <c r="M51" s="1056">
        <f>'[18]FY2012-13 Final'!K52</f>
        <v>12427</v>
      </c>
      <c r="N51" s="1057">
        <f t="shared" si="30"/>
        <v>0</v>
      </c>
      <c r="O51" s="1119">
        <f t="shared" si="23"/>
        <v>0</v>
      </c>
      <c r="P51" s="1057">
        <f t="shared" si="24"/>
        <v>0</v>
      </c>
      <c r="Q51" s="1057"/>
      <c r="R51" s="1057">
        <f t="shared" si="25"/>
        <v>0</v>
      </c>
      <c r="S51" s="1057">
        <f t="shared" si="26"/>
        <v>0</v>
      </c>
      <c r="T51" s="1058">
        <f t="shared" si="27"/>
        <v>0</v>
      </c>
      <c r="U51" s="1058">
        <f t="shared" si="31"/>
        <v>0</v>
      </c>
    </row>
    <row r="52" spans="1:21">
      <c r="A52" s="987">
        <v>46</v>
      </c>
      <c r="B52" s="988" t="s">
        <v>140</v>
      </c>
      <c r="C52" s="1198">
        <f>'[2]ALL-Reformatted'!G51</f>
        <v>0</v>
      </c>
      <c r="D52" s="1007">
        <f>'Table 3 Levels 1&amp;2'!BN54+'Table 3 Levels 1&amp;2'!BV54</f>
        <v>5578.7258135108641</v>
      </c>
      <c r="E52" s="1104">
        <f t="shared" si="28"/>
        <v>0</v>
      </c>
      <c r="F52" s="1104">
        <f t="shared" si="18"/>
        <v>0</v>
      </c>
      <c r="G52" s="1061">
        <f t="shared" si="29"/>
        <v>0</v>
      </c>
      <c r="H52" s="1114">
        <f t="shared" si="19"/>
        <v>0</v>
      </c>
      <c r="I52" s="1061">
        <f t="shared" si="20"/>
        <v>0</v>
      </c>
      <c r="J52" s="1061"/>
      <c r="K52" s="1061">
        <f t="shared" si="21"/>
        <v>0</v>
      </c>
      <c r="L52" s="1061">
        <f t="shared" si="22"/>
        <v>0</v>
      </c>
      <c r="M52" s="1051">
        <f>'[18]FY2012-13 Final'!K53</f>
        <v>1968</v>
      </c>
      <c r="N52" s="992">
        <f t="shared" si="30"/>
        <v>0</v>
      </c>
      <c r="O52" s="1117">
        <f t="shared" si="23"/>
        <v>0</v>
      </c>
      <c r="P52" s="992">
        <f t="shared" si="24"/>
        <v>0</v>
      </c>
      <c r="Q52" s="992"/>
      <c r="R52" s="992">
        <f t="shared" si="25"/>
        <v>0</v>
      </c>
      <c r="S52" s="992">
        <f t="shared" si="26"/>
        <v>0</v>
      </c>
      <c r="T52" s="993">
        <f t="shared" si="27"/>
        <v>0</v>
      </c>
      <c r="U52" s="993">
        <f t="shared" si="31"/>
        <v>0</v>
      </c>
    </row>
    <row r="53" spans="1:21" ht="12.75" customHeight="1">
      <c r="A53" s="994">
        <v>47</v>
      </c>
      <c r="B53" s="995" t="s">
        <v>141</v>
      </c>
      <c r="C53" s="1196">
        <f>'[2]ALL-Reformatted'!G52</f>
        <v>0</v>
      </c>
      <c r="D53" s="1003">
        <f>'Table 3 Levels 1&amp;2'!BN55+'Table 3 Levels 1&amp;2'!BV55</f>
        <v>2709.058014721415</v>
      </c>
      <c r="E53" s="1102">
        <f t="shared" si="28"/>
        <v>0</v>
      </c>
      <c r="F53" s="1102">
        <f t="shared" si="18"/>
        <v>0</v>
      </c>
      <c r="G53" s="1059">
        <f t="shared" si="29"/>
        <v>0</v>
      </c>
      <c r="H53" s="1112">
        <f t="shared" si="19"/>
        <v>0</v>
      </c>
      <c r="I53" s="1059">
        <f t="shared" si="20"/>
        <v>0</v>
      </c>
      <c r="J53" s="1059"/>
      <c r="K53" s="1059">
        <f t="shared" si="21"/>
        <v>0</v>
      </c>
      <c r="L53" s="1059">
        <f t="shared" si="22"/>
        <v>0</v>
      </c>
      <c r="M53" s="1051">
        <f>'[18]FY2012-13 Final'!K54</f>
        <v>10049</v>
      </c>
      <c r="N53" s="1053">
        <f t="shared" si="30"/>
        <v>0</v>
      </c>
      <c r="O53" s="1118">
        <f t="shared" si="23"/>
        <v>0</v>
      </c>
      <c r="P53" s="1053">
        <f t="shared" si="24"/>
        <v>0</v>
      </c>
      <c r="Q53" s="1053"/>
      <c r="R53" s="1053">
        <f t="shared" si="25"/>
        <v>0</v>
      </c>
      <c r="S53" s="1053">
        <f t="shared" si="26"/>
        <v>0</v>
      </c>
      <c r="T53" s="1054">
        <f t="shared" si="27"/>
        <v>0</v>
      </c>
      <c r="U53" s="1054">
        <f t="shared" si="31"/>
        <v>0</v>
      </c>
    </row>
    <row r="54" spans="1:21">
      <c r="A54" s="994">
        <v>48</v>
      </c>
      <c r="B54" s="995" t="s">
        <v>202</v>
      </c>
      <c r="C54" s="1196">
        <f>'[2]ALL-Reformatted'!G53</f>
        <v>0</v>
      </c>
      <c r="D54" s="1003">
        <f>'Table 3 Levels 1&amp;2'!BN56+'Table 3 Levels 1&amp;2'!BV56</f>
        <v>4259.4136153508553</v>
      </c>
      <c r="E54" s="1102">
        <f t="shared" si="28"/>
        <v>0</v>
      </c>
      <c r="F54" s="1102">
        <f t="shared" si="18"/>
        <v>0</v>
      </c>
      <c r="G54" s="1059">
        <f t="shared" si="29"/>
        <v>0</v>
      </c>
      <c r="H54" s="1112">
        <f t="shared" si="19"/>
        <v>0</v>
      </c>
      <c r="I54" s="1059">
        <f t="shared" si="20"/>
        <v>0</v>
      </c>
      <c r="J54" s="1059"/>
      <c r="K54" s="1059">
        <f t="shared" si="21"/>
        <v>0</v>
      </c>
      <c r="L54" s="1059">
        <f t="shared" si="22"/>
        <v>0</v>
      </c>
      <c r="M54" s="1051">
        <f>'[18]FY2012-13 Final'!K55</f>
        <v>5755</v>
      </c>
      <c r="N54" s="1053">
        <f t="shared" si="30"/>
        <v>0</v>
      </c>
      <c r="O54" s="1118">
        <f t="shared" si="23"/>
        <v>0</v>
      </c>
      <c r="P54" s="1053">
        <f t="shared" si="24"/>
        <v>0</v>
      </c>
      <c r="Q54" s="1053"/>
      <c r="R54" s="1053">
        <f t="shared" si="25"/>
        <v>0</v>
      </c>
      <c r="S54" s="1053">
        <f t="shared" si="26"/>
        <v>0</v>
      </c>
      <c r="T54" s="1054">
        <f t="shared" si="27"/>
        <v>0</v>
      </c>
      <c r="U54" s="1054">
        <f t="shared" si="31"/>
        <v>0</v>
      </c>
    </row>
    <row r="55" spans="1:21" ht="12.75" customHeight="1">
      <c r="A55" s="994">
        <v>49</v>
      </c>
      <c r="B55" s="995" t="s">
        <v>142</v>
      </c>
      <c r="C55" s="1196">
        <f>'[2]ALL-Reformatted'!G54</f>
        <v>0</v>
      </c>
      <c r="D55" s="1003">
        <f>'Table 3 Levels 1&amp;2'!BN57+'Table 3 Levels 1&amp;2'!BV57</f>
        <v>4790.0513947378495</v>
      </c>
      <c r="E55" s="1102">
        <f t="shared" si="28"/>
        <v>0</v>
      </c>
      <c r="F55" s="1102">
        <f t="shared" si="18"/>
        <v>0</v>
      </c>
      <c r="G55" s="1059">
        <f t="shared" si="29"/>
        <v>0</v>
      </c>
      <c r="H55" s="1112">
        <f t="shared" si="19"/>
        <v>0</v>
      </c>
      <c r="I55" s="1059">
        <f t="shared" si="20"/>
        <v>0</v>
      </c>
      <c r="J55" s="1059"/>
      <c r="K55" s="1059">
        <f t="shared" si="21"/>
        <v>0</v>
      </c>
      <c r="L55" s="1059">
        <f t="shared" si="22"/>
        <v>0</v>
      </c>
      <c r="M55" s="1051">
        <f>'[18]FY2012-13 Final'!K56</f>
        <v>2335</v>
      </c>
      <c r="N55" s="1053">
        <f t="shared" si="30"/>
        <v>0</v>
      </c>
      <c r="O55" s="1118">
        <f t="shared" si="23"/>
        <v>0</v>
      </c>
      <c r="P55" s="1053">
        <f t="shared" si="24"/>
        <v>0</v>
      </c>
      <c r="Q55" s="1053"/>
      <c r="R55" s="1053">
        <f t="shared" si="25"/>
        <v>0</v>
      </c>
      <c r="S55" s="1053">
        <f t="shared" si="26"/>
        <v>0</v>
      </c>
      <c r="T55" s="1054">
        <f t="shared" si="27"/>
        <v>0</v>
      </c>
      <c r="U55" s="1054">
        <f t="shared" si="31"/>
        <v>0</v>
      </c>
    </row>
    <row r="56" spans="1:21">
      <c r="A56" s="998">
        <v>50</v>
      </c>
      <c r="B56" s="999" t="s">
        <v>143</v>
      </c>
      <c r="C56" s="1197">
        <f>'[2]ALL-Reformatted'!G55</f>
        <v>0</v>
      </c>
      <c r="D56" s="1005">
        <f>'Table 3 Levels 1&amp;2'!BN58+'Table 3 Levels 1&amp;2'!BV58</f>
        <v>4954.3375045905796</v>
      </c>
      <c r="E56" s="1103">
        <f t="shared" si="28"/>
        <v>0</v>
      </c>
      <c r="F56" s="1103">
        <f t="shared" si="18"/>
        <v>0</v>
      </c>
      <c r="G56" s="1060">
        <f t="shared" si="29"/>
        <v>0</v>
      </c>
      <c r="H56" s="1113">
        <f t="shared" si="19"/>
        <v>0</v>
      </c>
      <c r="I56" s="1060">
        <f t="shared" si="20"/>
        <v>0</v>
      </c>
      <c r="J56" s="1060"/>
      <c r="K56" s="1060">
        <f t="shared" si="21"/>
        <v>0</v>
      </c>
      <c r="L56" s="1060">
        <f t="shared" si="22"/>
        <v>0</v>
      </c>
      <c r="M56" s="1056">
        <f>'[18]FY2012-13 Final'!K57</f>
        <v>2801</v>
      </c>
      <c r="N56" s="1057">
        <f t="shared" si="30"/>
        <v>0</v>
      </c>
      <c r="O56" s="1119">
        <f t="shared" si="23"/>
        <v>0</v>
      </c>
      <c r="P56" s="1057">
        <f t="shared" si="24"/>
        <v>0</v>
      </c>
      <c r="Q56" s="1057"/>
      <c r="R56" s="1057">
        <f t="shared" si="25"/>
        <v>0</v>
      </c>
      <c r="S56" s="1057">
        <f t="shared" si="26"/>
        <v>0</v>
      </c>
      <c r="T56" s="1058">
        <f t="shared" si="27"/>
        <v>0</v>
      </c>
      <c r="U56" s="1058">
        <f t="shared" si="31"/>
        <v>0</v>
      </c>
    </row>
    <row r="57" spans="1:21" ht="12.75" customHeight="1">
      <c r="A57" s="987">
        <v>51</v>
      </c>
      <c r="B57" s="988" t="s">
        <v>144</v>
      </c>
      <c r="C57" s="1198">
        <f>'[2]ALL-Reformatted'!G56</f>
        <v>0</v>
      </c>
      <c r="D57" s="1007">
        <f>'Table 3 Levels 1&amp;2'!BN59+'Table 3 Levels 1&amp;2'!BV59</f>
        <v>4290.3461727150461</v>
      </c>
      <c r="E57" s="1104">
        <f t="shared" si="28"/>
        <v>0</v>
      </c>
      <c r="F57" s="1104">
        <f t="shared" si="18"/>
        <v>0</v>
      </c>
      <c r="G57" s="1061">
        <f t="shared" si="29"/>
        <v>0</v>
      </c>
      <c r="H57" s="1114">
        <f t="shared" si="19"/>
        <v>0</v>
      </c>
      <c r="I57" s="1061">
        <f t="shared" si="20"/>
        <v>0</v>
      </c>
      <c r="J57" s="1061"/>
      <c r="K57" s="1061">
        <f t="shared" si="21"/>
        <v>0</v>
      </c>
      <c r="L57" s="1061">
        <f t="shared" si="22"/>
        <v>0</v>
      </c>
      <c r="M57" s="1051">
        <f>'[18]FY2012-13 Final'!K58</f>
        <v>4053</v>
      </c>
      <c r="N57" s="992">
        <f t="shared" si="30"/>
        <v>0</v>
      </c>
      <c r="O57" s="1117">
        <f t="shared" si="23"/>
        <v>0</v>
      </c>
      <c r="P57" s="992">
        <f t="shared" si="24"/>
        <v>0</v>
      </c>
      <c r="Q57" s="992"/>
      <c r="R57" s="992">
        <f t="shared" si="25"/>
        <v>0</v>
      </c>
      <c r="S57" s="992">
        <f t="shared" si="26"/>
        <v>0</v>
      </c>
      <c r="T57" s="993">
        <f t="shared" si="27"/>
        <v>0</v>
      </c>
      <c r="U57" s="993">
        <f t="shared" si="31"/>
        <v>0</v>
      </c>
    </row>
    <row r="58" spans="1:21">
      <c r="A58" s="994">
        <v>52</v>
      </c>
      <c r="B58" s="995" t="s">
        <v>145</v>
      </c>
      <c r="C58" s="1196">
        <f>'[2]ALL-Reformatted'!G57</f>
        <v>0</v>
      </c>
      <c r="D58" s="1003">
        <f>'Table 3 Levels 1&amp;2'!BN60+'Table 3 Levels 1&amp;2'!BV60</f>
        <v>4988.6415961118701</v>
      </c>
      <c r="E58" s="1102">
        <f t="shared" si="28"/>
        <v>0</v>
      </c>
      <c r="F58" s="1102">
        <f t="shared" si="18"/>
        <v>0</v>
      </c>
      <c r="G58" s="1059">
        <f t="shared" si="29"/>
        <v>0</v>
      </c>
      <c r="H58" s="1112">
        <f t="shared" si="19"/>
        <v>0</v>
      </c>
      <c r="I58" s="1059">
        <f t="shared" si="20"/>
        <v>0</v>
      </c>
      <c r="J58" s="1059"/>
      <c r="K58" s="1059">
        <f t="shared" si="21"/>
        <v>0</v>
      </c>
      <c r="L58" s="1059">
        <f t="shared" si="22"/>
        <v>0</v>
      </c>
      <c r="M58" s="1051">
        <f>'[18]FY2012-13 Final'!K59</f>
        <v>4886</v>
      </c>
      <c r="N58" s="1053">
        <f t="shared" si="30"/>
        <v>0</v>
      </c>
      <c r="O58" s="1118">
        <f t="shared" si="23"/>
        <v>0</v>
      </c>
      <c r="P58" s="1053">
        <f t="shared" si="24"/>
        <v>0</v>
      </c>
      <c r="Q58" s="1053"/>
      <c r="R58" s="1053">
        <f t="shared" si="25"/>
        <v>0</v>
      </c>
      <c r="S58" s="1053">
        <f t="shared" si="26"/>
        <v>0</v>
      </c>
      <c r="T58" s="1054">
        <f t="shared" si="27"/>
        <v>0</v>
      </c>
      <c r="U58" s="1054">
        <f t="shared" si="31"/>
        <v>0</v>
      </c>
    </row>
    <row r="59" spans="1:21" ht="12.75" customHeight="1">
      <c r="A59" s="994">
        <v>53</v>
      </c>
      <c r="B59" s="995" t="s">
        <v>146</v>
      </c>
      <c r="C59" s="1196">
        <f>'[2]ALL-Reformatted'!G58</f>
        <v>0</v>
      </c>
      <c r="D59" s="1003">
        <f>'Table 3 Levels 1&amp;2'!BN61+'Table 3 Levels 1&amp;2'!BV61</f>
        <v>4739.7077057162423</v>
      </c>
      <c r="E59" s="1102">
        <f t="shared" si="28"/>
        <v>0</v>
      </c>
      <c r="F59" s="1102">
        <f t="shared" si="18"/>
        <v>0</v>
      </c>
      <c r="G59" s="1059">
        <f t="shared" si="29"/>
        <v>0</v>
      </c>
      <c r="H59" s="1112">
        <f t="shared" si="19"/>
        <v>0</v>
      </c>
      <c r="I59" s="1059">
        <f t="shared" si="20"/>
        <v>0</v>
      </c>
      <c r="J59" s="1059"/>
      <c r="K59" s="1059">
        <f t="shared" si="21"/>
        <v>0</v>
      </c>
      <c r="L59" s="1059">
        <f t="shared" si="22"/>
        <v>0</v>
      </c>
      <c r="M59" s="1051">
        <f>'[18]FY2012-13 Final'!K60</f>
        <v>1929</v>
      </c>
      <c r="N59" s="1053">
        <f t="shared" si="30"/>
        <v>0</v>
      </c>
      <c r="O59" s="1118">
        <f t="shared" si="23"/>
        <v>0</v>
      </c>
      <c r="P59" s="1053">
        <f t="shared" si="24"/>
        <v>0</v>
      </c>
      <c r="Q59" s="1053"/>
      <c r="R59" s="1053">
        <f t="shared" si="25"/>
        <v>0</v>
      </c>
      <c r="S59" s="1053">
        <f t="shared" si="26"/>
        <v>0</v>
      </c>
      <c r="T59" s="1054">
        <f t="shared" si="27"/>
        <v>0</v>
      </c>
      <c r="U59" s="1054">
        <f t="shared" si="31"/>
        <v>0</v>
      </c>
    </row>
    <row r="60" spans="1:21">
      <c r="A60" s="994">
        <v>54</v>
      </c>
      <c r="B60" s="995" t="s">
        <v>147</v>
      </c>
      <c r="C60" s="1196">
        <f>'[2]ALL-Reformatted'!G59</f>
        <v>0</v>
      </c>
      <c r="D60" s="1003">
        <f>'Table 3 Levels 1&amp;2'!BN62+'Table 3 Levels 1&amp;2'!BV62</f>
        <v>5907.1276437932838</v>
      </c>
      <c r="E60" s="1102">
        <f t="shared" si="28"/>
        <v>0</v>
      </c>
      <c r="F60" s="1102">
        <f t="shared" si="18"/>
        <v>0</v>
      </c>
      <c r="G60" s="1059">
        <f t="shared" si="29"/>
        <v>0</v>
      </c>
      <c r="H60" s="1112">
        <f t="shared" si="19"/>
        <v>0</v>
      </c>
      <c r="I60" s="1059">
        <f t="shared" si="20"/>
        <v>0</v>
      </c>
      <c r="J60" s="1059"/>
      <c r="K60" s="1059">
        <f t="shared" si="21"/>
        <v>0</v>
      </c>
      <c r="L60" s="1059">
        <f t="shared" si="22"/>
        <v>0</v>
      </c>
      <c r="M60" s="1051">
        <f>'[18]FY2012-13 Final'!K61</f>
        <v>3382</v>
      </c>
      <c r="N60" s="1053">
        <f t="shared" si="30"/>
        <v>0</v>
      </c>
      <c r="O60" s="1118">
        <f t="shared" si="23"/>
        <v>0</v>
      </c>
      <c r="P60" s="1053">
        <f t="shared" si="24"/>
        <v>0</v>
      </c>
      <c r="Q60" s="1053"/>
      <c r="R60" s="1053">
        <f t="shared" si="25"/>
        <v>0</v>
      </c>
      <c r="S60" s="1053">
        <f t="shared" si="26"/>
        <v>0</v>
      </c>
      <c r="T60" s="1054">
        <f t="shared" si="27"/>
        <v>0</v>
      </c>
      <c r="U60" s="1054">
        <f t="shared" si="31"/>
        <v>0</v>
      </c>
    </row>
    <row r="61" spans="1:21" ht="12.75" customHeight="1">
      <c r="A61" s="998">
        <v>55</v>
      </c>
      <c r="B61" s="999" t="s">
        <v>148</v>
      </c>
      <c r="C61" s="1197">
        <f>'[2]ALL-Reformatted'!G60</f>
        <v>0</v>
      </c>
      <c r="D61" s="1005">
        <f>'Table 3 Levels 1&amp;2'!BN63+'Table 3 Levels 1&amp;2'!BV63</f>
        <v>4115.0954812679902</v>
      </c>
      <c r="E61" s="1103">
        <f t="shared" si="28"/>
        <v>0</v>
      </c>
      <c r="F61" s="1103">
        <f t="shared" si="18"/>
        <v>0</v>
      </c>
      <c r="G61" s="1060">
        <f t="shared" si="29"/>
        <v>0</v>
      </c>
      <c r="H61" s="1113">
        <f t="shared" si="19"/>
        <v>0</v>
      </c>
      <c r="I61" s="1060">
        <f t="shared" si="20"/>
        <v>0</v>
      </c>
      <c r="J61" s="1060"/>
      <c r="K61" s="1060">
        <f t="shared" si="21"/>
        <v>0</v>
      </c>
      <c r="L61" s="1060">
        <f t="shared" si="22"/>
        <v>0</v>
      </c>
      <c r="M61" s="1056">
        <f>'[18]FY2012-13 Final'!K62</f>
        <v>3127</v>
      </c>
      <c r="N61" s="1057">
        <f t="shared" si="30"/>
        <v>0</v>
      </c>
      <c r="O61" s="1119">
        <f t="shared" si="23"/>
        <v>0</v>
      </c>
      <c r="P61" s="1057">
        <f t="shared" si="24"/>
        <v>0</v>
      </c>
      <c r="Q61" s="1057"/>
      <c r="R61" s="1057">
        <f t="shared" si="25"/>
        <v>0</v>
      </c>
      <c r="S61" s="1057">
        <f t="shared" si="26"/>
        <v>0</v>
      </c>
      <c r="T61" s="1058">
        <f t="shared" si="27"/>
        <v>0</v>
      </c>
      <c r="U61" s="1058">
        <f t="shared" si="31"/>
        <v>0</v>
      </c>
    </row>
    <row r="62" spans="1:21">
      <c r="A62" s="987">
        <v>56</v>
      </c>
      <c r="B62" s="988" t="s">
        <v>149</v>
      </c>
      <c r="C62" s="1198">
        <f>'[2]ALL-Reformatted'!G61</f>
        <v>0</v>
      </c>
      <c r="D62" s="1007">
        <f>'Table 3 Levels 1&amp;2'!BN64+'Table 3 Levels 1&amp;2'!BV64</f>
        <v>4924.9032059941637</v>
      </c>
      <c r="E62" s="1104">
        <f t="shared" si="28"/>
        <v>0</v>
      </c>
      <c r="F62" s="1104">
        <f t="shared" si="18"/>
        <v>0</v>
      </c>
      <c r="G62" s="1061">
        <f t="shared" si="29"/>
        <v>0</v>
      </c>
      <c r="H62" s="1114">
        <f t="shared" si="19"/>
        <v>0</v>
      </c>
      <c r="I62" s="1061">
        <f t="shared" si="20"/>
        <v>0</v>
      </c>
      <c r="J62" s="1061"/>
      <c r="K62" s="1061">
        <f t="shared" si="21"/>
        <v>0</v>
      </c>
      <c r="L62" s="1061">
        <f t="shared" si="22"/>
        <v>0</v>
      </c>
      <c r="M62" s="1051">
        <f>'[18]FY2012-13 Final'!K63</f>
        <v>2768</v>
      </c>
      <c r="N62" s="992">
        <f t="shared" si="30"/>
        <v>0</v>
      </c>
      <c r="O62" s="1117">
        <f t="shared" si="23"/>
        <v>0</v>
      </c>
      <c r="P62" s="992">
        <f t="shared" si="24"/>
        <v>0</v>
      </c>
      <c r="Q62" s="992"/>
      <c r="R62" s="992">
        <f t="shared" si="25"/>
        <v>0</v>
      </c>
      <c r="S62" s="992">
        <f t="shared" si="26"/>
        <v>0</v>
      </c>
      <c r="T62" s="993">
        <f t="shared" si="27"/>
        <v>0</v>
      </c>
      <c r="U62" s="993">
        <f t="shared" si="31"/>
        <v>0</v>
      </c>
    </row>
    <row r="63" spans="1:21" ht="12.75" customHeight="1">
      <c r="A63" s="994">
        <v>57</v>
      </c>
      <c r="B63" s="995" t="s">
        <v>150</v>
      </c>
      <c r="C63" s="1196">
        <f>'[2]ALL-Reformatted'!G62</f>
        <v>0</v>
      </c>
      <c r="D63" s="1003">
        <f>'Table 3 Levels 1&amp;2'!BN65+'Table 3 Levels 1&amp;2'!BV65</f>
        <v>4434.5516744018987</v>
      </c>
      <c r="E63" s="1102">
        <f t="shared" si="28"/>
        <v>0</v>
      </c>
      <c r="F63" s="1102">
        <f t="shared" si="18"/>
        <v>0</v>
      </c>
      <c r="G63" s="1059">
        <f t="shared" si="29"/>
        <v>0</v>
      </c>
      <c r="H63" s="1112">
        <f t="shared" si="19"/>
        <v>0</v>
      </c>
      <c r="I63" s="1059">
        <f t="shared" si="20"/>
        <v>0</v>
      </c>
      <c r="J63" s="1059"/>
      <c r="K63" s="1059">
        <f t="shared" si="21"/>
        <v>0</v>
      </c>
      <c r="L63" s="1059">
        <f t="shared" si="22"/>
        <v>0</v>
      </c>
      <c r="M63" s="1051">
        <f>'[18]FY2012-13 Final'!K64</f>
        <v>2987</v>
      </c>
      <c r="N63" s="1053">
        <f t="shared" si="30"/>
        <v>0</v>
      </c>
      <c r="O63" s="1118">
        <f t="shared" si="23"/>
        <v>0</v>
      </c>
      <c r="P63" s="1053">
        <f t="shared" si="24"/>
        <v>0</v>
      </c>
      <c r="Q63" s="1053"/>
      <c r="R63" s="1053">
        <f t="shared" si="25"/>
        <v>0</v>
      </c>
      <c r="S63" s="1053">
        <f t="shared" si="26"/>
        <v>0</v>
      </c>
      <c r="T63" s="1054">
        <f t="shared" si="27"/>
        <v>0</v>
      </c>
      <c r="U63" s="1054">
        <f t="shared" si="31"/>
        <v>0</v>
      </c>
    </row>
    <row r="64" spans="1:21">
      <c r="A64" s="994">
        <v>58</v>
      </c>
      <c r="B64" s="995" t="s">
        <v>151</v>
      </c>
      <c r="C64" s="1196">
        <f>'[2]ALL-Reformatted'!G63</f>
        <v>0</v>
      </c>
      <c r="D64" s="1003">
        <f>'Table 3 Levels 1&amp;2'!BN66+'Table 3 Levels 1&amp;2'!BV66</f>
        <v>5434.7170435013286</v>
      </c>
      <c r="E64" s="1102">
        <f t="shared" si="28"/>
        <v>0</v>
      </c>
      <c r="F64" s="1102">
        <f t="shared" si="18"/>
        <v>0</v>
      </c>
      <c r="G64" s="1059">
        <f t="shared" si="29"/>
        <v>0</v>
      </c>
      <c r="H64" s="1112">
        <f t="shared" si="19"/>
        <v>0</v>
      </c>
      <c r="I64" s="1059">
        <f t="shared" si="20"/>
        <v>0</v>
      </c>
      <c r="J64" s="1059"/>
      <c r="K64" s="1059">
        <f t="shared" si="21"/>
        <v>0</v>
      </c>
      <c r="L64" s="1059">
        <f t="shared" si="22"/>
        <v>0</v>
      </c>
      <c r="M64" s="1051">
        <f>'[18]FY2012-13 Final'!K65</f>
        <v>2055</v>
      </c>
      <c r="N64" s="1053">
        <f t="shared" si="30"/>
        <v>0</v>
      </c>
      <c r="O64" s="1118">
        <f t="shared" si="23"/>
        <v>0</v>
      </c>
      <c r="P64" s="1053">
        <f t="shared" si="24"/>
        <v>0</v>
      </c>
      <c r="Q64" s="1053"/>
      <c r="R64" s="1053">
        <f t="shared" si="25"/>
        <v>0</v>
      </c>
      <c r="S64" s="1053">
        <f t="shared" si="26"/>
        <v>0</v>
      </c>
      <c r="T64" s="1054">
        <f t="shared" si="27"/>
        <v>0</v>
      </c>
      <c r="U64" s="1054">
        <f t="shared" si="31"/>
        <v>0</v>
      </c>
    </row>
    <row r="65" spans="1:21" ht="12.75" customHeight="1">
      <c r="A65" s="994">
        <v>59</v>
      </c>
      <c r="B65" s="995" t="s">
        <v>152</v>
      </c>
      <c r="C65" s="1196">
        <f>'[2]ALL-Reformatted'!G64</f>
        <v>0</v>
      </c>
      <c r="D65" s="1003">
        <f>'Table 3 Levels 1&amp;2'!BN67+'Table 3 Levels 1&amp;2'!BV67</f>
        <v>6252.2385330184643</v>
      </c>
      <c r="E65" s="1102">
        <f t="shared" si="28"/>
        <v>0</v>
      </c>
      <c r="F65" s="1102">
        <f t="shared" si="18"/>
        <v>0</v>
      </c>
      <c r="G65" s="1059">
        <f t="shared" si="29"/>
        <v>0</v>
      </c>
      <c r="H65" s="1112">
        <f t="shared" si="19"/>
        <v>0</v>
      </c>
      <c r="I65" s="1059">
        <f t="shared" si="20"/>
        <v>0</v>
      </c>
      <c r="J65" s="1059"/>
      <c r="K65" s="1059">
        <f t="shared" si="21"/>
        <v>0</v>
      </c>
      <c r="L65" s="1059">
        <f t="shared" si="22"/>
        <v>0</v>
      </c>
      <c r="M65" s="1051">
        <f>'[18]FY2012-13 Final'!K66</f>
        <v>1528</v>
      </c>
      <c r="N65" s="1053">
        <f t="shared" si="30"/>
        <v>0</v>
      </c>
      <c r="O65" s="1118">
        <f t="shared" si="23"/>
        <v>0</v>
      </c>
      <c r="P65" s="1053">
        <f t="shared" si="24"/>
        <v>0</v>
      </c>
      <c r="Q65" s="1053"/>
      <c r="R65" s="1053">
        <f t="shared" si="25"/>
        <v>0</v>
      </c>
      <c r="S65" s="1053">
        <f t="shared" si="26"/>
        <v>0</v>
      </c>
      <c r="T65" s="1054">
        <f t="shared" si="27"/>
        <v>0</v>
      </c>
      <c r="U65" s="1054">
        <f t="shared" si="31"/>
        <v>0</v>
      </c>
    </row>
    <row r="66" spans="1:21">
      <c r="A66" s="998">
        <v>60</v>
      </c>
      <c r="B66" s="999" t="s">
        <v>153</v>
      </c>
      <c r="C66" s="1197">
        <f>'[2]ALL-Reformatted'!G65</f>
        <v>0</v>
      </c>
      <c r="D66" s="1005">
        <f>'Table 3 Levels 1&amp;2'!BN68+'Table 3 Levels 1&amp;2'!BV68</f>
        <v>4902.6575100268701</v>
      </c>
      <c r="E66" s="1103">
        <f t="shared" si="28"/>
        <v>0</v>
      </c>
      <c r="F66" s="1103">
        <f t="shared" si="18"/>
        <v>0</v>
      </c>
      <c r="G66" s="1060">
        <f t="shared" si="29"/>
        <v>0</v>
      </c>
      <c r="H66" s="1113">
        <f t="shared" si="19"/>
        <v>0</v>
      </c>
      <c r="I66" s="1060">
        <f t="shared" si="20"/>
        <v>0</v>
      </c>
      <c r="J66" s="1060"/>
      <c r="K66" s="1060">
        <f t="shared" si="21"/>
        <v>0</v>
      </c>
      <c r="L66" s="1060">
        <f t="shared" si="22"/>
        <v>0</v>
      </c>
      <c r="M66" s="1056">
        <f>'[18]FY2012-13 Final'!K67</f>
        <v>3918</v>
      </c>
      <c r="N66" s="1057">
        <f t="shared" si="30"/>
        <v>0</v>
      </c>
      <c r="O66" s="1119">
        <f t="shared" si="23"/>
        <v>0</v>
      </c>
      <c r="P66" s="1057">
        <f t="shared" si="24"/>
        <v>0</v>
      </c>
      <c r="Q66" s="1057"/>
      <c r="R66" s="1057">
        <f t="shared" si="25"/>
        <v>0</v>
      </c>
      <c r="S66" s="1057">
        <f t="shared" si="26"/>
        <v>0</v>
      </c>
      <c r="T66" s="1058">
        <f t="shared" si="27"/>
        <v>0</v>
      </c>
      <c r="U66" s="1058">
        <f t="shared" si="31"/>
        <v>0</v>
      </c>
    </row>
    <row r="67" spans="1:21" ht="12.75" customHeight="1">
      <c r="A67" s="987">
        <v>61</v>
      </c>
      <c r="B67" s="988" t="s">
        <v>154</v>
      </c>
      <c r="C67" s="1198">
        <f>'[2]ALL-Reformatted'!G66</f>
        <v>0</v>
      </c>
      <c r="D67" s="1007">
        <f>'Table 3 Levels 1&amp;2'!BN69+'Table 3 Levels 1&amp;2'!BV69</f>
        <v>2872.7719101339244</v>
      </c>
      <c r="E67" s="1104">
        <f t="shared" si="28"/>
        <v>0</v>
      </c>
      <c r="F67" s="1104">
        <f t="shared" si="18"/>
        <v>0</v>
      </c>
      <c r="G67" s="1061">
        <f t="shared" si="29"/>
        <v>0</v>
      </c>
      <c r="H67" s="1114">
        <f t="shared" si="19"/>
        <v>0</v>
      </c>
      <c r="I67" s="1061">
        <f t="shared" si="20"/>
        <v>0</v>
      </c>
      <c r="J67" s="1061"/>
      <c r="K67" s="1061">
        <f t="shared" si="21"/>
        <v>0</v>
      </c>
      <c r="L67" s="1061">
        <f t="shared" si="22"/>
        <v>0</v>
      </c>
      <c r="M67" s="1051">
        <f>'[18]FY2012-13 Final'!K68</f>
        <v>6680</v>
      </c>
      <c r="N67" s="992">
        <f t="shared" si="30"/>
        <v>0</v>
      </c>
      <c r="O67" s="1117">
        <f t="shared" si="23"/>
        <v>0</v>
      </c>
      <c r="P67" s="992">
        <f t="shared" si="24"/>
        <v>0</v>
      </c>
      <c r="Q67" s="992"/>
      <c r="R67" s="992">
        <f t="shared" si="25"/>
        <v>0</v>
      </c>
      <c r="S67" s="992">
        <f t="shared" si="26"/>
        <v>0</v>
      </c>
      <c r="T67" s="993">
        <f t="shared" si="27"/>
        <v>0</v>
      </c>
      <c r="U67" s="993">
        <f t="shared" si="31"/>
        <v>0</v>
      </c>
    </row>
    <row r="68" spans="1:21">
      <c r="A68" s="994">
        <v>62</v>
      </c>
      <c r="B68" s="995" t="s">
        <v>155</v>
      </c>
      <c r="C68" s="1196">
        <f>'[2]ALL-Reformatted'!G67</f>
        <v>0</v>
      </c>
      <c r="D68" s="1003">
        <f>'Table 3 Levels 1&amp;2'!BN70+'Table 3 Levels 1&amp;2'!BV70</f>
        <v>5594.25143978908</v>
      </c>
      <c r="E68" s="1102">
        <f t="shared" si="28"/>
        <v>0</v>
      </c>
      <c r="F68" s="1102">
        <f t="shared" si="18"/>
        <v>0</v>
      </c>
      <c r="G68" s="1059">
        <f t="shared" si="29"/>
        <v>0</v>
      </c>
      <c r="H68" s="1112">
        <f t="shared" si="19"/>
        <v>0</v>
      </c>
      <c r="I68" s="1059">
        <f t="shared" si="20"/>
        <v>0</v>
      </c>
      <c r="J68" s="1059"/>
      <c r="K68" s="1059">
        <f t="shared" si="21"/>
        <v>0</v>
      </c>
      <c r="L68" s="1059">
        <f t="shared" si="22"/>
        <v>0</v>
      </c>
      <c r="M68" s="1051">
        <f>'[18]FY2012-13 Final'!K69</f>
        <v>1754</v>
      </c>
      <c r="N68" s="1053">
        <f t="shared" si="30"/>
        <v>0</v>
      </c>
      <c r="O68" s="1118">
        <f t="shared" si="23"/>
        <v>0</v>
      </c>
      <c r="P68" s="1053">
        <f t="shared" si="24"/>
        <v>0</v>
      </c>
      <c r="Q68" s="1053"/>
      <c r="R68" s="1053">
        <f t="shared" si="25"/>
        <v>0</v>
      </c>
      <c r="S68" s="1053">
        <f t="shared" si="26"/>
        <v>0</v>
      </c>
      <c r="T68" s="1054">
        <f t="shared" si="27"/>
        <v>0</v>
      </c>
      <c r="U68" s="1054">
        <f t="shared" si="31"/>
        <v>0</v>
      </c>
    </row>
    <row r="69" spans="1:21" ht="12.75" customHeight="1">
      <c r="A69" s="994">
        <v>63</v>
      </c>
      <c r="B69" s="995" t="s">
        <v>156</v>
      </c>
      <c r="C69" s="1196">
        <f>'[2]ALL-Reformatted'!G68</f>
        <v>0</v>
      </c>
      <c r="D69" s="1003">
        <f>'Table 3 Levels 1&amp;2'!BN71+'Table 3 Levels 1&amp;2'!BV71</f>
        <v>4318.8609300898834</v>
      </c>
      <c r="E69" s="1102">
        <f t="shared" si="28"/>
        <v>0</v>
      </c>
      <c r="F69" s="1102">
        <f t="shared" si="18"/>
        <v>0</v>
      </c>
      <c r="G69" s="1059">
        <f t="shared" si="29"/>
        <v>0</v>
      </c>
      <c r="H69" s="1112">
        <f t="shared" si="19"/>
        <v>0</v>
      </c>
      <c r="I69" s="1059">
        <f t="shared" si="20"/>
        <v>0</v>
      </c>
      <c r="J69" s="1059"/>
      <c r="K69" s="1059">
        <f t="shared" si="21"/>
        <v>0</v>
      </c>
      <c r="L69" s="1059">
        <f t="shared" si="22"/>
        <v>0</v>
      </c>
      <c r="M69" s="1051">
        <f>'[18]FY2012-13 Final'!K70</f>
        <v>7182</v>
      </c>
      <c r="N69" s="1053">
        <f t="shared" si="30"/>
        <v>0</v>
      </c>
      <c r="O69" s="1118">
        <f t="shared" si="23"/>
        <v>0</v>
      </c>
      <c r="P69" s="1053">
        <f t="shared" si="24"/>
        <v>0</v>
      </c>
      <c r="Q69" s="1053"/>
      <c r="R69" s="1053">
        <f t="shared" si="25"/>
        <v>0</v>
      </c>
      <c r="S69" s="1053">
        <f t="shared" si="26"/>
        <v>0</v>
      </c>
      <c r="T69" s="1054">
        <f t="shared" si="27"/>
        <v>0</v>
      </c>
      <c r="U69" s="1054">
        <f t="shared" si="31"/>
        <v>0</v>
      </c>
    </row>
    <row r="70" spans="1:21">
      <c r="A70" s="994">
        <v>64</v>
      </c>
      <c r="B70" s="995" t="s">
        <v>157</v>
      </c>
      <c r="C70" s="1196">
        <f>'[2]ALL-Reformatted'!G69</f>
        <v>0</v>
      </c>
      <c r="D70" s="1003">
        <f>'Table 3 Levels 1&amp;2'!BN72+'Table 3 Levels 1&amp;2'!BV72</f>
        <v>5921.7418933384488</v>
      </c>
      <c r="E70" s="1102">
        <f t="shared" si="28"/>
        <v>0</v>
      </c>
      <c r="F70" s="1102">
        <f t="shared" si="18"/>
        <v>0</v>
      </c>
      <c r="G70" s="1059">
        <f t="shared" si="29"/>
        <v>0</v>
      </c>
      <c r="H70" s="1112">
        <f t="shared" si="19"/>
        <v>0</v>
      </c>
      <c r="I70" s="1059">
        <f t="shared" si="20"/>
        <v>0</v>
      </c>
      <c r="J70" s="1059"/>
      <c r="K70" s="1059">
        <f t="shared" si="21"/>
        <v>0</v>
      </c>
      <c r="L70" s="1059">
        <f t="shared" si="22"/>
        <v>0</v>
      </c>
      <c r="M70" s="1051">
        <f>'[18]FY2012-13 Final'!K71</f>
        <v>2701</v>
      </c>
      <c r="N70" s="1053">
        <f t="shared" si="30"/>
        <v>0</v>
      </c>
      <c r="O70" s="1118">
        <f t="shared" si="23"/>
        <v>0</v>
      </c>
      <c r="P70" s="1053">
        <f t="shared" si="24"/>
        <v>0</v>
      </c>
      <c r="Q70" s="1053"/>
      <c r="R70" s="1053">
        <f t="shared" si="25"/>
        <v>0</v>
      </c>
      <c r="S70" s="1053">
        <f t="shared" si="26"/>
        <v>0</v>
      </c>
      <c r="T70" s="1054">
        <f t="shared" si="27"/>
        <v>0</v>
      </c>
      <c r="U70" s="1054">
        <f t="shared" si="31"/>
        <v>0</v>
      </c>
    </row>
    <row r="71" spans="1:21" ht="12.75" customHeight="1">
      <c r="A71" s="998">
        <v>65</v>
      </c>
      <c r="B71" s="999" t="s">
        <v>158</v>
      </c>
      <c r="C71" s="1197">
        <f>'[2]ALL-Reformatted'!G70</f>
        <v>184</v>
      </c>
      <c r="D71" s="1005">
        <f>'Table 3 Levels 1&amp;2'!BN73+'Table 3 Levels 1&amp;2'!BV73</f>
        <v>4578.9201269671275</v>
      </c>
      <c r="E71" s="1103">
        <f t="shared" ref="E71:E75" si="32">D71*C71</f>
        <v>842521.30336195149</v>
      </c>
      <c r="F71" s="1103">
        <f t="shared" si="18"/>
        <v>131798.37602693602</v>
      </c>
      <c r="G71" s="1060">
        <f t="shared" ref="G71:G75" si="33">E71+F71</f>
        <v>974319.67938888748</v>
      </c>
      <c r="H71" s="1113">
        <f t="shared" si="19"/>
        <v>-2435.7991984722189</v>
      </c>
      <c r="I71" s="1060">
        <f t="shared" si="20"/>
        <v>971883.88019041531</v>
      </c>
      <c r="J71" s="1060">
        <v>0</v>
      </c>
      <c r="K71" s="1060">
        <f t="shared" si="21"/>
        <v>971883.88019041531</v>
      </c>
      <c r="L71" s="1060">
        <f t="shared" si="22"/>
        <v>80990</v>
      </c>
      <c r="M71" s="1056">
        <f>'[18]FY2012-13 Final'!K72</f>
        <v>4813</v>
      </c>
      <c r="N71" s="1057">
        <f t="shared" ref="N71:N75" si="34">M71*C71</f>
        <v>885592</v>
      </c>
      <c r="O71" s="1119">
        <f t="shared" si="23"/>
        <v>-2213.98</v>
      </c>
      <c r="P71" s="1057">
        <f t="shared" si="24"/>
        <v>883378.02</v>
      </c>
      <c r="Q71" s="1057">
        <f>'[27]Adjusted Amounts'!$K$88+'[27]Adjusted Amounts'!$P$88</f>
        <v>0</v>
      </c>
      <c r="R71" s="1057">
        <f t="shared" si="25"/>
        <v>883378.02</v>
      </c>
      <c r="S71" s="1057">
        <f t="shared" si="26"/>
        <v>73615</v>
      </c>
      <c r="T71" s="1058">
        <f t="shared" si="27"/>
        <v>1855261.9001904153</v>
      </c>
      <c r="U71" s="1058">
        <f t="shared" si="31"/>
        <v>154605</v>
      </c>
    </row>
    <row r="72" spans="1:21">
      <c r="A72" s="987">
        <v>66</v>
      </c>
      <c r="B72" s="988" t="s">
        <v>159</v>
      </c>
      <c r="C72" s="1198">
        <f>'[2]ALL-Reformatted'!G71</f>
        <v>0</v>
      </c>
      <c r="D72" s="1007">
        <f>'Table 3 Levels 1&amp;2'!BN74+'Table 3 Levels 1&amp;2'!BV74</f>
        <v>6340.8763293271122</v>
      </c>
      <c r="E72" s="1104">
        <f t="shared" si="32"/>
        <v>0</v>
      </c>
      <c r="F72" s="1104">
        <f t="shared" ref="F72:F75" si="35">C72*$F$4</f>
        <v>0</v>
      </c>
      <c r="G72" s="1061">
        <f t="shared" si="33"/>
        <v>0</v>
      </c>
      <c r="H72" s="1114">
        <f t="shared" ref="H72:H75" si="36">-G72*$H$4</f>
        <v>0</v>
      </c>
      <c r="I72" s="1061">
        <f t="shared" ref="I72:I75" si="37">SUM(G72:H72)</f>
        <v>0</v>
      </c>
      <c r="J72" s="1061"/>
      <c r="K72" s="1061">
        <f t="shared" ref="K72:K75" si="38">SUM(I72:J72)</f>
        <v>0</v>
      </c>
      <c r="L72" s="1061">
        <f t="shared" ref="L72:L75" si="39">ROUND(K72/12,0)</f>
        <v>0</v>
      </c>
      <c r="M72" s="1051">
        <f>'[18]FY2012-13 Final'!K73</f>
        <v>3516</v>
      </c>
      <c r="N72" s="992">
        <f t="shared" si="34"/>
        <v>0</v>
      </c>
      <c r="O72" s="1117">
        <f t="shared" ref="O72:O75" si="40">-N72*$O$4</f>
        <v>0</v>
      </c>
      <c r="P72" s="992">
        <f t="shared" ref="P72:P75" si="41">SUM(N72:O72)</f>
        <v>0</v>
      </c>
      <c r="Q72" s="992"/>
      <c r="R72" s="992">
        <f t="shared" ref="R72:R75" si="42">SUM(P72:Q72)</f>
        <v>0</v>
      </c>
      <c r="S72" s="992">
        <f t="shared" ref="S72:S75" si="43">ROUND(R72/12,0)</f>
        <v>0</v>
      </c>
      <c r="T72" s="993">
        <f t="shared" ref="T72:T75" si="44">K72+R72</f>
        <v>0</v>
      </c>
      <c r="U72" s="993">
        <f t="shared" si="31"/>
        <v>0</v>
      </c>
    </row>
    <row r="73" spans="1:21" ht="12.75" customHeight="1">
      <c r="A73" s="994">
        <v>67</v>
      </c>
      <c r="B73" s="995" t="s">
        <v>32</v>
      </c>
      <c r="C73" s="1196">
        <f>'[2]ALL-Reformatted'!G72</f>
        <v>0</v>
      </c>
      <c r="D73" s="1003">
        <f>'Table 3 Levels 1&amp;2'!BN75+'Table 3 Levels 1&amp;2'!BV75</f>
        <v>4984.1100297034172</v>
      </c>
      <c r="E73" s="1102">
        <f t="shared" si="32"/>
        <v>0</v>
      </c>
      <c r="F73" s="1102">
        <f t="shared" si="35"/>
        <v>0</v>
      </c>
      <c r="G73" s="1059">
        <f t="shared" si="33"/>
        <v>0</v>
      </c>
      <c r="H73" s="1112">
        <f t="shared" si="36"/>
        <v>0</v>
      </c>
      <c r="I73" s="1059">
        <f t="shared" si="37"/>
        <v>0</v>
      </c>
      <c r="J73" s="1059"/>
      <c r="K73" s="1059">
        <f t="shared" si="38"/>
        <v>0</v>
      </c>
      <c r="L73" s="1059">
        <f t="shared" si="39"/>
        <v>0</v>
      </c>
      <c r="M73" s="1051">
        <f>'[18]FY2012-13 Final'!K74</f>
        <v>5052</v>
      </c>
      <c r="N73" s="1053">
        <f t="shared" si="34"/>
        <v>0</v>
      </c>
      <c r="O73" s="1118">
        <f t="shared" si="40"/>
        <v>0</v>
      </c>
      <c r="P73" s="1053">
        <f t="shared" si="41"/>
        <v>0</v>
      </c>
      <c r="Q73" s="1053"/>
      <c r="R73" s="1053">
        <f t="shared" si="42"/>
        <v>0</v>
      </c>
      <c r="S73" s="1053">
        <f t="shared" si="43"/>
        <v>0</v>
      </c>
      <c r="T73" s="1054">
        <f t="shared" si="44"/>
        <v>0</v>
      </c>
      <c r="U73" s="1054">
        <f t="shared" si="31"/>
        <v>0</v>
      </c>
    </row>
    <row r="74" spans="1:21">
      <c r="A74" s="994">
        <v>68</v>
      </c>
      <c r="B74" s="995" t="s">
        <v>30</v>
      </c>
      <c r="C74" s="1196">
        <f>'[2]ALL-Reformatted'!G73</f>
        <v>0</v>
      </c>
      <c r="D74" s="1003">
        <f>'Table 3 Levels 1&amp;2'!BN76+'Table 3 Levels 1&amp;2'!BV76</f>
        <v>6012.7854305239725</v>
      </c>
      <c r="E74" s="1102">
        <f t="shared" si="32"/>
        <v>0</v>
      </c>
      <c r="F74" s="1102">
        <f t="shared" si="35"/>
        <v>0</v>
      </c>
      <c r="G74" s="1059">
        <f t="shared" si="33"/>
        <v>0</v>
      </c>
      <c r="H74" s="1112">
        <f t="shared" si="36"/>
        <v>0</v>
      </c>
      <c r="I74" s="1059">
        <f t="shared" si="37"/>
        <v>0</v>
      </c>
      <c r="J74" s="1059"/>
      <c r="K74" s="1059">
        <f t="shared" si="38"/>
        <v>0</v>
      </c>
      <c r="L74" s="1059">
        <f t="shared" si="39"/>
        <v>0</v>
      </c>
      <c r="M74" s="1051">
        <f>'[18]FY2012-13 Final'!K75</f>
        <v>2763</v>
      </c>
      <c r="N74" s="1053">
        <f t="shared" si="34"/>
        <v>0</v>
      </c>
      <c r="O74" s="1118">
        <f t="shared" si="40"/>
        <v>0</v>
      </c>
      <c r="P74" s="1053">
        <f t="shared" si="41"/>
        <v>0</v>
      </c>
      <c r="Q74" s="1053"/>
      <c r="R74" s="1053">
        <f t="shared" si="42"/>
        <v>0</v>
      </c>
      <c r="S74" s="1053">
        <f t="shared" si="43"/>
        <v>0</v>
      </c>
      <c r="T74" s="1054">
        <f t="shared" si="44"/>
        <v>0</v>
      </c>
      <c r="U74" s="1054">
        <f t="shared" si="31"/>
        <v>0</v>
      </c>
    </row>
    <row r="75" spans="1:21" ht="12.75" customHeight="1">
      <c r="A75" s="1008">
        <v>69</v>
      </c>
      <c r="B75" s="1009" t="s">
        <v>213</v>
      </c>
      <c r="C75" s="1199">
        <f>'[2]ALL-Reformatted'!G74</f>
        <v>0</v>
      </c>
      <c r="D75" s="1011">
        <f>'Table 3 Levels 1&amp;2'!BN77+'Table 3 Levels 1&amp;2'!BV77</f>
        <v>5559.7139008686299</v>
      </c>
      <c r="E75" s="1105">
        <f t="shared" si="32"/>
        <v>0</v>
      </c>
      <c r="F75" s="1105">
        <f t="shared" si="35"/>
        <v>0</v>
      </c>
      <c r="G75" s="1062">
        <f t="shared" si="33"/>
        <v>0</v>
      </c>
      <c r="H75" s="1115">
        <f t="shared" si="36"/>
        <v>0</v>
      </c>
      <c r="I75" s="1062">
        <f t="shared" si="37"/>
        <v>0</v>
      </c>
      <c r="J75" s="1062"/>
      <c r="K75" s="1062">
        <f t="shared" si="38"/>
        <v>0</v>
      </c>
      <c r="L75" s="1062">
        <f t="shared" si="39"/>
        <v>0</v>
      </c>
      <c r="M75" s="1051">
        <f>'[18]FY2012-13 Final'!K76</f>
        <v>3327</v>
      </c>
      <c r="N75" s="1063">
        <f t="shared" si="34"/>
        <v>0</v>
      </c>
      <c r="O75" s="1120">
        <f t="shared" si="40"/>
        <v>0</v>
      </c>
      <c r="P75" s="1063">
        <f t="shared" si="41"/>
        <v>0</v>
      </c>
      <c r="Q75" s="1063"/>
      <c r="R75" s="1063">
        <f t="shared" si="42"/>
        <v>0</v>
      </c>
      <c r="S75" s="1063">
        <f t="shared" si="43"/>
        <v>0</v>
      </c>
      <c r="T75" s="1064">
        <f t="shared" si="44"/>
        <v>0</v>
      </c>
      <c r="U75" s="1064">
        <f t="shared" si="31"/>
        <v>0</v>
      </c>
    </row>
    <row r="76" spans="1:21" s="1019" customFormat="1" ht="13.5" thickBot="1">
      <c r="A76" s="1012"/>
      <c r="B76" s="1013" t="s">
        <v>160</v>
      </c>
      <c r="C76" s="1014">
        <f>SUM(C7:C75)</f>
        <v>319</v>
      </c>
      <c r="D76" s="1015"/>
      <c r="E76" s="1106">
        <f>SUM(E7:E75)</f>
        <v>1584833.5785766179</v>
      </c>
      <c r="F76" s="1106">
        <f>SUM(F7:F75)</f>
        <v>228498.27148148144</v>
      </c>
      <c r="G76" s="1016">
        <f>SUM(G7:G75)</f>
        <v>1813331.8500580993</v>
      </c>
      <c r="H76" s="1116">
        <f t="shared" ref="H76:J76" si="45">SUM(H7:H75)</f>
        <v>-4533.3296251452484</v>
      </c>
      <c r="I76" s="1016">
        <f t="shared" si="45"/>
        <v>1808798.5204329542</v>
      </c>
      <c r="J76" s="1016">
        <f t="shared" si="45"/>
        <v>0</v>
      </c>
      <c r="K76" s="1016">
        <f>SUM(K7:K75)</f>
        <v>1808798.5204329542</v>
      </c>
      <c r="L76" s="1016">
        <f>SUM(L7:L75)</f>
        <v>150733</v>
      </c>
      <c r="M76" s="1065"/>
      <c r="N76" s="1017">
        <f>SUM(N7:N75)</f>
        <v>1298504</v>
      </c>
      <c r="O76" s="1121">
        <f t="shared" ref="O76" si="46">SUM(O7:O75)</f>
        <v>-3246.26</v>
      </c>
      <c r="P76" s="1017">
        <f t="shared" ref="P76:U76" si="47">SUM(P7:P75)</f>
        <v>1295257.74</v>
      </c>
      <c r="Q76" s="1017">
        <f t="shared" si="47"/>
        <v>0</v>
      </c>
      <c r="R76" s="1017">
        <f t="shared" si="47"/>
        <v>1295257.74</v>
      </c>
      <c r="S76" s="1017">
        <f t="shared" si="47"/>
        <v>107939</v>
      </c>
      <c r="T76" s="1018">
        <f t="shared" si="47"/>
        <v>3104056.2604329539</v>
      </c>
      <c r="U76" s="1018">
        <f t="shared" si="47"/>
        <v>258672</v>
      </c>
    </row>
    <row r="77" spans="1:21" s="1019" customFormat="1" ht="13.5" customHeight="1" thickTop="1">
      <c r="A77" s="1020"/>
      <c r="B77" s="1020"/>
      <c r="C77" s="1021"/>
      <c r="D77" s="1021"/>
      <c r="M77" s="1023"/>
      <c r="N77" s="1023"/>
      <c r="O77" s="1023"/>
      <c r="P77" s="1023"/>
      <c r="Q77" s="1023"/>
      <c r="R77" s="1023"/>
      <c r="S77" s="1023"/>
    </row>
    <row r="78" spans="1:21" ht="12.75" customHeight="1">
      <c r="A78" s="1025"/>
      <c r="C78" s="1026"/>
    </row>
    <row r="79" spans="1:21" ht="12.75" hidden="1" customHeight="1"/>
    <row r="80" spans="1:21" ht="12.75" hidden="1" customHeight="1"/>
    <row r="81" spans="3:12" ht="12.75" hidden="1" customHeight="1"/>
    <row r="82" spans="3:12" ht="12.75" hidden="1" customHeight="1"/>
    <row r="83" spans="3:12" ht="12.75" hidden="1" customHeight="1">
      <c r="E83" s="1027" t="s">
        <v>373</v>
      </c>
      <c r="F83" s="1027"/>
      <c r="G83" s="1027"/>
      <c r="H83" s="1027"/>
      <c r="I83" s="1027"/>
      <c r="J83" s="1027"/>
      <c r="K83" s="1027"/>
      <c r="L83" s="1027"/>
    </row>
    <row r="84" spans="3:12" ht="10.5" hidden="1" customHeight="1"/>
    <row r="85" spans="3:12" ht="12.75" hidden="1" customHeight="1"/>
    <row r="86" spans="3:12" ht="12.75" hidden="1" customHeight="1">
      <c r="C86" s="1029">
        <v>85661</v>
      </c>
      <c r="D86" s="1030" t="s">
        <v>374</v>
      </c>
    </row>
    <row r="87" spans="3:12" ht="12.75" hidden="1" customHeight="1">
      <c r="C87" s="1029">
        <v>650290</v>
      </c>
      <c r="D87" s="1030" t="s">
        <v>375</v>
      </c>
    </row>
    <row r="88" spans="3:12" ht="12.75" hidden="1" customHeight="1">
      <c r="C88" s="1031">
        <f>C86/C87</f>
        <v>0.13172738316750987</v>
      </c>
      <c r="D88" s="1030" t="s">
        <v>376</v>
      </c>
    </row>
    <row r="89" spans="3:12" ht="12.75" hidden="1" customHeight="1">
      <c r="C89" s="1029"/>
      <c r="D89" s="1030"/>
    </row>
    <row r="90" spans="3:12" ht="12.75" hidden="1" customHeight="1">
      <c r="C90" s="1029">
        <v>128510</v>
      </c>
      <c r="D90" s="1030" t="s">
        <v>377</v>
      </c>
    </row>
    <row r="91" spans="3:12" ht="12.75" hidden="1" customHeight="1">
      <c r="C91" s="1029">
        <v>911320</v>
      </c>
      <c r="D91" s="1030" t="s">
        <v>378</v>
      </c>
    </row>
    <row r="92" spans="3:12" ht="12.75" hidden="1" customHeight="1">
      <c r="C92" s="1031">
        <f>C90/C91</f>
        <v>0.14101523065443533</v>
      </c>
      <c r="D92" s="1030" t="s">
        <v>379</v>
      </c>
    </row>
    <row r="93" spans="3:12" ht="12.75" hidden="1" customHeight="1">
      <c r="C93" s="1029"/>
      <c r="D93" s="1030"/>
    </row>
    <row r="94" spans="3:12" ht="12.75" hidden="1" customHeight="1">
      <c r="C94" s="1032">
        <v>2663489616</v>
      </c>
      <c r="D94" s="1033" t="s">
        <v>380</v>
      </c>
    </row>
    <row r="95" spans="3:12" ht="12.75" hidden="1" customHeight="1">
      <c r="C95" s="1034">
        <f>C92</f>
        <v>0.14101523065443533</v>
      </c>
      <c r="D95" s="1033"/>
    </row>
    <row r="96" spans="3:12" ht="12.75" hidden="1" customHeight="1">
      <c r="C96" s="1035">
        <f>C94*C95</f>
        <v>375592602.54593337</v>
      </c>
      <c r="D96" s="1030" t="s">
        <v>381</v>
      </c>
    </row>
    <row r="97" spans="3:4" ht="12.75" hidden="1" customHeight="1">
      <c r="C97" s="1036">
        <f>50%/C92</f>
        <v>3.5457162866702978</v>
      </c>
      <c r="D97" s="1033" t="s">
        <v>382</v>
      </c>
    </row>
    <row r="98" spans="3:4" ht="12.75" hidden="1" customHeight="1">
      <c r="C98" s="1035">
        <f>C96*C97</f>
        <v>1331744808</v>
      </c>
      <c r="D98" s="1037" t="s">
        <v>383</v>
      </c>
    </row>
    <row r="99" spans="3:4" ht="12.75" hidden="1" customHeight="1">
      <c r="C99" s="1038">
        <f>C87</f>
        <v>650290</v>
      </c>
      <c r="D99" s="1033" t="s">
        <v>384</v>
      </c>
    </row>
    <row r="100" spans="3:4" ht="12.75" hidden="1" customHeight="1">
      <c r="C100" s="1035">
        <f>C98/C99</f>
        <v>2047.9244767719017</v>
      </c>
      <c r="D100" s="1033" t="s">
        <v>385</v>
      </c>
    </row>
    <row r="101" spans="3:4" ht="12.75" hidden="1" customHeight="1">
      <c r="C101" s="1039">
        <f>(C96/C99)*-1</f>
        <v>-577.57708490970697</v>
      </c>
      <c r="D101" s="1033" t="s">
        <v>386</v>
      </c>
    </row>
    <row r="102" spans="3:4" ht="12.75" hidden="1" customHeight="1">
      <c r="C102" s="1040">
        <f>SUM(C100:C101)</f>
        <v>1470.3473918621949</v>
      </c>
      <c r="D102" s="1033" t="s">
        <v>387</v>
      </c>
    </row>
    <row r="103" spans="3:4" ht="12.75" hidden="1" customHeight="1">
      <c r="C103" s="1040"/>
      <c r="D103" s="1033"/>
    </row>
    <row r="104" spans="3:4" ht="12.75" hidden="1" customHeight="1">
      <c r="C104" s="1040"/>
      <c r="D104" s="1033"/>
    </row>
    <row r="105" spans="3:4" ht="12.75" hidden="1" customHeight="1">
      <c r="D105" s="1033"/>
    </row>
    <row r="106" spans="3:4" ht="12.75" hidden="1" customHeight="1"/>
  </sheetData>
  <mergeCells count="15">
    <mergeCell ref="A2:B4"/>
    <mergeCell ref="C2:L2"/>
    <mergeCell ref="T2:T4"/>
    <mergeCell ref="G3:G4"/>
    <mergeCell ref="I3:I4"/>
    <mergeCell ref="M2:S2"/>
    <mergeCell ref="U2:U4"/>
    <mergeCell ref="C3:C4"/>
    <mergeCell ref="D3:D4"/>
    <mergeCell ref="E3:E4"/>
    <mergeCell ref="L3:L4"/>
    <mergeCell ref="J3:J4"/>
    <mergeCell ref="K3:K4"/>
    <mergeCell ref="Q3:Q4"/>
    <mergeCell ref="R3:R4"/>
  </mergeCells>
  <printOptions horizontalCentered="1"/>
  <pageMargins left="0.27" right="0.25" top="0.87" bottom="0.2" header="0.25" footer="0.2"/>
  <pageSetup paperSize="5" scale="64" firstPageNumber="96" fitToWidth="3" orientation="portrait" useFirstPageNumber="1" r:id="rId1"/>
  <headerFooter alignWithMargins="0">
    <oddHeader xml:space="preserve">&amp;L&amp;"Arial,Bold"&amp;16Table 5D-1:  FY2013-14 MFP Budget Letter (Projection)&amp;"Arial,Regular"&amp;10
&amp;"Arial,Bold"&amp;14Legacy Type 2 Charters &amp;R&amp;"Arial,Bold"&amp;12&amp;KFF0000
</oddHeader>
    <oddFooter>&amp;R&amp;P</oddFooter>
  </headerFooter>
  <colBreaks count="1" manualBreakCount="1">
    <brk id="12" min="1" max="78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U106"/>
  <sheetViews>
    <sheetView view="pageBreakPreview" zoomScaleNormal="100" zoomScaleSheetLayoutView="100" workbookViewId="0">
      <pane xSplit="2" ySplit="6" topLeftCell="C7" activePane="bottomRight" state="frozen"/>
      <selection activeCell="A2" sqref="A2:B4"/>
      <selection pane="topRight" activeCell="A2" sqref="A2:B4"/>
      <selection pane="bottomLeft" activeCell="A2" sqref="A2:B4"/>
      <selection pane="bottomRight" activeCell="A2" sqref="A2:B4"/>
    </sheetView>
  </sheetViews>
  <sheetFormatPr defaultColWidth="12.5703125" defaultRowHeight="12.75"/>
  <cols>
    <col min="1" max="1" width="3.85546875" style="971" customWidth="1"/>
    <col min="2" max="2" width="23.7109375" style="971" customWidth="1"/>
    <col min="3" max="3" width="11.85546875" style="974" customWidth="1"/>
    <col min="4" max="4" width="15.28515625" style="974" customWidth="1"/>
    <col min="5" max="5" width="11" style="974" customWidth="1"/>
    <col min="6" max="6" width="12.5703125" style="974" bestFit="1" customWidth="1"/>
    <col min="7" max="7" width="11.85546875" style="974" customWidth="1"/>
    <col min="8" max="8" width="11.7109375" style="974" bestFit="1" customWidth="1"/>
    <col min="9" max="9" width="12.28515625" style="974" customWidth="1"/>
    <col min="10" max="10" width="13.7109375" style="974" customWidth="1"/>
    <col min="11" max="11" width="12.28515625" style="974" customWidth="1"/>
    <col min="12" max="12" width="11.5703125" style="974" customWidth="1"/>
    <col min="13" max="13" width="17.7109375" style="1049" customWidth="1"/>
    <col min="14" max="14" width="13.7109375" style="974" bestFit="1" customWidth="1"/>
    <col min="15" max="18" width="13.7109375" style="974" customWidth="1"/>
    <col min="19" max="19" width="10.85546875" style="974" bestFit="1" customWidth="1"/>
    <col min="20" max="21" width="12.5703125" style="971" customWidth="1"/>
    <col min="22" max="16384" width="12.5703125" style="971"/>
  </cols>
  <sheetData>
    <row r="1" spans="1:21" ht="9" customHeight="1">
      <c r="B1" s="972"/>
      <c r="C1" s="973"/>
      <c r="D1" s="973"/>
    </row>
    <row r="2" spans="1:21" s="976" customFormat="1" ht="37.5" customHeight="1">
      <c r="A2" s="2000" t="s">
        <v>486</v>
      </c>
      <c r="B2" s="2001"/>
      <c r="C2" s="2065" t="s">
        <v>483</v>
      </c>
      <c r="D2" s="2017"/>
      <c r="E2" s="2017"/>
      <c r="F2" s="2017"/>
      <c r="G2" s="2017"/>
      <c r="H2" s="2017"/>
      <c r="I2" s="2017"/>
      <c r="J2" s="2017"/>
      <c r="K2" s="2017"/>
      <c r="L2" s="2018"/>
      <c r="M2" s="1992" t="s">
        <v>1357</v>
      </c>
      <c r="N2" s="1993"/>
      <c r="O2" s="1993"/>
      <c r="P2" s="1993"/>
      <c r="Q2" s="1993"/>
      <c r="R2" s="1993"/>
      <c r="S2" s="1994"/>
      <c r="T2" s="1995" t="s">
        <v>1412</v>
      </c>
      <c r="U2" s="1995" t="s">
        <v>1355</v>
      </c>
    </row>
    <row r="3" spans="1:21" ht="106.5" customHeight="1">
      <c r="A3" s="2002"/>
      <c r="B3" s="2003"/>
      <c r="C3" s="2109" t="s">
        <v>1178</v>
      </c>
      <c r="D3" s="2008" t="s">
        <v>1393</v>
      </c>
      <c r="E3" s="2008" t="s">
        <v>1377</v>
      </c>
      <c r="F3" s="977" t="s">
        <v>492</v>
      </c>
      <c r="G3" s="2006" t="s">
        <v>1378</v>
      </c>
      <c r="H3" s="1096" t="s">
        <v>510</v>
      </c>
      <c r="I3" s="2006" t="s">
        <v>1379</v>
      </c>
      <c r="J3" s="2006" t="s">
        <v>1230</v>
      </c>
      <c r="K3" s="2006" t="s">
        <v>1380</v>
      </c>
      <c r="L3" s="2008" t="s">
        <v>1356</v>
      </c>
      <c r="M3" s="2009" t="s">
        <v>692</v>
      </c>
      <c r="N3" s="2019" t="s">
        <v>1382</v>
      </c>
      <c r="O3" s="1098" t="s">
        <v>512</v>
      </c>
      <c r="P3" s="1743" t="s">
        <v>1383</v>
      </c>
      <c r="Q3" s="2019" t="s">
        <v>1230</v>
      </c>
      <c r="R3" s="2019" t="s">
        <v>1384</v>
      </c>
      <c r="S3" s="2019" t="s">
        <v>1385</v>
      </c>
      <c r="T3" s="1996"/>
      <c r="U3" s="1996"/>
    </row>
    <row r="4" spans="1:21" ht="33.75" customHeight="1">
      <c r="A4" s="2004"/>
      <c r="B4" s="2005"/>
      <c r="C4" s="2110"/>
      <c r="D4" s="2008"/>
      <c r="E4" s="2008"/>
      <c r="F4" s="1067">
        <v>598.40363440561384</v>
      </c>
      <c r="G4" s="2007"/>
      <c r="H4" s="1107">
        <v>2.5000000000000001E-3</v>
      </c>
      <c r="I4" s="2007"/>
      <c r="J4" s="2007"/>
      <c r="K4" s="2007"/>
      <c r="L4" s="2008"/>
      <c r="M4" s="2010"/>
      <c r="N4" s="1999"/>
      <c r="O4" s="1108">
        <v>2.5000000000000001E-3</v>
      </c>
      <c r="P4" s="1097"/>
      <c r="Q4" s="1999"/>
      <c r="R4" s="1999"/>
      <c r="S4" s="1999"/>
      <c r="T4" s="1997"/>
      <c r="U4" s="1997"/>
    </row>
    <row r="5" spans="1:21" s="981" customFormat="1" ht="14.25" customHeight="1">
      <c r="A5" s="978"/>
      <c r="B5" s="979"/>
      <c r="C5" s="980">
        <v>1</v>
      </c>
      <c r="D5" s="980">
        <f t="shared" ref="D5:N5" si="0">C5+1</f>
        <v>2</v>
      </c>
      <c r="E5" s="980">
        <f>D5+1</f>
        <v>3</v>
      </c>
      <c r="F5" s="980">
        <f t="shared" ref="F5:G5" si="1">E5+1</f>
        <v>4</v>
      </c>
      <c r="G5" s="980">
        <f t="shared" si="1"/>
        <v>5</v>
      </c>
      <c r="H5" s="980">
        <f t="shared" ref="H5" si="2">G5+1</f>
        <v>6</v>
      </c>
      <c r="I5" s="980">
        <f t="shared" ref="I5" si="3">H5+1</f>
        <v>7</v>
      </c>
      <c r="J5" s="980">
        <f t="shared" ref="J5" si="4">I5+1</f>
        <v>8</v>
      </c>
      <c r="K5" s="980">
        <f t="shared" ref="K5" si="5">J5+1</f>
        <v>9</v>
      </c>
      <c r="L5" s="980">
        <f t="shared" ref="L5" si="6">K5+1</f>
        <v>10</v>
      </c>
      <c r="M5" s="980">
        <f t="shared" si="0"/>
        <v>11</v>
      </c>
      <c r="N5" s="980">
        <f t="shared" si="0"/>
        <v>12</v>
      </c>
      <c r="O5" s="980">
        <f t="shared" ref="O5" si="7">N5+1</f>
        <v>13</v>
      </c>
      <c r="P5" s="980">
        <f t="shared" ref="P5" si="8">O5+1</f>
        <v>14</v>
      </c>
      <c r="Q5" s="980">
        <f t="shared" ref="Q5" si="9">P5+1</f>
        <v>15</v>
      </c>
      <c r="R5" s="980">
        <f t="shared" ref="R5" si="10">Q5+1</f>
        <v>16</v>
      </c>
      <c r="S5" s="980">
        <f t="shared" ref="S5" si="11">R5+1</f>
        <v>17</v>
      </c>
      <c r="T5" s="980">
        <f t="shared" ref="T5" si="12">S5+1</f>
        <v>18</v>
      </c>
      <c r="U5" s="980">
        <f t="shared" ref="U5" si="13">T5+1</f>
        <v>19</v>
      </c>
    </row>
    <row r="6" spans="1:21" s="986" customFormat="1" ht="27" customHeight="1">
      <c r="A6" s="982"/>
      <c r="B6" s="983"/>
      <c r="C6" s="984" t="s">
        <v>441</v>
      </c>
      <c r="D6" s="985" t="s">
        <v>363</v>
      </c>
      <c r="E6" s="984" t="s">
        <v>532</v>
      </c>
      <c r="F6" s="985" t="s">
        <v>494</v>
      </c>
      <c r="G6" s="984" t="s">
        <v>493</v>
      </c>
      <c r="H6" s="984" t="s">
        <v>511</v>
      </c>
      <c r="I6" s="984" t="s">
        <v>513</v>
      </c>
      <c r="J6" s="984"/>
      <c r="K6" s="984" t="s">
        <v>642</v>
      </c>
      <c r="L6" s="984" t="s">
        <v>537</v>
      </c>
      <c r="M6" s="1050" t="s">
        <v>363</v>
      </c>
      <c r="N6" s="1044" t="s">
        <v>538</v>
      </c>
      <c r="O6" s="1044" t="s">
        <v>643</v>
      </c>
      <c r="P6" s="1044" t="s">
        <v>640</v>
      </c>
      <c r="Q6" s="985"/>
      <c r="R6" s="1044" t="s">
        <v>641</v>
      </c>
      <c r="S6" s="1044" t="s">
        <v>540</v>
      </c>
      <c r="T6" s="1044" t="s">
        <v>541</v>
      </c>
      <c r="U6" s="1044" t="s">
        <v>542</v>
      </c>
    </row>
    <row r="7" spans="1:21">
      <c r="A7" s="987">
        <v>1</v>
      </c>
      <c r="B7" s="988" t="s">
        <v>95</v>
      </c>
      <c r="C7" s="989">
        <f>'[2]ALL-Reformatted'!H6</f>
        <v>0</v>
      </c>
      <c r="D7" s="990">
        <f>'Table 3 Levels 1&amp;2'!BN9+'Table 3 Levels 1&amp;2'!BV9</f>
        <v>4565.2108060165392</v>
      </c>
      <c r="E7" s="1099">
        <f t="shared" ref="E7:E38" si="14">D7*C7</f>
        <v>0</v>
      </c>
      <c r="F7" s="1099">
        <f>C7*$F$4</f>
        <v>0</v>
      </c>
      <c r="G7" s="991">
        <f t="shared" ref="G7:G38" si="15">E7+F7</f>
        <v>0</v>
      </c>
      <c r="H7" s="1109">
        <f>-G7*$H$4</f>
        <v>0</v>
      </c>
      <c r="I7" s="991">
        <f>SUM(G7:H7)</f>
        <v>0</v>
      </c>
      <c r="J7" s="991"/>
      <c r="K7" s="991">
        <f>SUM(I7:J7)</f>
        <v>0</v>
      </c>
      <c r="L7" s="991">
        <f>ROUND(K7/12,0)</f>
        <v>0</v>
      </c>
      <c r="M7" s="1051">
        <f>'[18]FY2012-13 Final'!K8</f>
        <v>2112</v>
      </c>
      <c r="N7" s="992">
        <f t="shared" ref="N7:N38" si="16">M7*C7</f>
        <v>0</v>
      </c>
      <c r="O7" s="1117">
        <f>-N7*$O$4</f>
        <v>0</v>
      </c>
      <c r="P7" s="992">
        <f>SUM(N7:O7)</f>
        <v>0</v>
      </c>
      <c r="Q7" s="992"/>
      <c r="R7" s="992">
        <f>SUM(P7:Q7)</f>
        <v>0</v>
      </c>
      <c r="S7" s="992">
        <f>ROUND(R7/12,0)</f>
        <v>0</v>
      </c>
      <c r="T7" s="993">
        <f>K7+R7</f>
        <v>0</v>
      </c>
      <c r="U7" s="993">
        <f>L7+S7</f>
        <v>0</v>
      </c>
    </row>
    <row r="8" spans="1:21">
      <c r="A8" s="994">
        <v>2</v>
      </c>
      <c r="B8" s="995" t="s">
        <v>96</v>
      </c>
      <c r="C8" s="996">
        <f>'[2]ALL-Reformatted'!H7</f>
        <v>0</v>
      </c>
      <c r="D8" s="997">
        <f>'Table 3 Levels 1&amp;2'!BN10+'Table 3 Levels 1&amp;2'!BV10</f>
        <v>6132.0480322513831</v>
      </c>
      <c r="E8" s="1100">
        <f t="shared" si="14"/>
        <v>0</v>
      </c>
      <c r="F8" s="1100">
        <f t="shared" ref="F8:F71" si="17">C8*$F$4</f>
        <v>0</v>
      </c>
      <c r="G8" s="1052">
        <f t="shared" si="15"/>
        <v>0</v>
      </c>
      <c r="H8" s="1110">
        <f t="shared" ref="H8:H71" si="18">-G8*$H$4</f>
        <v>0</v>
      </c>
      <c r="I8" s="1052">
        <f t="shared" ref="I8:I71" si="19">SUM(G8:H8)</f>
        <v>0</v>
      </c>
      <c r="J8" s="1052"/>
      <c r="K8" s="1052">
        <f t="shared" ref="K8:K71" si="20">SUM(I8:J8)</f>
        <v>0</v>
      </c>
      <c r="L8" s="1052">
        <f t="shared" ref="L8:L71" si="21">ROUND(K8/12,0)</f>
        <v>0</v>
      </c>
      <c r="M8" s="1051">
        <f>'[18]FY2012-13 Final'!K9</f>
        <v>2584</v>
      </c>
      <c r="N8" s="1053">
        <f t="shared" si="16"/>
        <v>0</v>
      </c>
      <c r="O8" s="1118">
        <f t="shared" ref="O8:O71" si="22">-N8*$O$4</f>
        <v>0</v>
      </c>
      <c r="P8" s="1053">
        <f t="shared" ref="P8:P71" si="23">SUM(N8:O8)</f>
        <v>0</v>
      </c>
      <c r="Q8" s="1053"/>
      <c r="R8" s="1053">
        <f t="shared" ref="R8:R71" si="24">SUM(P8:Q8)</f>
        <v>0</v>
      </c>
      <c r="S8" s="1053">
        <f t="shared" ref="S8:S71" si="25">ROUND(R8/12,0)</f>
        <v>0</v>
      </c>
      <c r="T8" s="1054">
        <f t="shared" ref="T8:T71" si="26">K8+R8</f>
        <v>0</v>
      </c>
      <c r="U8" s="1054">
        <f t="shared" ref="U8:U70" si="27">L8+S8</f>
        <v>0</v>
      </c>
    </row>
    <row r="9" spans="1:21" ht="12.75" customHeight="1">
      <c r="A9" s="994">
        <v>3</v>
      </c>
      <c r="B9" s="995" t="s">
        <v>97</v>
      </c>
      <c r="C9" s="996">
        <f>'[2]ALL-Reformatted'!H8</f>
        <v>0</v>
      </c>
      <c r="D9" s="997">
        <f>'Table 3 Levels 1&amp;2'!BN11+'Table 3 Levels 1&amp;2'!BV11</f>
        <v>4186.9626187036429</v>
      </c>
      <c r="E9" s="1100">
        <f t="shared" si="14"/>
        <v>0</v>
      </c>
      <c r="F9" s="1100">
        <f t="shared" si="17"/>
        <v>0</v>
      </c>
      <c r="G9" s="1052">
        <f t="shared" si="15"/>
        <v>0</v>
      </c>
      <c r="H9" s="1110">
        <f t="shared" si="18"/>
        <v>0</v>
      </c>
      <c r="I9" s="1052">
        <f t="shared" si="19"/>
        <v>0</v>
      </c>
      <c r="J9" s="1052"/>
      <c r="K9" s="1052">
        <f t="shared" si="20"/>
        <v>0</v>
      </c>
      <c r="L9" s="1052">
        <f t="shared" si="21"/>
        <v>0</v>
      </c>
      <c r="M9" s="1051">
        <f>'[18]FY2012-13 Final'!K10</f>
        <v>4966</v>
      </c>
      <c r="N9" s="1053">
        <f t="shared" si="16"/>
        <v>0</v>
      </c>
      <c r="O9" s="1118">
        <f t="shared" si="22"/>
        <v>0</v>
      </c>
      <c r="P9" s="1053">
        <f t="shared" si="23"/>
        <v>0</v>
      </c>
      <c r="Q9" s="1053"/>
      <c r="R9" s="1053">
        <f t="shared" si="24"/>
        <v>0</v>
      </c>
      <c r="S9" s="1053">
        <f t="shared" si="25"/>
        <v>0</v>
      </c>
      <c r="T9" s="1054">
        <f t="shared" si="26"/>
        <v>0</v>
      </c>
      <c r="U9" s="1054">
        <f t="shared" si="27"/>
        <v>0</v>
      </c>
    </row>
    <row r="10" spans="1:21" ht="12.75" customHeight="1">
      <c r="A10" s="994">
        <v>4</v>
      </c>
      <c r="B10" s="995" t="s">
        <v>98</v>
      </c>
      <c r="C10" s="996">
        <f>'[2]ALL-Reformatted'!H9</f>
        <v>0</v>
      </c>
      <c r="D10" s="997">
        <f>'Table 3 Levels 1&amp;2'!BN12+'Table 3 Levels 1&amp;2'!BV12</f>
        <v>5918.8798759182582</v>
      </c>
      <c r="E10" s="1100">
        <f t="shared" si="14"/>
        <v>0</v>
      </c>
      <c r="F10" s="1100">
        <f t="shared" si="17"/>
        <v>0</v>
      </c>
      <c r="G10" s="1052">
        <f t="shared" si="15"/>
        <v>0</v>
      </c>
      <c r="H10" s="1110">
        <f t="shared" si="18"/>
        <v>0</v>
      </c>
      <c r="I10" s="1052">
        <f t="shared" si="19"/>
        <v>0</v>
      </c>
      <c r="J10" s="1052"/>
      <c r="K10" s="1052">
        <f t="shared" si="20"/>
        <v>0</v>
      </c>
      <c r="L10" s="1052">
        <f t="shared" si="21"/>
        <v>0</v>
      </c>
      <c r="M10" s="1051">
        <f>'[18]FY2012-13 Final'!K11</f>
        <v>3445</v>
      </c>
      <c r="N10" s="1053">
        <f t="shared" si="16"/>
        <v>0</v>
      </c>
      <c r="O10" s="1118">
        <f t="shared" si="22"/>
        <v>0</v>
      </c>
      <c r="P10" s="1053">
        <f t="shared" si="23"/>
        <v>0</v>
      </c>
      <c r="Q10" s="1053"/>
      <c r="R10" s="1053">
        <f t="shared" si="24"/>
        <v>0</v>
      </c>
      <c r="S10" s="1053">
        <f t="shared" si="25"/>
        <v>0</v>
      </c>
      <c r="T10" s="1054">
        <f t="shared" si="26"/>
        <v>0</v>
      </c>
      <c r="U10" s="1054">
        <f t="shared" si="27"/>
        <v>0</v>
      </c>
    </row>
    <row r="11" spans="1:21">
      <c r="A11" s="998">
        <v>5</v>
      </c>
      <c r="B11" s="999" t="s">
        <v>99</v>
      </c>
      <c r="C11" s="1000">
        <f>'[2]ALL-Reformatted'!H10</f>
        <v>0</v>
      </c>
      <c r="D11" s="1001">
        <f>'Table 3 Levels 1&amp;2'!BN13+'Table 3 Levels 1&amp;2'!BV13</f>
        <v>4880.3484353147733</v>
      </c>
      <c r="E11" s="1101">
        <f t="shared" si="14"/>
        <v>0</v>
      </c>
      <c r="F11" s="1101">
        <f t="shared" si="17"/>
        <v>0</v>
      </c>
      <c r="G11" s="1055">
        <f t="shared" si="15"/>
        <v>0</v>
      </c>
      <c r="H11" s="1111">
        <f t="shared" si="18"/>
        <v>0</v>
      </c>
      <c r="I11" s="1055">
        <f t="shared" si="19"/>
        <v>0</v>
      </c>
      <c r="J11" s="1055"/>
      <c r="K11" s="1055">
        <f t="shared" si="20"/>
        <v>0</v>
      </c>
      <c r="L11" s="1055">
        <f t="shared" si="21"/>
        <v>0</v>
      </c>
      <c r="M11" s="1056">
        <f>'[18]FY2012-13 Final'!K12</f>
        <v>1353</v>
      </c>
      <c r="N11" s="1057">
        <f t="shared" si="16"/>
        <v>0</v>
      </c>
      <c r="O11" s="1119">
        <f t="shared" si="22"/>
        <v>0</v>
      </c>
      <c r="P11" s="1057">
        <f t="shared" si="23"/>
        <v>0</v>
      </c>
      <c r="Q11" s="1057"/>
      <c r="R11" s="1057">
        <f t="shared" si="24"/>
        <v>0</v>
      </c>
      <c r="S11" s="1057">
        <f t="shared" si="25"/>
        <v>0</v>
      </c>
      <c r="T11" s="1058">
        <f t="shared" si="26"/>
        <v>0</v>
      </c>
      <c r="U11" s="1058">
        <f t="shared" si="27"/>
        <v>0</v>
      </c>
    </row>
    <row r="12" spans="1:21" ht="12.75" customHeight="1">
      <c r="A12" s="987">
        <v>6</v>
      </c>
      <c r="B12" s="988" t="s">
        <v>100</v>
      </c>
      <c r="C12" s="989">
        <f>'[2]ALL-Reformatted'!H11</f>
        <v>0</v>
      </c>
      <c r="D12" s="990">
        <f>'Table 3 Levels 1&amp;2'!BN14+'Table 3 Levels 1&amp;2'!BV14</f>
        <v>5379.7759718479856</v>
      </c>
      <c r="E12" s="1099">
        <f t="shared" si="14"/>
        <v>0</v>
      </c>
      <c r="F12" s="1099">
        <f t="shared" si="17"/>
        <v>0</v>
      </c>
      <c r="G12" s="991">
        <f t="shared" si="15"/>
        <v>0</v>
      </c>
      <c r="H12" s="1109">
        <f t="shared" si="18"/>
        <v>0</v>
      </c>
      <c r="I12" s="991">
        <f t="shared" si="19"/>
        <v>0</v>
      </c>
      <c r="J12" s="991"/>
      <c r="K12" s="991">
        <f t="shared" si="20"/>
        <v>0</v>
      </c>
      <c r="L12" s="991">
        <f t="shared" si="21"/>
        <v>0</v>
      </c>
      <c r="M12" s="1051">
        <f>'[18]FY2012-13 Final'!K13</f>
        <v>3576</v>
      </c>
      <c r="N12" s="992">
        <f t="shared" si="16"/>
        <v>0</v>
      </c>
      <c r="O12" s="1117">
        <f t="shared" si="22"/>
        <v>0</v>
      </c>
      <c r="P12" s="992">
        <f t="shared" si="23"/>
        <v>0</v>
      </c>
      <c r="Q12" s="992"/>
      <c r="R12" s="992">
        <f t="shared" si="24"/>
        <v>0</v>
      </c>
      <c r="S12" s="992">
        <f t="shared" si="25"/>
        <v>0</v>
      </c>
      <c r="T12" s="993">
        <f t="shared" si="26"/>
        <v>0</v>
      </c>
      <c r="U12" s="993">
        <f t="shared" si="27"/>
        <v>0</v>
      </c>
    </row>
    <row r="13" spans="1:21">
      <c r="A13" s="994">
        <v>7</v>
      </c>
      <c r="B13" s="995" t="s">
        <v>101</v>
      </c>
      <c r="C13" s="996">
        <f>'[2]ALL-Reformatted'!H12</f>
        <v>0</v>
      </c>
      <c r="D13" s="997">
        <f>'Table 3 Levels 1&amp;2'!BN15+'Table 3 Levels 1&amp;2'!BV15</f>
        <v>1698.1351763907733</v>
      </c>
      <c r="E13" s="1100">
        <f t="shared" si="14"/>
        <v>0</v>
      </c>
      <c r="F13" s="1100">
        <f t="shared" si="17"/>
        <v>0</v>
      </c>
      <c r="G13" s="1052">
        <f t="shared" si="15"/>
        <v>0</v>
      </c>
      <c r="H13" s="1110">
        <f t="shared" si="18"/>
        <v>0</v>
      </c>
      <c r="I13" s="1052">
        <f t="shared" si="19"/>
        <v>0</v>
      </c>
      <c r="J13" s="1052"/>
      <c r="K13" s="1052">
        <f t="shared" si="20"/>
        <v>0</v>
      </c>
      <c r="L13" s="1052">
        <f t="shared" si="21"/>
        <v>0</v>
      </c>
      <c r="M13" s="1051">
        <f>'[18]FY2012-13 Final'!K14</f>
        <v>12465</v>
      </c>
      <c r="N13" s="1053">
        <f t="shared" si="16"/>
        <v>0</v>
      </c>
      <c r="O13" s="1118">
        <f t="shared" si="22"/>
        <v>0</v>
      </c>
      <c r="P13" s="1053">
        <f t="shared" si="23"/>
        <v>0</v>
      </c>
      <c r="Q13" s="1053"/>
      <c r="R13" s="1053">
        <f t="shared" si="24"/>
        <v>0</v>
      </c>
      <c r="S13" s="1053">
        <f t="shared" si="25"/>
        <v>0</v>
      </c>
      <c r="T13" s="1054">
        <f t="shared" si="26"/>
        <v>0</v>
      </c>
      <c r="U13" s="1054">
        <f t="shared" si="27"/>
        <v>0</v>
      </c>
    </row>
    <row r="14" spans="1:21">
      <c r="A14" s="994">
        <v>8</v>
      </c>
      <c r="B14" s="995" t="s">
        <v>102</v>
      </c>
      <c r="C14" s="996">
        <f>'[2]ALL-Reformatted'!H13</f>
        <v>0</v>
      </c>
      <c r="D14" s="997">
        <f>'Table 3 Levels 1&amp;2'!BN16+'Table 3 Levels 1&amp;2'!BV16</f>
        <v>4239.8578920718974</v>
      </c>
      <c r="E14" s="1100">
        <f t="shared" si="14"/>
        <v>0</v>
      </c>
      <c r="F14" s="1100">
        <f t="shared" si="17"/>
        <v>0</v>
      </c>
      <c r="G14" s="1052">
        <f t="shared" si="15"/>
        <v>0</v>
      </c>
      <c r="H14" s="1110">
        <f t="shared" si="18"/>
        <v>0</v>
      </c>
      <c r="I14" s="1052">
        <f t="shared" si="19"/>
        <v>0</v>
      </c>
      <c r="J14" s="1052"/>
      <c r="K14" s="1052">
        <f t="shared" si="20"/>
        <v>0</v>
      </c>
      <c r="L14" s="1052">
        <f t="shared" si="21"/>
        <v>0</v>
      </c>
      <c r="M14" s="1051">
        <f>'[18]FY2012-13 Final'!K15</f>
        <v>4184</v>
      </c>
      <c r="N14" s="1053">
        <f t="shared" si="16"/>
        <v>0</v>
      </c>
      <c r="O14" s="1118">
        <f t="shared" si="22"/>
        <v>0</v>
      </c>
      <c r="P14" s="1053">
        <f t="shared" si="23"/>
        <v>0</v>
      </c>
      <c r="Q14" s="1053"/>
      <c r="R14" s="1053">
        <f t="shared" si="24"/>
        <v>0</v>
      </c>
      <c r="S14" s="1053">
        <f t="shared" si="25"/>
        <v>0</v>
      </c>
      <c r="T14" s="1054">
        <f t="shared" si="26"/>
        <v>0</v>
      </c>
      <c r="U14" s="1054">
        <f t="shared" si="27"/>
        <v>0</v>
      </c>
    </row>
    <row r="15" spans="1:21">
      <c r="A15" s="994">
        <v>9</v>
      </c>
      <c r="B15" s="995" t="s">
        <v>103</v>
      </c>
      <c r="C15" s="996">
        <f>'[2]ALL-Reformatted'!H14</f>
        <v>0</v>
      </c>
      <c r="D15" s="997">
        <f>'Table 3 Levels 1&amp;2'!BN17+'Table 3 Levels 1&amp;2'!BV17</f>
        <v>4361.2752875373017</v>
      </c>
      <c r="E15" s="1100">
        <f t="shared" si="14"/>
        <v>0</v>
      </c>
      <c r="F15" s="1100">
        <f t="shared" si="17"/>
        <v>0</v>
      </c>
      <c r="G15" s="1052">
        <f t="shared" si="15"/>
        <v>0</v>
      </c>
      <c r="H15" s="1110">
        <f t="shared" si="18"/>
        <v>0</v>
      </c>
      <c r="I15" s="1052">
        <f t="shared" si="19"/>
        <v>0</v>
      </c>
      <c r="J15" s="1052"/>
      <c r="K15" s="1052">
        <f t="shared" si="20"/>
        <v>0</v>
      </c>
      <c r="L15" s="1052">
        <f t="shared" si="21"/>
        <v>0</v>
      </c>
      <c r="M15" s="1051">
        <f>'[18]FY2012-13 Final'!K16</f>
        <v>4640</v>
      </c>
      <c r="N15" s="1053">
        <f t="shared" si="16"/>
        <v>0</v>
      </c>
      <c r="O15" s="1118">
        <f t="shared" si="22"/>
        <v>0</v>
      </c>
      <c r="P15" s="1053">
        <f t="shared" si="23"/>
        <v>0</v>
      </c>
      <c r="Q15" s="1053"/>
      <c r="R15" s="1053">
        <f t="shared" si="24"/>
        <v>0</v>
      </c>
      <c r="S15" s="1053">
        <f t="shared" si="25"/>
        <v>0</v>
      </c>
      <c r="T15" s="1054">
        <f t="shared" si="26"/>
        <v>0</v>
      </c>
      <c r="U15" s="1054">
        <f t="shared" si="27"/>
        <v>0</v>
      </c>
    </row>
    <row r="16" spans="1:21">
      <c r="A16" s="998">
        <v>10</v>
      </c>
      <c r="B16" s="999" t="s">
        <v>104</v>
      </c>
      <c r="C16" s="1000">
        <f>'[2]ALL-Reformatted'!H15</f>
        <v>0</v>
      </c>
      <c r="D16" s="1001">
        <f>'Table 3 Levels 1&amp;2'!BN18+'Table 3 Levels 1&amp;2'!BV18</f>
        <v>4179.4641652904756</v>
      </c>
      <c r="E16" s="1101">
        <f t="shared" si="14"/>
        <v>0</v>
      </c>
      <c r="F16" s="1101">
        <f t="shared" si="17"/>
        <v>0</v>
      </c>
      <c r="G16" s="1055">
        <f t="shared" si="15"/>
        <v>0</v>
      </c>
      <c r="H16" s="1111">
        <f t="shared" si="18"/>
        <v>0</v>
      </c>
      <c r="I16" s="1055">
        <f t="shared" si="19"/>
        <v>0</v>
      </c>
      <c r="J16" s="1055"/>
      <c r="K16" s="1055">
        <f t="shared" si="20"/>
        <v>0</v>
      </c>
      <c r="L16" s="1055">
        <f t="shared" si="21"/>
        <v>0</v>
      </c>
      <c r="M16" s="1056">
        <f>'[18]FY2012-13 Final'!K17</f>
        <v>4391</v>
      </c>
      <c r="N16" s="1057">
        <f t="shared" si="16"/>
        <v>0</v>
      </c>
      <c r="O16" s="1119">
        <f t="shared" si="22"/>
        <v>0</v>
      </c>
      <c r="P16" s="1057">
        <f t="shared" si="23"/>
        <v>0</v>
      </c>
      <c r="Q16" s="1057"/>
      <c r="R16" s="1057">
        <f t="shared" si="24"/>
        <v>0</v>
      </c>
      <c r="S16" s="1057">
        <f t="shared" si="25"/>
        <v>0</v>
      </c>
      <c r="T16" s="1058">
        <f t="shared" si="26"/>
        <v>0</v>
      </c>
      <c r="U16" s="1058">
        <f t="shared" si="27"/>
        <v>0</v>
      </c>
    </row>
    <row r="17" spans="1:21">
      <c r="A17" s="987">
        <v>11</v>
      </c>
      <c r="B17" s="988" t="s">
        <v>105</v>
      </c>
      <c r="C17" s="989">
        <f>'[2]ALL-Reformatted'!H16</f>
        <v>0</v>
      </c>
      <c r="D17" s="990">
        <f>'Table 3 Levels 1&amp;2'!BN19+'Table 3 Levels 1&amp;2'!BV19</f>
        <v>6825.0221851487568</v>
      </c>
      <c r="E17" s="1099">
        <f t="shared" si="14"/>
        <v>0</v>
      </c>
      <c r="F17" s="1099">
        <f t="shared" si="17"/>
        <v>0</v>
      </c>
      <c r="G17" s="991">
        <f t="shared" si="15"/>
        <v>0</v>
      </c>
      <c r="H17" s="1109">
        <f t="shared" si="18"/>
        <v>0</v>
      </c>
      <c r="I17" s="991">
        <f t="shared" si="19"/>
        <v>0</v>
      </c>
      <c r="J17" s="991"/>
      <c r="K17" s="991">
        <f t="shared" si="20"/>
        <v>0</v>
      </c>
      <c r="L17" s="991">
        <f t="shared" si="21"/>
        <v>0</v>
      </c>
      <c r="M17" s="1051">
        <f>'[18]FY2012-13 Final'!K18</f>
        <v>3430</v>
      </c>
      <c r="N17" s="992">
        <f t="shared" si="16"/>
        <v>0</v>
      </c>
      <c r="O17" s="1117">
        <f t="shared" si="22"/>
        <v>0</v>
      </c>
      <c r="P17" s="992">
        <f t="shared" si="23"/>
        <v>0</v>
      </c>
      <c r="Q17" s="992"/>
      <c r="R17" s="992">
        <f t="shared" si="24"/>
        <v>0</v>
      </c>
      <c r="S17" s="992">
        <f t="shared" si="25"/>
        <v>0</v>
      </c>
      <c r="T17" s="993">
        <f t="shared" si="26"/>
        <v>0</v>
      </c>
      <c r="U17" s="993">
        <f t="shared" si="27"/>
        <v>0</v>
      </c>
    </row>
    <row r="18" spans="1:21">
      <c r="A18" s="994">
        <v>12</v>
      </c>
      <c r="B18" s="995" t="s">
        <v>106</v>
      </c>
      <c r="C18" s="996">
        <f>'[2]ALL-Reformatted'!H17</f>
        <v>0</v>
      </c>
      <c r="D18" s="997">
        <f>'Table 3 Levels 1&amp;2'!BN20+'Table 3 Levels 1&amp;2'!BV20</f>
        <v>1688.0492586490939</v>
      </c>
      <c r="E18" s="1100">
        <f t="shared" si="14"/>
        <v>0</v>
      </c>
      <c r="F18" s="1100">
        <f t="shared" si="17"/>
        <v>0</v>
      </c>
      <c r="G18" s="1052">
        <f t="shared" si="15"/>
        <v>0</v>
      </c>
      <c r="H18" s="1110">
        <f t="shared" si="18"/>
        <v>0</v>
      </c>
      <c r="I18" s="1052">
        <f t="shared" si="19"/>
        <v>0</v>
      </c>
      <c r="J18" s="1052"/>
      <c r="K18" s="1052">
        <f t="shared" si="20"/>
        <v>0</v>
      </c>
      <c r="L18" s="1052">
        <f t="shared" si="21"/>
        <v>0</v>
      </c>
      <c r="M18" s="1051">
        <f>'[18]FY2012-13 Final'!K19</f>
        <v>12558</v>
      </c>
      <c r="N18" s="1053">
        <f t="shared" si="16"/>
        <v>0</v>
      </c>
      <c r="O18" s="1118">
        <f t="shared" si="22"/>
        <v>0</v>
      </c>
      <c r="P18" s="1053">
        <f t="shared" si="23"/>
        <v>0</v>
      </c>
      <c r="Q18" s="1053"/>
      <c r="R18" s="1053">
        <f t="shared" si="24"/>
        <v>0</v>
      </c>
      <c r="S18" s="1053">
        <f t="shared" si="25"/>
        <v>0</v>
      </c>
      <c r="T18" s="1054">
        <f t="shared" si="26"/>
        <v>0</v>
      </c>
      <c r="U18" s="1054">
        <f t="shared" si="27"/>
        <v>0</v>
      </c>
    </row>
    <row r="19" spans="1:21">
      <c r="A19" s="994">
        <v>13</v>
      </c>
      <c r="B19" s="995" t="s">
        <v>107</v>
      </c>
      <c r="C19" s="996">
        <f>'[2]ALL-Reformatted'!H18</f>
        <v>0</v>
      </c>
      <c r="D19" s="997">
        <f>'Table 3 Levels 1&amp;2'!BN21+'Table 3 Levels 1&amp;2'!BV21</f>
        <v>6187.1651272387344</v>
      </c>
      <c r="E19" s="1100">
        <f t="shared" si="14"/>
        <v>0</v>
      </c>
      <c r="F19" s="1100">
        <f t="shared" si="17"/>
        <v>0</v>
      </c>
      <c r="G19" s="1052">
        <f t="shared" si="15"/>
        <v>0</v>
      </c>
      <c r="H19" s="1110">
        <f t="shared" si="18"/>
        <v>0</v>
      </c>
      <c r="I19" s="1052">
        <f t="shared" si="19"/>
        <v>0</v>
      </c>
      <c r="J19" s="1052"/>
      <c r="K19" s="1052">
        <f t="shared" si="20"/>
        <v>0</v>
      </c>
      <c r="L19" s="1052">
        <f t="shared" si="21"/>
        <v>0</v>
      </c>
      <c r="M19" s="1051">
        <f>'[18]FY2012-13 Final'!K20</f>
        <v>2536</v>
      </c>
      <c r="N19" s="1053">
        <f t="shared" si="16"/>
        <v>0</v>
      </c>
      <c r="O19" s="1118">
        <f t="shared" si="22"/>
        <v>0</v>
      </c>
      <c r="P19" s="1053">
        <f t="shared" si="23"/>
        <v>0</v>
      </c>
      <c r="Q19" s="1053"/>
      <c r="R19" s="1053">
        <f t="shared" si="24"/>
        <v>0</v>
      </c>
      <c r="S19" s="1053">
        <f t="shared" si="25"/>
        <v>0</v>
      </c>
      <c r="T19" s="1054">
        <f t="shared" si="26"/>
        <v>0</v>
      </c>
      <c r="U19" s="1054">
        <f t="shared" si="27"/>
        <v>0</v>
      </c>
    </row>
    <row r="20" spans="1:21" ht="12.75" customHeight="1">
      <c r="A20" s="994">
        <v>14</v>
      </c>
      <c r="B20" s="995" t="s">
        <v>108</v>
      </c>
      <c r="C20" s="996">
        <f>'[2]ALL-Reformatted'!H19</f>
        <v>0</v>
      </c>
      <c r="D20" s="997">
        <f>'Table 3 Levels 1&amp;2'!BN22+'Table 3 Levels 1&amp;2'!BV22</f>
        <v>5339.1887414618923</v>
      </c>
      <c r="E20" s="1100">
        <f t="shared" si="14"/>
        <v>0</v>
      </c>
      <c r="F20" s="1100">
        <f t="shared" si="17"/>
        <v>0</v>
      </c>
      <c r="G20" s="1052">
        <f t="shared" si="15"/>
        <v>0</v>
      </c>
      <c r="H20" s="1110">
        <f t="shared" si="18"/>
        <v>0</v>
      </c>
      <c r="I20" s="1052">
        <f t="shared" si="19"/>
        <v>0</v>
      </c>
      <c r="J20" s="1052"/>
      <c r="K20" s="1052">
        <f t="shared" si="20"/>
        <v>0</v>
      </c>
      <c r="L20" s="1052">
        <f t="shared" si="21"/>
        <v>0</v>
      </c>
      <c r="M20" s="1051">
        <f>'[18]FY2012-13 Final'!K21</f>
        <v>3888</v>
      </c>
      <c r="N20" s="1053">
        <f t="shared" si="16"/>
        <v>0</v>
      </c>
      <c r="O20" s="1118">
        <f t="shared" si="22"/>
        <v>0</v>
      </c>
      <c r="P20" s="1053">
        <f t="shared" si="23"/>
        <v>0</v>
      </c>
      <c r="Q20" s="1053"/>
      <c r="R20" s="1053">
        <f t="shared" si="24"/>
        <v>0</v>
      </c>
      <c r="S20" s="1053">
        <f t="shared" si="25"/>
        <v>0</v>
      </c>
      <c r="T20" s="1054">
        <f t="shared" si="26"/>
        <v>0</v>
      </c>
      <c r="U20" s="1054">
        <f t="shared" si="27"/>
        <v>0</v>
      </c>
    </row>
    <row r="21" spans="1:21">
      <c r="A21" s="998">
        <v>15</v>
      </c>
      <c r="B21" s="999" t="s">
        <v>109</v>
      </c>
      <c r="C21" s="1000">
        <f>'[2]ALL-Reformatted'!H20</f>
        <v>0</v>
      </c>
      <c r="D21" s="1001">
        <f>'Table 3 Levels 1&amp;2'!BN23+'Table 3 Levels 1&amp;2'!BV23</f>
        <v>5492.5789412344011</v>
      </c>
      <c r="E21" s="1101">
        <f t="shared" si="14"/>
        <v>0</v>
      </c>
      <c r="F21" s="1101">
        <f t="shared" si="17"/>
        <v>0</v>
      </c>
      <c r="G21" s="1055">
        <f t="shared" si="15"/>
        <v>0</v>
      </c>
      <c r="H21" s="1111">
        <f t="shared" si="18"/>
        <v>0</v>
      </c>
      <c r="I21" s="1055">
        <f t="shared" si="19"/>
        <v>0</v>
      </c>
      <c r="J21" s="1055"/>
      <c r="K21" s="1055">
        <f t="shared" si="20"/>
        <v>0</v>
      </c>
      <c r="L21" s="1055">
        <f t="shared" si="21"/>
        <v>0</v>
      </c>
      <c r="M21" s="1056">
        <f>'[18]FY2012-13 Final'!K22</f>
        <v>2752</v>
      </c>
      <c r="N21" s="1057">
        <f t="shared" si="16"/>
        <v>0</v>
      </c>
      <c r="O21" s="1119">
        <f t="shared" si="22"/>
        <v>0</v>
      </c>
      <c r="P21" s="1057">
        <f t="shared" si="23"/>
        <v>0</v>
      </c>
      <c r="Q21" s="1057"/>
      <c r="R21" s="1057">
        <f t="shared" si="24"/>
        <v>0</v>
      </c>
      <c r="S21" s="1057">
        <f t="shared" si="25"/>
        <v>0</v>
      </c>
      <c r="T21" s="1058">
        <f t="shared" si="26"/>
        <v>0</v>
      </c>
      <c r="U21" s="1058">
        <f t="shared" si="27"/>
        <v>0</v>
      </c>
    </row>
    <row r="22" spans="1:21">
      <c r="A22" s="987">
        <v>16</v>
      </c>
      <c r="B22" s="988" t="s">
        <v>110</v>
      </c>
      <c r="C22" s="989">
        <f>'[2]ALL-Reformatted'!H21</f>
        <v>0</v>
      </c>
      <c r="D22" s="990">
        <f>'Table 3 Levels 1&amp;2'!BN24+'Table 3 Levels 1&amp;2'!BV24</f>
        <v>1506.1153407945151</v>
      </c>
      <c r="E22" s="1099">
        <f t="shared" si="14"/>
        <v>0</v>
      </c>
      <c r="F22" s="1099">
        <f t="shared" si="17"/>
        <v>0</v>
      </c>
      <c r="G22" s="991">
        <f t="shared" si="15"/>
        <v>0</v>
      </c>
      <c r="H22" s="1109">
        <f t="shared" si="18"/>
        <v>0</v>
      </c>
      <c r="I22" s="991">
        <f t="shared" si="19"/>
        <v>0</v>
      </c>
      <c r="J22" s="991"/>
      <c r="K22" s="991">
        <f t="shared" si="20"/>
        <v>0</v>
      </c>
      <c r="L22" s="991">
        <f t="shared" si="21"/>
        <v>0</v>
      </c>
      <c r="M22" s="1051">
        <f>'[18]FY2012-13 Final'!K23</f>
        <v>15092</v>
      </c>
      <c r="N22" s="992">
        <f t="shared" si="16"/>
        <v>0</v>
      </c>
      <c r="O22" s="1117">
        <f t="shared" si="22"/>
        <v>0</v>
      </c>
      <c r="P22" s="992">
        <f t="shared" si="23"/>
        <v>0</v>
      </c>
      <c r="Q22" s="992"/>
      <c r="R22" s="992">
        <f t="shared" si="24"/>
        <v>0</v>
      </c>
      <c r="S22" s="992">
        <f t="shared" si="25"/>
        <v>0</v>
      </c>
      <c r="T22" s="993">
        <f t="shared" si="26"/>
        <v>0</v>
      </c>
      <c r="U22" s="993">
        <f t="shared" si="27"/>
        <v>0</v>
      </c>
    </row>
    <row r="23" spans="1:21">
      <c r="A23" s="994">
        <v>17</v>
      </c>
      <c r="B23" s="995" t="s">
        <v>111</v>
      </c>
      <c r="C23" s="996">
        <f>'[2]ALL-Reformatted'!H22</f>
        <v>0</v>
      </c>
      <c r="D23" s="997">
        <f>'Table 3 Levels 1&amp;2'!BN25+'Table 3 Levels 1&amp;2'!BV25</f>
        <v>3311.610845996096</v>
      </c>
      <c r="E23" s="1100">
        <f t="shared" si="14"/>
        <v>0</v>
      </c>
      <c r="F23" s="1100">
        <f t="shared" si="17"/>
        <v>0</v>
      </c>
      <c r="G23" s="1052">
        <f t="shared" si="15"/>
        <v>0</v>
      </c>
      <c r="H23" s="1110">
        <f t="shared" si="18"/>
        <v>0</v>
      </c>
      <c r="I23" s="1052">
        <f t="shared" si="19"/>
        <v>0</v>
      </c>
      <c r="J23" s="1052"/>
      <c r="K23" s="1052">
        <f t="shared" si="20"/>
        <v>0</v>
      </c>
      <c r="L23" s="1052">
        <f t="shared" si="21"/>
        <v>0</v>
      </c>
      <c r="M23" s="1051">
        <f>'[18]FY2012-13 Final'!K24</f>
        <v>6551</v>
      </c>
      <c r="N23" s="1053">
        <f t="shared" si="16"/>
        <v>0</v>
      </c>
      <c r="O23" s="1118">
        <f t="shared" si="22"/>
        <v>0</v>
      </c>
      <c r="P23" s="1053">
        <f t="shared" si="23"/>
        <v>0</v>
      </c>
      <c r="Q23" s="1053"/>
      <c r="R23" s="1053">
        <f t="shared" si="24"/>
        <v>0</v>
      </c>
      <c r="S23" s="1053">
        <f t="shared" si="25"/>
        <v>0</v>
      </c>
      <c r="T23" s="1054">
        <f t="shared" si="26"/>
        <v>0</v>
      </c>
      <c r="U23" s="1054">
        <f t="shared" si="27"/>
        <v>0</v>
      </c>
    </row>
    <row r="24" spans="1:21">
      <c r="A24" s="994">
        <v>18</v>
      </c>
      <c r="B24" s="995" t="s">
        <v>112</v>
      </c>
      <c r="C24" s="996">
        <f>'[2]ALL-Reformatted'!H23</f>
        <v>0</v>
      </c>
      <c r="D24" s="997">
        <f>'Table 3 Levels 1&amp;2'!BN26+'Table 3 Levels 1&amp;2'!BV26</f>
        <v>5964.3490202032081</v>
      </c>
      <c r="E24" s="1100">
        <f t="shared" si="14"/>
        <v>0</v>
      </c>
      <c r="F24" s="1100">
        <f t="shared" si="17"/>
        <v>0</v>
      </c>
      <c r="G24" s="1052">
        <f t="shared" si="15"/>
        <v>0</v>
      </c>
      <c r="H24" s="1110">
        <f t="shared" si="18"/>
        <v>0</v>
      </c>
      <c r="I24" s="1052">
        <f t="shared" si="19"/>
        <v>0</v>
      </c>
      <c r="J24" s="1052"/>
      <c r="K24" s="1052">
        <f t="shared" si="20"/>
        <v>0</v>
      </c>
      <c r="L24" s="1052">
        <f t="shared" si="21"/>
        <v>0</v>
      </c>
      <c r="M24" s="1051">
        <f>'[18]FY2012-13 Final'!K25</f>
        <v>2165</v>
      </c>
      <c r="N24" s="1053">
        <f t="shared" si="16"/>
        <v>0</v>
      </c>
      <c r="O24" s="1118">
        <f t="shared" si="22"/>
        <v>0</v>
      </c>
      <c r="P24" s="1053">
        <f t="shared" si="23"/>
        <v>0</v>
      </c>
      <c r="Q24" s="1053"/>
      <c r="R24" s="1053">
        <f t="shared" si="24"/>
        <v>0</v>
      </c>
      <c r="S24" s="1053">
        <f t="shared" si="25"/>
        <v>0</v>
      </c>
      <c r="T24" s="1054">
        <f t="shared" si="26"/>
        <v>0</v>
      </c>
      <c r="U24" s="1054">
        <f t="shared" si="27"/>
        <v>0</v>
      </c>
    </row>
    <row r="25" spans="1:21">
      <c r="A25" s="994">
        <v>19</v>
      </c>
      <c r="B25" s="995" t="s">
        <v>113</v>
      </c>
      <c r="C25" s="996">
        <f>'[2]ALL-Reformatted'!H24</f>
        <v>0</v>
      </c>
      <c r="D25" s="997">
        <f>'Table 3 Levels 1&amp;2'!BN27+'Table 3 Levels 1&amp;2'!BV27</f>
        <v>5283.1088158476596</v>
      </c>
      <c r="E25" s="1100">
        <f t="shared" si="14"/>
        <v>0</v>
      </c>
      <c r="F25" s="1100">
        <f t="shared" si="17"/>
        <v>0</v>
      </c>
      <c r="G25" s="1052">
        <f t="shared" si="15"/>
        <v>0</v>
      </c>
      <c r="H25" s="1110">
        <f t="shared" si="18"/>
        <v>0</v>
      </c>
      <c r="I25" s="1052">
        <f t="shared" si="19"/>
        <v>0</v>
      </c>
      <c r="J25" s="1052"/>
      <c r="K25" s="1052">
        <f t="shared" si="20"/>
        <v>0</v>
      </c>
      <c r="L25" s="1052">
        <f t="shared" si="21"/>
        <v>0</v>
      </c>
      <c r="M25" s="1051">
        <f>'[18]FY2012-13 Final'!K26</f>
        <v>2729</v>
      </c>
      <c r="N25" s="1053">
        <f t="shared" si="16"/>
        <v>0</v>
      </c>
      <c r="O25" s="1118">
        <f t="shared" si="22"/>
        <v>0</v>
      </c>
      <c r="P25" s="1053">
        <f t="shared" si="23"/>
        <v>0</v>
      </c>
      <c r="Q25" s="1053"/>
      <c r="R25" s="1053">
        <f t="shared" si="24"/>
        <v>0</v>
      </c>
      <c r="S25" s="1053">
        <f t="shared" si="25"/>
        <v>0</v>
      </c>
      <c r="T25" s="1054">
        <f t="shared" si="26"/>
        <v>0</v>
      </c>
      <c r="U25" s="1054">
        <f t="shared" si="27"/>
        <v>0</v>
      </c>
    </row>
    <row r="26" spans="1:21">
      <c r="A26" s="998">
        <v>20</v>
      </c>
      <c r="B26" s="999" t="s">
        <v>114</v>
      </c>
      <c r="C26" s="1000">
        <f>'[2]ALL-Reformatted'!H25</f>
        <v>0</v>
      </c>
      <c r="D26" s="1001">
        <f>'Table 3 Levels 1&amp;2'!BN28+'Table 3 Levels 1&amp;2'!BV28</f>
        <v>5389.6047094824808</v>
      </c>
      <c r="E26" s="1101">
        <f t="shared" si="14"/>
        <v>0</v>
      </c>
      <c r="F26" s="1101">
        <f t="shared" si="17"/>
        <v>0</v>
      </c>
      <c r="G26" s="1055">
        <f t="shared" si="15"/>
        <v>0</v>
      </c>
      <c r="H26" s="1111">
        <f t="shared" si="18"/>
        <v>0</v>
      </c>
      <c r="I26" s="1055">
        <f t="shared" si="19"/>
        <v>0</v>
      </c>
      <c r="J26" s="1055"/>
      <c r="K26" s="1055">
        <f t="shared" si="20"/>
        <v>0</v>
      </c>
      <c r="L26" s="1055">
        <f t="shared" si="21"/>
        <v>0</v>
      </c>
      <c r="M26" s="1056">
        <f>'[18]FY2012-13 Final'!K27</f>
        <v>2334</v>
      </c>
      <c r="N26" s="1057">
        <f t="shared" si="16"/>
        <v>0</v>
      </c>
      <c r="O26" s="1119">
        <f t="shared" si="22"/>
        <v>0</v>
      </c>
      <c r="P26" s="1057">
        <f t="shared" si="23"/>
        <v>0</v>
      </c>
      <c r="Q26" s="1057"/>
      <c r="R26" s="1057">
        <f t="shared" si="24"/>
        <v>0</v>
      </c>
      <c r="S26" s="1057">
        <f t="shared" si="25"/>
        <v>0</v>
      </c>
      <c r="T26" s="1058">
        <f t="shared" si="26"/>
        <v>0</v>
      </c>
      <c r="U26" s="1058">
        <f t="shared" si="27"/>
        <v>0</v>
      </c>
    </row>
    <row r="27" spans="1:21">
      <c r="A27" s="987">
        <v>21</v>
      </c>
      <c r="B27" s="988" t="s">
        <v>115</v>
      </c>
      <c r="C27" s="989">
        <f>'[2]ALL-Reformatted'!H26</f>
        <v>0</v>
      </c>
      <c r="D27" s="990">
        <f>'Table 3 Levels 1&amp;2'!BN29+'Table 3 Levels 1&amp;2'!BV29</f>
        <v>5659.8229810652783</v>
      </c>
      <c r="E27" s="1099">
        <f t="shared" si="14"/>
        <v>0</v>
      </c>
      <c r="F27" s="1099">
        <f t="shared" si="17"/>
        <v>0</v>
      </c>
      <c r="G27" s="991">
        <f t="shared" si="15"/>
        <v>0</v>
      </c>
      <c r="H27" s="1109">
        <f t="shared" si="18"/>
        <v>0</v>
      </c>
      <c r="I27" s="991">
        <f t="shared" si="19"/>
        <v>0</v>
      </c>
      <c r="J27" s="991"/>
      <c r="K27" s="991">
        <f t="shared" si="20"/>
        <v>0</v>
      </c>
      <c r="L27" s="991">
        <f t="shared" si="21"/>
        <v>0</v>
      </c>
      <c r="M27" s="1051">
        <f>'[18]FY2012-13 Final'!K28</f>
        <v>2233</v>
      </c>
      <c r="N27" s="992">
        <f t="shared" si="16"/>
        <v>0</v>
      </c>
      <c r="O27" s="1117">
        <f t="shared" si="22"/>
        <v>0</v>
      </c>
      <c r="P27" s="992">
        <f t="shared" si="23"/>
        <v>0</v>
      </c>
      <c r="Q27" s="992"/>
      <c r="R27" s="992">
        <f t="shared" si="24"/>
        <v>0</v>
      </c>
      <c r="S27" s="992">
        <f t="shared" si="25"/>
        <v>0</v>
      </c>
      <c r="T27" s="993">
        <f t="shared" si="26"/>
        <v>0</v>
      </c>
      <c r="U27" s="993">
        <f t="shared" si="27"/>
        <v>0</v>
      </c>
    </row>
    <row r="28" spans="1:21">
      <c r="A28" s="994">
        <v>22</v>
      </c>
      <c r="B28" s="995" t="s">
        <v>116</v>
      </c>
      <c r="C28" s="996">
        <f>'[2]ALL-Reformatted'!H27</f>
        <v>0</v>
      </c>
      <c r="D28" s="997">
        <f>'Table 3 Levels 1&amp;2'!BN30+'Table 3 Levels 1&amp;2'!BV30</f>
        <v>6191.1997628958306</v>
      </c>
      <c r="E28" s="1100">
        <f t="shared" si="14"/>
        <v>0</v>
      </c>
      <c r="F28" s="1100">
        <f t="shared" si="17"/>
        <v>0</v>
      </c>
      <c r="G28" s="1052">
        <f t="shared" si="15"/>
        <v>0</v>
      </c>
      <c r="H28" s="1110">
        <f t="shared" si="18"/>
        <v>0</v>
      </c>
      <c r="I28" s="1052">
        <f t="shared" si="19"/>
        <v>0</v>
      </c>
      <c r="J28" s="1052"/>
      <c r="K28" s="1052">
        <f t="shared" si="20"/>
        <v>0</v>
      </c>
      <c r="L28" s="1052">
        <f t="shared" si="21"/>
        <v>0</v>
      </c>
      <c r="M28" s="1051">
        <f>'[18]FY2012-13 Final'!K29</f>
        <v>1410</v>
      </c>
      <c r="N28" s="1053">
        <f t="shared" si="16"/>
        <v>0</v>
      </c>
      <c r="O28" s="1118">
        <f t="shared" si="22"/>
        <v>0</v>
      </c>
      <c r="P28" s="1053">
        <f t="shared" si="23"/>
        <v>0</v>
      </c>
      <c r="Q28" s="1053"/>
      <c r="R28" s="1053">
        <f t="shared" si="24"/>
        <v>0</v>
      </c>
      <c r="S28" s="1053">
        <f t="shared" si="25"/>
        <v>0</v>
      </c>
      <c r="T28" s="1054">
        <f t="shared" si="26"/>
        <v>0</v>
      </c>
      <c r="U28" s="1054">
        <f t="shared" si="27"/>
        <v>0</v>
      </c>
    </row>
    <row r="29" spans="1:21">
      <c r="A29" s="994">
        <v>23</v>
      </c>
      <c r="B29" s="995" t="s">
        <v>117</v>
      </c>
      <c r="C29" s="996">
        <f>'[2]ALL-Reformatted'!H28</f>
        <v>74</v>
      </c>
      <c r="D29" s="997">
        <f>'Table 3 Levels 1&amp;2'!BN31+'Table 3 Levels 1&amp;2'!BV31</f>
        <v>4788.2881021645453</v>
      </c>
      <c r="E29" s="1100">
        <f t="shared" si="14"/>
        <v>354333.31956017634</v>
      </c>
      <c r="F29" s="1100">
        <f t="shared" si="17"/>
        <v>44281.868946015427</v>
      </c>
      <c r="G29" s="1052">
        <f t="shared" si="15"/>
        <v>398615.18850619177</v>
      </c>
      <c r="H29" s="1110">
        <f t="shared" si="18"/>
        <v>-996.53797126547943</v>
      </c>
      <c r="I29" s="1052">
        <f t="shared" si="19"/>
        <v>397618.65053492627</v>
      </c>
      <c r="J29" s="1052"/>
      <c r="K29" s="1052">
        <f t="shared" si="20"/>
        <v>397618.65053492627</v>
      </c>
      <c r="L29" s="1052">
        <f t="shared" si="21"/>
        <v>33135</v>
      </c>
      <c r="M29" s="1051">
        <f>'[18]FY2012-13 Final'!K30</f>
        <v>3258</v>
      </c>
      <c r="N29" s="1053">
        <f t="shared" si="16"/>
        <v>241092</v>
      </c>
      <c r="O29" s="1118">
        <f t="shared" si="22"/>
        <v>-602.73</v>
      </c>
      <c r="P29" s="1053">
        <f t="shared" si="23"/>
        <v>240489.27</v>
      </c>
      <c r="Q29" s="1053"/>
      <c r="R29" s="1053">
        <f t="shared" si="24"/>
        <v>240489.27</v>
      </c>
      <c r="S29" s="1053">
        <f t="shared" si="25"/>
        <v>20041</v>
      </c>
      <c r="T29" s="1054">
        <f t="shared" si="26"/>
        <v>638107.92053492623</v>
      </c>
      <c r="U29" s="1054">
        <f t="shared" si="27"/>
        <v>53176</v>
      </c>
    </row>
    <row r="30" spans="1:21">
      <c r="A30" s="994">
        <v>24</v>
      </c>
      <c r="B30" s="995" t="s">
        <v>118</v>
      </c>
      <c r="C30" s="996">
        <f>'[2]ALL-Reformatted'!H29</f>
        <v>0</v>
      </c>
      <c r="D30" s="997">
        <f>'Table 3 Levels 1&amp;2'!BN32+'Table 3 Levels 1&amp;2'!BV32</f>
        <v>2743.328175824176</v>
      </c>
      <c r="E30" s="1100">
        <f t="shared" si="14"/>
        <v>0</v>
      </c>
      <c r="F30" s="1100">
        <f t="shared" si="17"/>
        <v>0</v>
      </c>
      <c r="G30" s="1052">
        <f t="shared" si="15"/>
        <v>0</v>
      </c>
      <c r="H30" s="1110">
        <f t="shared" si="18"/>
        <v>0</v>
      </c>
      <c r="I30" s="1052">
        <f t="shared" si="19"/>
        <v>0</v>
      </c>
      <c r="J30" s="1052"/>
      <c r="K30" s="1052">
        <f t="shared" si="20"/>
        <v>0</v>
      </c>
      <c r="L30" s="1052">
        <f t="shared" si="21"/>
        <v>0</v>
      </c>
      <c r="M30" s="1051">
        <f>'[18]FY2012-13 Final'!K31</f>
        <v>9280</v>
      </c>
      <c r="N30" s="1053">
        <f t="shared" si="16"/>
        <v>0</v>
      </c>
      <c r="O30" s="1118">
        <f t="shared" si="22"/>
        <v>0</v>
      </c>
      <c r="P30" s="1053">
        <f t="shared" si="23"/>
        <v>0</v>
      </c>
      <c r="Q30" s="1053"/>
      <c r="R30" s="1053">
        <f t="shared" si="24"/>
        <v>0</v>
      </c>
      <c r="S30" s="1053">
        <f t="shared" si="25"/>
        <v>0</v>
      </c>
      <c r="T30" s="1054">
        <f t="shared" si="26"/>
        <v>0</v>
      </c>
      <c r="U30" s="1054">
        <f t="shared" si="27"/>
        <v>0</v>
      </c>
    </row>
    <row r="31" spans="1:21">
      <c r="A31" s="998">
        <v>25</v>
      </c>
      <c r="B31" s="999" t="s">
        <v>119</v>
      </c>
      <c r="C31" s="1000">
        <f>'[2]ALL-Reformatted'!H30</f>
        <v>0</v>
      </c>
      <c r="D31" s="1001">
        <f>'Table 3 Levels 1&amp;2'!BN33+'Table 3 Levels 1&amp;2'!BV33</f>
        <v>3799.3890273447178</v>
      </c>
      <c r="E31" s="1101">
        <f t="shared" si="14"/>
        <v>0</v>
      </c>
      <c r="F31" s="1101">
        <f t="shared" si="17"/>
        <v>0</v>
      </c>
      <c r="G31" s="1055">
        <f t="shared" si="15"/>
        <v>0</v>
      </c>
      <c r="H31" s="1111">
        <f t="shared" si="18"/>
        <v>0</v>
      </c>
      <c r="I31" s="1055">
        <f t="shared" si="19"/>
        <v>0</v>
      </c>
      <c r="J31" s="1055"/>
      <c r="K31" s="1055">
        <f t="shared" si="20"/>
        <v>0</v>
      </c>
      <c r="L31" s="1055">
        <f t="shared" si="21"/>
        <v>0</v>
      </c>
      <c r="M31" s="1056">
        <f>'[18]FY2012-13 Final'!K32</f>
        <v>5351</v>
      </c>
      <c r="N31" s="1057">
        <f t="shared" si="16"/>
        <v>0</v>
      </c>
      <c r="O31" s="1119">
        <f t="shared" si="22"/>
        <v>0</v>
      </c>
      <c r="P31" s="1057">
        <f t="shared" si="23"/>
        <v>0</v>
      </c>
      <c r="Q31" s="1057"/>
      <c r="R31" s="1057">
        <f t="shared" si="24"/>
        <v>0</v>
      </c>
      <c r="S31" s="1057">
        <f t="shared" si="25"/>
        <v>0</v>
      </c>
      <c r="T31" s="1058">
        <f t="shared" si="26"/>
        <v>0</v>
      </c>
      <c r="U31" s="1058">
        <f t="shared" si="27"/>
        <v>0</v>
      </c>
    </row>
    <row r="32" spans="1:21">
      <c r="A32" s="987">
        <v>26</v>
      </c>
      <c r="B32" s="988" t="s">
        <v>120</v>
      </c>
      <c r="C32" s="989">
        <f>'[2]ALL-Reformatted'!H31</f>
        <v>0</v>
      </c>
      <c r="D32" s="990">
        <f>'Table 3 Levels 1&amp;2'!BN34+'Table 3 Levels 1&amp;2'!BV34</f>
        <v>3320.7842100822745</v>
      </c>
      <c r="E32" s="1099">
        <f t="shared" si="14"/>
        <v>0</v>
      </c>
      <c r="F32" s="1099">
        <f t="shared" si="17"/>
        <v>0</v>
      </c>
      <c r="G32" s="991">
        <f t="shared" si="15"/>
        <v>0</v>
      </c>
      <c r="H32" s="1109">
        <f t="shared" si="18"/>
        <v>0</v>
      </c>
      <c r="I32" s="991">
        <f t="shared" si="19"/>
        <v>0</v>
      </c>
      <c r="J32" s="991"/>
      <c r="K32" s="991">
        <f t="shared" si="20"/>
        <v>0</v>
      </c>
      <c r="L32" s="991">
        <f t="shared" si="21"/>
        <v>0</v>
      </c>
      <c r="M32" s="1051">
        <f>'[18]FY2012-13 Final'!K33</f>
        <v>5100</v>
      </c>
      <c r="N32" s="992">
        <f t="shared" si="16"/>
        <v>0</v>
      </c>
      <c r="O32" s="1117">
        <f t="shared" si="22"/>
        <v>0</v>
      </c>
      <c r="P32" s="992">
        <f t="shared" si="23"/>
        <v>0</v>
      </c>
      <c r="Q32" s="992"/>
      <c r="R32" s="992">
        <f t="shared" si="24"/>
        <v>0</v>
      </c>
      <c r="S32" s="992">
        <f t="shared" si="25"/>
        <v>0</v>
      </c>
      <c r="T32" s="993">
        <f t="shared" si="26"/>
        <v>0</v>
      </c>
      <c r="U32" s="993">
        <f t="shared" si="27"/>
        <v>0</v>
      </c>
    </row>
    <row r="33" spans="1:21">
      <c r="A33" s="994">
        <v>27</v>
      </c>
      <c r="B33" s="995" t="s">
        <v>121</v>
      </c>
      <c r="C33" s="1002">
        <f>'[2]ALL-Reformatted'!H32</f>
        <v>0</v>
      </c>
      <c r="D33" s="1003">
        <f>'Table 3 Levels 1&amp;2'!BN35+'Table 3 Levels 1&amp;2'!BV35</f>
        <v>5636.5919457972805</v>
      </c>
      <c r="E33" s="1102">
        <f t="shared" si="14"/>
        <v>0</v>
      </c>
      <c r="F33" s="1102">
        <f t="shared" si="17"/>
        <v>0</v>
      </c>
      <c r="G33" s="1059">
        <f t="shared" si="15"/>
        <v>0</v>
      </c>
      <c r="H33" s="1112">
        <f t="shared" si="18"/>
        <v>0</v>
      </c>
      <c r="I33" s="1059">
        <f t="shared" si="19"/>
        <v>0</v>
      </c>
      <c r="J33" s="1059"/>
      <c r="K33" s="1059">
        <f t="shared" si="20"/>
        <v>0</v>
      </c>
      <c r="L33" s="1059">
        <f t="shared" si="21"/>
        <v>0</v>
      </c>
      <c r="M33" s="1051">
        <f>'[18]FY2012-13 Final'!K34</f>
        <v>3091</v>
      </c>
      <c r="N33" s="1053">
        <f t="shared" si="16"/>
        <v>0</v>
      </c>
      <c r="O33" s="1118">
        <f t="shared" si="22"/>
        <v>0</v>
      </c>
      <c r="P33" s="1053">
        <f t="shared" si="23"/>
        <v>0</v>
      </c>
      <c r="Q33" s="1053"/>
      <c r="R33" s="1053">
        <f t="shared" si="24"/>
        <v>0</v>
      </c>
      <c r="S33" s="1053">
        <f t="shared" si="25"/>
        <v>0</v>
      </c>
      <c r="T33" s="1054">
        <f t="shared" si="26"/>
        <v>0</v>
      </c>
      <c r="U33" s="1054">
        <f t="shared" si="27"/>
        <v>0</v>
      </c>
    </row>
    <row r="34" spans="1:21">
      <c r="A34" s="994">
        <v>28</v>
      </c>
      <c r="B34" s="995" t="s">
        <v>122</v>
      </c>
      <c r="C34" s="1002">
        <f>'[2]ALL-Reformatted'!H33</f>
        <v>0</v>
      </c>
      <c r="D34" s="1003">
        <f>'Table 3 Levels 1&amp;2'!BN36+'Table 3 Levels 1&amp;2'!BV36</f>
        <v>3106.8056522508969</v>
      </c>
      <c r="E34" s="1102">
        <f t="shared" si="14"/>
        <v>0</v>
      </c>
      <c r="F34" s="1102">
        <f t="shared" si="17"/>
        <v>0</v>
      </c>
      <c r="G34" s="1059">
        <f t="shared" si="15"/>
        <v>0</v>
      </c>
      <c r="H34" s="1112">
        <f t="shared" si="18"/>
        <v>0</v>
      </c>
      <c r="I34" s="1059">
        <f t="shared" si="19"/>
        <v>0</v>
      </c>
      <c r="J34" s="1059"/>
      <c r="K34" s="1059">
        <f t="shared" si="20"/>
        <v>0</v>
      </c>
      <c r="L34" s="1059">
        <f t="shared" si="21"/>
        <v>0</v>
      </c>
      <c r="M34" s="1051">
        <f>'[18]FY2012-13 Final'!K35</f>
        <v>5323</v>
      </c>
      <c r="N34" s="1053">
        <f t="shared" si="16"/>
        <v>0</v>
      </c>
      <c r="O34" s="1118">
        <f t="shared" si="22"/>
        <v>0</v>
      </c>
      <c r="P34" s="1053">
        <f t="shared" si="23"/>
        <v>0</v>
      </c>
      <c r="Q34" s="1053"/>
      <c r="R34" s="1053">
        <f t="shared" si="24"/>
        <v>0</v>
      </c>
      <c r="S34" s="1053">
        <f t="shared" si="25"/>
        <v>0</v>
      </c>
      <c r="T34" s="1054">
        <f t="shared" si="26"/>
        <v>0</v>
      </c>
      <c r="U34" s="1054">
        <f t="shared" si="27"/>
        <v>0</v>
      </c>
    </row>
    <row r="35" spans="1:21">
      <c r="A35" s="994">
        <v>29</v>
      </c>
      <c r="B35" s="995" t="s">
        <v>123</v>
      </c>
      <c r="C35" s="1002">
        <f>'[2]ALL-Reformatted'!H34</f>
        <v>0</v>
      </c>
      <c r="D35" s="1003">
        <f>'Table 3 Levels 1&amp;2'!BN37+'Table 3 Levels 1&amp;2'!BV37</f>
        <v>3912.1846976122315</v>
      </c>
      <c r="E35" s="1102">
        <f t="shared" si="14"/>
        <v>0</v>
      </c>
      <c r="F35" s="1102">
        <f t="shared" si="17"/>
        <v>0</v>
      </c>
      <c r="G35" s="1059">
        <f t="shared" si="15"/>
        <v>0</v>
      </c>
      <c r="H35" s="1112">
        <f t="shared" si="18"/>
        <v>0</v>
      </c>
      <c r="I35" s="1059">
        <f t="shared" si="19"/>
        <v>0</v>
      </c>
      <c r="J35" s="1059"/>
      <c r="K35" s="1059">
        <f t="shared" si="20"/>
        <v>0</v>
      </c>
      <c r="L35" s="1059">
        <f t="shared" si="21"/>
        <v>0</v>
      </c>
      <c r="M35" s="1051">
        <f>'[18]FY2012-13 Final'!K36</f>
        <v>4388</v>
      </c>
      <c r="N35" s="1053">
        <f t="shared" si="16"/>
        <v>0</v>
      </c>
      <c r="O35" s="1118">
        <f t="shared" si="22"/>
        <v>0</v>
      </c>
      <c r="P35" s="1053">
        <f t="shared" si="23"/>
        <v>0</v>
      </c>
      <c r="Q35" s="1053"/>
      <c r="R35" s="1053">
        <f t="shared" si="24"/>
        <v>0</v>
      </c>
      <c r="S35" s="1053">
        <f t="shared" si="25"/>
        <v>0</v>
      </c>
      <c r="T35" s="1054">
        <f t="shared" si="26"/>
        <v>0</v>
      </c>
      <c r="U35" s="1054">
        <f t="shared" si="27"/>
        <v>0</v>
      </c>
    </row>
    <row r="36" spans="1:21">
      <c r="A36" s="998">
        <v>30</v>
      </c>
      <c r="B36" s="999" t="s">
        <v>124</v>
      </c>
      <c r="C36" s="1004">
        <f>'[2]ALL-Reformatted'!H35</f>
        <v>0</v>
      </c>
      <c r="D36" s="1005">
        <f>'Table 3 Levels 1&amp;2'!BN38+'Table 3 Levels 1&amp;2'!BV38</f>
        <v>5594.0091640611508</v>
      </c>
      <c r="E36" s="1103">
        <f t="shared" si="14"/>
        <v>0</v>
      </c>
      <c r="F36" s="1103">
        <f t="shared" si="17"/>
        <v>0</v>
      </c>
      <c r="G36" s="1060">
        <f t="shared" si="15"/>
        <v>0</v>
      </c>
      <c r="H36" s="1113">
        <f t="shared" si="18"/>
        <v>0</v>
      </c>
      <c r="I36" s="1060">
        <f t="shared" si="19"/>
        <v>0</v>
      </c>
      <c r="J36" s="1060"/>
      <c r="K36" s="1060">
        <f t="shared" si="20"/>
        <v>0</v>
      </c>
      <c r="L36" s="1060">
        <f t="shared" si="21"/>
        <v>0</v>
      </c>
      <c r="M36" s="1056">
        <f>'[18]FY2012-13 Final'!K37</f>
        <v>3702</v>
      </c>
      <c r="N36" s="1057">
        <f t="shared" si="16"/>
        <v>0</v>
      </c>
      <c r="O36" s="1119">
        <f t="shared" si="22"/>
        <v>0</v>
      </c>
      <c r="P36" s="1057">
        <f t="shared" si="23"/>
        <v>0</v>
      </c>
      <c r="Q36" s="1057"/>
      <c r="R36" s="1057">
        <f t="shared" si="24"/>
        <v>0</v>
      </c>
      <c r="S36" s="1057">
        <f t="shared" si="25"/>
        <v>0</v>
      </c>
      <c r="T36" s="1058">
        <f t="shared" si="26"/>
        <v>0</v>
      </c>
      <c r="U36" s="1058">
        <f t="shared" si="27"/>
        <v>0</v>
      </c>
    </row>
    <row r="37" spans="1:21">
      <c r="A37" s="987">
        <v>31</v>
      </c>
      <c r="B37" s="988" t="s">
        <v>125</v>
      </c>
      <c r="C37" s="1006">
        <f>'[2]ALL-Reformatted'!H36</f>
        <v>0</v>
      </c>
      <c r="D37" s="1007">
        <f>'Table 3 Levels 1&amp;2'!BN39+'Table 3 Levels 1&amp;2'!BV39</f>
        <v>4320.114188911979</v>
      </c>
      <c r="E37" s="1104">
        <f t="shared" si="14"/>
        <v>0</v>
      </c>
      <c r="F37" s="1104">
        <f t="shared" si="17"/>
        <v>0</v>
      </c>
      <c r="G37" s="1061">
        <f t="shared" si="15"/>
        <v>0</v>
      </c>
      <c r="H37" s="1114">
        <f t="shared" si="18"/>
        <v>0</v>
      </c>
      <c r="I37" s="1061">
        <f t="shared" si="19"/>
        <v>0</v>
      </c>
      <c r="J37" s="1061"/>
      <c r="K37" s="1061">
        <f t="shared" si="20"/>
        <v>0</v>
      </c>
      <c r="L37" s="1061">
        <f t="shared" si="21"/>
        <v>0</v>
      </c>
      <c r="M37" s="1051">
        <f>'[18]FY2012-13 Final'!K38</f>
        <v>4669</v>
      </c>
      <c r="N37" s="992">
        <f t="shared" si="16"/>
        <v>0</v>
      </c>
      <c r="O37" s="1117">
        <f t="shared" si="22"/>
        <v>0</v>
      </c>
      <c r="P37" s="992">
        <f t="shared" si="23"/>
        <v>0</v>
      </c>
      <c r="Q37" s="992"/>
      <c r="R37" s="992">
        <f t="shared" si="24"/>
        <v>0</v>
      </c>
      <c r="S37" s="992">
        <f t="shared" si="25"/>
        <v>0</v>
      </c>
      <c r="T37" s="993">
        <f t="shared" si="26"/>
        <v>0</v>
      </c>
      <c r="U37" s="993">
        <f t="shared" si="27"/>
        <v>0</v>
      </c>
    </row>
    <row r="38" spans="1:21">
      <c r="A38" s="994">
        <v>32</v>
      </c>
      <c r="B38" s="995" t="s">
        <v>126</v>
      </c>
      <c r="C38" s="1002">
        <f>'[2]ALL-Reformatted'!H37</f>
        <v>0</v>
      </c>
      <c r="D38" s="1003">
        <f>'Table 3 Levels 1&amp;2'!BN40+'Table 3 Levels 1&amp;2'!BV40</f>
        <v>5504.4479209353676</v>
      </c>
      <c r="E38" s="1102">
        <f t="shared" si="14"/>
        <v>0</v>
      </c>
      <c r="F38" s="1102">
        <f t="shared" si="17"/>
        <v>0</v>
      </c>
      <c r="G38" s="1059">
        <f t="shared" si="15"/>
        <v>0</v>
      </c>
      <c r="H38" s="1112">
        <f t="shared" si="18"/>
        <v>0</v>
      </c>
      <c r="I38" s="1059">
        <f t="shared" si="19"/>
        <v>0</v>
      </c>
      <c r="J38" s="1059"/>
      <c r="K38" s="1059">
        <f t="shared" si="20"/>
        <v>0</v>
      </c>
      <c r="L38" s="1059">
        <f t="shared" si="21"/>
        <v>0</v>
      </c>
      <c r="M38" s="1051">
        <f>'[18]FY2012-13 Final'!K39</f>
        <v>1965</v>
      </c>
      <c r="N38" s="1053">
        <f t="shared" si="16"/>
        <v>0</v>
      </c>
      <c r="O38" s="1118">
        <f t="shared" si="22"/>
        <v>0</v>
      </c>
      <c r="P38" s="1053">
        <f t="shared" si="23"/>
        <v>0</v>
      </c>
      <c r="Q38" s="1053"/>
      <c r="R38" s="1053">
        <f t="shared" si="24"/>
        <v>0</v>
      </c>
      <c r="S38" s="1053">
        <f t="shared" si="25"/>
        <v>0</v>
      </c>
      <c r="T38" s="1054">
        <f t="shared" si="26"/>
        <v>0</v>
      </c>
      <c r="U38" s="1054">
        <f t="shared" si="27"/>
        <v>0</v>
      </c>
    </row>
    <row r="39" spans="1:21">
      <c r="A39" s="994">
        <v>33</v>
      </c>
      <c r="B39" s="995" t="s">
        <v>127</v>
      </c>
      <c r="C39" s="1002">
        <f>'[2]ALL-Reformatted'!H38</f>
        <v>0</v>
      </c>
      <c r="D39" s="1003">
        <f>'Table 3 Levels 1&amp;2'!BN41+'Table 3 Levels 1&amp;2'!BV41</f>
        <v>5322.07272511876</v>
      </c>
      <c r="E39" s="1102">
        <f t="shared" ref="E39:E70" si="28">D39*C39</f>
        <v>0</v>
      </c>
      <c r="F39" s="1102">
        <f t="shared" si="17"/>
        <v>0</v>
      </c>
      <c r="G39" s="1059">
        <f t="shared" ref="G39:G70" si="29">E39+F39</f>
        <v>0</v>
      </c>
      <c r="H39" s="1112">
        <f t="shared" si="18"/>
        <v>0</v>
      </c>
      <c r="I39" s="1059">
        <f t="shared" si="19"/>
        <v>0</v>
      </c>
      <c r="J39" s="1059"/>
      <c r="K39" s="1059">
        <f t="shared" si="20"/>
        <v>0</v>
      </c>
      <c r="L39" s="1059">
        <f t="shared" si="21"/>
        <v>0</v>
      </c>
      <c r="M39" s="1051">
        <f>'[18]FY2012-13 Final'!K40</f>
        <v>2771</v>
      </c>
      <c r="N39" s="1053">
        <f t="shared" ref="N39:N70" si="30">M39*C39</f>
        <v>0</v>
      </c>
      <c r="O39" s="1118">
        <f t="shared" si="22"/>
        <v>0</v>
      </c>
      <c r="P39" s="1053">
        <f t="shared" si="23"/>
        <v>0</v>
      </c>
      <c r="Q39" s="1053"/>
      <c r="R39" s="1053">
        <f t="shared" si="24"/>
        <v>0</v>
      </c>
      <c r="S39" s="1053">
        <f t="shared" si="25"/>
        <v>0</v>
      </c>
      <c r="T39" s="1054">
        <f t="shared" si="26"/>
        <v>0</v>
      </c>
      <c r="U39" s="1054">
        <f t="shared" si="27"/>
        <v>0</v>
      </c>
    </row>
    <row r="40" spans="1:21">
      <c r="A40" s="994">
        <v>34</v>
      </c>
      <c r="B40" s="995" t="s">
        <v>128</v>
      </c>
      <c r="C40" s="1002">
        <f>'[2]ALL-Reformatted'!H39</f>
        <v>0</v>
      </c>
      <c r="D40" s="1003">
        <f>'Table 3 Levels 1&amp;2'!BN42+'Table 3 Levels 1&amp;2'!BV42</f>
        <v>5959.062840731639</v>
      </c>
      <c r="E40" s="1102">
        <f t="shared" si="28"/>
        <v>0</v>
      </c>
      <c r="F40" s="1102">
        <f t="shared" si="17"/>
        <v>0</v>
      </c>
      <c r="G40" s="1059">
        <f t="shared" si="29"/>
        <v>0</v>
      </c>
      <c r="H40" s="1112">
        <f t="shared" si="18"/>
        <v>0</v>
      </c>
      <c r="I40" s="1059">
        <f t="shared" si="19"/>
        <v>0</v>
      </c>
      <c r="J40" s="1059"/>
      <c r="K40" s="1059">
        <f t="shared" si="20"/>
        <v>0</v>
      </c>
      <c r="L40" s="1059">
        <f t="shared" si="21"/>
        <v>0</v>
      </c>
      <c r="M40" s="1051">
        <f>'[18]FY2012-13 Final'!K41</f>
        <v>2758</v>
      </c>
      <c r="N40" s="1053">
        <f t="shared" si="30"/>
        <v>0</v>
      </c>
      <c r="O40" s="1118">
        <f t="shared" si="22"/>
        <v>0</v>
      </c>
      <c r="P40" s="1053">
        <f t="shared" si="23"/>
        <v>0</v>
      </c>
      <c r="Q40" s="1053"/>
      <c r="R40" s="1053">
        <f t="shared" si="24"/>
        <v>0</v>
      </c>
      <c r="S40" s="1053">
        <f t="shared" si="25"/>
        <v>0</v>
      </c>
      <c r="T40" s="1054">
        <f t="shared" si="26"/>
        <v>0</v>
      </c>
      <c r="U40" s="1054">
        <f t="shared" si="27"/>
        <v>0</v>
      </c>
    </row>
    <row r="41" spans="1:21">
      <c r="A41" s="998">
        <v>35</v>
      </c>
      <c r="B41" s="999" t="s">
        <v>129</v>
      </c>
      <c r="C41" s="1004">
        <f>'[2]ALL-Reformatted'!H40</f>
        <v>0</v>
      </c>
      <c r="D41" s="1005">
        <f>'Table 3 Levels 1&amp;2'!BN43+'Table 3 Levels 1&amp;2'!BV43</f>
        <v>4571.947611490059</v>
      </c>
      <c r="E41" s="1103">
        <f t="shared" si="28"/>
        <v>0</v>
      </c>
      <c r="F41" s="1103">
        <f t="shared" si="17"/>
        <v>0</v>
      </c>
      <c r="G41" s="1060">
        <f t="shared" si="29"/>
        <v>0</v>
      </c>
      <c r="H41" s="1113">
        <f t="shared" si="18"/>
        <v>0</v>
      </c>
      <c r="I41" s="1060">
        <f t="shared" si="19"/>
        <v>0</v>
      </c>
      <c r="J41" s="1060"/>
      <c r="K41" s="1060">
        <f t="shared" si="20"/>
        <v>0</v>
      </c>
      <c r="L41" s="1060">
        <f t="shared" si="21"/>
        <v>0</v>
      </c>
      <c r="M41" s="1056">
        <f>'[18]FY2012-13 Final'!K42</f>
        <v>3603</v>
      </c>
      <c r="N41" s="1057">
        <f t="shared" si="30"/>
        <v>0</v>
      </c>
      <c r="O41" s="1119">
        <f t="shared" si="22"/>
        <v>0</v>
      </c>
      <c r="P41" s="1057">
        <f t="shared" si="23"/>
        <v>0</v>
      </c>
      <c r="Q41" s="1057"/>
      <c r="R41" s="1057">
        <f t="shared" si="24"/>
        <v>0</v>
      </c>
      <c r="S41" s="1057">
        <f t="shared" si="25"/>
        <v>0</v>
      </c>
      <c r="T41" s="1058">
        <f t="shared" si="26"/>
        <v>0</v>
      </c>
      <c r="U41" s="1058">
        <f t="shared" si="27"/>
        <v>0</v>
      </c>
    </row>
    <row r="42" spans="1:21">
      <c r="A42" s="987">
        <v>36</v>
      </c>
      <c r="B42" s="988" t="s">
        <v>130</v>
      </c>
      <c r="C42" s="1006">
        <f>'[2]ALL-Reformatted'!H41</f>
        <v>0</v>
      </c>
      <c r="D42" s="1007">
        <f>'Table 3 Levels 1&amp;2'!BN44+'Table 3 Levels 1&amp;2'!BV44</f>
        <v>3666.4136012725312</v>
      </c>
      <c r="E42" s="1104">
        <f t="shared" si="28"/>
        <v>0</v>
      </c>
      <c r="F42" s="1104">
        <f t="shared" si="17"/>
        <v>0</v>
      </c>
      <c r="G42" s="1061">
        <f t="shared" si="29"/>
        <v>0</v>
      </c>
      <c r="H42" s="1114">
        <f t="shared" si="18"/>
        <v>0</v>
      </c>
      <c r="I42" s="1061">
        <f t="shared" si="19"/>
        <v>0</v>
      </c>
      <c r="J42" s="1061"/>
      <c r="K42" s="1061">
        <f t="shared" si="20"/>
        <v>0</v>
      </c>
      <c r="L42" s="1061">
        <f t="shared" si="21"/>
        <v>0</v>
      </c>
      <c r="M42" s="1051">
        <f>'[18]FY2012-13 Final'!K43</f>
        <v>4601</v>
      </c>
      <c r="N42" s="992">
        <f t="shared" si="30"/>
        <v>0</v>
      </c>
      <c r="O42" s="1117">
        <f t="shared" si="22"/>
        <v>0</v>
      </c>
      <c r="P42" s="992">
        <f t="shared" si="23"/>
        <v>0</v>
      </c>
      <c r="Q42" s="992"/>
      <c r="R42" s="992">
        <f t="shared" si="24"/>
        <v>0</v>
      </c>
      <c r="S42" s="992">
        <f t="shared" si="25"/>
        <v>0</v>
      </c>
      <c r="T42" s="993">
        <f t="shared" si="26"/>
        <v>0</v>
      </c>
      <c r="U42" s="993">
        <f t="shared" si="27"/>
        <v>0</v>
      </c>
    </row>
    <row r="43" spans="1:21">
      <c r="A43" s="994">
        <v>37</v>
      </c>
      <c r="B43" s="995" t="s">
        <v>131</v>
      </c>
      <c r="C43" s="1002">
        <f>'[2]ALL-Reformatted'!H42</f>
        <v>0</v>
      </c>
      <c r="D43" s="1003">
        <f>'Table 3 Levels 1&amp;2'!BN45+'Table 3 Levels 1&amp;2'!BV45</f>
        <v>5484.8089042263191</v>
      </c>
      <c r="E43" s="1102">
        <f t="shared" si="28"/>
        <v>0</v>
      </c>
      <c r="F43" s="1102">
        <f t="shared" si="17"/>
        <v>0</v>
      </c>
      <c r="G43" s="1059">
        <f t="shared" si="29"/>
        <v>0</v>
      </c>
      <c r="H43" s="1112">
        <f t="shared" si="18"/>
        <v>0</v>
      </c>
      <c r="I43" s="1059">
        <f t="shared" si="19"/>
        <v>0</v>
      </c>
      <c r="J43" s="1059"/>
      <c r="K43" s="1059">
        <f t="shared" si="20"/>
        <v>0</v>
      </c>
      <c r="L43" s="1059">
        <f t="shared" si="21"/>
        <v>0</v>
      </c>
      <c r="M43" s="1051">
        <f>'[18]FY2012-13 Final'!K44</f>
        <v>3099</v>
      </c>
      <c r="N43" s="1053">
        <f t="shared" si="30"/>
        <v>0</v>
      </c>
      <c r="O43" s="1118">
        <f t="shared" si="22"/>
        <v>0</v>
      </c>
      <c r="P43" s="1053">
        <f t="shared" si="23"/>
        <v>0</v>
      </c>
      <c r="Q43" s="1053"/>
      <c r="R43" s="1053">
        <f t="shared" si="24"/>
        <v>0</v>
      </c>
      <c r="S43" s="1053">
        <f t="shared" si="25"/>
        <v>0</v>
      </c>
      <c r="T43" s="1054">
        <f t="shared" si="26"/>
        <v>0</v>
      </c>
      <c r="U43" s="1054">
        <f t="shared" si="27"/>
        <v>0</v>
      </c>
    </row>
    <row r="44" spans="1:21">
      <c r="A44" s="994">
        <v>38</v>
      </c>
      <c r="B44" s="995" t="s">
        <v>132</v>
      </c>
      <c r="C44" s="1002">
        <f>'[2]ALL-Reformatted'!H43</f>
        <v>0</v>
      </c>
      <c r="D44" s="1003">
        <f>'Table 3 Levels 1&amp;2'!BN46+'Table 3 Levels 1&amp;2'!BV46</f>
        <v>2078.5917829727841</v>
      </c>
      <c r="E44" s="1102">
        <f t="shared" si="28"/>
        <v>0</v>
      </c>
      <c r="F44" s="1102">
        <f t="shared" si="17"/>
        <v>0</v>
      </c>
      <c r="G44" s="1059">
        <f t="shared" si="29"/>
        <v>0</v>
      </c>
      <c r="H44" s="1112">
        <f t="shared" si="18"/>
        <v>0</v>
      </c>
      <c r="I44" s="1059">
        <f t="shared" si="19"/>
        <v>0</v>
      </c>
      <c r="J44" s="1059"/>
      <c r="K44" s="1059">
        <f t="shared" si="20"/>
        <v>0</v>
      </c>
      <c r="L44" s="1059">
        <f t="shared" si="21"/>
        <v>0</v>
      </c>
      <c r="M44" s="1051">
        <f>'[18]FY2012-13 Final'!K45</f>
        <v>9674</v>
      </c>
      <c r="N44" s="1053">
        <f t="shared" si="30"/>
        <v>0</v>
      </c>
      <c r="O44" s="1118">
        <f t="shared" si="22"/>
        <v>0</v>
      </c>
      <c r="P44" s="1053">
        <f t="shared" si="23"/>
        <v>0</v>
      </c>
      <c r="Q44" s="1053"/>
      <c r="R44" s="1053">
        <f t="shared" si="24"/>
        <v>0</v>
      </c>
      <c r="S44" s="1053">
        <f t="shared" si="25"/>
        <v>0</v>
      </c>
      <c r="T44" s="1054">
        <f t="shared" si="26"/>
        <v>0</v>
      </c>
      <c r="U44" s="1054">
        <f t="shared" si="27"/>
        <v>0</v>
      </c>
    </row>
    <row r="45" spans="1:21">
      <c r="A45" s="994">
        <v>39</v>
      </c>
      <c r="B45" s="995" t="s">
        <v>133</v>
      </c>
      <c r="C45" s="1002">
        <f>'[2]ALL-Reformatted'!H44</f>
        <v>0</v>
      </c>
      <c r="D45" s="1003">
        <f>'Table 3 Levels 1&amp;2'!BN47+'Table 3 Levels 1&amp;2'!BV47</f>
        <v>3622.4878999042335</v>
      </c>
      <c r="E45" s="1102">
        <f t="shared" si="28"/>
        <v>0</v>
      </c>
      <c r="F45" s="1102">
        <f t="shared" si="17"/>
        <v>0</v>
      </c>
      <c r="G45" s="1059">
        <f t="shared" si="29"/>
        <v>0</v>
      </c>
      <c r="H45" s="1112">
        <f t="shared" si="18"/>
        <v>0</v>
      </c>
      <c r="I45" s="1059">
        <f t="shared" si="19"/>
        <v>0</v>
      </c>
      <c r="J45" s="1059"/>
      <c r="K45" s="1059">
        <f t="shared" si="20"/>
        <v>0</v>
      </c>
      <c r="L45" s="1059">
        <f t="shared" si="21"/>
        <v>0</v>
      </c>
      <c r="M45" s="1051">
        <f>'[18]FY2012-13 Final'!K46</f>
        <v>4277</v>
      </c>
      <c r="N45" s="1053">
        <f t="shared" si="30"/>
        <v>0</v>
      </c>
      <c r="O45" s="1118">
        <f t="shared" si="22"/>
        <v>0</v>
      </c>
      <c r="P45" s="1053">
        <f t="shared" si="23"/>
        <v>0</v>
      </c>
      <c r="Q45" s="1053"/>
      <c r="R45" s="1053">
        <f t="shared" si="24"/>
        <v>0</v>
      </c>
      <c r="S45" s="1053">
        <f t="shared" si="25"/>
        <v>0</v>
      </c>
      <c r="T45" s="1054">
        <f t="shared" si="26"/>
        <v>0</v>
      </c>
      <c r="U45" s="1054">
        <f t="shared" si="27"/>
        <v>0</v>
      </c>
    </row>
    <row r="46" spans="1:21">
      <c r="A46" s="998">
        <v>40</v>
      </c>
      <c r="B46" s="999" t="s">
        <v>134</v>
      </c>
      <c r="C46" s="1004">
        <f>'[2]ALL-Reformatted'!H45</f>
        <v>0</v>
      </c>
      <c r="D46" s="1005">
        <f>'Table 3 Levels 1&amp;2'!BN48+'Table 3 Levels 1&amp;2'!BV48</f>
        <v>4885.6387343180086</v>
      </c>
      <c r="E46" s="1103">
        <f t="shared" si="28"/>
        <v>0</v>
      </c>
      <c r="F46" s="1103">
        <f t="shared" si="17"/>
        <v>0</v>
      </c>
      <c r="G46" s="1060">
        <f t="shared" si="29"/>
        <v>0</v>
      </c>
      <c r="H46" s="1113">
        <f t="shared" si="18"/>
        <v>0</v>
      </c>
      <c r="I46" s="1060">
        <f t="shared" si="19"/>
        <v>0</v>
      </c>
      <c r="J46" s="1060"/>
      <c r="K46" s="1060">
        <f t="shared" si="20"/>
        <v>0</v>
      </c>
      <c r="L46" s="1060">
        <f t="shared" si="21"/>
        <v>0</v>
      </c>
      <c r="M46" s="1056">
        <f>'[18]FY2012-13 Final'!K47</f>
        <v>2921</v>
      </c>
      <c r="N46" s="1057">
        <f t="shared" si="30"/>
        <v>0</v>
      </c>
      <c r="O46" s="1119">
        <f t="shared" si="22"/>
        <v>0</v>
      </c>
      <c r="P46" s="1057">
        <f t="shared" si="23"/>
        <v>0</v>
      </c>
      <c r="Q46" s="1057"/>
      <c r="R46" s="1057">
        <f t="shared" si="24"/>
        <v>0</v>
      </c>
      <c r="S46" s="1057">
        <f t="shared" si="25"/>
        <v>0</v>
      </c>
      <c r="T46" s="1058">
        <f t="shared" si="26"/>
        <v>0</v>
      </c>
      <c r="U46" s="1058">
        <f t="shared" si="27"/>
        <v>0</v>
      </c>
    </row>
    <row r="47" spans="1:21">
      <c r="A47" s="987">
        <v>41</v>
      </c>
      <c r="B47" s="988" t="s">
        <v>135</v>
      </c>
      <c r="C47" s="1006">
        <f>'[2]ALL-Reformatted'!H46</f>
        <v>0</v>
      </c>
      <c r="D47" s="1007">
        <f>'Table 3 Levels 1&amp;2'!BN49+'Table 3 Levels 1&amp;2'!BV49</f>
        <v>1602.0398121899364</v>
      </c>
      <c r="E47" s="1104">
        <f t="shared" si="28"/>
        <v>0</v>
      </c>
      <c r="F47" s="1104">
        <f t="shared" si="17"/>
        <v>0</v>
      </c>
      <c r="G47" s="1061">
        <f t="shared" si="29"/>
        <v>0</v>
      </c>
      <c r="H47" s="1114">
        <f t="shared" si="18"/>
        <v>0</v>
      </c>
      <c r="I47" s="1061">
        <f t="shared" si="19"/>
        <v>0</v>
      </c>
      <c r="J47" s="1061"/>
      <c r="K47" s="1061">
        <f t="shared" si="20"/>
        <v>0</v>
      </c>
      <c r="L47" s="1061">
        <f t="shared" si="21"/>
        <v>0</v>
      </c>
      <c r="M47" s="1051">
        <f>'[18]FY2012-13 Final'!K48</f>
        <v>12026</v>
      </c>
      <c r="N47" s="992">
        <f t="shared" si="30"/>
        <v>0</v>
      </c>
      <c r="O47" s="1117">
        <f t="shared" si="22"/>
        <v>0</v>
      </c>
      <c r="P47" s="992">
        <f t="shared" si="23"/>
        <v>0</v>
      </c>
      <c r="Q47" s="992"/>
      <c r="R47" s="992">
        <f t="shared" si="24"/>
        <v>0</v>
      </c>
      <c r="S47" s="992">
        <f t="shared" si="25"/>
        <v>0</v>
      </c>
      <c r="T47" s="993">
        <f t="shared" si="26"/>
        <v>0</v>
      </c>
      <c r="U47" s="993">
        <f t="shared" si="27"/>
        <v>0</v>
      </c>
    </row>
    <row r="48" spans="1:21">
      <c r="A48" s="994">
        <v>42</v>
      </c>
      <c r="B48" s="995" t="s">
        <v>136</v>
      </c>
      <c r="C48" s="1002">
        <f>'[2]ALL-Reformatted'!H47</f>
        <v>0</v>
      </c>
      <c r="D48" s="1003">
        <f>'Table 3 Levels 1&amp;2'!BN50+'Table 3 Levels 1&amp;2'!BV50</f>
        <v>5098.6172346404755</v>
      </c>
      <c r="E48" s="1102">
        <f t="shared" si="28"/>
        <v>0</v>
      </c>
      <c r="F48" s="1102">
        <f t="shared" si="17"/>
        <v>0</v>
      </c>
      <c r="G48" s="1059">
        <f t="shared" si="29"/>
        <v>0</v>
      </c>
      <c r="H48" s="1112">
        <f t="shared" si="18"/>
        <v>0</v>
      </c>
      <c r="I48" s="1059">
        <f t="shared" si="19"/>
        <v>0</v>
      </c>
      <c r="J48" s="1059"/>
      <c r="K48" s="1059">
        <f t="shared" si="20"/>
        <v>0</v>
      </c>
      <c r="L48" s="1059">
        <f t="shared" si="21"/>
        <v>0</v>
      </c>
      <c r="M48" s="1051">
        <f>'[18]FY2012-13 Final'!K49</f>
        <v>2554</v>
      </c>
      <c r="N48" s="1053">
        <f t="shared" si="30"/>
        <v>0</v>
      </c>
      <c r="O48" s="1118">
        <f t="shared" si="22"/>
        <v>0</v>
      </c>
      <c r="P48" s="1053">
        <f t="shared" si="23"/>
        <v>0</v>
      </c>
      <c r="Q48" s="1053"/>
      <c r="R48" s="1053">
        <f t="shared" si="24"/>
        <v>0</v>
      </c>
      <c r="S48" s="1053">
        <f t="shared" si="25"/>
        <v>0</v>
      </c>
      <c r="T48" s="1054">
        <f t="shared" si="26"/>
        <v>0</v>
      </c>
      <c r="U48" s="1054">
        <f t="shared" si="27"/>
        <v>0</v>
      </c>
    </row>
    <row r="49" spans="1:21">
      <c r="A49" s="994">
        <v>43</v>
      </c>
      <c r="B49" s="995" t="s">
        <v>137</v>
      </c>
      <c r="C49" s="1002">
        <f>'[2]ALL-Reformatted'!H48</f>
        <v>0</v>
      </c>
      <c r="D49" s="1003">
        <f>'Table 3 Levels 1&amp;2'!BN51+'Table 3 Levels 1&amp;2'!BV51</f>
        <v>4701.3362575004667</v>
      </c>
      <c r="E49" s="1102">
        <f t="shared" si="28"/>
        <v>0</v>
      </c>
      <c r="F49" s="1102">
        <f t="shared" si="17"/>
        <v>0</v>
      </c>
      <c r="G49" s="1059">
        <f t="shared" si="29"/>
        <v>0</v>
      </c>
      <c r="H49" s="1112">
        <f t="shared" si="18"/>
        <v>0</v>
      </c>
      <c r="I49" s="1059">
        <f t="shared" si="19"/>
        <v>0</v>
      </c>
      <c r="J49" s="1059"/>
      <c r="K49" s="1059">
        <f t="shared" si="20"/>
        <v>0</v>
      </c>
      <c r="L49" s="1059">
        <f t="shared" si="21"/>
        <v>0</v>
      </c>
      <c r="M49" s="1051">
        <f>'[18]FY2012-13 Final'!K50</f>
        <v>5265</v>
      </c>
      <c r="N49" s="1053">
        <f t="shared" si="30"/>
        <v>0</v>
      </c>
      <c r="O49" s="1118">
        <f t="shared" si="22"/>
        <v>0</v>
      </c>
      <c r="P49" s="1053">
        <f t="shared" si="23"/>
        <v>0</v>
      </c>
      <c r="Q49" s="1053"/>
      <c r="R49" s="1053">
        <f t="shared" si="24"/>
        <v>0</v>
      </c>
      <c r="S49" s="1053">
        <f t="shared" si="25"/>
        <v>0</v>
      </c>
      <c r="T49" s="1054">
        <f t="shared" si="26"/>
        <v>0</v>
      </c>
      <c r="U49" s="1054">
        <f t="shared" si="27"/>
        <v>0</v>
      </c>
    </row>
    <row r="50" spans="1:21">
      <c r="A50" s="994">
        <v>44</v>
      </c>
      <c r="B50" s="995" t="s">
        <v>138</v>
      </c>
      <c r="C50" s="1002">
        <f>'[2]ALL-Reformatted'!H49</f>
        <v>0</v>
      </c>
      <c r="D50" s="1003">
        <f>'Table 3 Levels 1&amp;2'!BN52+'Table 3 Levels 1&amp;2'!BV52</f>
        <v>4649.5559521248724</v>
      </c>
      <c r="E50" s="1102">
        <f t="shared" si="28"/>
        <v>0</v>
      </c>
      <c r="F50" s="1102">
        <f t="shared" si="17"/>
        <v>0</v>
      </c>
      <c r="G50" s="1059">
        <f t="shared" si="29"/>
        <v>0</v>
      </c>
      <c r="H50" s="1112">
        <f t="shared" si="18"/>
        <v>0</v>
      </c>
      <c r="I50" s="1059">
        <f t="shared" si="19"/>
        <v>0</v>
      </c>
      <c r="J50" s="1059"/>
      <c r="K50" s="1059">
        <f t="shared" si="20"/>
        <v>0</v>
      </c>
      <c r="L50" s="1059">
        <f t="shared" si="21"/>
        <v>0</v>
      </c>
      <c r="M50" s="1051">
        <f>'[18]FY2012-13 Final'!K51</f>
        <v>4109</v>
      </c>
      <c r="N50" s="1053">
        <f t="shared" si="30"/>
        <v>0</v>
      </c>
      <c r="O50" s="1118">
        <f t="shared" si="22"/>
        <v>0</v>
      </c>
      <c r="P50" s="1053">
        <f t="shared" si="23"/>
        <v>0</v>
      </c>
      <c r="Q50" s="1053"/>
      <c r="R50" s="1053">
        <f t="shared" si="24"/>
        <v>0</v>
      </c>
      <c r="S50" s="1053">
        <f t="shared" si="25"/>
        <v>0</v>
      </c>
      <c r="T50" s="1054">
        <f t="shared" si="26"/>
        <v>0</v>
      </c>
      <c r="U50" s="1054">
        <f t="shared" si="27"/>
        <v>0</v>
      </c>
    </row>
    <row r="51" spans="1:21">
      <c r="A51" s="998">
        <v>45</v>
      </c>
      <c r="B51" s="999" t="s">
        <v>139</v>
      </c>
      <c r="C51" s="1004">
        <f>'[2]ALL-Reformatted'!H50</f>
        <v>0</v>
      </c>
      <c r="D51" s="1005">
        <f>'Table 3 Levels 1&amp;2'!BN53+'Table 3 Levels 1&amp;2'!BV53</f>
        <v>2159.257884231537</v>
      </c>
      <c r="E51" s="1103">
        <f t="shared" si="28"/>
        <v>0</v>
      </c>
      <c r="F51" s="1103">
        <f t="shared" si="17"/>
        <v>0</v>
      </c>
      <c r="G51" s="1060">
        <f t="shared" si="29"/>
        <v>0</v>
      </c>
      <c r="H51" s="1113">
        <f t="shared" si="18"/>
        <v>0</v>
      </c>
      <c r="I51" s="1060">
        <f t="shared" si="19"/>
        <v>0</v>
      </c>
      <c r="J51" s="1060"/>
      <c r="K51" s="1060">
        <f t="shared" si="20"/>
        <v>0</v>
      </c>
      <c r="L51" s="1060">
        <f t="shared" si="21"/>
        <v>0</v>
      </c>
      <c r="M51" s="1056">
        <f>'[18]FY2012-13 Final'!K52</f>
        <v>12427</v>
      </c>
      <c r="N51" s="1057">
        <f t="shared" si="30"/>
        <v>0</v>
      </c>
      <c r="O51" s="1119">
        <f t="shared" si="22"/>
        <v>0</v>
      </c>
      <c r="P51" s="1057">
        <f t="shared" si="23"/>
        <v>0</v>
      </c>
      <c r="Q51" s="1057"/>
      <c r="R51" s="1057">
        <f t="shared" si="24"/>
        <v>0</v>
      </c>
      <c r="S51" s="1057">
        <f t="shared" si="25"/>
        <v>0</v>
      </c>
      <c r="T51" s="1058">
        <f t="shared" si="26"/>
        <v>0</v>
      </c>
      <c r="U51" s="1058">
        <f t="shared" si="27"/>
        <v>0</v>
      </c>
    </row>
    <row r="52" spans="1:21">
      <c r="A52" s="987">
        <v>46</v>
      </c>
      <c r="B52" s="988" t="s">
        <v>140</v>
      </c>
      <c r="C52" s="1006">
        <f>'[2]ALL-Reformatted'!H51</f>
        <v>0</v>
      </c>
      <c r="D52" s="1007">
        <f>'Table 3 Levels 1&amp;2'!BN54+'Table 3 Levels 1&amp;2'!BV54</f>
        <v>5578.7258135108641</v>
      </c>
      <c r="E52" s="1104">
        <f t="shared" si="28"/>
        <v>0</v>
      </c>
      <c r="F52" s="1104">
        <f t="shared" si="17"/>
        <v>0</v>
      </c>
      <c r="G52" s="1061">
        <f t="shared" si="29"/>
        <v>0</v>
      </c>
      <c r="H52" s="1114">
        <f t="shared" si="18"/>
        <v>0</v>
      </c>
      <c r="I52" s="1061">
        <f t="shared" si="19"/>
        <v>0</v>
      </c>
      <c r="J52" s="1061"/>
      <c r="K52" s="1061">
        <f t="shared" si="20"/>
        <v>0</v>
      </c>
      <c r="L52" s="1061">
        <f t="shared" si="21"/>
        <v>0</v>
      </c>
      <c r="M52" s="1051">
        <f>'[18]FY2012-13 Final'!K53</f>
        <v>1968</v>
      </c>
      <c r="N52" s="992">
        <f t="shared" si="30"/>
        <v>0</v>
      </c>
      <c r="O52" s="1117">
        <f t="shared" si="22"/>
        <v>0</v>
      </c>
      <c r="P52" s="992">
        <f t="shared" si="23"/>
        <v>0</v>
      </c>
      <c r="Q52" s="992"/>
      <c r="R52" s="992">
        <f t="shared" si="24"/>
        <v>0</v>
      </c>
      <c r="S52" s="992">
        <f t="shared" si="25"/>
        <v>0</v>
      </c>
      <c r="T52" s="993">
        <f t="shared" si="26"/>
        <v>0</v>
      </c>
      <c r="U52" s="993">
        <f t="shared" si="27"/>
        <v>0</v>
      </c>
    </row>
    <row r="53" spans="1:21">
      <c r="A53" s="994">
        <v>47</v>
      </c>
      <c r="B53" s="995" t="s">
        <v>141</v>
      </c>
      <c r="C53" s="1002">
        <f>'[2]ALL-Reformatted'!H52</f>
        <v>0</v>
      </c>
      <c r="D53" s="1003">
        <f>'Table 3 Levels 1&amp;2'!BN55+'Table 3 Levels 1&amp;2'!BV55</f>
        <v>2709.058014721415</v>
      </c>
      <c r="E53" s="1102">
        <f t="shared" si="28"/>
        <v>0</v>
      </c>
      <c r="F53" s="1102">
        <f t="shared" si="17"/>
        <v>0</v>
      </c>
      <c r="G53" s="1059">
        <f t="shared" si="29"/>
        <v>0</v>
      </c>
      <c r="H53" s="1112">
        <f t="shared" si="18"/>
        <v>0</v>
      </c>
      <c r="I53" s="1059">
        <f t="shared" si="19"/>
        <v>0</v>
      </c>
      <c r="J53" s="1059"/>
      <c r="K53" s="1059">
        <f t="shared" si="20"/>
        <v>0</v>
      </c>
      <c r="L53" s="1059">
        <f t="shared" si="21"/>
        <v>0</v>
      </c>
      <c r="M53" s="1051">
        <f>'[18]FY2012-13 Final'!K54</f>
        <v>10049</v>
      </c>
      <c r="N53" s="1053">
        <f t="shared" si="30"/>
        <v>0</v>
      </c>
      <c r="O53" s="1118">
        <f t="shared" si="22"/>
        <v>0</v>
      </c>
      <c r="P53" s="1053">
        <f t="shared" si="23"/>
        <v>0</v>
      </c>
      <c r="Q53" s="1053"/>
      <c r="R53" s="1053">
        <f t="shared" si="24"/>
        <v>0</v>
      </c>
      <c r="S53" s="1053">
        <f t="shared" si="25"/>
        <v>0</v>
      </c>
      <c r="T53" s="1054">
        <f t="shared" si="26"/>
        <v>0</v>
      </c>
      <c r="U53" s="1054">
        <f t="shared" si="27"/>
        <v>0</v>
      </c>
    </row>
    <row r="54" spans="1:21">
      <c r="A54" s="994">
        <v>48</v>
      </c>
      <c r="B54" s="995" t="s">
        <v>202</v>
      </c>
      <c r="C54" s="1002">
        <f>'[2]ALL-Reformatted'!H53</f>
        <v>0</v>
      </c>
      <c r="D54" s="1003">
        <f>'Table 3 Levels 1&amp;2'!BN56+'Table 3 Levels 1&amp;2'!BV56</f>
        <v>4259.4136153508553</v>
      </c>
      <c r="E54" s="1102">
        <f t="shared" si="28"/>
        <v>0</v>
      </c>
      <c r="F54" s="1102">
        <f t="shared" si="17"/>
        <v>0</v>
      </c>
      <c r="G54" s="1059">
        <f t="shared" si="29"/>
        <v>0</v>
      </c>
      <c r="H54" s="1112">
        <f t="shared" si="18"/>
        <v>0</v>
      </c>
      <c r="I54" s="1059">
        <f t="shared" si="19"/>
        <v>0</v>
      </c>
      <c r="J54" s="1059"/>
      <c r="K54" s="1059">
        <f t="shared" si="20"/>
        <v>0</v>
      </c>
      <c r="L54" s="1059">
        <f t="shared" si="21"/>
        <v>0</v>
      </c>
      <c r="M54" s="1051">
        <f>'[18]FY2012-13 Final'!K55</f>
        <v>5755</v>
      </c>
      <c r="N54" s="1053">
        <f t="shared" si="30"/>
        <v>0</v>
      </c>
      <c r="O54" s="1118">
        <f t="shared" si="22"/>
        <v>0</v>
      </c>
      <c r="P54" s="1053">
        <f t="shared" si="23"/>
        <v>0</v>
      </c>
      <c r="Q54" s="1053"/>
      <c r="R54" s="1053">
        <f t="shared" si="24"/>
        <v>0</v>
      </c>
      <c r="S54" s="1053">
        <f t="shared" si="25"/>
        <v>0</v>
      </c>
      <c r="T54" s="1054">
        <f t="shared" si="26"/>
        <v>0</v>
      </c>
      <c r="U54" s="1054">
        <f t="shared" si="27"/>
        <v>0</v>
      </c>
    </row>
    <row r="55" spans="1:21">
      <c r="A55" s="994">
        <v>49</v>
      </c>
      <c r="B55" s="995" t="s">
        <v>142</v>
      </c>
      <c r="C55" s="1002">
        <f>'[2]ALL-Reformatted'!H54</f>
        <v>0</v>
      </c>
      <c r="D55" s="1003">
        <f>'Table 3 Levels 1&amp;2'!BN57+'Table 3 Levels 1&amp;2'!BV57</f>
        <v>4790.0513947378495</v>
      </c>
      <c r="E55" s="1102">
        <f t="shared" si="28"/>
        <v>0</v>
      </c>
      <c r="F55" s="1102">
        <f t="shared" si="17"/>
        <v>0</v>
      </c>
      <c r="G55" s="1059">
        <f t="shared" si="29"/>
        <v>0</v>
      </c>
      <c r="H55" s="1112">
        <f t="shared" si="18"/>
        <v>0</v>
      </c>
      <c r="I55" s="1059">
        <f t="shared" si="19"/>
        <v>0</v>
      </c>
      <c r="J55" s="1059"/>
      <c r="K55" s="1059">
        <f t="shared" si="20"/>
        <v>0</v>
      </c>
      <c r="L55" s="1059">
        <f t="shared" si="21"/>
        <v>0</v>
      </c>
      <c r="M55" s="1051">
        <f>'[18]FY2012-13 Final'!K56</f>
        <v>2335</v>
      </c>
      <c r="N55" s="1053">
        <f t="shared" si="30"/>
        <v>0</v>
      </c>
      <c r="O55" s="1118">
        <f t="shared" si="22"/>
        <v>0</v>
      </c>
      <c r="P55" s="1053">
        <f t="shared" si="23"/>
        <v>0</v>
      </c>
      <c r="Q55" s="1053"/>
      <c r="R55" s="1053">
        <f t="shared" si="24"/>
        <v>0</v>
      </c>
      <c r="S55" s="1053">
        <f t="shared" si="25"/>
        <v>0</v>
      </c>
      <c r="T55" s="1054">
        <f t="shared" si="26"/>
        <v>0</v>
      </c>
      <c r="U55" s="1054">
        <f t="shared" si="27"/>
        <v>0</v>
      </c>
    </row>
    <row r="56" spans="1:21">
      <c r="A56" s="998">
        <v>50</v>
      </c>
      <c r="B56" s="999" t="s">
        <v>143</v>
      </c>
      <c r="C56" s="1004">
        <f>'[2]ALL-Reformatted'!H55</f>
        <v>0</v>
      </c>
      <c r="D56" s="1005">
        <f>'Table 3 Levels 1&amp;2'!BN58+'Table 3 Levels 1&amp;2'!BV58</f>
        <v>4954.3375045905796</v>
      </c>
      <c r="E56" s="1103">
        <f t="shared" si="28"/>
        <v>0</v>
      </c>
      <c r="F56" s="1103">
        <f t="shared" si="17"/>
        <v>0</v>
      </c>
      <c r="G56" s="1060">
        <f t="shared" si="29"/>
        <v>0</v>
      </c>
      <c r="H56" s="1113">
        <f t="shared" si="18"/>
        <v>0</v>
      </c>
      <c r="I56" s="1060">
        <f t="shared" si="19"/>
        <v>0</v>
      </c>
      <c r="J56" s="1060"/>
      <c r="K56" s="1060">
        <f t="shared" si="20"/>
        <v>0</v>
      </c>
      <c r="L56" s="1060">
        <f t="shared" si="21"/>
        <v>0</v>
      </c>
      <c r="M56" s="1056">
        <f>'[18]FY2012-13 Final'!K57</f>
        <v>2801</v>
      </c>
      <c r="N56" s="1057">
        <f t="shared" si="30"/>
        <v>0</v>
      </c>
      <c r="O56" s="1119">
        <f t="shared" si="22"/>
        <v>0</v>
      </c>
      <c r="P56" s="1057">
        <f t="shared" si="23"/>
        <v>0</v>
      </c>
      <c r="Q56" s="1057"/>
      <c r="R56" s="1057">
        <f t="shared" si="24"/>
        <v>0</v>
      </c>
      <c r="S56" s="1057">
        <f t="shared" si="25"/>
        <v>0</v>
      </c>
      <c r="T56" s="1058">
        <f t="shared" si="26"/>
        <v>0</v>
      </c>
      <c r="U56" s="1058">
        <f t="shared" si="27"/>
        <v>0</v>
      </c>
    </row>
    <row r="57" spans="1:21">
      <c r="A57" s="987">
        <v>51</v>
      </c>
      <c r="B57" s="988" t="s">
        <v>144</v>
      </c>
      <c r="C57" s="1006">
        <f>'[2]ALL-Reformatted'!H56</f>
        <v>287</v>
      </c>
      <c r="D57" s="1007">
        <f>'Table 3 Levels 1&amp;2'!BN59+'Table 3 Levels 1&amp;2'!BV59</f>
        <v>4290.3461727150461</v>
      </c>
      <c r="E57" s="1104">
        <f t="shared" si="28"/>
        <v>1231329.3515692183</v>
      </c>
      <c r="F57" s="1104">
        <f t="shared" si="17"/>
        <v>171741.84307441118</v>
      </c>
      <c r="G57" s="1061">
        <f t="shared" si="29"/>
        <v>1403071.1946436295</v>
      </c>
      <c r="H57" s="1114">
        <f t="shared" si="18"/>
        <v>-3507.6779866090737</v>
      </c>
      <c r="I57" s="1061">
        <f t="shared" si="19"/>
        <v>1399563.5166570204</v>
      </c>
      <c r="J57" s="1061"/>
      <c r="K57" s="1061">
        <f t="shared" si="20"/>
        <v>1399563.5166570204</v>
      </c>
      <c r="L57" s="1061">
        <f t="shared" si="21"/>
        <v>116630</v>
      </c>
      <c r="M57" s="1051">
        <f>'[18]FY2012-13 Final'!K58</f>
        <v>4053</v>
      </c>
      <c r="N57" s="992">
        <f t="shared" si="30"/>
        <v>1163211</v>
      </c>
      <c r="O57" s="1117">
        <f t="shared" si="22"/>
        <v>-2908.0275000000001</v>
      </c>
      <c r="P57" s="992">
        <f t="shared" si="23"/>
        <v>1160302.9724999999</v>
      </c>
      <c r="Q57" s="992"/>
      <c r="R57" s="992">
        <f t="shared" si="24"/>
        <v>1160302.9724999999</v>
      </c>
      <c r="S57" s="992">
        <f t="shared" si="25"/>
        <v>96692</v>
      </c>
      <c r="T57" s="993">
        <f t="shared" si="26"/>
        <v>2559866.4891570201</v>
      </c>
      <c r="U57" s="993">
        <f t="shared" si="27"/>
        <v>213322</v>
      </c>
    </row>
    <row r="58" spans="1:21">
      <c r="A58" s="994">
        <v>52</v>
      </c>
      <c r="B58" s="995" t="s">
        <v>145</v>
      </c>
      <c r="C58" s="1002">
        <f>'[2]ALL-Reformatted'!H57</f>
        <v>0</v>
      </c>
      <c r="D58" s="1003">
        <f>'Table 3 Levels 1&amp;2'!BN60+'Table 3 Levels 1&amp;2'!BV60</f>
        <v>4988.6415961118701</v>
      </c>
      <c r="E58" s="1102">
        <f t="shared" si="28"/>
        <v>0</v>
      </c>
      <c r="F58" s="1102">
        <f t="shared" si="17"/>
        <v>0</v>
      </c>
      <c r="G58" s="1059">
        <f t="shared" si="29"/>
        <v>0</v>
      </c>
      <c r="H58" s="1112">
        <f t="shared" si="18"/>
        <v>0</v>
      </c>
      <c r="I58" s="1059">
        <f t="shared" si="19"/>
        <v>0</v>
      </c>
      <c r="J58" s="1059"/>
      <c r="K58" s="1059">
        <f t="shared" si="20"/>
        <v>0</v>
      </c>
      <c r="L58" s="1059">
        <f t="shared" si="21"/>
        <v>0</v>
      </c>
      <c r="M58" s="1051">
        <f>'[18]FY2012-13 Final'!K59</f>
        <v>4886</v>
      </c>
      <c r="N58" s="1053">
        <f t="shared" si="30"/>
        <v>0</v>
      </c>
      <c r="O58" s="1118">
        <f t="shared" si="22"/>
        <v>0</v>
      </c>
      <c r="P58" s="1053">
        <f t="shared" si="23"/>
        <v>0</v>
      </c>
      <c r="Q58" s="1053"/>
      <c r="R58" s="1053">
        <f t="shared" si="24"/>
        <v>0</v>
      </c>
      <c r="S58" s="1053">
        <f t="shared" si="25"/>
        <v>0</v>
      </c>
      <c r="T58" s="1054">
        <f t="shared" si="26"/>
        <v>0</v>
      </c>
      <c r="U58" s="1054">
        <f t="shared" si="27"/>
        <v>0</v>
      </c>
    </row>
    <row r="59" spans="1:21">
      <c r="A59" s="994">
        <v>53</v>
      </c>
      <c r="B59" s="995" t="s">
        <v>146</v>
      </c>
      <c r="C59" s="1002">
        <f>'[2]ALL-Reformatted'!H58</f>
        <v>0</v>
      </c>
      <c r="D59" s="1003">
        <f>'Table 3 Levels 1&amp;2'!BN61+'Table 3 Levels 1&amp;2'!BV61</f>
        <v>4739.7077057162423</v>
      </c>
      <c r="E59" s="1102">
        <f t="shared" si="28"/>
        <v>0</v>
      </c>
      <c r="F59" s="1102">
        <f t="shared" si="17"/>
        <v>0</v>
      </c>
      <c r="G59" s="1059">
        <f t="shared" si="29"/>
        <v>0</v>
      </c>
      <c r="H59" s="1112">
        <f t="shared" si="18"/>
        <v>0</v>
      </c>
      <c r="I59" s="1059">
        <f t="shared" si="19"/>
        <v>0</v>
      </c>
      <c r="J59" s="1059"/>
      <c r="K59" s="1059">
        <f t="shared" si="20"/>
        <v>0</v>
      </c>
      <c r="L59" s="1059">
        <f t="shared" si="21"/>
        <v>0</v>
      </c>
      <c r="M59" s="1051">
        <f>'[18]FY2012-13 Final'!K60</f>
        <v>1929</v>
      </c>
      <c r="N59" s="1053">
        <f t="shared" si="30"/>
        <v>0</v>
      </c>
      <c r="O59" s="1118">
        <f t="shared" si="22"/>
        <v>0</v>
      </c>
      <c r="P59" s="1053">
        <f t="shared" si="23"/>
        <v>0</v>
      </c>
      <c r="Q59" s="1053"/>
      <c r="R59" s="1053">
        <f t="shared" si="24"/>
        <v>0</v>
      </c>
      <c r="S59" s="1053">
        <f t="shared" si="25"/>
        <v>0</v>
      </c>
      <c r="T59" s="1054">
        <f t="shared" si="26"/>
        <v>0</v>
      </c>
      <c r="U59" s="1054">
        <f t="shared" si="27"/>
        <v>0</v>
      </c>
    </row>
    <row r="60" spans="1:21">
      <c r="A60" s="994">
        <v>54</v>
      </c>
      <c r="B60" s="995" t="s">
        <v>147</v>
      </c>
      <c r="C60" s="1002">
        <f>'[2]ALL-Reformatted'!H59</f>
        <v>0</v>
      </c>
      <c r="D60" s="1003">
        <f>'Table 3 Levels 1&amp;2'!BN62+'Table 3 Levels 1&amp;2'!BV62</f>
        <v>5907.1276437932838</v>
      </c>
      <c r="E60" s="1102">
        <f t="shared" si="28"/>
        <v>0</v>
      </c>
      <c r="F60" s="1102">
        <f t="shared" si="17"/>
        <v>0</v>
      </c>
      <c r="G60" s="1059">
        <f t="shared" si="29"/>
        <v>0</v>
      </c>
      <c r="H60" s="1112">
        <f t="shared" si="18"/>
        <v>0</v>
      </c>
      <c r="I60" s="1059">
        <f t="shared" si="19"/>
        <v>0</v>
      </c>
      <c r="J60" s="1059"/>
      <c r="K60" s="1059">
        <f t="shared" si="20"/>
        <v>0</v>
      </c>
      <c r="L60" s="1059">
        <f t="shared" si="21"/>
        <v>0</v>
      </c>
      <c r="M60" s="1051">
        <f>'[18]FY2012-13 Final'!K61</f>
        <v>3382</v>
      </c>
      <c r="N60" s="1053">
        <f t="shared" si="30"/>
        <v>0</v>
      </c>
      <c r="O60" s="1118">
        <f t="shared" si="22"/>
        <v>0</v>
      </c>
      <c r="P60" s="1053">
        <f t="shared" si="23"/>
        <v>0</v>
      </c>
      <c r="Q60" s="1053"/>
      <c r="R60" s="1053">
        <f t="shared" si="24"/>
        <v>0</v>
      </c>
      <c r="S60" s="1053">
        <f t="shared" si="25"/>
        <v>0</v>
      </c>
      <c r="T60" s="1054">
        <f t="shared" si="26"/>
        <v>0</v>
      </c>
      <c r="U60" s="1054">
        <f t="shared" si="27"/>
        <v>0</v>
      </c>
    </row>
    <row r="61" spans="1:21">
      <c r="A61" s="998">
        <v>55</v>
      </c>
      <c r="B61" s="999" t="s">
        <v>148</v>
      </c>
      <c r="C61" s="1004">
        <f>'[2]ALL-Reformatted'!H60</f>
        <v>0</v>
      </c>
      <c r="D61" s="1005">
        <f>'Table 3 Levels 1&amp;2'!BN63+'Table 3 Levels 1&amp;2'!BV63</f>
        <v>4115.0954812679902</v>
      </c>
      <c r="E61" s="1103">
        <f t="shared" si="28"/>
        <v>0</v>
      </c>
      <c r="F61" s="1103">
        <f t="shared" si="17"/>
        <v>0</v>
      </c>
      <c r="G61" s="1060">
        <f t="shared" si="29"/>
        <v>0</v>
      </c>
      <c r="H61" s="1113">
        <f t="shared" si="18"/>
        <v>0</v>
      </c>
      <c r="I61" s="1060">
        <f t="shared" si="19"/>
        <v>0</v>
      </c>
      <c r="J61" s="1060"/>
      <c r="K61" s="1060">
        <f t="shared" si="20"/>
        <v>0</v>
      </c>
      <c r="L61" s="1060">
        <f t="shared" si="21"/>
        <v>0</v>
      </c>
      <c r="M61" s="1056">
        <f>'[18]FY2012-13 Final'!K62</f>
        <v>3127</v>
      </c>
      <c r="N61" s="1057">
        <f t="shared" si="30"/>
        <v>0</v>
      </c>
      <c r="O61" s="1119">
        <f t="shared" si="22"/>
        <v>0</v>
      </c>
      <c r="P61" s="1057">
        <f t="shared" si="23"/>
        <v>0</v>
      </c>
      <c r="Q61" s="1057"/>
      <c r="R61" s="1057">
        <f t="shared" si="24"/>
        <v>0</v>
      </c>
      <c r="S61" s="1057">
        <f t="shared" si="25"/>
        <v>0</v>
      </c>
      <c r="T61" s="1058">
        <f t="shared" si="26"/>
        <v>0</v>
      </c>
      <c r="U61" s="1058">
        <f t="shared" si="27"/>
        <v>0</v>
      </c>
    </row>
    <row r="62" spans="1:21">
      <c r="A62" s="987">
        <v>56</v>
      </c>
      <c r="B62" s="988" t="s">
        <v>149</v>
      </c>
      <c r="C62" s="1006">
        <f>'[2]ALL-Reformatted'!H61</f>
        <v>0</v>
      </c>
      <c r="D62" s="1007">
        <f>'Table 3 Levels 1&amp;2'!BN64+'Table 3 Levels 1&amp;2'!BV64</f>
        <v>4924.9032059941637</v>
      </c>
      <c r="E62" s="1104">
        <f t="shared" si="28"/>
        <v>0</v>
      </c>
      <c r="F62" s="1104">
        <f t="shared" si="17"/>
        <v>0</v>
      </c>
      <c r="G62" s="1061">
        <f t="shared" si="29"/>
        <v>0</v>
      </c>
      <c r="H62" s="1114">
        <f t="shared" si="18"/>
        <v>0</v>
      </c>
      <c r="I62" s="1061">
        <f t="shared" si="19"/>
        <v>0</v>
      </c>
      <c r="J62" s="1061"/>
      <c r="K62" s="1061">
        <f t="shared" si="20"/>
        <v>0</v>
      </c>
      <c r="L62" s="1061">
        <f t="shared" si="21"/>
        <v>0</v>
      </c>
      <c r="M62" s="1051">
        <f>'[18]FY2012-13 Final'!K63</f>
        <v>2768</v>
      </c>
      <c r="N62" s="992">
        <f t="shared" si="30"/>
        <v>0</v>
      </c>
      <c r="O62" s="1117">
        <f t="shared" si="22"/>
        <v>0</v>
      </c>
      <c r="P62" s="992">
        <f t="shared" si="23"/>
        <v>0</v>
      </c>
      <c r="Q62" s="992"/>
      <c r="R62" s="992">
        <f t="shared" si="24"/>
        <v>0</v>
      </c>
      <c r="S62" s="992">
        <f t="shared" si="25"/>
        <v>0</v>
      </c>
      <c r="T62" s="993">
        <f t="shared" si="26"/>
        <v>0</v>
      </c>
      <c r="U62" s="993">
        <f t="shared" si="27"/>
        <v>0</v>
      </c>
    </row>
    <row r="63" spans="1:21">
      <c r="A63" s="994">
        <v>57</v>
      </c>
      <c r="B63" s="995" t="s">
        <v>150</v>
      </c>
      <c r="C63" s="1002">
        <f>'[2]ALL-Reformatted'!H62</f>
        <v>0</v>
      </c>
      <c r="D63" s="1003">
        <f>'Table 3 Levels 1&amp;2'!BN65+'Table 3 Levels 1&amp;2'!BV65</f>
        <v>4434.5516744018987</v>
      </c>
      <c r="E63" s="1102">
        <f t="shared" si="28"/>
        <v>0</v>
      </c>
      <c r="F63" s="1102">
        <f t="shared" si="17"/>
        <v>0</v>
      </c>
      <c r="G63" s="1059">
        <f t="shared" si="29"/>
        <v>0</v>
      </c>
      <c r="H63" s="1112">
        <f t="shared" si="18"/>
        <v>0</v>
      </c>
      <c r="I63" s="1059">
        <f t="shared" si="19"/>
        <v>0</v>
      </c>
      <c r="J63" s="1059"/>
      <c r="K63" s="1059">
        <f t="shared" si="20"/>
        <v>0</v>
      </c>
      <c r="L63" s="1059">
        <f t="shared" si="21"/>
        <v>0</v>
      </c>
      <c r="M63" s="1051">
        <f>'[18]FY2012-13 Final'!K64</f>
        <v>2987</v>
      </c>
      <c r="N63" s="1053">
        <f t="shared" si="30"/>
        <v>0</v>
      </c>
      <c r="O63" s="1118">
        <f t="shared" si="22"/>
        <v>0</v>
      </c>
      <c r="P63" s="1053">
        <f t="shared" si="23"/>
        <v>0</v>
      </c>
      <c r="Q63" s="1053"/>
      <c r="R63" s="1053">
        <f t="shared" si="24"/>
        <v>0</v>
      </c>
      <c r="S63" s="1053">
        <f t="shared" si="25"/>
        <v>0</v>
      </c>
      <c r="T63" s="1054">
        <f t="shared" si="26"/>
        <v>0</v>
      </c>
      <c r="U63" s="1054">
        <f t="shared" si="27"/>
        <v>0</v>
      </c>
    </row>
    <row r="64" spans="1:21">
      <c r="A64" s="994">
        <v>58</v>
      </c>
      <c r="B64" s="995" t="s">
        <v>151</v>
      </c>
      <c r="C64" s="1002">
        <f>'[2]ALL-Reformatted'!H63</f>
        <v>0</v>
      </c>
      <c r="D64" s="1003">
        <f>'Table 3 Levels 1&amp;2'!BN66+'Table 3 Levels 1&amp;2'!BV66</f>
        <v>5434.7170435013286</v>
      </c>
      <c r="E64" s="1102">
        <f t="shared" si="28"/>
        <v>0</v>
      </c>
      <c r="F64" s="1102">
        <f t="shared" si="17"/>
        <v>0</v>
      </c>
      <c r="G64" s="1059">
        <f t="shared" si="29"/>
        <v>0</v>
      </c>
      <c r="H64" s="1112">
        <f t="shared" si="18"/>
        <v>0</v>
      </c>
      <c r="I64" s="1059">
        <f t="shared" si="19"/>
        <v>0</v>
      </c>
      <c r="J64" s="1059"/>
      <c r="K64" s="1059">
        <f t="shared" si="20"/>
        <v>0</v>
      </c>
      <c r="L64" s="1059">
        <f t="shared" si="21"/>
        <v>0</v>
      </c>
      <c r="M64" s="1051">
        <f>'[18]FY2012-13 Final'!K65</f>
        <v>2055</v>
      </c>
      <c r="N64" s="1053">
        <f t="shared" si="30"/>
        <v>0</v>
      </c>
      <c r="O64" s="1118">
        <f t="shared" si="22"/>
        <v>0</v>
      </c>
      <c r="P64" s="1053">
        <f t="shared" si="23"/>
        <v>0</v>
      </c>
      <c r="Q64" s="1053"/>
      <c r="R64" s="1053">
        <f t="shared" si="24"/>
        <v>0</v>
      </c>
      <c r="S64" s="1053">
        <f t="shared" si="25"/>
        <v>0</v>
      </c>
      <c r="T64" s="1054">
        <f t="shared" si="26"/>
        <v>0</v>
      </c>
      <c r="U64" s="1054">
        <f t="shared" si="27"/>
        <v>0</v>
      </c>
    </row>
    <row r="65" spans="1:21">
      <c r="A65" s="994">
        <v>59</v>
      </c>
      <c r="B65" s="995" t="s">
        <v>152</v>
      </c>
      <c r="C65" s="1002">
        <f>'[2]ALL-Reformatted'!H64</f>
        <v>0</v>
      </c>
      <c r="D65" s="1003">
        <f>'Table 3 Levels 1&amp;2'!BN67+'Table 3 Levels 1&amp;2'!BV67</f>
        <v>6252.2385330184643</v>
      </c>
      <c r="E65" s="1102">
        <f t="shared" si="28"/>
        <v>0</v>
      </c>
      <c r="F65" s="1102">
        <f t="shared" si="17"/>
        <v>0</v>
      </c>
      <c r="G65" s="1059">
        <f t="shared" si="29"/>
        <v>0</v>
      </c>
      <c r="H65" s="1112">
        <f t="shared" si="18"/>
        <v>0</v>
      </c>
      <c r="I65" s="1059">
        <f t="shared" si="19"/>
        <v>0</v>
      </c>
      <c r="J65" s="1059"/>
      <c r="K65" s="1059">
        <f t="shared" si="20"/>
        <v>0</v>
      </c>
      <c r="L65" s="1059">
        <f t="shared" si="21"/>
        <v>0</v>
      </c>
      <c r="M65" s="1051">
        <f>'[18]FY2012-13 Final'!K66</f>
        <v>1528</v>
      </c>
      <c r="N65" s="1053">
        <f t="shared" si="30"/>
        <v>0</v>
      </c>
      <c r="O65" s="1118">
        <f t="shared" si="22"/>
        <v>0</v>
      </c>
      <c r="P65" s="1053">
        <f t="shared" si="23"/>
        <v>0</v>
      </c>
      <c r="Q65" s="1053"/>
      <c r="R65" s="1053">
        <f t="shared" si="24"/>
        <v>0</v>
      </c>
      <c r="S65" s="1053">
        <f t="shared" si="25"/>
        <v>0</v>
      </c>
      <c r="T65" s="1054">
        <f t="shared" si="26"/>
        <v>0</v>
      </c>
      <c r="U65" s="1054">
        <f t="shared" si="27"/>
        <v>0</v>
      </c>
    </row>
    <row r="66" spans="1:21">
      <c r="A66" s="998">
        <v>60</v>
      </c>
      <c r="B66" s="999" t="s">
        <v>153</v>
      </c>
      <c r="C66" s="1004">
        <f>'[2]ALL-Reformatted'!H65</f>
        <v>0</v>
      </c>
      <c r="D66" s="1005">
        <f>'Table 3 Levels 1&amp;2'!BN68+'Table 3 Levels 1&amp;2'!BV68</f>
        <v>4902.6575100268701</v>
      </c>
      <c r="E66" s="1103">
        <f t="shared" si="28"/>
        <v>0</v>
      </c>
      <c r="F66" s="1103">
        <f t="shared" si="17"/>
        <v>0</v>
      </c>
      <c r="G66" s="1060">
        <f t="shared" si="29"/>
        <v>0</v>
      </c>
      <c r="H66" s="1113">
        <f t="shared" si="18"/>
        <v>0</v>
      </c>
      <c r="I66" s="1060">
        <f t="shared" si="19"/>
        <v>0</v>
      </c>
      <c r="J66" s="1060"/>
      <c r="K66" s="1060">
        <f t="shared" si="20"/>
        <v>0</v>
      </c>
      <c r="L66" s="1060">
        <f t="shared" si="21"/>
        <v>0</v>
      </c>
      <c r="M66" s="1056">
        <f>'[18]FY2012-13 Final'!K67</f>
        <v>3918</v>
      </c>
      <c r="N66" s="1057">
        <f t="shared" si="30"/>
        <v>0</v>
      </c>
      <c r="O66" s="1119">
        <f t="shared" si="22"/>
        <v>0</v>
      </c>
      <c r="P66" s="1057">
        <f t="shared" si="23"/>
        <v>0</v>
      </c>
      <c r="Q66" s="1057"/>
      <c r="R66" s="1057">
        <f t="shared" si="24"/>
        <v>0</v>
      </c>
      <c r="S66" s="1057">
        <f t="shared" si="25"/>
        <v>0</v>
      </c>
      <c r="T66" s="1058">
        <f t="shared" si="26"/>
        <v>0</v>
      </c>
      <c r="U66" s="1058">
        <f t="shared" si="27"/>
        <v>0</v>
      </c>
    </row>
    <row r="67" spans="1:21">
      <c r="A67" s="987">
        <v>61</v>
      </c>
      <c r="B67" s="988" t="s">
        <v>154</v>
      </c>
      <c r="C67" s="1006">
        <f>'[2]ALL-Reformatted'!H66</f>
        <v>0</v>
      </c>
      <c r="D67" s="1007">
        <f>'Table 3 Levels 1&amp;2'!BN69+'Table 3 Levels 1&amp;2'!BV69</f>
        <v>2872.7719101339244</v>
      </c>
      <c r="E67" s="1104">
        <f t="shared" si="28"/>
        <v>0</v>
      </c>
      <c r="F67" s="1104">
        <f t="shared" si="17"/>
        <v>0</v>
      </c>
      <c r="G67" s="1061">
        <f t="shared" si="29"/>
        <v>0</v>
      </c>
      <c r="H67" s="1114">
        <f t="shared" si="18"/>
        <v>0</v>
      </c>
      <c r="I67" s="1061">
        <f t="shared" si="19"/>
        <v>0</v>
      </c>
      <c r="J67" s="1061"/>
      <c r="K67" s="1061">
        <f t="shared" si="20"/>
        <v>0</v>
      </c>
      <c r="L67" s="1061">
        <f t="shared" si="21"/>
        <v>0</v>
      </c>
      <c r="M67" s="1051">
        <f>'[18]FY2012-13 Final'!K68</f>
        <v>6680</v>
      </c>
      <c r="N67" s="992">
        <f t="shared" si="30"/>
        <v>0</v>
      </c>
      <c r="O67" s="1117">
        <f t="shared" si="22"/>
        <v>0</v>
      </c>
      <c r="P67" s="992">
        <f t="shared" si="23"/>
        <v>0</v>
      </c>
      <c r="Q67" s="992"/>
      <c r="R67" s="992">
        <f t="shared" si="24"/>
        <v>0</v>
      </c>
      <c r="S67" s="992">
        <f t="shared" si="25"/>
        <v>0</v>
      </c>
      <c r="T67" s="993">
        <f t="shared" si="26"/>
        <v>0</v>
      </c>
      <c r="U67" s="993">
        <f t="shared" si="27"/>
        <v>0</v>
      </c>
    </row>
    <row r="68" spans="1:21">
      <c r="A68" s="994">
        <v>62</v>
      </c>
      <c r="B68" s="995" t="s">
        <v>155</v>
      </c>
      <c r="C68" s="1002">
        <f>'[2]ALL-Reformatted'!H67</f>
        <v>0</v>
      </c>
      <c r="D68" s="1003">
        <f>'Table 3 Levels 1&amp;2'!BN70+'Table 3 Levels 1&amp;2'!BV70</f>
        <v>5594.25143978908</v>
      </c>
      <c r="E68" s="1102">
        <f t="shared" si="28"/>
        <v>0</v>
      </c>
      <c r="F68" s="1102">
        <f t="shared" si="17"/>
        <v>0</v>
      </c>
      <c r="G68" s="1059">
        <f t="shared" si="29"/>
        <v>0</v>
      </c>
      <c r="H68" s="1112">
        <f t="shared" si="18"/>
        <v>0</v>
      </c>
      <c r="I68" s="1059">
        <f t="shared" si="19"/>
        <v>0</v>
      </c>
      <c r="J68" s="1059"/>
      <c r="K68" s="1059">
        <f t="shared" si="20"/>
        <v>0</v>
      </c>
      <c r="L68" s="1059">
        <f t="shared" si="21"/>
        <v>0</v>
      </c>
      <c r="M68" s="1051">
        <f>'[18]FY2012-13 Final'!K69</f>
        <v>1754</v>
      </c>
      <c r="N68" s="1053">
        <f t="shared" si="30"/>
        <v>0</v>
      </c>
      <c r="O68" s="1118">
        <f t="shared" si="22"/>
        <v>0</v>
      </c>
      <c r="P68" s="1053">
        <f t="shared" si="23"/>
        <v>0</v>
      </c>
      <c r="Q68" s="1053"/>
      <c r="R68" s="1053">
        <f t="shared" si="24"/>
        <v>0</v>
      </c>
      <c r="S68" s="1053">
        <f t="shared" si="25"/>
        <v>0</v>
      </c>
      <c r="T68" s="1054">
        <f t="shared" si="26"/>
        <v>0</v>
      </c>
      <c r="U68" s="1054">
        <f t="shared" si="27"/>
        <v>0</v>
      </c>
    </row>
    <row r="69" spans="1:21">
      <c r="A69" s="994">
        <v>63</v>
      </c>
      <c r="B69" s="995" t="s">
        <v>156</v>
      </c>
      <c r="C69" s="1002">
        <f>'[2]ALL-Reformatted'!H68</f>
        <v>0</v>
      </c>
      <c r="D69" s="1003">
        <f>'Table 3 Levels 1&amp;2'!BN71+'Table 3 Levels 1&amp;2'!BV71</f>
        <v>4318.8609300898834</v>
      </c>
      <c r="E69" s="1102">
        <f t="shared" si="28"/>
        <v>0</v>
      </c>
      <c r="F69" s="1102">
        <f t="shared" si="17"/>
        <v>0</v>
      </c>
      <c r="G69" s="1059">
        <f t="shared" si="29"/>
        <v>0</v>
      </c>
      <c r="H69" s="1112">
        <f t="shared" si="18"/>
        <v>0</v>
      </c>
      <c r="I69" s="1059">
        <f t="shared" si="19"/>
        <v>0</v>
      </c>
      <c r="J69" s="1059"/>
      <c r="K69" s="1059">
        <f t="shared" si="20"/>
        <v>0</v>
      </c>
      <c r="L69" s="1059">
        <f t="shared" si="21"/>
        <v>0</v>
      </c>
      <c r="M69" s="1051">
        <f>'[18]FY2012-13 Final'!K70</f>
        <v>7182</v>
      </c>
      <c r="N69" s="1053">
        <f t="shared" si="30"/>
        <v>0</v>
      </c>
      <c r="O69" s="1118">
        <f t="shared" si="22"/>
        <v>0</v>
      </c>
      <c r="P69" s="1053">
        <f t="shared" si="23"/>
        <v>0</v>
      </c>
      <c r="Q69" s="1053"/>
      <c r="R69" s="1053">
        <f t="shared" si="24"/>
        <v>0</v>
      </c>
      <c r="S69" s="1053">
        <f t="shared" si="25"/>
        <v>0</v>
      </c>
      <c r="T69" s="1054">
        <f t="shared" si="26"/>
        <v>0</v>
      </c>
      <c r="U69" s="1054">
        <f t="shared" si="27"/>
        <v>0</v>
      </c>
    </row>
    <row r="70" spans="1:21">
      <c r="A70" s="994">
        <v>64</v>
      </c>
      <c r="B70" s="995" t="s">
        <v>157</v>
      </c>
      <c r="C70" s="1002">
        <f>'[2]ALL-Reformatted'!H69</f>
        <v>0</v>
      </c>
      <c r="D70" s="1003">
        <f>'Table 3 Levels 1&amp;2'!BN72+'Table 3 Levels 1&amp;2'!BV72</f>
        <v>5921.7418933384488</v>
      </c>
      <c r="E70" s="1102">
        <f t="shared" si="28"/>
        <v>0</v>
      </c>
      <c r="F70" s="1102">
        <f t="shared" si="17"/>
        <v>0</v>
      </c>
      <c r="G70" s="1059">
        <f t="shared" si="29"/>
        <v>0</v>
      </c>
      <c r="H70" s="1112">
        <f t="shared" si="18"/>
        <v>0</v>
      </c>
      <c r="I70" s="1059">
        <f t="shared" si="19"/>
        <v>0</v>
      </c>
      <c r="J70" s="1059"/>
      <c r="K70" s="1059">
        <f t="shared" si="20"/>
        <v>0</v>
      </c>
      <c r="L70" s="1059">
        <f t="shared" si="21"/>
        <v>0</v>
      </c>
      <c r="M70" s="1051">
        <f>'[18]FY2012-13 Final'!K71</f>
        <v>2701</v>
      </c>
      <c r="N70" s="1053">
        <f t="shared" si="30"/>
        <v>0</v>
      </c>
      <c r="O70" s="1118">
        <f t="shared" si="22"/>
        <v>0</v>
      </c>
      <c r="P70" s="1053">
        <f t="shared" si="23"/>
        <v>0</v>
      </c>
      <c r="Q70" s="1053"/>
      <c r="R70" s="1053">
        <f t="shared" si="24"/>
        <v>0</v>
      </c>
      <c r="S70" s="1053">
        <f t="shared" si="25"/>
        <v>0</v>
      </c>
      <c r="T70" s="1054">
        <f t="shared" si="26"/>
        <v>0</v>
      </c>
      <c r="U70" s="1054">
        <f t="shared" si="27"/>
        <v>0</v>
      </c>
    </row>
    <row r="71" spans="1:21">
      <c r="A71" s="998">
        <v>65</v>
      </c>
      <c r="B71" s="999" t="s">
        <v>158</v>
      </c>
      <c r="C71" s="1004">
        <f>'[2]ALL-Reformatted'!H70</f>
        <v>0</v>
      </c>
      <c r="D71" s="1005">
        <f>'Table 3 Levels 1&amp;2'!BN73+'Table 3 Levels 1&amp;2'!BV73</f>
        <v>4578.9201269671275</v>
      </c>
      <c r="E71" s="1103">
        <f t="shared" ref="E71:E75" si="31">D71*C71</f>
        <v>0</v>
      </c>
      <c r="F71" s="1103">
        <f t="shared" si="17"/>
        <v>0</v>
      </c>
      <c r="G71" s="1060">
        <f t="shared" ref="G71:G75" si="32">E71+F71</f>
        <v>0</v>
      </c>
      <c r="H71" s="1113">
        <f t="shared" si="18"/>
        <v>0</v>
      </c>
      <c r="I71" s="1060">
        <f t="shared" si="19"/>
        <v>0</v>
      </c>
      <c r="J71" s="1060"/>
      <c r="K71" s="1060">
        <f t="shared" si="20"/>
        <v>0</v>
      </c>
      <c r="L71" s="1060">
        <f t="shared" si="21"/>
        <v>0</v>
      </c>
      <c r="M71" s="1056">
        <f>'[18]FY2012-13 Final'!K72</f>
        <v>4813</v>
      </c>
      <c r="N71" s="1057">
        <f t="shared" ref="N71:N75" si="33">M71*C71</f>
        <v>0</v>
      </c>
      <c r="O71" s="1119">
        <f t="shared" si="22"/>
        <v>0</v>
      </c>
      <c r="P71" s="1057">
        <f t="shared" si="23"/>
        <v>0</v>
      </c>
      <c r="Q71" s="1057"/>
      <c r="R71" s="1057">
        <f t="shared" si="24"/>
        <v>0</v>
      </c>
      <c r="S71" s="1057">
        <f t="shared" si="25"/>
        <v>0</v>
      </c>
      <c r="T71" s="1058">
        <f t="shared" si="26"/>
        <v>0</v>
      </c>
      <c r="U71" s="1058">
        <f t="shared" ref="U71:U75" si="34">L71+S71</f>
        <v>0</v>
      </c>
    </row>
    <row r="72" spans="1:21">
      <c r="A72" s="987">
        <v>66</v>
      </c>
      <c r="B72" s="988" t="s">
        <v>159</v>
      </c>
      <c r="C72" s="1006">
        <f>'[2]ALL-Reformatted'!H71</f>
        <v>0</v>
      </c>
      <c r="D72" s="1007">
        <f>'Table 3 Levels 1&amp;2'!BN74+'Table 3 Levels 1&amp;2'!BV74</f>
        <v>6340.8763293271122</v>
      </c>
      <c r="E72" s="1104">
        <f t="shared" si="31"/>
        <v>0</v>
      </c>
      <c r="F72" s="1104">
        <f t="shared" ref="F72:F75" si="35">C72*$F$4</f>
        <v>0</v>
      </c>
      <c r="G72" s="1061">
        <f t="shared" si="32"/>
        <v>0</v>
      </c>
      <c r="H72" s="1114">
        <f t="shared" ref="H72:H75" si="36">-G72*$H$4</f>
        <v>0</v>
      </c>
      <c r="I72" s="1061">
        <f t="shared" ref="I72:I75" si="37">SUM(G72:H72)</f>
        <v>0</v>
      </c>
      <c r="J72" s="1061"/>
      <c r="K72" s="1061">
        <f t="shared" ref="K72:K75" si="38">SUM(I72:J72)</f>
        <v>0</v>
      </c>
      <c r="L72" s="1061">
        <f t="shared" ref="L72:L75" si="39">ROUND(K72/12,0)</f>
        <v>0</v>
      </c>
      <c r="M72" s="1051">
        <f>'[18]FY2012-13 Final'!K73</f>
        <v>3516</v>
      </c>
      <c r="N72" s="992">
        <f t="shared" si="33"/>
        <v>0</v>
      </c>
      <c r="O72" s="1117">
        <f t="shared" ref="O72:O75" si="40">-N72*$O$4</f>
        <v>0</v>
      </c>
      <c r="P72" s="992">
        <f t="shared" ref="P72:P75" si="41">SUM(N72:O72)</f>
        <v>0</v>
      </c>
      <c r="Q72" s="992"/>
      <c r="R72" s="992">
        <f t="shared" ref="R72:R75" si="42">SUM(P72:Q72)</f>
        <v>0</v>
      </c>
      <c r="S72" s="992">
        <f t="shared" ref="S72:S75" si="43">ROUND(R72/12,0)</f>
        <v>0</v>
      </c>
      <c r="T72" s="993">
        <f t="shared" ref="T72:T75" si="44">K72+R72</f>
        <v>0</v>
      </c>
      <c r="U72" s="993">
        <f t="shared" si="34"/>
        <v>0</v>
      </c>
    </row>
    <row r="73" spans="1:21">
      <c r="A73" s="994">
        <v>67</v>
      </c>
      <c r="B73" s="995" t="s">
        <v>32</v>
      </c>
      <c r="C73" s="1002">
        <f>'[2]ALL-Reformatted'!H72</f>
        <v>0</v>
      </c>
      <c r="D73" s="1003">
        <f>'Table 3 Levels 1&amp;2'!BN75+'Table 3 Levels 1&amp;2'!BV75</f>
        <v>4984.1100297034172</v>
      </c>
      <c r="E73" s="1102">
        <f t="shared" si="31"/>
        <v>0</v>
      </c>
      <c r="F73" s="1102">
        <f t="shared" si="35"/>
        <v>0</v>
      </c>
      <c r="G73" s="1059">
        <f t="shared" si="32"/>
        <v>0</v>
      </c>
      <c r="H73" s="1112">
        <f t="shared" si="36"/>
        <v>0</v>
      </c>
      <c r="I73" s="1059">
        <f t="shared" si="37"/>
        <v>0</v>
      </c>
      <c r="J73" s="1059"/>
      <c r="K73" s="1059">
        <f t="shared" si="38"/>
        <v>0</v>
      </c>
      <c r="L73" s="1059">
        <f t="shared" si="39"/>
        <v>0</v>
      </c>
      <c r="M73" s="1051">
        <f>'[18]FY2012-13 Final'!K74</f>
        <v>5052</v>
      </c>
      <c r="N73" s="1053">
        <f t="shared" si="33"/>
        <v>0</v>
      </c>
      <c r="O73" s="1118">
        <f t="shared" si="40"/>
        <v>0</v>
      </c>
      <c r="P73" s="1053">
        <f t="shared" si="41"/>
        <v>0</v>
      </c>
      <c r="Q73" s="1053"/>
      <c r="R73" s="1053">
        <f t="shared" si="42"/>
        <v>0</v>
      </c>
      <c r="S73" s="1053">
        <f t="shared" si="43"/>
        <v>0</v>
      </c>
      <c r="T73" s="1054">
        <f t="shared" si="44"/>
        <v>0</v>
      </c>
      <c r="U73" s="1054">
        <f t="shared" si="34"/>
        <v>0</v>
      </c>
    </row>
    <row r="74" spans="1:21">
      <c r="A74" s="994">
        <v>68</v>
      </c>
      <c r="B74" s="995" t="s">
        <v>30</v>
      </c>
      <c r="C74" s="1002">
        <f>'[2]ALL-Reformatted'!H73</f>
        <v>0</v>
      </c>
      <c r="D74" s="1003">
        <f>'Table 3 Levels 1&amp;2'!BN76+'Table 3 Levels 1&amp;2'!BV76</f>
        <v>6012.7854305239725</v>
      </c>
      <c r="E74" s="1102">
        <f t="shared" si="31"/>
        <v>0</v>
      </c>
      <c r="F74" s="1102">
        <f t="shared" si="35"/>
        <v>0</v>
      </c>
      <c r="G74" s="1059">
        <f t="shared" si="32"/>
        <v>0</v>
      </c>
      <c r="H74" s="1112">
        <f t="shared" si="36"/>
        <v>0</v>
      </c>
      <c r="I74" s="1059">
        <f t="shared" si="37"/>
        <v>0</v>
      </c>
      <c r="J74" s="1059"/>
      <c r="K74" s="1059">
        <f t="shared" si="38"/>
        <v>0</v>
      </c>
      <c r="L74" s="1059">
        <f t="shared" si="39"/>
        <v>0</v>
      </c>
      <c r="M74" s="1051">
        <f>'[18]FY2012-13 Final'!K75</f>
        <v>2763</v>
      </c>
      <c r="N74" s="1053">
        <f t="shared" si="33"/>
        <v>0</v>
      </c>
      <c r="O74" s="1118">
        <f t="shared" si="40"/>
        <v>0</v>
      </c>
      <c r="P74" s="1053">
        <f t="shared" si="41"/>
        <v>0</v>
      </c>
      <c r="Q74" s="1053"/>
      <c r="R74" s="1053">
        <f t="shared" si="42"/>
        <v>0</v>
      </c>
      <c r="S74" s="1053">
        <f t="shared" si="43"/>
        <v>0</v>
      </c>
      <c r="T74" s="1054">
        <f t="shared" si="44"/>
        <v>0</v>
      </c>
      <c r="U74" s="1054">
        <f t="shared" si="34"/>
        <v>0</v>
      </c>
    </row>
    <row r="75" spans="1:21">
      <c r="A75" s="1008">
        <v>69</v>
      </c>
      <c r="B75" s="1009" t="s">
        <v>213</v>
      </c>
      <c r="C75" s="1010">
        <f>'[2]ALL-Reformatted'!H74</f>
        <v>0</v>
      </c>
      <c r="D75" s="1011">
        <f>'Table 3 Levels 1&amp;2'!BN77+'Table 3 Levels 1&amp;2'!BV77</f>
        <v>5559.7139008686299</v>
      </c>
      <c r="E75" s="1105">
        <f t="shared" si="31"/>
        <v>0</v>
      </c>
      <c r="F75" s="1105">
        <f t="shared" si="35"/>
        <v>0</v>
      </c>
      <c r="G75" s="1062">
        <f t="shared" si="32"/>
        <v>0</v>
      </c>
      <c r="H75" s="1115">
        <f t="shared" si="36"/>
        <v>0</v>
      </c>
      <c r="I75" s="1062">
        <f t="shared" si="37"/>
        <v>0</v>
      </c>
      <c r="J75" s="1062"/>
      <c r="K75" s="1062">
        <f t="shared" si="38"/>
        <v>0</v>
      </c>
      <c r="L75" s="1062">
        <f t="shared" si="39"/>
        <v>0</v>
      </c>
      <c r="M75" s="1051">
        <f>'[18]FY2012-13 Final'!K76</f>
        <v>3327</v>
      </c>
      <c r="N75" s="1063">
        <f t="shared" si="33"/>
        <v>0</v>
      </c>
      <c r="O75" s="1120">
        <f t="shared" si="40"/>
        <v>0</v>
      </c>
      <c r="P75" s="1063">
        <f t="shared" si="41"/>
        <v>0</v>
      </c>
      <c r="Q75" s="1063"/>
      <c r="R75" s="1063">
        <f t="shared" si="42"/>
        <v>0</v>
      </c>
      <c r="S75" s="1063">
        <f t="shared" si="43"/>
        <v>0</v>
      </c>
      <c r="T75" s="1064">
        <f t="shared" si="44"/>
        <v>0</v>
      </c>
      <c r="U75" s="1064">
        <f t="shared" si="34"/>
        <v>0</v>
      </c>
    </row>
    <row r="76" spans="1:21" s="1019" customFormat="1" ht="13.5" thickBot="1">
      <c r="A76" s="1012"/>
      <c r="B76" s="1013" t="s">
        <v>160</v>
      </c>
      <c r="C76" s="1014">
        <f>SUM(C7:C75)</f>
        <v>361</v>
      </c>
      <c r="D76" s="1015"/>
      <c r="E76" s="1106">
        <f>SUM(E7:E75)</f>
        <v>1585662.6711293948</v>
      </c>
      <c r="F76" s="1106">
        <f>SUM(F7:F75)</f>
        <v>216023.71202042661</v>
      </c>
      <c r="G76" s="1016">
        <f>SUM(G7:G75)</f>
        <v>1801686.3831498213</v>
      </c>
      <c r="H76" s="1116">
        <f t="shared" ref="H76:J76" si="45">SUM(H7:H75)</f>
        <v>-4504.2159578745532</v>
      </c>
      <c r="I76" s="1016">
        <f t="shared" si="45"/>
        <v>1797182.1671919466</v>
      </c>
      <c r="J76" s="1016">
        <f t="shared" si="45"/>
        <v>0</v>
      </c>
      <c r="K76" s="1016">
        <f>SUM(K7:K75)</f>
        <v>1797182.1671919466</v>
      </c>
      <c r="L76" s="1016">
        <f>SUM(L7:L75)</f>
        <v>149765</v>
      </c>
      <c r="M76" s="1065"/>
      <c r="N76" s="1017">
        <f>SUM(N7:N75)</f>
        <v>1404303</v>
      </c>
      <c r="O76" s="1121">
        <f t="shared" ref="O76" si="46">SUM(O7:O75)</f>
        <v>-3510.7575000000002</v>
      </c>
      <c r="P76" s="1017">
        <f t="shared" ref="P76:U76" si="47">SUM(P7:P75)</f>
        <v>1400792.2424999999</v>
      </c>
      <c r="Q76" s="1017">
        <f t="shared" si="47"/>
        <v>0</v>
      </c>
      <c r="R76" s="1017">
        <f t="shared" si="47"/>
        <v>1400792.2424999999</v>
      </c>
      <c r="S76" s="1017">
        <f t="shared" si="47"/>
        <v>116733</v>
      </c>
      <c r="T76" s="1018">
        <f t="shared" si="47"/>
        <v>3197974.4096919466</v>
      </c>
      <c r="U76" s="1018">
        <f t="shared" si="47"/>
        <v>266498</v>
      </c>
    </row>
    <row r="77" spans="1:21" s="1019" customFormat="1" ht="13.5" thickTop="1">
      <c r="A77" s="1020"/>
      <c r="B77" s="1020"/>
      <c r="C77" s="1021"/>
      <c r="D77" s="1021"/>
      <c r="M77" s="1023"/>
      <c r="N77" s="1023"/>
      <c r="O77" s="1023"/>
      <c r="P77" s="1023"/>
      <c r="Q77" s="1023"/>
      <c r="R77" s="1023"/>
      <c r="S77" s="1023"/>
    </row>
    <row r="78" spans="1:21" ht="12.75" customHeight="1">
      <c r="A78" s="1025"/>
      <c r="C78" s="1026"/>
    </row>
    <row r="79" spans="1:21" ht="12.75" hidden="1" customHeight="1"/>
    <row r="80" spans="1:21" hidden="1"/>
    <row r="81" spans="3:12" hidden="1"/>
    <row r="82" spans="3:12" hidden="1"/>
    <row r="83" spans="3:12" hidden="1">
      <c r="E83" s="1027" t="s">
        <v>373</v>
      </c>
      <c r="F83" s="1027"/>
      <c r="G83" s="1027"/>
      <c r="H83" s="1027"/>
      <c r="I83" s="1027"/>
      <c r="J83" s="1027"/>
      <c r="K83" s="1027"/>
      <c r="L83" s="1027"/>
    </row>
    <row r="84" spans="3:12" ht="10.5" hidden="1" customHeight="1"/>
    <row r="85" spans="3:12" hidden="1"/>
    <row r="86" spans="3:12" hidden="1">
      <c r="C86" s="1029">
        <v>85661</v>
      </c>
      <c r="D86" s="1030" t="s">
        <v>374</v>
      </c>
    </row>
    <row r="87" spans="3:12" hidden="1">
      <c r="C87" s="1029">
        <v>650290</v>
      </c>
      <c r="D87" s="1030" t="s">
        <v>375</v>
      </c>
    </row>
    <row r="88" spans="3:12" hidden="1">
      <c r="C88" s="1031">
        <f>C86/C87</f>
        <v>0.13172738316750987</v>
      </c>
      <c r="D88" s="1030" t="s">
        <v>376</v>
      </c>
    </row>
    <row r="89" spans="3:12" hidden="1">
      <c r="C89" s="1029"/>
      <c r="D89" s="1030"/>
    </row>
    <row r="90" spans="3:12" hidden="1">
      <c r="C90" s="1029">
        <v>128510</v>
      </c>
      <c r="D90" s="1030" t="s">
        <v>377</v>
      </c>
    </row>
    <row r="91" spans="3:12" hidden="1">
      <c r="C91" s="1029">
        <v>911320</v>
      </c>
      <c r="D91" s="1030" t="s">
        <v>378</v>
      </c>
    </row>
    <row r="92" spans="3:12" hidden="1">
      <c r="C92" s="1031">
        <f>C90/C91</f>
        <v>0.14101523065443533</v>
      </c>
      <c r="D92" s="1030" t="s">
        <v>379</v>
      </c>
    </row>
    <row r="93" spans="3:12" hidden="1">
      <c r="C93" s="1029"/>
      <c r="D93" s="1030"/>
    </row>
    <row r="94" spans="3:12" hidden="1">
      <c r="C94" s="1032">
        <v>2663489616</v>
      </c>
      <c r="D94" s="1033" t="s">
        <v>380</v>
      </c>
    </row>
    <row r="95" spans="3:12" hidden="1">
      <c r="C95" s="1034">
        <f>C92</f>
        <v>0.14101523065443533</v>
      </c>
      <c r="D95" s="1033"/>
    </row>
    <row r="96" spans="3:12" hidden="1">
      <c r="C96" s="1035">
        <f>C94*C95</f>
        <v>375592602.54593337</v>
      </c>
      <c r="D96" s="1030" t="s">
        <v>381</v>
      </c>
    </row>
    <row r="97" spans="3:4" hidden="1">
      <c r="C97" s="1036">
        <f>50%/C92</f>
        <v>3.5457162866702978</v>
      </c>
      <c r="D97" s="1033" t="s">
        <v>382</v>
      </c>
    </row>
    <row r="98" spans="3:4" hidden="1">
      <c r="C98" s="1035">
        <f>C96*C97</f>
        <v>1331744808</v>
      </c>
      <c r="D98" s="1037" t="s">
        <v>383</v>
      </c>
    </row>
    <row r="99" spans="3:4" hidden="1">
      <c r="C99" s="1038">
        <f>C87</f>
        <v>650290</v>
      </c>
      <c r="D99" s="1033" t="s">
        <v>384</v>
      </c>
    </row>
    <row r="100" spans="3:4" hidden="1">
      <c r="C100" s="1035">
        <f>C98/C99</f>
        <v>2047.9244767719017</v>
      </c>
      <c r="D100" s="1033" t="s">
        <v>385</v>
      </c>
    </row>
    <row r="101" spans="3:4" hidden="1">
      <c r="C101" s="1039">
        <f>(C96/C99)*-1</f>
        <v>-577.57708490970697</v>
      </c>
      <c r="D101" s="1033" t="s">
        <v>386</v>
      </c>
    </row>
    <row r="102" spans="3:4" hidden="1">
      <c r="C102" s="1040">
        <f>SUM(C100:C101)</f>
        <v>1470.3473918621949</v>
      </c>
      <c r="D102" s="1033" t="s">
        <v>387</v>
      </c>
    </row>
    <row r="103" spans="3:4" hidden="1">
      <c r="C103" s="1040"/>
      <c r="D103" s="1033"/>
    </row>
    <row r="104" spans="3:4" hidden="1">
      <c r="C104" s="1040"/>
      <c r="D104" s="1033"/>
    </row>
    <row r="105" spans="3:4" hidden="1">
      <c r="D105" s="1033"/>
    </row>
    <row r="106" spans="3:4" hidden="1"/>
  </sheetData>
  <mergeCells count="18">
    <mergeCell ref="A2:B4"/>
    <mergeCell ref="C2:L2"/>
    <mergeCell ref="M2:S2"/>
    <mergeCell ref="T2:T4"/>
    <mergeCell ref="G3:G4"/>
    <mergeCell ref="N3:N4"/>
    <mergeCell ref="S3:S4"/>
    <mergeCell ref="I3:I4"/>
    <mergeCell ref="U2:U4"/>
    <mergeCell ref="C3:C4"/>
    <mergeCell ref="D3:D4"/>
    <mergeCell ref="E3:E4"/>
    <mergeCell ref="L3:L4"/>
    <mergeCell ref="M3:M4"/>
    <mergeCell ref="J3:J4"/>
    <mergeCell ref="K3:K4"/>
    <mergeCell ref="Q3:Q4"/>
    <mergeCell ref="R3:R4"/>
  </mergeCells>
  <printOptions horizontalCentered="1"/>
  <pageMargins left="0.27" right="0.25" top="0.87" bottom="0.2" header="0.25" footer="0.2"/>
  <pageSetup paperSize="5" scale="59" firstPageNumber="98" fitToWidth="3" orientation="portrait" useFirstPageNumber="1" r:id="rId1"/>
  <headerFooter alignWithMargins="0">
    <oddHeader xml:space="preserve">&amp;L&amp;"Arial,Bold"&amp;16Table 5D-2:  FY2013-14 MFP Budget Letter (Projection) &amp;"Arial,Regular"&amp;10
&amp;"Arial,Bold"&amp;14Legacy Type 2 Charters &amp;R&amp;"Arial,Bold"&amp;12&amp;KFF0000
</oddHeader>
    <oddFooter>&amp;R&amp;P</oddFooter>
  </headerFooter>
  <colBreaks count="1" manualBreakCount="1">
    <brk id="12" min="1" max="78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W106"/>
  <sheetViews>
    <sheetView view="pageBreakPreview" zoomScaleNormal="100" zoomScaleSheetLayoutView="100" workbookViewId="0">
      <pane xSplit="2" ySplit="6" topLeftCell="C7" activePane="bottomRight" state="frozen"/>
      <selection activeCell="A2" sqref="A2:B4"/>
      <selection pane="topRight" activeCell="A2" sqref="A2:B4"/>
      <selection pane="bottomLeft" activeCell="A2" sqref="A2:B4"/>
      <selection pane="bottomRight" activeCell="A2" sqref="A2:B4"/>
    </sheetView>
  </sheetViews>
  <sheetFormatPr defaultColWidth="12.5703125" defaultRowHeight="12.75"/>
  <cols>
    <col min="1" max="1" width="3.85546875" style="971" customWidth="1"/>
    <col min="2" max="2" width="23.7109375" style="971" customWidth="1"/>
    <col min="3" max="3" width="11.85546875" style="974" customWidth="1"/>
    <col min="4" max="4" width="15.28515625" style="974" customWidth="1"/>
    <col min="5" max="5" width="11" style="974" customWidth="1"/>
    <col min="6" max="6" width="12.5703125" style="974" bestFit="1" customWidth="1"/>
    <col min="7" max="7" width="11.85546875" style="974" customWidth="1"/>
    <col min="8" max="8" width="11" style="974" customWidth="1"/>
    <col min="9" max="9" width="11.7109375" style="974" customWidth="1"/>
    <col min="10" max="10" width="13.5703125" style="974" customWidth="1"/>
    <col min="11" max="11" width="11.7109375" style="974" customWidth="1"/>
    <col min="12" max="12" width="9.42578125" style="974" bestFit="1" customWidth="1"/>
    <col min="13" max="13" width="9.42578125" style="974" customWidth="1"/>
    <col min="14" max="14" width="17.28515625" style="974" customWidth="1"/>
    <col min="15" max="15" width="15.42578125" style="1049" bestFit="1" customWidth="1"/>
    <col min="16" max="16" width="10.140625" style="974" bestFit="1" customWidth="1"/>
    <col min="17" max="17" width="11.5703125" style="974" bestFit="1" customWidth="1"/>
    <col min="18" max="20" width="13.7109375" style="974" customWidth="1"/>
    <col min="21" max="21" width="10.85546875" style="974" bestFit="1" customWidth="1"/>
    <col min="22" max="23" width="12.5703125" style="971" customWidth="1"/>
    <col min="24" max="16384" width="12.5703125" style="971"/>
  </cols>
  <sheetData>
    <row r="1" spans="1:23" ht="9" customHeight="1">
      <c r="B1" s="972"/>
      <c r="C1" s="973"/>
      <c r="D1" s="973"/>
    </row>
    <row r="2" spans="1:23" s="976" customFormat="1" ht="37.5" customHeight="1">
      <c r="A2" s="2111" t="s">
        <v>639</v>
      </c>
      <c r="B2" s="2112"/>
      <c r="C2" s="2065" t="s">
        <v>483</v>
      </c>
      <c r="D2" s="2017"/>
      <c r="E2" s="2017"/>
      <c r="F2" s="2017"/>
      <c r="G2" s="2017"/>
      <c r="H2" s="2017"/>
      <c r="I2" s="2017"/>
      <c r="J2" s="2017"/>
      <c r="K2" s="2017"/>
      <c r="L2" s="2018"/>
      <c r="M2" s="1712"/>
      <c r="N2" s="1712"/>
      <c r="O2" s="1992" t="s">
        <v>1357</v>
      </c>
      <c r="P2" s="1993"/>
      <c r="Q2" s="1993"/>
      <c r="R2" s="1993"/>
      <c r="S2" s="1993"/>
      <c r="T2" s="1993"/>
      <c r="U2" s="1994"/>
      <c r="V2" s="1995" t="s">
        <v>1412</v>
      </c>
      <c r="W2" s="1995" t="s">
        <v>1355</v>
      </c>
    </row>
    <row r="3" spans="1:23" ht="109.5" customHeight="1">
      <c r="A3" s="2113"/>
      <c r="B3" s="2114"/>
      <c r="C3" s="2109" t="s">
        <v>1178</v>
      </c>
      <c r="D3" s="2008" t="s">
        <v>1393</v>
      </c>
      <c r="E3" s="2008" t="s">
        <v>1377</v>
      </c>
      <c r="F3" s="977" t="s">
        <v>492</v>
      </c>
      <c r="G3" s="2006" t="s">
        <v>1378</v>
      </c>
      <c r="H3" s="1096" t="s">
        <v>510</v>
      </c>
      <c r="I3" s="2006" t="s">
        <v>1379</v>
      </c>
      <c r="J3" s="2006" t="s">
        <v>1230</v>
      </c>
      <c r="K3" s="2006" t="s">
        <v>1380</v>
      </c>
      <c r="L3" s="2008" t="s">
        <v>1356</v>
      </c>
      <c r="M3" s="2081" t="s">
        <v>201</v>
      </c>
      <c r="N3" s="2006" t="s">
        <v>1389</v>
      </c>
      <c r="O3" s="2009" t="s">
        <v>693</v>
      </c>
      <c r="P3" s="2019" t="s">
        <v>1382</v>
      </c>
      <c r="Q3" s="1098" t="s">
        <v>512</v>
      </c>
      <c r="R3" s="1743" t="s">
        <v>1383</v>
      </c>
      <c r="S3" s="2019" t="s">
        <v>1230</v>
      </c>
      <c r="T3" s="2019" t="s">
        <v>1390</v>
      </c>
      <c r="U3" s="2019" t="s">
        <v>1385</v>
      </c>
      <c r="V3" s="1996"/>
      <c r="W3" s="1996"/>
    </row>
    <row r="4" spans="1:23" ht="30.75" customHeight="1">
      <c r="A4" s="2115"/>
      <c r="B4" s="2116"/>
      <c r="C4" s="2110"/>
      <c r="D4" s="2008"/>
      <c r="E4" s="2008"/>
      <c r="F4" s="1067">
        <v>714.81015756302509</v>
      </c>
      <c r="G4" s="2007"/>
      <c r="H4" s="1107">
        <v>2.5000000000000001E-3</v>
      </c>
      <c r="I4" s="2007"/>
      <c r="J4" s="2007"/>
      <c r="K4" s="2007"/>
      <c r="L4" s="2008"/>
      <c r="M4" s="1879"/>
      <c r="N4" s="2007"/>
      <c r="O4" s="2010"/>
      <c r="P4" s="1999"/>
      <c r="Q4" s="1108">
        <v>2.5000000000000001E-3</v>
      </c>
      <c r="R4" s="1097"/>
      <c r="S4" s="1999"/>
      <c r="T4" s="1999"/>
      <c r="U4" s="1999"/>
      <c r="V4" s="1997"/>
      <c r="W4" s="1997"/>
    </row>
    <row r="5" spans="1:23" s="981" customFormat="1" ht="14.25" customHeight="1">
      <c r="A5" s="978"/>
      <c r="B5" s="979"/>
      <c r="C5" s="980">
        <v>1</v>
      </c>
      <c r="D5" s="980">
        <f t="shared" ref="D5" si="0">C5+1</f>
        <v>2</v>
      </c>
      <c r="E5" s="980">
        <f>D5+1</f>
        <v>3</v>
      </c>
      <c r="F5" s="980">
        <f t="shared" ref="F5:G5" si="1">E5+1</f>
        <v>4</v>
      </c>
      <c r="G5" s="980">
        <f t="shared" si="1"/>
        <v>5</v>
      </c>
      <c r="H5" s="980">
        <f t="shared" ref="H5" si="2">G5+1</f>
        <v>6</v>
      </c>
      <c r="I5" s="980">
        <f t="shared" ref="I5" si="3">H5+1</f>
        <v>7</v>
      </c>
      <c r="J5" s="980">
        <f t="shared" ref="J5" si="4">I5+1</f>
        <v>8</v>
      </c>
      <c r="K5" s="980">
        <f t="shared" ref="K5" si="5">J5+1</f>
        <v>9</v>
      </c>
      <c r="L5" s="980">
        <f t="shared" ref="L5" si="6">K5+1</f>
        <v>10</v>
      </c>
      <c r="M5" s="980">
        <f t="shared" ref="M5" si="7">L5+1</f>
        <v>11</v>
      </c>
      <c r="N5" s="980">
        <f t="shared" ref="N5" si="8">M5+1</f>
        <v>12</v>
      </c>
      <c r="O5" s="980">
        <f t="shared" ref="O5" si="9">N5+1</f>
        <v>13</v>
      </c>
      <c r="P5" s="980">
        <f t="shared" ref="P5" si="10">O5+1</f>
        <v>14</v>
      </c>
      <c r="Q5" s="980">
        <f t="shared" ref="Q5" si="11">P5+1</f>
        <v>15</v>
      </c>
      <c r="R5" s="980">
        <f t="shared" ref="R5" si="12">Q5+1</f>
        <v>16</v>
      </c>
      <c r="S5" s="980">
        <f t="shared" ref="S5" si="13">R5+1</f>
        <v>17</v>
      </c>
      <c r="T5" s="980">
        <f t="shared" ref="T5" si="14">S5+1</f>
        <v>18</v>
      </c>
      <c r="U5" s="980">
        <f t="shared" ref="U5" si="15">T5+1</f>
        <v>19</v>
      </c>
      <c r="V5" s="980">
        <f t="shared" ref="V5" si="16">U5+1</f>
        <v>20</v>
      </c>
      <c r="W5" s="980">
        <f t="shared" ref="W5" si="17">V5+1</f>
        <v>21</v>
      </c>
    </row>
    <row r="6" spans="1:23" s="986" customFormat="1" ht="27" customHeight="1">
      <c r="A6" s="982"/>
      <c r="B6" s="983"/>
      <c r="C6" s="984" t="s">
        <v>441</v>
      </c>
      <c r="D6" s="985" t="s">
        <v>363</v>
      </c>
      <c r="E6" s="984" t="s">
        <v>532</v>
      </c>
      <c r="F6" s="985" t="s">
        <v>494</v>
      </c>
      <c r="G6" s="984" t="s">
        <v>493</v>
      </c>
      <c r="H6" s="984" t="s">
        <v>511</v>
      </c>
      <c r="I6" s="984" t="s">
        <v>513</v>
      </c>
      <c r="J6" s="984"/>
      <c r="K6" s="984" t="s">
        <v>642</v>
      </c>
      <c r="L6" s="984" t="s">
        <v>537</v>
      </c>
      <c r="M6" s="1717"/>
      <c r="N6" s="1717"/>
      <c r="O6" s="1050" t="s">
        <v>363</v>
      </c>
      <c r="P6" s="1044" t="s">
        <v>538</v>
      </c>
      <c r="Q6" s="1044" t="s">
        <v>643</v>
      </c>
      <c r="R6" s="1044" t="s">
        <v>640</v>
      </c>
      <c r="S6" s="985"/>
      <c r="T6" s="1044" t="s">
        <v>641</v>
      </c>
      <c r="U6" s="1044" t="s">
        <v>540</v>
      </c>
      <c r="V6" s="1044" t="s">
        <v>1225</v>
      </c>
      <c r="W6" s="1044" t="s">
        <v>542</v>
      </c>
    </row>
    <row r="7" spans="1:23">
      <c r="A7" s="987">
        <v>1</v>
      </c>
      <c r="B7" s="988" t="s">
        <v>95</v>
      </c>
      <c r="C7" s="989">
        <f>'[2]ALL-Reformatted'!I6</f>
        <v>0</v>
      </c>
      <c r="D7" s="990">
        <f>'Table 3 Levels 1&amp;2'!BN9+'Table 3 Levels 1&amp;2'!BV9</f>
        <v>4565.2108060165392</v>
      </c>
      <c r="E7" s="1099">
        <f t="shared" ref="E7:E38" si="18">D7*C7</f>
        <v>0</v>
      </c>
      <c r="F7" s="1099">
        <f>C7*$F$4</f>
        <v>0</v>
      </c>
      <c r="G7" s="991">
        <f t="shared" ref="G7:G38" si="19">E7+F7</f>
        <v>0</v>
      </c>
      <c r="H7" s="1109">
        <f>-G7*$H$4</f>
        <v>0</v>
      </c>
      <c r="I7" s="991">
        <f>SUM(G7:H7)</f>
        <v>0</v>
      </c>
      <c r="J7" s="991"/>
      <c r="K7" s="991">
        <f>SUM(I7:J7)</f>
        <v>0</v>
      </c>
      <c r="L7" s="991">
        <f>ROUND(K7/12,0)</f>
        <v>0</v>
      </c>
      <c r="M7" s="1077"/>
      <c r="N7" s="991">
        <f>K7+M7</f>
        <v>0</v>
      </c>
      <c r="O7" s="1051">
        <f>'[18]FY2012-13 Final'!D8</f>
        <v>2039</v>
      </c>
      <c r="P7" s="992">
        <f t="shared" ref="P7:P38" si="20">O7*C7</f>
        <v>0</v>
      </c>
      <c r="Q7" s="1117">
        <f>-P7*$Q$4</f>
        <v>0</v>
      </c>
      <c r="R7" s="992">
        <f>SUM(P7:Q7)</f>
        <v>0</v>
      </c>
      <c r="S7" s="992"/>
      <c r="T7" s="992">
        <f>SUM(R7:S7)</f>
        <v>0</v>
      </c>
      <c r="U7" s="992">
        <f>ROUND(T7/12,0)</f>
        <v>0</v>
      </c>
      <c r="V7" s="993">
        <f>N7+T7</f>
        <v>0</v>
      </c>
      <c r="W7" s="993">
        <f>L7+U7</f>
        <v>0</v>
      </c>
    </row>
    <row r="8" spans="1:23">
      <c r="A8" s="994">
        <v>2</v>
      </c>
      <c r="B8" s="995" t="s">
        <v>96</v>
      </c>
      <c r="C8" s="996">
        <f>'[2]ALL-Reformatted'!I7</f>
        <v>0</v>
      </c>
      <c r="D8" s="997">
        <f>'Table 3 Levels 1&amp;2'!BN10+'Table 3 Levels 1&amp;2'!BV10</f>
        <v>6132.0480322513831</v>
      </c>
      <c r="E8" s="1100">
        <f t="shared" si="18"/>
        <v>0</v>
      </c>
      <c r="F8" s="1100">
        <f t="shared" ref="F8:F71" si="21">C8*$F$4</f>
        <v>0</v>
      </c>
      <c r="G8" s="1052">
        <f t="shared" si="19"/>
        <v>0</v>
      </c>
      <c r="H8" s="1110">
        <f t="shared" ref="H8:H71" si="22">-G8*$H$4</f>
        <v>0</v>
      </c>
      <c r="I8" s="1052">
        <f t="shared" ref="I8:I71" si="23">SUM(G8:H8)</f>
        <v>0</v>
      </c>
      <c r="J8" s="1052"/>
      <c r="K8" s="1052">
        <f t="shared" ref="K8:K71" si="24">SUM(I8:J8)</f>
        <v>0</v>
      </c>
      <c r="L8" s="1052">
        <f t="shared" ref="L8:L71" si="25">ROUND(K8/12,0)</f>
        <v>0</v>
      </c>
      <c r="M8" s="1078"/>
      <c r="N8" s="1052">
        <f t="shared" ref="N8:N71" si="26">K8+M8</f>
        <v>0</v>
      </c>
      <c r="O8" s="1051">
        <f>'[18]FY2012-13 Final'!D9</f>
        <v>2280</v>
      </c>
      <c r="P8" s="1053">
        <f t="shared" si="20"/>
        <v>0</v>
      </c>
      <c r="Q8" s="1118">
        <f t="shared" ref="Q8:Q71" si="27">-P8*$Q$4</f>
        <v>0</v>
      </c>
      <c r="R8" s="1053">
        <f t="shared" ref="R8:R71" si="28">SUM(P8:Q8)</f>
        <v>0</v>
      </c>
      <c r="S8" s="1053"/>
      <c r="T8" s="1053">
        <f t="shared" ref="T8:T71" si="29">SUM(R8:S8)</f>
        <v>0</v>
      </c>
      <c r="U8" s="1053">
        <f t="shared" ref="U8:U71" si="30">ROUND(T8/12,0)</f>
        <v>0</v>
      </c>
      <c r="V8" s="1054">
        <f t="shared" ref="V8:V71" si="31">N8+T8</f>
        <v>0</v>
      </c>
      <c r="W8" s="1054">
        <f t="shared" ref="W8:W70" si="32">L8+U8</f>
        <v>0</v>
      </c>
    </row>
    <row r="9" spans="1:23" ht="12.75" customHeight="1">
      <c r="A9" s="994">
        <v>3</v>
      </c>
      <c r="B9" s="995" t="s">
        <v>97</v>
      </c>
      <c r="C9" s="996">
        <f>'[2]ALL-Reformatted'!I8</f>
        <v>0</v>
      </c>
      <c r="D9" s="997">
        <f>'Table 3 Levels 1&amp;2'!BN11+'Table 3 Levels 1&amp;2'!BV11</f>
        <v>4186.9626187036429</v>
      </c>
      <c r="E9" s="1100">
        <f t="shared" si="18"/>
        <v>0</v>
      </c>
      <c r="F9" s="1100">
        <f t="shared" si="21"/>
        <v>0</v>
      </c>
      <c r="G9" s="1052">
        <f t="shared" si="19"/>
        <v>0</v>
      </c>
      <c r="H9" s="1110">
        <f t="shared" si="22"/>
        <v>0</v>
      </c>
      <c r="I9" s="1052">
        <f t="shared" si="23"/>
        <v>0</v>
      </c>
      <c r="J9" s="1052"/>
      <c r="K9" s="1052">
        <f t="shared" si="24"/>
        <v>0</v>
      </c>
      <c r="L9" s="1052">
        <f t="shared" si="25"/>
        <v>0</v>
      </c>
      <c r="M9" s="1078"/>
      <c r="N9" s="1052">
        <f t="shared" si="26"/>
        <v>0</v>
      </c>
      <c r="O9" s="1051">
        <f>'[18]FY2012-13 Final'!D10</f>
        <v>4274</v>
      </c>
      <c r="P9" s="1053">
        <f t="shared" si="20"/>
        <v>0</v>
      </c>
      <c r="Q9" s="1118">
        <f t="shared" si="27"/>
        <v>0</v>
      </c>
      <c r="R9" s="1053">
        <f t="shared" si="28"/>
        <v>0</v>
      </c>
      <c r="S9" s="1053"/>
      <c r="T9" s="1053">
        <f t="shared" si="29"/>
        <v>0</v>
      </c>
      <c r="U9" s="1053">
        <f t="shared" si="30"/>
        <v>0</v>
      </c>
      <c r="V9" s="1054">
        <f t="shared" si="31"/>
        <v>0</v>
      </c>
      <c r="W9" s="1054">
        <f t="shared" si="32"/>
        <v>0</v>
      </c>
    </row>
    <row r="10" spans="1:23" ht="12.75" customHeight="1">
      <c r="A10" s="994">
        <v>4</v>
      </c>
      <c r="B10" s="995" t="s">
        <v>98</v>
      </c>
      <c r="C10" s="996">
        <f>'[2]ALL-Reformatted'!I9</f>
        <v>0</v>
      </c>
      <c r="D10" s="997">
        <f>'Table 3 Levels 1&amp;2'!BN12+'Table 3 Levels 1&amp;2'!BV12</f>
        <v>5918.8798759182582</v>
      </c>
      <c r="E10" s="1100">
        <f t="shared" si="18"/>
        <v>0</v>
      </c>
      <c r="F10" s="1100">
        <f t="shared" si="21"/>
        <v>0</v>
      </c>
      <c r="G10" s="1052">
        <f t="shared" si="19"/>
        <v>0</v>
      </c>
      <c r="H10" s="1110">
        <f t="shared" si="22"/>
        <v>0</v>
      </c>
      <c r="I10" s="1052">
        <f t="shared" si="23"/>
        <v>0</v>
      </c>
      <c r="J10" s="1052"/>
      <c r="K10" s="1052">
        <f t="shared" si="24"/>
        <v>0</v>
      </c>
      <c r="L10" s="1052">
        <f t="shared" si="25"/>
        <v>0</v>
      </c>
      <c r="M10" s="1078"/>
      <c r="N10" s="1052">
        <f t="shared" si="26"/>
        <v>0</v>
      </c>
      <c r="O10" s="1051">
        <f>'[18]FY2012-13 Final'!D11</f>
        <v>3445</v>
      </c>
      <c r="P10" s="1053">
        <f t="shared" si="20"/>
        <v>0</v>
      </c>
      <c r="Q10" s="1118">
        <f t="shared" si="27"/>
        <v>0</v>
      </c>
      <c r="R10" s="1053">
        <f t="shared" si="28"/>
        <v>0</v>
      </c>
      <c r="S10" s="1053"/>
      <c r="T10" s="1053">
        <f t="shared" si="29"/>
        <v>0</v>
      </c>
      <c r="U10" s="1053">
        <f t="shared" si="30"/>
        <v>0</v>
      </c>
      <c r="V10" s="1054">
        <f t="shared" si="31"/>
        <v>0</v>
      </c>
      <c r="W10" s="1054">
        <f t="shared" si="32"/>
        <v>0</v>
      </c>
    </row>
    <row r="11" spans="1:23">
      <c r="A11" s="998">
        <v>5</v>
      </c>
      <c r="B11" s="999" t="s">
        <v>99</v>
      </c>
      <c r="C11" s="1000">
        <f>'[2]ALL-Reformatted'!I10</f>
        <v>0</v>
      </c>
      <c r="D11" s="1001">
        <f>'Table 3 Levels 1&amp;2'!BN13+'Table 3 Levels 1&amp;2'!BV13</f>
        <v>4880.3484353147733</v>
      </c>
      <c r="E11" s="1101">
        <f t="shared" si="18"/>
        <v>0</v>
      </c>
      <c r="F11" s="1101">
        <f t="shared" si="21"/>
        <v>0</v>
      </c>
      <c r="G11" s="1055">
        <f t="shared" si="19"/>
        <v>0</v>
      </c>
      <c r="H11" s="1111">
        <f t="shared" si="22"/>
        <v>0</v>
      </c>
      <c r="I11" s="1055">
        <f t="shared" si="23"/>
        <v>0</v>
      </c>
      <c r="J11" s="1055"/>
      <c r="K11" s="1055">
        <f t="shared" si="24"/>
        <v>0</v>
      </c>
      <c r="L11" s="1055">
        <f t="shared" si="25"/>
        <v>0</v>
      </c>
      <c r="M11" s="1079"/>
      <c r="N11" s="1055">
        <f t="shared" si="26"/>
        <v>0</v>
      </c>
      <c r="O11" s="1056">
        <f>'[18]FY2012-13 Final'!D12</f>
        <v>1353</v>
      </c>
      <c r="P11" s="1057">
        <f t="shared" si="20"/>
        <v>0</v>
      </c>
      <c r="Q11" s="1119">
        <f t="shared" si="27"/>
        <v>0</v>
      </c>
      <c r="R11" s="1057">
        <f t="shared" si="28"/>
        <v>0</v>
      </c>
      <c r="S11" s="1057"/>
      <c r="T11" s="1057">
        <f t="shared" si="29"/>
        <v>0</v>
      </c>
      <c r="U11" s="1057">
        <f t="shared" si="30"/>
        <v>0</v>
      </c>
      <c r="V11" s="1058">
        <f t="shared" si="31"/>
        <v>0</v>
      </c>
      <c r="W11" s="1058">
        <f t="shared" si="32"/>
        <v>0</v>
      </c>
    </row>
    <row r="12" spans="1:23" ht="12.75" customHeight="1">
      <c r="A12" s="987">
        <v>6</v>
      </c>
      <c r="B12" s="988" t="s">
        <v>100</v>
      </c>
      <c r="C12" s="989">
        <f>'[2]ALL-Reformatted'!I11</f>
        <v>0</v>
      </c>
      <c r="D12" s="990">
        <f>'Table 3 Levels 1&amp;2'!BN14+'Table 3 Levels 1&amp;2'!BV14</f>
        <v>5379.7759718479856</v>
      </c>
      <c r="E12" s="1099">
        <f t="shared" si="18"/>
        <v>0</v>
      </c>
      <c r="F12" s="1099">
        <f t="shared" si="21"/>
        <v>0</v>
      </c>
      <c r="G12" s="991">
        <f t="shared" si="19"/>
        <v>0</v>
      </c>
      <c r="H12" s="1109">
        <f t="shared" si="22"/>
        <v>0</v>
      </c>
      <c r="I12" s="991">
        <f t="shared" si="23"/>
        <v>0</v>
      </c>
      <c r="J12" s="991"/>
      <c r="K12" s="991">
        <f t="shared" si="24"/>
        <v>0</v>
      </c>
      <c r="L12" s="991">
        <f t="shared" si="25"/>
        <v>0</v>
      </c>
      <c r="M12" s="1077"/>
      <c r="N12" s="991">
        <f t="shared" si="26"/>
        <v>0</v>
      </c>
      <c r="O12" s="1051">
        <f>'[18]FY2012-13 Final'!D13</f>
        <v>2970</v>
      </c>
      <c r="P12" s="992">
        <f t="shared" si="20"/>
        <v>0</v>
      </c>
      <c r="Q12" s="1117">
        <f t="shared" si="27"/>
        <v>0</v>
      </c>
      <c r="R12" s="992">
        <f t="shared" si="28"/>
        <v>0</v>
      </c>
      <c r="S12" s="992"/>
      <c r="T12" s="992">
        <f t="shared" si="29"/>
        <v>0</v>
      </c>
      <c r="U12" s="992">
        <f t="shared" si="30"/>
        <v>0</v>
      </c>
      <c r="V12" s="993">
        <f t="shared" si="31"/>
        <v>0</v>
      </c>
      <c r="W12" s="993">
        <f t="shared" si="32"/>
        <v>0</v>
      </c>
    </row>
    <row r="13" spans="1:23">
      <c r="A13" s="994">
        <v>7</v>
      </c>
      <c r="B13" s="995" t="s">
        <v>101</v>
      </c>
      <c r="C13" s="996">
        <f>'[2]ALL-Reformatted'!I12</f>
        <v>0</v>
      </c>
      <c r="D13" s="997">
        <f>'Table 3 Levels 1&amp;2'!BN15+'Table 3 Levels 1&amp;2'!BV15</f>
        <v>1698.1351763907733</v>
      </c>
      <c r="E13" s="1100">
        <f t="shared" si="18"/>
        <v>0</v>
      </c>
      <c r="F13" s="1100">
        <f t="shared" si="21"/>
        <v>0</v>
      </c>
      <c r="G13" s="1052">
        <f t="shared" si="19"/>
        <v>0</v>
      </c>
      <c r="H13" s="1110">
        <f t="shared" si="22"/>
        <v>0</v>
      </c>
      <c r="I13" s="1052">
        <f t="shared" si="23"/>
        <v>0</v>
      </c>
      <c r="J13" s="1052"/>
      <c r="K13" s="1052">
        <f t="shared" si="24"/>
        <v>0</v>
      </c>
      <c r="L13" s="1052">
        <f t="shared" si="25"/>
        <v>0</v>
      </c>
      <c r="M13" s="1078"/>
      <c r="N13" s="1052">
        <f t="shared" si="26"/>
        <v>0</v>
      </c>
      <c r="O13" s="1051">
        <f>'[18]FY2012-13 Final'!D14</f>
        <v>11770</v>
      </c>
      <c r="P13" s="1053">
        <f t="shared" si="20"/>
        <v>0</v>
      </c>
      <c r="Q13" s="1118">
        <f t="shared" si="27"/>
        <v>0</v>
      </c>
      <c r="R13" s="1053">
        <f t="shared" si="28"/>
        <v>0</v>
      </c>
      <c r="S13" s="1053"/>
      <c r="T13" s="1053">
        <f t="shared" si="29"/>
        <v>0</v>
      </c>
      <c r="U13" s="1053">
        <f t="shared" si="30"/>
        <v>0</v>
      </c>
      <c r="V13" s="1054">
        <f t="shared" si="31"/>
        <v>0</v>
      </c>
      <c r="W13" s="1054">
        <f t="shared" si="32"/>
        <v>0</v>
      </c>
    </row>
    <row r="14" spans="1:23">
      <c r="A14" s="994">
        <v>8</v>
      </c>
      <c r="B14" s="995" t="s">
        <v>102</v>
      </c>
      <c r="C14" s="996">
        <f>'[2]ALL-Reformatted'!I13</f>
        <v>0</v>
      </c>
      <c r="D14" s="997">
        <f>'Table 3 Levels 1&amp;2'!BN16+'Table 3 Levels 1&amp;2'!BV16</f>
        <v>4239.8578920718974</v>
      </c>
      <c r="E14" s="1100">
        <f t="shared" si="18"/>
        <v>0</v>
      </c>
      <c r="F14" s="1100">
        <f t="shared" si="21"/>
        <v>0</v>
      </c>
      <c r="G14" s="1052">
        <f t="shared" si="19"/>
        <v>0</v>
      </c>
      <c r="H14" s="1110">
        <f t="shared" si="22"/>
        <v>0</v>
      </c>
      <c r="I14" s="1052">
        <f t="shared" si="23"/>
        <v>0</v>
      </c>
      <c r="J14" s="1052"/>
      <c r="K14" s="1052">
        <f t="shared" si="24"/>
        <v>0</v>
      </c>
      <c r="L14" s="1052">
        <f t="shared" si="25"/>
        <v>0</v>
      </c>
      <c r="M14" s="1078"/>
      <c r="N14" s="1052">
        <f t="shared" si="26"/>
        <v>0</v>
      </c>
      <c r="O14" s="1051">
        <f>'[18]FY2012-13 Final'!D15</f>
        <v>3646</v>
      </c>
      <c r="P14" s="1053">
        <f t="shared" si="20"/>
        <v>0</v>
      </c>
      <c r="Q14" s="1118">
        <f t="shared" si="27"/>
        <v>0</v>
      </c>
      <c r="R14" s="1053">
        <f t="shared" si="28"/>
        <v>0</v>
      </c>
      <c r="S14" s="1053"/>
      <c r="T14" s="1053">
        <f t="shared" si="29"/>
        <v>0</v>
      </c>
      <c r="U14" s="1053">
        <f t="shared" si="30"/>
        <v>0</v>
      </c>
      <c r="V14" s="1054">
        <f t="shared" si="31"/>
        <v>0</v>
      </c>
      <c r="W14" s="1054">
        <f t="shared" si="32"/>
        <v>0</v>
      </c>
    </row>
    <row r="15" spans="1:23">
      <c r="A15" s="994">
        <v>9</v>
      </c>
      <c r="B15" s="995" t="s">
        <v>103</v>
      </c>
      <c r="C15" s="996">
        <f>'[2]ALL-Reformatted'!I14</f>
        <v>0</v>
      </c>
      <c r="D15" s="997">
        <f>'Table 3 Levels 1&amp;2'!BN17+'Table 3 Levels 1&amp;2'!BV17</f>
        <v>4361.2752875373017</v>
      </c>
      <c r="E15" s="1100">
        <f t="shared" si="18"/>
        <v>0</v>
      </c>
      <c r="F15" s="1100">
        <f t="shared" si="21"/>
        <v>0</v>
      </c>
      <c r="G15" s="1052">
        <f t="shared" si="19"/>
        <v>0</v>
      </c>
      <c r="H15" s="1110">
        <f t="shared" si="22"/>
        <v>0</v>
      </c>
      <c r="I15" s="1052">
        <f t="shared" si="23"/>
        <v>0</v>
      </c>
      <c r="J15" s="1052"/>
      <c r="K15" s="1052">
        <f t="shared" si="24"/>
        <v>0</v>
      </c>
      <c r="L15" s="1052">
        <f t="shared" si="25"/>
        <v>0</v>
      </c>
      <c r="M15" s="1078"/>
      <c r="N15" s="1052">
        <f t="shared" si="26"/>
        <v>0</v>
      </c>
      <c r="O15" s="1051">
        <f>'[18]FY2012-13 Final'!D16</f>
        <v>3933</v>
      </c>
      <c r="P15" s="1053">
        <f t="shared" si="20"/>
        <v>0</v>
      </c>
      <c r="Q15" s="1118">
        <f t="shared" si="27"/>
        <v>0</v>
      </c>
      <c r="R15" s="1053">
        <f t="shared" si="28"/>
        <v>0</v>
      </c>
      <c r="S15" s="1053"/>
      <c r="T15" s="1053">
        <f t="shared" si="29"/>
        <v>0</v>
      </c>
      <c r="U15" s="1053">
        <f t="shared" si="30"/>
        <v>0</v>
      </c>
      <c r="V15" s="1054">
        <f t="shared" si="31"/>
        <v>0</v>
      </c>
      <c r="W15" s="1054">
        <f t="shared" si="32"/>
        <v>0</v>
      </c>
    </row>
    <row r="16" spans="1:23">
      <c r="A16" s="998">
        <v>10</v>
      </c>
      <c r="B16" s="999" t="s">
        <v>104</v>
      </c>
      <c r="C16" s="1000">
        <f>'[2]ALL-Reformatted'!I15</f>
        <v>0</v>
      </c>
      <c r="D16" s="1001">
        <f>'Table 3 Levels 1&amp;2'!BN18+'Table 3 Levels 1&amp;2'!BV18</f>
        <v>4179.4641652904756</v>
      </c>
      <c r="E16" s="1101">
        <f t="shared" si="18"/>
        <v>0</v>
      </c>
      <c r="F16" s="1101">
        <f t="shared" si="21"/>
        <v>0</v>
      </c>
      <c r="G16" s="1055">
        <f t="shared" si="19"/>
        <v>0</v>
      </c>
      <c r="H16" s="1111">
        <f t="shared" si="22"/>
        <v>0</v>
      </c>
      <c r="I16" s="1055">
        <f t="shared" si="23"/>
        <v>0</v>
      </c>
      <c r="J16" s="1055"/>
      <c r="K16" s="1055">
        <f t="shared" si="24"/>
        <v>0</v>
      </c>
      <c r="L16" s="1055">
        <f t="shared" si="25"/>
        <v>0</v>
      </c>
      <c r="M16" s="1079"/>
      <c r="N16" s="1055">
        <f t="shared" si="26"/>
        <v>0</v>
      </c>
      <c r="O16" s="1056">
        <f>'[18]FY2012-13 Final'!D17</f>
        <v>3670</v>
      </c>
      <c r="P16" s="1057">
        <f t="shared" si="20"/>
        <v>0</v>
      </c>
      <c r="Q16" s="1119">
        <f t="shared" si="27"/>
        <v>0</v>
      </c>
      <c r="R16" s="1057">
        <f t="shared" si="28"/>
        <v>0</v>
      </c>
      <c r="S16" s="1057"/>
      <c r="T16" s="1057">
        <f t="shared" si="29"/>
        <v>0</v>
      </c>
      <c r="U16" s="1057">
        <f t="shared" si="30"/>
        <v>0</v>
      </c>
      <c r="V16" s="1058">
        <f t="shared" si="31"/>
        <v>0</v>
      </c>
      <c r="W16" s="1058">
        <f t="shared" si="32"/>
        <v>0</v>
      </c>
    </row>
    <row r="17" spans="1:23">
      <c r="A17" s="987">
        <v>11</v>
      </c>
      <c r="B17" s="988" t="s">
        <v>105</v>
      </c>
      <c r="C17" s="989">
        <f>'[2]ALL-Reformatted'!I16</f>
        <v>0</v>
      </c>
      <c r="D17" s="990">
        <f>'Table 3 Levels 1&amp;2'!BN19+'Table 3 Levels 1&amp;2'!BV19</f>
        <v>6825.0221851487568</v>
      </c>
      <c r="E17" s="1099">
        <f t="shared" si="18"/>
        <v>0</v>
      </c>
      <c r="F17" s="1099">
        <f t="shared" si="21"/>
        <v>0</v>
      </c>
      <c r="G17" s="991">
        <f t="shared" si="19"/>
        <v>0</v>
      </c>
      <c r="H17" s="1109">
        <f t="shared" si="22"/>
        <v>0</v>
      </c>
      <c r="I17" s="991">
        <f t="shared" si="23"/>
        <v>0</v>
      </c>
      <c r="J17" s="991"/>
      <c r="K17" s="991">
        <f t="shared" si="24"/>
        <v>0</v>
      </c>
      <c r="L17" s="991">
        <f t="shared" si="25"/>
        <v>0</v>
      </c>
      <c r="M17" s="1077"/>
      <c r="N17" s="991">
        <f t="shared" si="26"/>
        <v>0</v>
      </c>
      <c r="O17" s="1051">
        <f>'[18]FY2012-13 Final'!D18</f>
        <v>2476</v>
      </c>
      <c r="P17" s="992">
        <f t="shared" si="20"/>
        <v>0</v>
      </c>
      <c r="Q17" s="1117">
        <f t="shared" si="27"/>
        <v>0</v>
      </c>
      <c r="R17" s="992">
        <f t="shared" si="28"/>
        <v>0</v>
      </c>
      <c r="S17" s="992"/>
      <c r="T17" s="992">
        <f t="shared" si="29"/>
        <v>0</v>
      </c>
      <c r="U17" s="992">
        <f t="shared" si="30"/>
        <v>0</v>
      </c>
      <c r="V17" s="993">
        <f t="shared" si="31"/>
        <v>0</v>
      </c>
      <c r="W17" s="993">
        <f t="shared" si="32"/>
        <v>0</v>
      </c>
    </row>
    <row r="18" spans="1:23">
      <c r="A18" s="994">
        <v>12</v>
      </c>
      <c r="B18" s="995" t="s">
        <v>106</v>
      </c>
      <c r="C18" s="996">
        <f>'[2]ALL-Reformatted'!I17</f>
        <v>0</v>
      </c>
      <c r="D18" s="997">
        <f>'Table 3 Levels 1&amp;2'!BN20+'Table 3 Levels 1&amp;2'!BV20</f>
        <v>1688.0492586490939</v>
      </c>
      <c r="E18" s="1100">
        <f t="shared" si="18"/>
        <v>0</v>
      </c>
      <c r="F18" s="1100">
        <f t="shared" si="21"/>
        <v>0</v>
      </c>
      <c r="G18" s="1052">
        <f t="shared" si="19"/>
        <v>0</v>
      </c>
      <c r="H18" s="1110">
        <f t="shared" si="22"/>
        <v>0</v>
      </c>
      <c r="I18" s="1052">
        <f t="shared" si="23"/>
        <v>0</v>
      </c>
      <c r="J18" s="1052"/>
      <c r="K18" s="1052">
        <f t="shared" si="24"/>
        <v>0</v>
      </c>
      <c r="L18" s="1052">
        <f t="shared" si="25"/>
        <v>0</v>
      </c>
      <c r="M18" s="1078"/>
      <c r="N18" s="1052">
        <f t="shared" si="26"/>
        <v>0</v>
      </c>
      <c r="O18" s="1051">
        <f>'[18]FY2012-13 Final'!D19</f>
        <v>11921</v>
      </c>
      <c r="P18" s="1053">
        <f t="shared" si="20"/>
        <v>0</v>
      </c>
      <c r="Q18" s="1118">
        <f t="shared" si="27"/>
        <v>0</v>
      </c>
      <c r="R18" s="1053">
        <f t="shared" si="28"/>
        <v>0</v>
      </c>
      <c r="S18" s="1053"/>
      <c r="T18" s="1053">
        <f t="shared" si="29"/>
        <v>0</v>
      </c>
      <c r="U18" s="1053">
        <f t="shared" si="30"/>
        <v>0</v>
      </c>
      <c r="V18" s="1054">
        <f t="shared" si="31"/>
        <v>0</v>
      </c>
      <c r="W18" s="1054">
        <f t="shared" si="32"/>
        <v>0</v>
      </c>
    </row>
    <row r="19" spans="1:23">
      <c r="A19" s="994">
        <v>13</v>
      </c>
      <c r="B19" s="995" t="s">
        <v>107</v>
      </c>
      <c r="C19" s="996">
        <f>'[2]ALL-Reformatted'!I18</f>
        <v>0</v>
      </c>
      <c r="D19" s="997">
        <f>'Table 3 Levels 1&amp;2'!BN21+'Table 3 Levels 1&amp;2'!BV21</f>
        <v>6187.1651272387344</v>
      </c>
      <c r="E19" s="1100">
        <f t="shared" si="18"/>
        <v>0</v>
      </c>
      <c r="F19" s="1100">
        <f t="shared" si="21"/>
        <v>0</v>
      </c>
      <c r="G19" s="1052">
        <f t="shared" si="19"/>
        <v>0</v>
      </c>
      <c r="H19" s="1110">
        <f t="shared" si="22"/>
        <v>0</v>
      </c>
      <c r="I19" s="1052">
        <f t="shared" si="23"/>
        <v>0</v>
      </c>
      <c r="J19" s="1052"/>
      <c r="K19" s="1052">
        <f t="shared" si="24"/>
        <v>0</v>
      </c>
      <c r="L19" s="1052">
        <f t="shared" si="25"/>
        <v>0</v>
      </c>
      <c r="M19" s="1078"/>
      <c r="N19" s="1052">
        <f t="shared" si="26"/>
        <v>0</v>
      </c>
      <c r="O19" s="1051">
        <f>'[18]FY2012-13 Final'!D20</f>
        <v>2408</v>
      </c>
      <c r="P19" s="1053">
        <f t="shared" si="20"/>
        <v>0</v>
      </c>
      <c r="Q19" s="1118">
        <f t="shared" si="27"/>
        <v>0</v>
      </c>
      <c r="R19" s="1053">
        <f t="shared" si="28"/>
        <v>0</v>
      </c>
      <c r="S19" s="1053"/>
      <c r="T19" s="1053">
        <f t="shared" si="29"/>
        <v>0</v>
      </c>
      <c r="U19" s="1053">
        <f t="shared" si="30"/>
        <v>0</v>
      </c>
      <c r="V19" s="1054">
        <f t="shared" si="31"/>
        <v>0</v>
      </c>
      <c r="W19" s="1054">
        <f t="shared" si="32"/>
        <v>0</v>
      </c>
    </row>
    <row r="20" spans="1:23" ht="12.75" customHeight="1">
      <c r="A20" s="994">
        <v>14</v>
      </c>
      <c r="B20" s="995" t="s">
        <v>108</v>
      </c>
      <c r="C20" s="996">
        <f>'[2]ALL-Reformatted'!I19</f>
        <v>0</v>
      </c>
      <c r="D20" s="997">
        <f>'Table 3 Levels 1&amp;2'!BN22+'Table 3 Levels 1&amp;2'!BV22</f>
        <v>5339.1887414618923</v>
      </c>
      <c r="E20" s="1100">
        <f t="shared" si="18"/>
        <v>0</v>
      </c>
      <c r="F20" s="1100">
        <f t="shared" si="21"/>
        <v>0</v>
      </c>
      <c r="G20" s="1052">
        <f t="shared" si="19"/>
        <v>0</v>
      </c>
      <c r="H20" s="1110">
        <f t="shared" si="22"/>
        <v>0</v>
      </c>
      <c r="I20" s="1052">
        <f t="shared" si="23"/>
        <v>0</v>
      </c>
      <c r="J20" s="1052"/>
      <c r="K20" s="1052">
        <f t="shared" si="24"/>
        <v>0</v>
      </c>
      <c r="L20" s="1052">
        <f t="shared" si="25"/>
        <v>0</v>
      </c>
      <c r="M20" s="1078"/>
      <c r="N20" s="1052">
        <f t="shared" si="26"/>
        <v>0</v>
      </c>
      <c r="O20" s="1051">
        <f>'[18]FY2012-13 Final'!D21</f>
        <v>3329</v>
      </c>
      <c r="P20" s="1053">
        <f t="shared" si="20"/>
        <v>0</v>
      </c>
      <c r="Q20" s="1118">
        <f t="shared" si="27"/>
        <v>0</v>
      </c>
      <c r="R20" s="1053">
        <f t="shared" si="28"/>
        <v>0</v>
      </c>
      <c r="S20" s="1053"/>
      <c r="T20" s="1053">
        <f t="shared" si="29"/>
        <v>0</v>
      </c>
      <c r="U20" s="1053">
        <f t="shared" si="30"/>
        <v>0</v>
      </c>
      <c r="V20" s="1054">
        <f t="shared" si="31"/>
        <v>0</v>
      </c>
      <c r="W20" s="1054">
        <f t="shared" si="32"/>
        <v>0</v>
      </c>
    </row>
    <row r="21" spans="1:23">
      <c r="A21" s="998">
        <v>15</v>
      </c>
      <c r="B21" s="999" t="s">
        <v>109</v>
      </c>
      <c r="C21" s="1000">
        <f>'[2]ALL-Reformatted'!I20</f>
        <v>0</v>
      </c>
      <c r="D21" s="1001">
        <f>'Table 3 Levels 1&amp;2'!BN23+'Table 3 Levels 1&amp;2'!BV23</f>
        <v>5492.5789412344011</v>
      </c>
      <c r="E21" s="1101">
        <f t="shared" si="18"/>
        <v>0</v>
      </c>
      <c r="F21" s="1101">
        <f t="shared" si="21"/>
        <v>0</v>
      </c>
      <c r="G21" s="1055">
        <f t="shared" si="19"/>
        <v>0</v>
      </c>
      <c r="H21" s="1111">
        <f t="shared" si="22"/>
        <v>0</v>
      </c>
      <c r="I21" s="1055">
        <f t="shared" si="23"/>
        <v>0</v>
      </c>
      <c r="J21" s="1055"/>
      <c r="K21" s="1055">
        <f t="shared" si="24"/>
        <v>0</v>
      </c>
      <c r="L21" s="1055">
        <f t="shared" si="25"/>
        <v>0</v>
      </c>
      <c r="M21" s="1079"/>
      <c r="N21" s="1055">
        <f t="shared" si="26"/>
        <v>0</v>
      </c>
      <c r="O21" s="1056">
        <f>'[18]FY2012-13 Final'!D22</f>
        <v>2752</v>
      </c>
      <c r="P21" s="1057">
        <f t="shared" si="20"/>
        <v>0</v>
      </c>
      <c r="Q21" s="1119">
        <f t="shared" si="27"/>
        <v>0</v>
      </c>
      <c r="R21" s="1057">
        <f t="shared" si="28"/>
        <v>0</v>
      </c>
      <c r="S21" s="1057"/>
      <c r="T21" s="1057">
        <f t="shared" si="29"/>
        <v>0</v>
      </c>
      <c r="U21" s="1057">
        <f t="shared" si="30"/>
        <v>0</v>
      </c>
      <c r="V21" s="1058">
        <f t="shared" si="31"/>
        <v>0</v>
      </c>
      <c r="W21" s="1058">
        <f t="shared" si="32"/>
        <v>0</v>
      </c>
    </row>
    <row r="22" spans="1:23">
      <c r="A22" s="987">
        <v>16</v>
      </c>
      <c r="B22" s="988" t="s">
        <v>110</v>
      </c>
      <c r="C22" s="989">
        <f>'[2]ALL-Reformatted'!I21</f>
        <v>0</v>
      </c>
      <c r="D22" s="990">
        <f>'Table 3 Levels 1&amp;2'!BN24+'Table 3 Levels 1&amp;2'!BV24</f>
        <v>1506.1153407945151</v>
      </c>
      <c r="E22" s="1099">
        <f t="shared" si="18"/>
        <v>0</v>
      </c>
      <c r="F22" s="1099">
        <f t="shared" si="21"/>
        <v>0</v>
      </c>
      <c r="G22" s="991">
        <f t="shared" si="19"/>
        <v>0</v>
      </c>
      <c r="H22" s="1109">
        <f t="shared" si="22"/>
        <v>0</v>
      </c>
      <c r="I22" s="991">
        <f t="shared" si="23"/>
        <v>0</v>
      </c>
      <c r="J22" s="991"/>
      <c r="K22" s="991">
        <f t="shared" si="24"/>
        <v>0</v>
      </c>
      <c r="L22" s="991">
        <f t="shared" si="25"/>
        <v>0</v>
      </c>
      <c r="M22" s="1077"/>
      <c r="N22" s="991">
        <f t="shared" si="26"/>
        <v>0</v>
      </c>
      <c r="O22" s="1051">
        <f>'[18]FY2012-13 Final'!D23</f>
        <v>13791</v>
      </c>
      <c r="P22" s="992">
        <f t="shared" si="20"/>
        <v>0</v>
      </c>
      <c r="Q22" s="1117">
        <f t="shared" si="27"/>
        <v>0</v>
      </c>
      <c r="R22" s="992">
        <f t="shared" si="28"/>
        <v>0</v>
      </c>
      <c r="S22" s="992"/>
      <c r="T22" s="992">
        <f t="shared" si="29"/>
        <v>0</v>
      </c>
      <c r="U22" s="992">
        <f t="shared" si="30"/>
        <v>0</v>
      </c>
      <c r="V22" s="993">
        <f t="shared" si="31"/>
        <v>0</v>
      </c>
      <c r="W22" s="993">
        <f t="shared" si="32"/>
        <v>0</v>
      </c>
    </row>
    <row r="23" spans="1:23">
      <c r="A23" s="994">
        <v>17</v>
      </c>
      <c r="B23" s="995" t="s">
        <v>111</v>
      </c>
      <c r="C23" s="996">
        <f>'[2]ALL-Reformatted'!I22</f>
        <v>0</v>
      </c>
      <c r="D23" s="997">
        <f>'Table 3 Levels 1&amp;2'!BN25+'Table 3 Levels 1&amp;2'!BV25</f>
        <v>3311.610845996096</v>
      </c>
      <c r="E23" s="1100">
        <f t="shared" si="18"/>
        <v>0</v>
      </c>
      <c r="F23" s="1100">
        <f t="shared" si="21"/>
        <v>0</v>
      </c>
      <c r="G23" s="1052">
        <f t="shared" si="19"/>
        <v>0</v>
      </c>
      <c r="H23" s="1110">
        <f t="shared" si="22"/>
        <v>0</v>
      </c>
      <c r="I23" s="1052">
        <f t="shared" si="23"/>
        <v>0</v>
      </c>
      <c r="J23" s="1052"/>
      <c r="K23" s="1052">
        <f t="shared" si="24"/>
        <v>0</v>
      </c>
      <c r="L23" s="1052">
        <f t="shared" si="25"/>
        <v>0</v>
      </c>
      <c r="M23" s="1078"/>
      <c r="N23" s="1052">
        <f t="shared" si="26"/>
        <v>0</v>
      </c>
      <c r="O23" s="1051">
        <f>'[18]FY2012-13 Final'!D24</f>
        <v>5688</v>
      </c>
      <c r="P23" s="1053">
        <f t="shared" si="20"/>
        <v>0</v>
      </c>
      <c r="Q23" s="1118">
        <f t="shared" si="27"/>
        <v>0</v>
      </c>
      <c r="R23" s="1053">
        <f t="shared" si="28"/>
        <v>0</v>
      </c>
      <c r="S23" s="1053"/>
      <c r="T23" s="1053">
        <f t="shared" si="29"/>
        <v>0</v>
      </c>
      <c r="U23" s="1053">
        <f t="shared" si="30"/>
        <v>0</v>
      </c>
      <c r="V23" s="1054">
        <f t="shared" si="31"/>
        <v>0</v>
      </c>
      <c r="W23" s="1054">
        <f t="shared" si="32"/>
        <v>0</v>
      </c>
    </row>
    <row r="24" spans="1:23">
      <c r="A24" s="994">
        <v>18</v>
      </c>
      <c r="B24" s="995" t="s">
        <v>112</v>
      </c>
      <c r="C24" s="996">
        <f>'[2]ALL-Reformatted'!I23</f>
        <v>0</v>
      </c>
      <c r="D24" s="997">
        <f>'Table 3 Levels 1&amp;2'!BN26+'Table 3 Levels 1&amp;2'!BV26</f>
        <v>5964.3490202032081</v>
      </c>
      <c r="E24" s="1100">
        <f t="shared" si="18"/>
        <v>0</v>
      </c>
      <c r="F24" s="1100">
        <f t="shared" si="21"/>
        <v>0</v>
      </c>
      <c r="G24" s="1052">
        <f t="shared" si="19"/>
        <v>0</v>
      </c>
      <c r="H24" s="1110">
        <f t="shared" si="22"/>
        <v>0</v>
      </c>
      <c r="I24" s="1052">
        <f t="shared" si="23"/>
        <v>0</v>
      </c>
      <c r="J24" s="1052"/>
      <c r="K24" s="1052">
        <f t="shared" si="24"/>
        <v>0</v>
      </c>
      <c r="L24" s="1052">
        <f t="shared" si="25"/>
        <v>0</v>
      </c>
      <c r="M24" s="1078"/>
      <c r="N24" s="1052">
        <f t="shared" si="26"/>
        <v>0</v>
      </c>
      <c r="O24" s="1051">
        <f>'[18]FY2012-13 Final'!D25</f>
        <v>2165</v>
      </c>
      <c r="P24" s="1053">
        <f t="shared" si="20"/>
        <v>0</v>
      </c>
      <c r="Q24" s="1118">
        <f t="shared" si="27"/>
        <v>0</v>
      </c>
      <c r="R24" s="1053">
        <f t="shared" si="28"/>
        <v>0</v>
      </c>
      <c r="S24" s="1053"/>
      <c r="T24" s="1053">
        <f t="shared" si="29"/>
        <v>0</v>
      </c>
      <c r="U24" s="1053">
        <f t="shared" si="30"/>
        <v>0</v>
      </c>
      <c r="V24" s="1054">
        <f t="shared" si="31"/>
        <v>0</v>
      </c>
      <c r="W24" s="1054">
        <f t="shared" si="32"/>
        <v>0</v>
      </c>
    </row>
    <row r="25" spans="1:23">
      <c r="A25" s="994">
        <v>19</v>
      </c>
      <c r="B25" s="995" t="s">
        <v>113</v>
      </c>
      <c r="C25" s="996">
        <f>'[2]ALL-Reformatted'!I24</f>
        <v>0</v>
      </c>
      <c r="D25" s="997">
        <f>'Table 3 Levels 1&amp;2'!BN27+'Table 3 Levels 1&amp;2'!BV27</f>
        <v>5283.1088158476596</v>
      </c>
      <c r="E25" s="1100">
        <f t="shared" si="18"/>
        <v>0</v>
      </c>
      <c r="F25" s="1100">
        <f t="shared" si="21"/>
        <v>0</v>
      </c>
      <c r="G25" s="1052">
        <f t="shared" si="19"/>
        <v>0</v>
      </c>
      <c r="H25" s="1110">
        <f t="shared" si="22"/>
        <v>0</v>
      </c>
      <c r="I25" s="1052">
        <f t="shared" si="23"/>
        <v>0</v>
      </c>
      <c r="J25" s="1052"/>
      <c r="K25" s="1052">
        <f t="shared" si="24"/>
        <v>0</v>
      </c>
      <c r="L25" s="1052">
        <f t="shared" si="25"/>
        <v>0</v>
      </c>
      <c r="M25" s="1078"/>
      <c r="N25" s="1052">
        <f t="shared" si="26"/>
        <v>0</v>
      </c>
      <c r="O25" s="1051">
        <f>'[18]FY2012-13 Final'!D26</f>
        <v>2729</v>
      </c>
      <c r="P25" s="1053">
        <f t="shared" si="20"/>
        <v>0</v>
      </c>
      <c r="Q25" s="1118">
        <f t="shared" si="27"/>
        <v>0</v>
      </c>
      <c r="R25" s="1053">
        <f t="shared" si="28"/>
        <v>0</v>
      </c>
      <c r="S25" s="1053"/>
      <c r="T25" s="1053">
        <f t="shared" si="29"/>
        <v>0</v>
      </c>
      <c r="U25" s="1053">
        <f t="shared" si="30"/>
        <v>0</v>
      </c>
      <c r="V25" s="1054">
        <f t="shared" si="31"/>
        <v>0</v>
      </c>
      <c r="W25" s="1054">
        <f t="shared" si="32"/>
        <v>0</v>
      </c>
    </row>
    <row r="26" spans="1:23">
      <c r="A26" s="998">
        <v>20</v>
      </c>
      <c r="B26" s="999" t="s">
        <v>114</v>
      </c>
      <c r="C26" s="1000">
        <f>'[2]ALL-Reformatted'!I25</f>
        <v>0</v>
      </c>
      <c r="D26" s="1001">
        <f>'Table 3 Levels 1&amp;2'!BN28+'Table 3 Levels 1&amp;2'!BV28</f>
        <v>5389.6047094824808</v>
      </c>
      <c r="E26" s="1101">
        <f t="shared" si="18"/>
        <v>0</v>
      </c>
      <c r="F26" s="1101">
        <f t="shared" si="21"/>
        <v>0</v>
      </c>
      <c r="G26" s="1055">
        <f t="shared" si="19"/>
        <v>0</v>
      </c>
      <c r="H26" s="1111">
        <f t="shared" si="22"/>
        <v>0</v>
      </c>
      <c r="I26" s="1055">
        <f t="shared" si="23"/>
        <v>0</v>
      </c>
      <c r="J26" s="1055"/>
      <c r="K26" s="1055">
        <f t="shared" si="24"/>
        <v>0</v>
      </c>
      <c r="L26" s="1055">
        <f t="shared" si="25"/>
        <v>0</v>
      </c>
      <c r="M26" s="1079"/>
      <c r="N26" s="1055">
        <f t="shared" si="26"/>
        <v>0</v>
      </c>
      <c r="O26" s="1056">
        <f>'[18]FY2012-13 Final'!D27</f>
        <v>2263</v>
      </c>
      <c r="P26" s="1057">
        <f t="shared" si="20"/>
        <v>0</v>
      </c>
      <c r="Q26" s="1119">
        <f t="shared" si="27"/>
        <v>0</v>
      </c>
      <c r="R26" s="1057">
        <f t="shared" si="28"/>
        <v>0</v>
      </c>
      <c r="S26" s="1057"/>
      <c r="T26" s="1057">
        <f t="shared" si="29"/>
        <v>0</v>
      </c>
      <c r="U26" s="1057">
        <f t="shared" si="30"/>
        <v>0</v>
      </c>
      <c r="V26" s="1058">
        <f t="shared" si="31"/>
        <v>0</v>
      </c>
      <c r="W26" s="1058">
        <f t="shared" si="32"/>
        <v>0</v>
      </c>
    </row>
    <row r="27" spans="1:23">
      <c r="A27" s="987">
        <v>21</v>
      </c>
      <c r="B27" s="988" t="s">
        <v>115</v>
      </c>
      <c r="C27" s="989">
        <f>'[2]ALL-Reformatted'!I26</f>
        <v>0</v>
      </c>
      <c r="D27" s="990">
        <f>'Table 3 Levels 1&amp;2'!BN29+'Table 3 Levels 1&amp;2'!BV29</f>
        <v>5659.8229810652783</v>
      </c>
      <c r="E27" s="1099">
        <f t="shared" si="18"/>
        <v>0</v>
      </c>
      <c r="F27" s="1099">
        <f t="shared" si="21"/>
        <v>0</v>
      </c>
      <c r="G27" s="991">
        <f t="shared" si="19"/>
        <v>0</v>
      </c>
      <c r="H27" s="1109">
        <f t="shared" si="22"/>
        <v>0</v>
      </c>
      <c r="I27" s="991">
        <f t="shared" si="23"/>
        <v>0</v>
      </c>
      <c r="J27" s="991"/>
      <c r="K27" s="991">
        <f t="shared" si="24"/>
        <v>0</v>
      </c>
      <c r="L27" s="991">
        <f t="shared" si="25"/>
        <v>0</v>
      </c>
      <c r="M27" s="1077"/>
      <c r="N27" s="991">
        <f t="shared" si="26"/>
        <v>0</v>
      </c>
      <c r="O27" s="1051">
        <f>'[18]FY2012-13 Final'!D28</f>
        <v>1517</v>
      </c>
      <c r="P27" s="992">
        <f t="shared" si="20"/>
        <v>0</v>
      </c>
      <c r="Q27" s="1117">
        <f t="shared" si="27"/>
        <v>0</v>
      </c>
      <c r="R27" s="992">
        <f t="shared" si="28"/>
        <v>0</v>
      </c>
      <c r="S27" s="992"/>
      <c r="T27" s="992">
        <f t="shared" si="29"/>
        <v>0</v>
      </c>
      <c r="U27" s="992">
        <f t="shared" si="30"/>
        <v>0</v>
      </c>
      <c r="V27" s="993">
        <f t="shared" si="31"/>
        <v>0</v>
      </c>
      <c r="W27" s="993">
        <f t="shared" si="32"/>
        <v>0</v>
      </c>
    </row>
    <row r="28" spans="1:23">
      <c r="A28" s="994">
        <v>22</v>
      </c>
      <c r="B28" s="995" t="s">
        <v>116</v>
      </c>
      <c r="C28" s="996">
        <f>'[2]ALL-Reformatted'!I27</f>
        <v>0</v>
      </c>
      <c r="D28" s="997">
        <f>'Table 3 Levels 1&amp;2'!BN30+'Table 3 Levels 1&amp;2'!BV30</f>
        <v>6191.1997628958306</v>
      </c>
      <c r="E28" s="1100">
        <f t="shared" si="18"/>
        <v>0</v>
      </c>
      <c r="F28" s="1100">
        <f t="shared" si="21"/>
        <v>0</v>
      </c>
      <c r="G28" s="1052">
        <f t="shared" si="19"/>
        <v>0</v>
      </c>
      <c r="H28" s="1110">
        <f t="shared" si="22"/>
        <v>0</v>
      </c>
      <c r="I28" s="1052">
        <f t="shared" si="23"/>
        <v>0</v>
      </c>
      <c r="J28" s="1052"/>
      <c r="K28" s="1052">
        <f t="shared" si="24"/>
        <v>0</v>
      </c>
      <c r="L28" s="1052">
        <f t="shared" si="25"/>
        <v>0</v>
      </c>
      <c r="M28" s="1078"/>
      <c r="N28" s="1052">
        <f t="shared" si="26"/>
        <v>0</v>
      </c>
      <c r="O28" s="1051">
        <f>'[18]FY2012-13 Final'!D29</f>
        <v>769</v>
      </c>
      <c r="P28" s="1053">
        <f t="shared" si="20"/>
        <v>0</v>
      </c>
      <c r="Q28" s="1118">
        <f t="shared" si="27"/>
        <v>0</v>
      </c>
      <c r="R28" s="1053">
        <f t="shared" si="28"/>
        <v>0</v>
      </c>
      <c r="S28" s="1053"/>
      <c r="T28" s="1053">
        <f t="shared" si="29"/>
        <v>0</v>
      </c>
      <c r="U28" s="1053">
        <f t="shared" si="30"/>
        <v>0</v>
      </c>
      <c r="V28" s="1054">
        <f t="shared" si="31"/>
        <v>0</v>
      </c>
      <c r="W28" s="1054">
        <f t="shared" si="32"/>
        <v>0</v>
      </c>
    </row>
    <row r="29" spans="1:23">
      <c r="A29" s="994">
        <v>23</v>
      </c>
      <c r="B29" s="995" t="s">
        <v>117</v>
      </c>
      <c r="C29" s="996">
        <f>'[2]ALL-Reformatted'!I28</f>
        <v>0</v>
      </c>
      <c r="D29" s="997">
        <f>'Table 3 Levels 1&amp;2'!BN31+'Table 3 Levels 1&amp;2'!BV31</f>
        <v>4788.2881021645453</v>
      </c>
      <c r="E29" s="1100">
        <f t="shared" si="18"/>
        <v>0</v>
      </c>
      <c r="F29" s="1100">
        <f t="shared" si="21"/>
        <v>0</v>
      </c>
      <c r="G29" s="1052">
        <f t="shared" si="19"/>
        <v>0</v>
      </c>
      <c r="H29" s="1110">
        <f t="shared" si="22"/>
        <v>0</v>
      </c>
      <c r="I29" s="1052">
        <f t="shared" si="23"/>
        <v>0</v>
      </c>
      <c r="J29" s="1052"/>
      <c r="K29" s="1052">
        <f t="shared" si="24"/>
        <v>0</v>
      </c>
      <c r="L29" s="1052">
        <f t="shared" si="25"/>
        <v>0</v>
      </c>
      <c r="M29" s="1078"/>
      <c r="N29" s="1052">
        <f t="shared" si="26"/>
        <v>0</v>
      </c>
      <c r="O29" s="1051">
        <f>'[18]FY2012-13 Final'!D30</f>
        <v>2496</v>
      </c>
      <c r="P29" s="1053">
        <f t="shared" si="20"/>
        <v>0</v>
      </c>
      <c r="Q29" s="1118">
        <f t="shared" si="27"/>
        <v>0</v>
      </c>
      <c r="R29" s="1053">
        <f t="shared" si="28"/>
        <v>0</v>
      </c>
      <c r="S29" s="1053"/>
      <c r="T29" s="1053">
        <f t="shared" si="29"/>
        <v>0</v>
      </c>
      <c r="U29" s="1053">
        <f t="shared" si="30"/>
        <v>0</v>
      </c>
      <c r="V29" s="1054">
        <f t="shared" si="31"/>
        <v>0</v>
      </c>
      <c r="W29" s="1054">
        <f t="shared" si="32"/>
        <v>0</v>
      </c>
    </row>
    <row r="30" spans="1:23">
      <c r="A30" s="994">
        <v>24</v>
      </c>
      <c r="B30" s="995" t="s">
        <v>118</v>
      </c>
      <c r="C30" s="996">
        <f>'[2]ALL-Reformatted'!I29</f>
        <v>0</v>
      </c>
      <c r="D30" s="997">
        <f>'Table 3 Levels 1&amp;2'!BN32+'Table 3 Levels 1&amp;2'!BV32</f>
        <v>2743.328175824176</v>
      </c>
      <c r="E30" s="1100">
        <f t="shared" si="18"/>
        <v>0</v>
      </c>
      <c r="F30" s="1100">
        <f t="shared" si="21"/>
        <v>0</v>
      </c>
      <c r="G30" s="1052">
        <f t="shared" si="19"/>
        <v>0</v>
      </c>
      <c r="H30" s="1110">
        <f t="shared" si="22"/>
        <v>0</v>
      </c>
      <c r="I30" s="1052">
        <f t="shared" si="23"/>
        <v>0</v>
      </c>
      <c r="J30" s="1052"/>
      <c r="K30" s="1052">
        <f t="shared" si="24"/>
        <v>0</v>
      </c>
      <c r="L30" s="1052">
        <f t="shared" si="25"/>
        <v>0</v>
      </c>
      <c r="M30" s="1078"/>
      <c r="N30" s="1052">
        <f t="shared" si="26"/>
        <v>0</v>
      </c>
      <c r="O30" s="1051">
        <f>'[18]FY2012-13 Final'!D31</f>
        <v>8616</v>
      </c>
      <c r="P30" s="1053">
        <f t="shared" si="20"/>
        <v>0</v>
      </c>
      <c r="Q30" s="1118">
        <f t="shared" si="27"/>
        <v>0</v>
      </c>
      <c r="R30" s="1053">
        <f t="shared" si="28"/>
        <v>0</v>
      </c>
      <c r="S30" s="1053"/>
      <c r="T30" s="1053">
        <f t="shared" si="29"/>
        <v>0</v>
      </c>
      <c r="U30" s="1053">
        <f t="shared" si="30"/>
        <v>0</v>
      </c>
      <c r="V30" s="1054">
        <f t="shared" si="31"/>
        <v>0</v>
      </c>
      <c r="W30" s="1054">
        <f t="shared" si="32"/>
        <v>0</v>
      </c>
    </row>
    <row r="31" spans="1:23">
      <c r="A31" s="998">
        <v>25</v>
      </c>
      <c r="B31" s="999" t="s">
        <v>119</v>
      </c>
      <c r="C31" s="1000">
        <f>'[2]ALL-Reformatted'!I30</f>
        <v>0</v>
      </c>
      <c r="D31" s="1001">
        <f>'Table 3 Levels 1&amp;2'!BN33+'Table 3 Levels 1&amp;2'!BV33</f>
        <v>3799.3890273447178</v>
      </c>
      <c r="E31" s="1101">
        <f t="shared" si="18"/>
        <v>0</v>
      </c>
      <c r="F31" s="1101">
        <f t="shared" si="21"/>
        <v>0</v>
      </c>
      <c r="G31" s="1055">
        <f t="shared" si="19"/>
        <v>0</v>
      </c>
      <c r="H31" s="1111">
        <f t="shared" si="22"/>
        <v>0</v>
      </c>
      <c r="I31" s="1055">
        <f t="shared" si="23"/>
        <v>0</v>
      </c>
      <c r="J31" s="1055"/>
      <c r="K31" s="1055">
        <f t="shared" si="24"/>
        <v>0</v>
      </c>
      <c r="L31" s="1055">
        <f t="shared" si="25"/>
        <v>0</v>
      </c>
      <c r="M31" s="1079"/>
      <c r="N31" s="1055">
        <f t="shared" si="26"/>
        <v>0</v>
      </c>
      <c r="O31" s="1056">
        <f>'[18]FY2012-13 Final'!D32</f>
        <v>5191</v>
      </c>
      <c r="P31" s="1057">
        <f t="shared" si="20"/>
        <v>0</v>
      </c>
      <c r="Q31" s="1119">
        <f t="shared" si="27"/>
        <v>0</v>
      </c>
      <c r="R31" s="1057">
        <f t="shared" si="28"/>
        <v>0</v>
      </c>
      <c r="S31" s="1057"/>
      <c r="T31" s="1057">
        <f t="shared" si="29"/>
        <v>0</v>
      </c>
      <c r="U31" s="1057">
        <f t="shared" si="30"/>
        <v>0</v>
      </c>
      <c r="V31" s="1058">
        <f t="shared" si="31"/>
        <v>0</v>
      </c>
      <c r="W31" s="1058">
        <f t="shared" si="32"/>
        <v>0</v>
      </c>
    </row>
    <row r="32" spans="1:23">
      <c r="A32" s="987">
        <v>26</v>
      </c>
      <c r="B32" s="988" t="s">
        <v>120</v>
      </c>
      <c r="C32" s="989">
        <f>'[2]ALL-Reformatted'!I31</f>
        <v>229</v>
      </c>
      <c r="D32" s="990">
        <f>'Table 3 Levels 1&amp;2'!BN34+'Table 3 Levels 1&amp;2'!BV34</f>
        <v>3320.7842100822745</v>
      </c>
      <c r="E32" s="1099">
        <f t="shared" si="18"/>
        <v>760459.58410884091</v>
      </c>
      <c r="F32" s="1099">
        <f t="shared" si="21"/>
        <v>163691.52608193274</v>
      </c>
      <c r="G32" s="991">
        <f t="shared" si="19"/>
        <v>924151.11019077362</v>
      </c>
      <c r="H32" s="1109">
        <f t="shared" si="22"/>
        <v>-2310.3777754769339</v>
      </c>
      <c r="I32" s="991">
        <f t="shared" si="23"/>
        <v>921840.73241529672</v>
      </c>
      <c r="J32" s="991"/>
      <c r="K32" s="991">
        <f t="shared" si="24"/>
        <v>921840.73241529672</v>
      </c>
      <c r="L32" s="991">
        <f t="shared" si="25"/>
        <v>76820</v>
      </c>
      <c r="M32" s="1077"/>
      <c r="N32" s="991">
        <f t="shared" si="26"/>
        <v>921840.73241529672</v>
      </c>
      <c r="O32" s="1051">
        <f>'[18]FY2012-13 Final'!D33</f>
        <v>4507</v>
      </c>
      <c r="P32" s="992">
        <f t="shared" si="20"/>
        <v>1032103</v>
      </c>
      <c r="Q32" s="1117">
        <f t="shared" si="27"/>
        <v>-2580.2575000000002</v>
      </c>
      <c r="R32" s="992">
        <f t="shared" si="28"/>
        <v>1029522.7425000001</v>
      </c>
      <c r="S32" s="992"/>
      <c r="T32" s="992">
        <f t="shared" si="29"/>
        <v>1029522.7425000001</v>
      </c>
      <c r="U32" s="992">
        <f t="shared" si="30"/>
        <v>85794</v>
      </c>
      <c r="V32" s="993">
        <f t="shared" si="31"/>
        <v>1951363.4749152968</v>
      </c>
      <c r="W32" s="993">
        <f t="shared" si="32"/>
        <v>162614</v>
      </c>
    </row>
    <row r="33" spans="1:23">
      <c r="A33" s="994">
        <v>27</v>
      </c>
      <c r="B33" s="995" t="s">
        <v>121</v>
      </c>
      <c r="C33" s="1002">
        <f>'[2]ALL-Reformatted'!I32</f>
        <v>0</v>
      </c>
      <c r="D33" s="1003">
        <f>'Table 3 Levels 1&amp;2'!BN35+'Table 3 Levels 1&amp;2'!BV35</f>
        <v>5636.5919457972805</v>
      </c>
      <c r="E33" s="1102">
        <f t="shared" si="18"/>
        <v>0</v>
      </c>
      <c r="F33" s="1102">
        <f t="shared" si="21"/>
        <v>0</v>
      </c>
      <c r="G33" s="1059">
        <f t="shared" si="19"/>
        <v>0</v>
      </c>
      <c r="H33" s="1112">
        <f t="shared" si="22"/>
        <v>0</v>
      </c>
      <c r="I33" s="1059">
        <f t="shared" si="23"/>
        <v>0</v>
      </c>
      <c r="J33" s="1059"/>
      <c r="K33" s="1059">
        <f t="shared" si="24"/>
        <v>0</v>
      </c>
      <c r="L33" s="1059">
        <f t="shared" si="25"/>
        <v>0</v>
      </c>
      <c r="M33" s="1080"/>
      <c r="N33" s="1059">
        <f t="shared" si="26"/>
        <v>0</v>
      </c>
      <c r="O33" s="1051">
        <f>'[18]FY2012-13 Final'!D34</f>
        <v>2508</v>
      </c>
      <c r="P33" s="1053">
        <f t="shared" si="20"/>
        <v>0</v>
      </c>
      <c r="Q33" s="1118">
        <f t="shared" si="27"/>
        <v>0</v>
      </c>
      <c r="R33" s="1053">
        <f t="shared" si="28"/>
        <v>0</v>
      </c>
      <c r="S33" s="1053"/>
      <c r="T33" s="1053">
        <f t="shared" si="29"/>
        <v>0</v>
      </c>
      <c r="U33" s="1053">
        <f t="shared" si="30"/>
        <v>0</v>
      </c>
      <c r="V33" s="1054">
        <f t="shared" si="31"/>
        <v>0</v>
      </c>
      <c r="W33" s="1054">
        <f t="shared" si="32"/>
        <v>0</v>
      </c>
    </row>
    <row r="34" spans="1:23">
      <c r="A34" s="994">
        <v>28</v>
      </c>
      <c r="B34" s="995" t="s">
        <v>122</v>
      </c>
      <c r="C34" s="1002">
        <f>'[2]ALL-Reformatted'!I33</f>
        <v>0</v>
      </c>
      <c r="D34" s="1003">
        <f>'Table 3 Levels 1&amp;2'!BN36+'Table 3 Levels 1&amp;2'!BV36</f>
        <v>3106.8056522508969</v>
      </c>
      <c r="E34" s="1102">
        <f t="shared" si="18"/>
        <v>0</v>
      </c>
      <c r="F34" s="1102">
        <f t="shared" si="21"/>
        <v>0</v>
      </c>
      <c r="G34" s="1059">
        <f t="shared" si="19"/>
        <v>0</v>
      </c>
      <c r="H34" s="1112">
        <f t="shared" si="22"/>
        <v>0</v>
      </c>
      <c r="I34" s="1059">
        <f t="shared" si="23"/>
        <v>0</v>
      </c>
      <c r="J34" s="1059"/>
      <c r="K34" s="1059">
        <f t="shared" si="24"/>
        <v>0</v>
      </c>
      <c r="L34" s="1059">
        <f t="shared" si="25"/>
        <v>0</v>
      </c>
      <c r="M34" s="1080"/>
      <c r="N34" s="1059">
        <f t="shared" si="26"/>
        <v>0</v>
      </c>
      <c r="O34" s="1051">
        <f>'[18]FY2012-13 Final'!D35</f>
        <v>4718</v>
      </c>
      <c r="P34" s="1053">
        <f t="shared" si="20"/>
        <v>0</v>
      </c>
      <c r="Q34" s="1118">
        <f t="shared" si="27"/>
        <v>0</v>
      </c>
      <c r="R34" s="1053">
        <f t="shared" si="28"/>
        <v>0</v>
      </c>
      <c r="S34" s="1053"/>
      <c r="T34" s="1053">
        <f t="shared" si="29"/>
        <v>0</v>
      </c>
      <c r="U34" s="1053">
        <f t="shared" si="30"/>
        <v>0</v>
      </c>
      <c r="V34" s="1054">
        <f t="shared" si="31"/>
        <v>0</v>
      </c>
      <c r="W34" s="1054">
        <f t="shared" si="32"/>
        <v>0</v>
      </c>
    </row>
    <row r="35" spans="1:23">
      <c r="A35" s="994">
        <v>29</v>
      </c>
      <c r="B35" s="995" t="s">
        <v>123</v>
      </c>
      <c r="C35" s="1002">
        <f>'[2]ALL-Reformatted'!I34</f>
        <v>0</v>
      </c>
      <c r="D35" s="1003">
        <f>'Table 3 Levels 1&amp;2'!BN37+'Table 3 Levels 1&amp;2'!BV37</f>
        <v>3912.1846976122315</v>
      </c>
      <c r="E35" s="1102">
        <f t="shared" si="18"/>
        <v>0</v>
      </c>
      <c r="F35" s="1102">
        <f t="shared" si="21"/>
        <v>0</v>
      </c>
      <c r="G35" s="1059">
        <f t="shared" si="19"/>
        <v>0</v>
      </c>
      <c r="H35" s="1112">
        <f t="shared" si="22"/>
        <v>0</v>
      </c>
      <c r="I35" s="1059">
        <f t="shared" si="23"/>
        <v>0</v>
      </c>
      <c r="J35" s="1059"/>
      <c r="K35" s="1059">
        <f t="shared" si="24"/>
        <v>0</v>
      </c>
      <c r="L35" s="1059">
        <f t="shared" si="25"/>
        <v>0</v>
      </c>
      <c r="M35" s="1080"/>
      <c r="N35" s="1059">
        <f t="shared" si="26"/>
        <v>0</v>
      </c>
      <c r="O35" s="1051">
        <f>'[18]FY2012-13 Final'!D36</f>
        <v>3510</v>
      </c>
      <c r="P35" s="1053">
        <f t="shared" si="20"/>
        <v>0</v>
      </c>
      <c r="Q35" s="1118">
        <f t="shared" si="27"/>
        <v>0</v>
      </c>
      <c r="R35" s="1053">
        <f t="shared" si="28"/>
        <v>0</v>
      </c>
      <c r="S35" s="1053"/>
      <c r="T35" s="1053">
        <f t="shared" si="29"/>
        <v>0</v>
      </c>
      <c r="U35" s="1053">
        <f t="shared" si="30"/>
        <v>0</v>
      </c>
      <c r="V35" s="1054">
        <f t="shared" si="31"/>
        <v>0</v>
      </c>
      <c r="W35" s="1054">
        <f t="shared" si="32"/>
        <v>0</v>
      </c>
    </row>
    <row r="36" spans="1:23">
      <c r="A36" s="998">
        <v>30</v>
      </c>
      <c r="B36" s="999" t="s">
        <v>124</v>
      </c>
      <c r="C36" s="1004">
        <f>'[2]ALL-Reformatted'!I35</f>
        <v>0</v>
      </c>
      <c r="D36" s="1005">
        <f>'Table 3 Levels 1&amp;2'!BN38+'Table 3 Levels 1&amp;2'!BV38</f>
        <v>5594.0091640611508</v>
      </c>
      <c r="E36" s="1103">
        <f t="shared" si="18"/>
        <v>0</v>
      </c>
      <c r="F36" s="1103">
        <f t="shared" si="21"/>
        <v>0</v>
      </c>
      <c r="G36" s="1060">
        <f t="shared" si="19"/>
        <v>0</v>
      </c>
      <c r="H36" s="1113">
        <f t="shared" si="22"/>
        <v>0</v>
      </c>
      <c r="I36" s="1060">
        <f t="shared" si="23"/>
        <v>0</v>
      </c>
      <c r="J36" s="1060"/>
      <c r="K36" s="1060">
        <f t="shared" si="24"/>
        <v>0</v>
      </c>
      <c r="L36" s="1060">
        <f t="shared" si="25"/>
        <v>0</v>
      </c>
      <c r="M36" s="1081"/>
      <c r="N36" s="1060">
        <f t="shared" si="26"/>
        <v>0</v>
      </c>
      <c r="O36" s="1056">
        <f>'[18]FY2012-13 Final'!D37</f>
        <v>2748</v>
      </c>
      <c r="P36" s="1057">
        <f t="shared" si="20"/>
        <v>0</v>
      </c>
      <c r="Q36" s="1119">
        <f t="shared" si="27"/>
        <v>0</v>
      </c>
      <c r="R36" s="1057">
        <f t="shared" si="28"/>
        <v>0</v>
      </c>
      <c r="S36" s="1057"/>
      <c r="T36" s="1057">
        <f t="shared" si="29"/>
        <v>0</v>
      </c>
      <c r="U36" s="1057">
        <f t="shared" si="30"/>
        <v>0</v>
      </c>
      <c r="V36" s="1058">
        <f t="shared" si="31"/>
        <v>0</v>
      </c>
      <c r="W36" s="1058">
        <f t="shared" si="32"/>
        <v>0</v>
      </c>
    </row>
    <row r="37" spans="1:23">
      <c r="A37" s="987">
        <v>31</v>
      </c>
      <c r="B37" s="988" t="s">
        <v>125</v>
      </c>
      <c r="C37" s="1006">
        <f>'[2]ALL-Reformatted'!I36</f>
        <v>0</v>
      </c>
      <c r="D37" s="1007">
        <f>'Table 3 Levels 1&amp;2'!BN39+'Table 3 Levels 1&amp;2'!BV39</f>
        <v>4320.114188911979</v>
      </c>
      <c r="E37" s="1104">
        <f t="shared" si="18"/>
        <v>0</v>
      </c>
      <c r="F37" s="1104">
        <f t="shared" si="21"/>
        <v>0</v>
      </c>
      <c r="G37" s="1061">
        <f t="shared" si="19"/>
        <v>0</v>
      </c>
      <c r="H37" s="1114">
        <f t="shared" si="22"/>
        <v>0</v>
      </c>
      <c r="I37" s="1061">
        <f t="shared" si="23"/>
        <v>0</v>
      </c>
      <c r="J37" s="1061"/>
      <c r="K37" s="1061">
        <f t="shared" si="24"/>
        <v>0</v>
      </c>
      <c r="L37" s="1061">
        <f t="shared" si="25"/>
        <v>0</v>
      </c>
      <c r="M37" s="1082"/>
      <c r="N37" s="1061">
        <f t="shared" si="26"/>
        <v>0</v>
      </c>
      <c r="O37" s="1051">
        <f>'[18]FY2012-13 Final'!D38</f>
        <v>4123</v>
      </c>
      <c r="P37" s="992">
        <f t="shared" si="20"/>
        <v>0</v>
      </c>
      <c r="Q37" s="1117">
        <f t="shared" si="27"/>
        <v>0</v>
      </c>
      <c r="R37" s="992">
        <f t="shared" si="28"/>
        <v>0</v>
      </c>
      <c r="S37" s="992"/>
      <c r="T37" s="992">
        <f t="shared" si="29"/>
        <v>0</v>
      </c>
      <c r="U37" s="992">
        <f t="shared" si="30"/>
        <v>0</v>
      </c>
      <c r="V37" s="993">
        <f t="shared" si="31"/>
        <v>0</v>
      </c>
      <c r="W37" s="993">
        <f t="shared" si="32"/>
        <v>0</v>
      </c>
    </row>
    <row r="38" spans="1:23">
      <c r="A38" s="994">
        <v>32</v>
      </c>
      <c r="B38" s="995" t="s">
        <v>126</v>
      </c>
      <c r="C38" s="1002">
        <f>'[2]ALL-Reformatted'!I37</f>
        <v>0</v>
      </c>
      <c r="D38" s="1003">
        <f>'Table 3 Levels 1&amp;2'!BN40+'Table 3 Levels 1&amp;2'!BV40</f>
        <v>5504.4479209353676</v>
      </c>
      <c r="E38" s="1102">
        <f t="shared" si="18"/>
        <v>0</v>
      </c>
      <c r="F38" s="1102">
        <f t="shared" si="21"/>
        <v>0</v>
      </c>
      <c r="G38" s="1059">
        <f t="shared" si="19"/>
        <v>0</v>
      </c>
      <c r="H38" s="1112">
        <f t="shared" si="22"/>
        <v>0</v>
      </c>
      <c r="I38" s="1059">
        <f t="shared" si="23"/>
        <v>0</v>
      </c>
      <c r="J38" s="1059"/>
      <c r="K38" s="1059">
        <f t="shared" si="24"/>
        <v>0</v>
      </c>
      <c r="L38" s="1059">
        <f t="shared" si="25"/>
        <v>0</v>
      </c>
      <c r="M38" s="1080"/>
      <c r="N38" s="1059">
        <f t="shared" si="26"/>
        <v>0</v>
      </c>
      <c r="O38" s="1051">
        <f>'[18]FY2012-13 Final'!D39</f>
        <v>1628</v>
      </c>
      <c r="P38" s="1053">
        <f t="shared" si="20"/>
        <v>0</v>
      </c>
      <c r="Q38" s="1118">
        <f t="shared" si="27"/>
        <v>0</v>
      </c>
      <c r="R38" s="1053">
        <f t="shared" si="28"/>
        <v>0</v>
      </c>
      <c r="S38" s="1053"/>
      <c r="T38" s="1053">
        <f t="shared" si="29"/>
        <v>0</v>
      </c>
      <c r="U38" s="1053">
        <f t="shared" si="30"/>
        <v>0</v>
      </c>
      <c r="V38" s="1054">
        <f t="shared" si="31"/>
        <v>0</v>
      </c>
      <c r="W38" s="1054">
        <f t="shared" si="32"/>
        <v>0</v>
      </c>
    </row>
    <row r="39" spans="1:23">
      <c r="A39" s="994">
        <v>33</v>
      </c>
      <c r="B39" s="995" t="s">
        <v>127</v>
      </c>
      <c r="C39" s="1002">
        <f>'[2]ALL-Reformatted'!I38</f>
        <v>0</v>
      </c>
      <c r="D39" s="1003">
        <f>'Table 3 Levels 1&amp;2'!BN41+'Table 3 Levels 1&amp;2'!BV41</f>
        <v>5322.07272511876</v>
      </c>
      <c r="E39" s="1102">
        <f t="shared" ref="E39:E70" si="33">D39*C39</f>
        <v>0</v>
      </c>
      <c r="F39" s="1102">
        <f t="shared" si="21"/>
        <v>0</v>
      </c>
      <c r="G39" s="1059">
        <f t="shared" ref="G39:G70" si="34">E39+F39</f>
        <v>0</v>
      </c>
      <c r="H39" s="1112">
        <f t="shared" si="22"/>
        <v>0</v>
      </c>
      <c r="I39" s="1059">
        <f t="shared" si="23"/>
        <v>0</v>
      </c>
      <c r="J39" s="1059"/>
      <c r="K39" s="1059">
        <f t="shared" si="24"/>
        <v>0</v>
      </c>
      <c r="L39" s="1059">
        <f t="shared" si="25"/>
        <v>0</v>
      </c>
      <c r="M39" s="1080"/>
      <c r="N39" s="1059">
        <f t="shared" si="26"/>
        <v>0</v>
      </c>
      <c r="O39" s="1051">
        <f>'[18]FY2012-13 Final'!D40</f>
        <v>1465</v>
      </c>
      <c r="P39" s="1053">
        <f t="shared" ref="P39:P70" si="35">O39*C39</f>
        <v>0</v>
      </c>
      <c r="Q39" s="1118">
        <f t="shared" si="27"/>
        <v>0</v>
      </c>
      <c r="R39" s="1053">
        <f t="shared" si="28"/>
        <v>0</v>
      </c>
      <c r="S39" s="1053"/>
      <c r="T39" s="1053">
        <f t="shared" si="29"/>
        <v>0</v>
      </c>
      <c r="U39" s="1053">
        <f t="shared" si="30"/>
        <v>0</v>
      </c>
      <c r="V39" s="1054">
        <f t="shared" si="31"/>
        <v>0</v>
      </c>
      <c r="W39" s="1054">
        <f t="shared" si="32"/>
        <v>0</v>
      </c>
    </row>
    <row r="40" spans="1:23">
      <c r="A40" s="994">
        <v>34</v>
      </c>
      <c r="B40" s="995" t="s">
        <v>128</v>
      </c>
      <c r="C40" s="1002">
        <f>'[2]ALL-Reformatted'!I39</f>
        <v>0</v>
      </c>
      <c r="D40" s="1003">
        <f>'Table 3 Levels 1&amp;2'!BN42+'Table 3 Levels 1&amp;2'!BV42</f>
        <v>5959.062840731639</v>
      </c>
      <c r="E40" s="1102">
        <f t="shared" si="33"/>
        <v>0</v>
      </c>
      <c r="F40" s="1102">
        <f t="shared" si="21"/>
        <v>0</v>
      </c>
      <c r="G40" s="1059">
        <f t="shared" si="34"/>
        <v>0</v>
      </c>
      <c r="H40" s="1112">
        <f t="shared" si="22"/>
        <v>0</v>
      </c>
      <c r="I40" s="1059">
        <f t="shared" si="23"/>
        <v>0</v>
      </c>
      <c r="J40" s="1059"/>
      <c r="K40" s="1059">
        <f t="shared" si="24"/>
        <v>0</v>
      </c>
      <c r="L40" s="1059">
        <f t="shared" si="25"/>
        <v>0</v>
      </c>
      <c r="M40" s="1080"/>
      <c r="N40" s="1059">
        <f t="shared" si="26"/>
        <v>0</v>
      </c>
      <c r="O40" s="1051">
        <f>'[18]FY2012-13 Final'!D41</f>
        <v>2315</v>
      </c>
      <c r="P40" s="1053">
        <f t="shared" si="35"/>
        <v>0</v>
      </c>
      <c r="Q40" s="1118">
        <f t="shared" si="27"/>
        <v>0</v>
      </c>
      <c r="R40" s="1053">
        <f t="shared" si="28"/>
        <v>0</v>
      </c>
      <c r="S40" s="1053"/>
      <c r="T40" s="1053">
        <f t="shared" si="29"/>
        <v>0</v>
      </c>
      <c r="U40" s="1053">
        <f t="shared" si="30"/>
        <v>0</v>
      </c>
      <c r="V40" s="1054">
        <f t="shared" si="31"/>
        <v>0</v>
      </c>
      <c r="W40" s="1054">
        <f t="shared" si="32"/>
        <v>0</v>
      </c>
    </row>
    <row r="41" spans="1:23">
      <c r="A41" s="998">
        <v>35</v>
      </c>
      <c r="B41" s="999" t="s">
        <v>129</v>
      </c>
      <c r="C41" s="1004">
        <f>'[2]ALL-Reformatted'!I40</f>
        <v>0</v>
      </c>
      <c r="D41" s="1005">
        <f>'Table 3 Levels 1&amp;2'!BN43+'Table 3 Levels 1&amp;2'!BV43</f>
        <v>4571.947611490059</v>
      </c>
      <c r="E41" s="1103">
        <f t="shared" si="33"/>
        <v>0</v>
      </c>
      <c r="F41" s="1103">
        <f t="shared" si="21"/>
        <v>0</v>
      </c>
      <c r="G41" s="1060">
        <f t="shared" si="34"/>
        <v>0</v>
      </c>
      <c r="H41" s="1113">
        <f t="shared" si="22"/>
        <v>0</v>
      </c>
      <c r="I41" s="1060">
        <f t="shared" si="23"/>
        <v>0</v>
      </c>
      <c r="J41" s="1060"/>
      <c r="K41" s="1060">
        <f t="shared" si="24"/>
        <v>0</v>
      </c>
      <c r="L41" s="1060">
        <f t="shared" si="25"/>
        <v>0</v>
      </c>
      <c r="M41" s="1081"/>
      <c r="N41" s="1060">
        <f t="shared" si="26"/>
        <v>0</v>
      </c>
      <c r="O41" s="1056">
        <f>'[18]FY2012-13 Final'!D42</f>
        <v>3206</v>
      </c>
      <c r="P41" s="1057">
        <f t="shared" si="35"/>
        <v>0</v>
      </c>
      <c r="Q41" s="1119">
        <f t="shared" si="27"/>
        <v>0</v>
      </c>
      <c r="R41" s="1057">
        <f t="shared" si="28"/>
        <v>0</v>
      </c>
      <c r="S41" s="1057"/>
      <c r="T41" s="1057">
        <f t="shared" si="29"/>
        <v>0</v>
      </c>
      <c r="U41" s="1057">
        <f t="shared" si="30"/>
        <v>0</v>
      </c>
      <c r="V41" s="1058">
        <f t="shared" si="31"/>
        <v>0</v>
      </c>
      <c r="W41" s="1058">
        <f t="shared" si="32"/>
        <v>0</v>
      </c>
    </row>
    <row r="42" spans="1:23">
      <c r="A42" s="987">
        <v>36</v>
      </c>
      <c r="B42" s="988" t="s">
        <v>130</v>
      </c>
      <c r="C42" s="1006">
        <f>'[2]ALL-Reformatted'!I41</f>
        <v>467</v>
      </c>
      <c r="D42" s="1007">
        <f>'Table 3 Levels 1&amp;2'!BN44+'Table 3 Levels 1&amp;2'!BV44</f>
        <v>3666.4136012725312</v>
      </c>
      <c r="E42" s="1104">
        <f t="shared" si="33"/>
        <v>1712215.151794272</v>
      </c>
      <c r="F42" s="1104">
        <f t="shared" si="21"/>
        <v>333816.34358193271</v>
      </c>
      <c r="G42" s="1061">
        <f t="shared" si="34"/>
        <v>2046031.4953762046</v>
      </c>
      <c r="H42" s="1114">
        <f t="shared" si="22"/>
        <v>-5115.0787384405112</v>
      </c>
      <c r="I42" s="1061">
        <f t="shared" si="23"/>
        <v>2040916.4166377641</v>
      </c>
      <c r="J42" s="1061"/>
      <c r="K42" s="1061">
        <f t="shared" si="24"/>
        <v>2040916.4166377641</v>
      </c>
      <c r="L42" s="1061">
        <f t="shared" si="25"/>
        <v>170076</v>
      </c>
      <c r="M42" s="1082">
        <f>'Table 4A Level 4'!I89</f>
        <v>540000</v>
      </c>
      <c r="N42" s="1061">
        <f t="shared" si="26"/>
        <v>2580916.4166377643</v>
      </c>
      <c r="O42" s="1051">
        <f>'[18]FY2012-13 Final'!D43</f>
        <v>3929</v>
      </c>
      <c r="P42" s="992">
        <f t="shared" si="35"/>
        <v>1834843</v>
      </c>
      <c r="Q42" s="1117">
        <f t="shared" si="27"/>
        <v>-4587.1075000000001</v>
      </c>
      <c r="R42" s="992">
        <f t="shared" si="28"/>
        <v>1830255.8925000001</v>
      </c>
      <c r="S42" s="992"/>
      <c r="T42" s="992">
        <f t="shared" si="29"/>
        <v>1830255.8925000001</v>
      </c>
      <c r="U42" s="992">
        <f t="shared" si="30"/>
        <v>152521</v>
      </c>
      <c r="V42" s="993">
        <f t="shared" si="31"/>
        <v>4411172.3091377644</v>
      </c>
      <c r="W42" s="993">
        <f t="shared" si="32"/>
        <v>322597</v>
      </c>
    </row>
    <row r="43" spans="1:23">
      <c r="A43" s="994">
        <v>37</v>
      </c>
      <c r="B43" s="995" t="s">
        <v>131</v>
      </c>
      <c r="C43" s="1002">
        <f>'[2]ALL-Reformatted'!I42</f>
        <v>0</v>
      </c>
      <c r="D43" s="1003">
        <f>'Table 3 Levels 1&amp;2'!BN45+'Table 3 Levels 1&amp;2'!BV45</f>
        <v>5484.8089042263191</v>
      </c>
      <c r="E43" s="1102">
        <f t="shared" si="33"/>
        <v>0</v>
      </c>
      <c r="F43" s="1102">
        <f t="shared" si="21"/>
        <v>0</v>
      </c>
      <c r="G43" s="1059">
        <f t="shared" si="34"/>
        <v>0</v>
      </c>
      <c r="H43" s="1112">
        <f t="shared" si="22"/>
        <v>0</v>
      </c>
      <c r="I43" s="1059">
        <f t="shared" si="23"/>
        <v>0</v>
      </c>
      <c r="J43" s="1059"/>
      <c r="K43" s="1059">
        <f t="shared" si="24"/>
        <v>0</v>
      </c>
      <c r="L43" s="1059">
        <f t="shared" si="25"/>
        <v>0</v>
      </c>
      <c r="M43" s="1080"/>
      <c r="N43" s="1059">
        <f t="shared" si="26"/>
        <v>0</v>
      </c>
      <c r="O43" s="1051">
        <f>'[18]FY2012-13 Final'!D44</f>
        <v>2795</v>
      </c>
      <c r="P43" s="1053">
        <f t="shared" si="35"/>
        <v>0</v>
      </c>
      <c r="Q43" s="1118">
        <f t="shared" si="27"/>
        <v>0</v>
      </c>
      <c r="R43" s="1053">
        <f t="shared" si="28"/>
        <v>0</v>
      </c>
      <c r="S43" s="1053"/>
      <c r="T43" s="1053">
        <f t="shared" si="29"/>
        <v>0</v>
      </c>
      <c r="U43" s="1053">
        <f t="shared" si="30"/>
        <v>0</v>
      </c>
      <c r="V43" s="1054">
        <f t="shared" si="31"/>
        <v>0</v>
      </c>
      <c r="W43" s="1054">
        <f t="shared" si="32"/>
        <v>0</v>
      </c>
    </row>
    <row r="44" spans="1:23">
      <c r="A44" s="994">
        <v>38</v>
      </c>
      <c r="B44" s="995" t="s">
        <v>132</v>
      </c>
      <c r="C44" s="1002">
        <f>'[2]ALL-Reformatted'!I43</f>
        <v>1</v>
      </c>
      <c r="D44" s="1003">
        <f>'Table 3 Levels 1&amp;2'!BN46+'Table 3 Levels 1&amp;2'!BV46</f>
        <v>2078.5917829727841</v>
      </c>
      <c r="E44" s="1102">
        <f t="shared" si="33"/>
        <v>2078.5917829727841</v>
      </c>
      <c r="F44" s="1102">
        <f t="shared" si="21"/>
        <v>714.81015756302509</v>
      </c>
      <c r="G44" s="1059">
        <f t="shared" si="34"/>
        <v>2793.4019405358094</v>
      </c>
      <c r="H44" s="1112">
        <f t="shared" si="22"/>
        <v>-6.9835048513395241</v>
      </c>
      <c r="I44" s="1059">
        <f t="shared" si="23"/>
        <v>2786.4184356844698</v>
      </c>
      <c r="J44" s="1059"/>
      <c r="K44" s="1059">
        <f t="shared" si="24"/>
        <v>2786.4184356844698</v>
      </c>
      <c r="L44" s="1059">
        <f t="shared" si="25"/>
        <v>232</v>
      </c>
      <c r="M44" s="1080"/>
      <c r="N44" s="1059">
        <f t="shared" si="26"/>
        <v>2786.4184356844698</v>
      </c>
      <c r="O44" s="1051">
        <f>'[18]FY2012-13 Final'!D45</f>
        <v>9674</v>
      </c>
      <c r="P44" s="1053">
        <f t="shared" si="35"/>
        <v>9674</v>
      </c>
      <c r="Q44" s="1118">
        <f t="shared" si="27"/>
        <v>-24.185000000000002</v>
      </c>
      <c r="R44" s="1053">
        <f t="shared" si="28"/>
        <v>9649.8150000000005</v>
      </c>
      <c r="S44" s="1053"/>
      <c r="T44" s="1053">
        <f t="shared" si="29"/>
        <v>9649.8150000000005</v>
      </c>
      <c r="U44" s="1053">
        <f t="shared" si="30"/>
        <v>804</v>
      </c>
      <c r="V44" s="1054">
        <f t="shared" si="31"/>
        <v>12436.233435684469</v>
      </c>
      <c r="W44" s="1054">
        <f t="shared" si="32"/>
        <v>1036</v>
      </c>
    </row>
    <row r="45" spans="1:23">
      <c r="A45" s="994">
        <v>39</v>
      </c>
      <c r="B45" s="995" t="s">
        <v>133</v>
      </c>
      <c r="C45" s="1002">
        <f>'[2]ALL-Reformatted'!I44</f>
        <v>0</v>
      </c>
      <c r="D45" s="1003">
        <f>'Table 3 Levels 1&amp;2'!BN47+'Table 3 Levels 1&amp;2'!BV47</f>
        <v>3622.4878999042335</v>
      </c>
      <c r="E45" s="1102">
        <f t="shared" si="33"/>
        <v>0</v>
      </c>
      <c r="F45" s="1102">
        <f t="shared" si="21"/>
        <v>0</v>
      </c>
      <c r="G45" s="1059">
        <f t="shared" si="34"/>
        <v>0</v>
      </c>
      <c r="H45" s="1112">
        <f t="shared" si="22"/>
        <v>0</v>
      </c>
      <c r="I45" s="1059">
        <f t="shared" si="23"/>
        <v>0</v>
      </c>
      <c r="J45" s="1059"/>
      <c r="K45" s="1059">
        <f t="shared" si="24"/>
        <v>0</v>
      </c>
      <c r="L45" s="1059">
        <f t="shared" si="25"/>
        <v>0</v>
      </c>
      <c r="M45" s="1080"/>
      <c r="N45" s="1059">
        <f t="shared" si="26"/>
        <v>0</v>
      </c>
      <c r="O45" s="1051">
        <f>'[18]FY2012-13 Final'!D46</f>
        <v>4145</v>
      </c>
      <c r="P45" s="1053">
        <f t="shared" si="35"/>
        <v>0</v>
      </c>
      <c r="Q45" s="1118">
        <f t="shared" si="27"/>
        <v>0</v>
      </c>
      <c r="R45" s="1053">
        <f t="shared" si="28"/>
        <v>0</v>
      </c>
      <c r="S45" s="1053"/>
      <c r="T45" s="1053">
        <f t="shared" si="29"/>
        <v>0</v>
      </c>
      <c r="U45" s="1053">
        <f t="shared" si="30"/>
        <v>0</v>
      </c>
      <c r="V45" s="1054">
        <f t="shared" si="31"/>
        <v>0</v>
      </c>
      <c r="W45" s="1054">
        <f t="shared" si="32"/>
        <v>0</v>
      </c>
    </row>
    <row r="46" spans="1:23">
      <c r="A46" s="998">
        <v>40</v>
      </c>
      <c r="B46" s="999" t="s">
        <v>134</v>
      </c>
      <c r="C46" s="1004">
        <f>'[2]ALL-Reformatted'!I45</f>
        <v>0</v>
      </c>
      <c r="D46" s="1005">
        <f>'Table 3 Levels 1&amp;2'!BN48+'Table 3 Levels 1&amp;2'!BV48</f>
        <v>4885.6387343180086</v>
      </c>
      <c r="E46" s="1103">
        <f t="shared" si="33"/>
        <v>0</v>
      </c>
      <c r="F46" s="1103">
        <f t="shared" si="21"/>
        <v>0</v>
      </c>
      <c r="G46" s="1060">
        <f t="shared" si="34"/>
        <v>0</v>
      </c>
      <c r="H46" s="1113">
        <f t="shared" si="22"/>
        <v>0</v>
      </c>
      <c r="I46" s="1060">
        <f t="shared" si="23"/>
        <v>0</v>
      </c>
      <c r="J46" s="1060"/>
      <c r="K46" s="1060">
        <f t="shared" si="24"/>
        <v>0</v>
      </c>
      <c r="L46" s="1060">
        <f t="shared" si="25"/>
        <v>0</v>
      </c>
      <c r="M46" s="1081"/>
      <c r="N46" s="1060">
        <f t="shared" si="26"/>
        <v>0</v>
      </c>
      <c r="O46" s="1056">
        <f>'[18]FY2012-13 Final'!D47</f>
        <v>2558</v>
      </c>
      <c r="P46" s="1057">
        <f t="shared" si="35"/>
        <v>0</v>
      </c>
      <c r="Q46" s="1119">
        <f t="shared" si="27"/>
        <v>0</v>
      </c>
      <c r="R46" s="1057">
        <f t="shared" si="28"/>
        <v>0</v>
      </c>
      <c r="S46" s="1057"/>
      <c r="T46" s="1057">
        <f t="shared" si="29"/>
        <v>0</v>
      </c>
      <c r="U46" s="1057">
        <f t="shared" si="30"/>
        <v>0</v>
      </c>
      <c r="V46" s="1058">
        <f t="shared" si="31"/>
        <v>0</v>
      </c>
      <c r="W46" s="1058">
        <f t="shared" si="32"/>
        <v>0</v>
      </c>
    </row>
    <row r="47" spans="1:23">
      <c r="A47" s="987">
        <v>41</v>
      </c>
      <c r="B47" s="988" t="s">
        <v>135</v>
      </c>
      <c r="C47" s="1006">
        <f>'[2]ALL-Reformatted'!I46</f>
        <v>0</v>
      </c>
      <c r="D47" s="1007">
        <f>'Table 3 Levels 1&amp;2'!BN49+'Table 3 Levels 1&amp;2'!BV49</f>
        <v>1602.0398121899364</v>
      </c>
      <c r="E47" s="1104">
        <f t="shared" si="33"/>
        <v>0</v>
      </c>
      <c r="F47" s="1104">
        <f t="shared" si="21"/>
        <v>0</v>
      </c>
      <c r="G47" s="1061">
        <f t="shared" si="34"/>
        <v>0</v>
      </c>
      <c r="H47" s="1114">
        <f t="shared" si="22"/>
        <v>0</v>
      </c>
      <c r="I47" s="1061">
        <f t="shared" si="23"/>
        <v>0</v>
      </c>
      <c r="J47" s="1061"/>
      <c r="K47" s="1061">
        <f t="shared" si="24"/>
        <v>0</v>
      </c>
      <c r="L47" s="1061">
        <f t="shared" si="25"/>
        <v>0</v>
      </c>
      <c r="M47" s="1082"/>
      <c r="N47" s="1061">
        <f t="shared" si="26"/>
        <v>0</v>
      </c>
      <c r="O47" s="1051">
        <f>'[18]FY2012-13 Final'!D48</f>
        <v>11442</v>
      </c>
      <c r="P47" s="992">
        <f t="shared" si="35"/>
        <v>0</v>
      </c>
      <c r="Q47" s="1117">
        <f t="shared" si="27"/>
        <v>0</v>
      </c>
      <c r="R47" s="992">
        <f t="shared" si="28"/>
        <v>0</v>
      </c>
      <c r="S47" s="992"/>
      <c r="T47" s="992">
        <f t="shared" si="29"/>
        <v>0</v>
      </c>
      <c r="U47" s="992">
        <f t="shared" si="30"/>
        <v>0</v>
      </c>
      <c r="V47" s="993">
        <f t="shared" si="31"/>
        <v>0</v>
      </c>
      <c r="W47" s="993">
        <f t="shared" si="32"/>
        <v>0</v>
      </c>
    </row>
    <row r="48" spans="1:23">
      <c r="A48" s="994">
        <v>42</v>
      </c>
      <c r="B48" s="995" t="s">
        <v>136</v>
      </c>
      <c r="C48" s="1002">
        <f>'[2]ALL-Reformatted'!I47</f>
        <v>0</v>
      </c>
      <c r="D48" s="1003">
        <f>'Table 3 Levels 1&amp;2'!BN50+'Table 3 Levels 1&amp;2'!BV50</f>
        <v>5098.6172346404755</v>
      </c>
      <c r="E48" s="1102">
        <f t="shared" si="33"/>
        <v>0</v>
      </c>
      <c r="F48" s="1102">
        <f t="shared" si="21"/>
        <v>0</v>
      </c>
      <c r="G48" s="1059">
        <f t="shared" si="34"/>
        <v>0</v>
      </c>
      <c r="H48" s="1112">
        <f t="shared" si="22"/>
        <v>0</v>
      </c>
      <c r="I48" s="1059">
        <f t="shared" si="23"/>
        <v>0</v>
      </c>
      <c r="J48" s="1059"/>
      <c r="K48" s="1059">
        <f t="shared" si="24"/>
        <v>0</v>
      </c>
      <c r="L48" s="1059">
        <f t="shared" si="25"/>
        <v>0</v>
      </c>
      <c r="M48" s="1080"/>
      <c r="N48" s="1059">
        <f t="shared" si="26"/>
        <v>0</v>
      </c>
      <c r="O48" s="1051">
        <f>'[18]FY2012-13 Final'!D49</f>
        <v>2229</v>
      </c>
      <c r="P48" s="1053">
        <f t="shared" si="35"/>
        <v>0</v>
      </c>
      <c r="Q48" s="1118">
        <f t="shared" si="27"/>
        <v>0</v>
      </c>
      <c r="R48" s="1053">
        <f t="shared" si="28"/>
        <v>0</v>
      </c>
      <c r="S48" s="1053"/>
      <c r="T48" s="1053">
        <f t="shared" si="29"/>
        <v>0</v>
      </c>
      <c r="U48" s="1053">
        <f t="shared" si="30"/>
        <v>0</v>
      </c>
      <c r="V48" s="1054">
        <f t="shared" si="31"/>
        <v>0</v>
      </c>
      <c r="W48" s="1054">
        <f t="shared" si="32"/>
        <v>0</v>
      </c>
    </row>
    <row r="49" spans="1:23">
      <c r="A49" s="994">
        <v>43</v>
      </c>
      <c r="B49" s="995" t="s">
        <v>137</v>
      </c>
      <c r="C49" s="1002">
        <f>'[2]ALL-Reformatted'!I48</f>
        <v>0</v>
      </c>
      <c r="D49" s="1003">
        <f>'Table 3 Levels 1&amp;2'!BN51+'Table 3 Levels 1&amp;2'!BV51</f>
        <v>4701.3362575004667</v>
      </c>
      <c r="E49" s="1102">
        <f t="shared" si="33"/>
        <v>0</v>
      </c>
      <c r="F49" s="1102">
        <f t="shared" si="21"/>
        <v>0</v>
      </c>
      <c r="G49" s="1059">
        <f t="shared" si="34"/>
        <v>0</v>
      </c>
      <c r="H49" s="1112">
        <f t="shared" si="22"/>
        <v>0</v>
      </c>
      <c r="I49" s="1059">
        <f t="shared" si="23"/>
        <v>0</v>
      </c>
      <c r="J49" s="1059"/>
      <c r="K49" s="1059">
        <f t="shared" si="24"/>
        <v>0</v>
      </c>
      <c r="L49" s="1059">
        <f t="shared" si="25"/>
        <v>0</v>
      </c>
      <c r="M49" s="1080"/>
      <c r="N49" s="1059">
        <f t="shared" si="26"/>
        <v>0</v>
      </c>
      <c r="O49" s="1051">
        <f>'[18]FY2012-13 Final'!D50</f>
        <v>4649</v>
      </c>
      <c r="P49" s="1053">
        <f t="shared" si="35"/>
        <v>0</v>
      </c>
      <c r="Q49" s="1118">
        <f t="shared" si="27"/>
        <v>0</v>
      </c>
      <c r="R49" s="1053">
        <f t="shared" si="28"/>
        <v>0</v>
      </c>
      <c r="S49" s="1053"/>
      <c r="T49" s="1053">
        <f t="shared" si="29"/>
        <v>0</v>
      </c>
      <c r="U49" s="1053">
        <f t="shared" si="30"/>
        <v>0</v>
      </c>
      <c r="V49" s="1054">
        <f t="shared" si="31"/>
        <v>0</v>
      </c>
      <c r="W49" s="1054">
        <f t="shared" si="32"/>
        <v>0</v>
      </c>
    </row>
    <row r="50" spans="1:23">
      <c r="A50" s="994">
        <v>44</v>
      </c>
      <c r="B50" s="995" t="s">
        <v>138</v>
      </c>
      <c r="C50" s="1002">
        <f>'[2]ALL-Reformatted'!I49</f>
        <v>14</v>
      </c>
      <c r="D50" s="1003">
        <f>'Table 3 Levels 1&amp;2'!BN52+'Table 3 Levels 1&amp;2'!BV52</f>
        <v>4649.5559521248724</v>
      </c>
      <c r="E50" s="1102">
        <f t="shared" si="33"/>
        <v>65093.783329748214</v>
      </c>
      <c r="F50" s="1102">
        <f t="shared" si="21"/>
        <v>10007.342205882351</v>
      </c>
      <c r="G50" s="1059">
        <f t="shared" si="34"/>
        <v>75101.125535630563</v>
      </c>
      <c r="H50" s="1112">
        <f t="shared" si="22"/>
        <v>-187.75281383907642</v>
      </c>
      <c r="I50" s="1059">
        <f t="shared" si="23"/>
        <v>74913.372721791486</v>
      </c>
      <c r="J50" s="1059"/>
      <c r="K50" s="1059">
        <f t="shared" si="24"/>
        <v>74913.372721791486</v>
      </c>
      <c r="L50" s="1059">
        <f t="shared" si="25"/>
        <v>6243</v>
      </c>
      <c r="M50" s="1080"/>
      <c r="N50" s="1059">
        <f t="shared" si="26"/>
        <v>74913.372721791486</v>
      </c>
      <c r="O50" s="1051">
        <f>'[18]FY2012-13 Final'!D51</f>
        <v>3660</v>
      </c>
      <c r="P50" s="1053">
        <f t="shared" si="35"/>
        <v>51240</v>
      </c>
      <c r="Q50" s="1118">
        <f t="shared" si="27"/>
        <v>-128.1</v>
      </c>
      <c r="R50" s="1053">
        <f t="shared" si="28"/>
        <v>51111.9</v>
      </c>
      <c r="S50" s="1053"/>
      <c r="T50" s="1053">
        <f t="shared" si="29"/>
        <v>51111.9</v>
      </c>
      <c r="U50" s="1053">
        <f t="shared" si="30"/>
        <v>4259</v>
      </c>
      <c r="V50" s="1054">
        <f t="shared" si="31"/>
        <v>126025.27272179149</v>
      </c>
      <c r="W50" s="1054">
        <f t="shared" si="32"/>
        <v>10502</v>
      </c>
    </row>
    <row r="51" spans="1:23">
      <c r="A51" s="998">
        <v>45</v>
      </c>
      <c r="B51" s="999" t="s">
        <v>139</v>
      </c>
      <c r="C51" s="1004">
        <f>'[2]ALL-Reformatted'!I50</f>
        <v>5</v>
      </c>
      <c r="D51" s="1005">
        <f>'Table 3 Levels 1&amp;2'!BN53+'Table 3 Levels 1&amp;2'!BV53</f>
        <v>2159.257884231537</v>
      </c>
      <c r="E51" s="1103">
        <f t="shared" si="33"/>
        <v>10796.289421157686</v>
      </c>
      <c r="F51" s="1103">
        <f t="shared" si="21"/>
        <v>3574.0507878151257</v>
      </c>
      <c r="G51" s="1060">
        <f t="shared" si="34"/>
        <v>14370.340208972812</v>
      </c>
      <c r="H51" s="1113">
        <f t="shared" si="22"/>
        <v>-35.925850522432029</v>
      </c>
      <c r="I51" s="1060">
        <f t="shared" si="23"/>
        <v>14334.41435845038</v>
      </c>
      <c r="J51" s="1060"/>
      <c r="K51" s="1060">
        <f t="shared" si="24"/>
        <v>14334.41435845038</v>
      </c>
      <c r="L51" s="1060">
        <f t="shared" si="25"/>
        <v>1195</v>
      </c>
      <c r="M51" s="1081"/>
      <c r="N51" s="1060">
        <f t="shared" si="26"/>
        <v>14334.41435845038</v>
      </c>
      <c r="O51" s="1056">
        <f>'[18]FY2012-13 Final'!D52</f>
        <v>11141</v>
      </c>
      <c r="P51" s="1057">
        <f t="shared" si="35"/>
        <v>55705</v>
      </c>
      <c r="Q51" s="1119">
        <f t="shared" si="27"/>
        <v>-139.26250000000002</v>
      </c>
      <c r="R51" s="1057">
        <f t="shared" si="28"/>
        <v>55565.737500000003</v>
      </c>
      <c r="S51" s="1057"/>
      <c r="T51" s="1057">
        <f t="shared" si="29"/>
        <v>55565.737500000003</v>
      </c>
      <c r="U51" s="1057">
        <f t="shared" si="30"/>
        <v>4630</v>
      </c>
      <c r="V51" s="1058">
        <f t="shared" si="31"/>
        <v>69900.151858450379</v>
      </c>
      <c r="W51" s="1058">
        <f t="shared" si="32"/>
        <v>5825</v>
      </c>
    </row>
    <row r="52" spans="1:23">
      <c r="A52" s="987">
        <v>46</v>
      </c>
      <c r="B52" s="988" t="s">
        <v>140</v>
      </c>
      <c r="C52" s="1006">
        <f>'[2]ALL-Reformatted'!I51</f>
        <v>0</v>
      </c>
      <c r="D52" s="1007">
        <f>'Table 3 Levels 1&amp;2'!BN54+'Table 3 Levels 1&amp;2'!BV54</f>
        <v>5578.7258135108641</v>
      </c>
      <c r="E52" s="1104">
        <f t="shared" si="33"/>
        <v>0</v>
      </c>
      <c r="F52" s="1104">
        <f t="shared" si="21"/>
        <v>0</v>
      </c>
      <c r="G52" s="1061">
        <f t="shared" si="34"/>
        <v>0</v>
      </c>
      <c r="H52" s="1114">
        <f t="shared" si="22"/>
        <v>0</v>
      </c>
      <c r="I52" s="1061">
        <f t="shared" si="23"/>
        <v>0</v>
      </c>
      <c r="J52" s="1061"/>
      <c r="K52" s="1061">
        <f t="shared" si="24"/>
        <v>0</v>
      </c>
      <c r="L52" s="1061">
        <f t="shared" si="25"/>
        <v>0</v>
      </c>
      <c r="M52" s="1082"/>
      <c r="N52" s="1061">
        <f t="shared" si="26"/>
        <v>0</v>
      </c>
      <c r="O52" s="1051">
        <f>'[18]FY2012-13 Final'!D53</f>
        <v>1098</v>
      </c>
      <c r="P52" s="992">
        <f t="shared" si="35"/>
        <v>0</v>
      </c>
      <c r="Q52" s="1117">
        <f t="shared" si="27"/>
        <v>0</v>
      </c>
      <c r="R52" s="992">
        <f t="shared" si="28"/>
        <v>0</v>
      </c>
      <c r="S52" s="992"/>
      <c r="T52" s="992">
        <f t="shared" si="29"/>
        <v>0</v>
      </c>
      <c r="U52" s="992">
        <f t="shared" si="30"/>
        <v>0</v>
      </c>
      <c r="V52" s="993">
        <f t="shared" si="31"/>
        <v>0</v>
      </c>
      <c r="W52" s="993">
        <f t="shared" si="32"/>
        <v>0</v>
      </c>
    </row>
    <row r="53" spans="1:23">
      <c r="A53" s="994">
        <v>47</v>
      </c>
      <c r="B53" s="995" t="s">
        <v>141</v>
      </c>
      <c r="C53" s="1002">
        <f>'[2]ALL-Reformatted'!I52</f>
        <v>0</v>
      </c>
      <c r="D53" s="1003">
        <f>'Table 3 Levels 1&amp;2'!BN55+'Table 3 Levels 1&amp;2'!BV55</f>
        <v>2709.058014721415</v>
      </c>
      <c r="E53" s="1102">
        <f t="shared" si="33"/>
        <v>0</v>
      </c>
      <c r="F53" s="1102">
        <f t="shared" si="21"/>
        <v>0</v>
      </c>
      <c r="G53" s="1059">
        <f t="shared" si="34"/>
        <v>0</v>
      </c>
      <c r="H53" s="1112">
        <f t="shared" si="22"/>
        <v>0</v>
      </c>
      <c r="I53" s="1059">
        <f t="shared" si="23"/>
        <v>0</v>
      </c>
      <c r="J53" s="1059"/>
      <c r="K53" s="1059">
        <f t="shared" si="24"/>
        <v>0</v>
      </c>
      <c r="L53" s="1059">
        <f t="shared" si="25"/>
        <v>0</v>
      </c>
      <c r="M53" s="1080"/>
      <c r="N53" s="1059">
        <f t="shared" si="26"/>
        <v>0</v>
      </c>
      <c r="O53" s="1051">
        <f>'[18]FY2012-13 Final'!D54</f>
        <v>8954</v>
      </c>
      <c r="P53" s="1053">
        <f t="shared" si="35"/>
        <v>0</v>
      </c>
      <c r="Q53" s="1118">
        <f t="shared" si="27"/>
        <v>0</v>
      </c>
      <c r="R53" s="1053">
        <f t="shared" si="28"/>
        <v>0</v>
      </c>
      <c r="S53" s="1053"/>
      <c r="T53" s="1053">
        <f t="shared" si="29"/>
        <v>0</v>
      </c>
      <c r="U53" s="1053">
        <f t="shared" si="30"/>
        <v>0</v>
      </c>
      <c r="V53" s="1054">
        <f t="shared" si="31"/>
        <v>0</v>
      </c>
      <c r="W53" s="1054">
        <f t="shared" si="32"/>
        <v>0</v>
      </c>
    </row>
    <row r="54" spans="1:23">
      <c r="A54" s="994">
        <v>48</v>
      </c>
      <c r="B54" s="995" t="s">
        <v>202</v>
      </c>
      <c r="C54" s="1002">
        <f>'[2]ALL-Reformatted'!I53</f>
        <v>7</v>
      </c>
      <c r="D54" s="1003">
        <f>'Table 3 Levels 1&amp;2'!BN56+'Table 3 Levels 1&amp;2'!BV56</f>
        <v>4259.4136153508553</v>
      </c>
      <c r="E54" s="1102">
        <f t="shared" si="33"/>
        <v>29815.895307455987</v>
      </c>
      <c r="F54" s="1102">
        <f t="shared" si="21"/>
        <v>5003.6711029411754</v>
      </c>
      <c r="G54" s="1059">
        <f t="shared" si="34"/>
        <v>34819.566410397165</v>
      </c>
      <c r="H54" s="1112">
        <f t="shared" si="22"/>
        <v>-87.048916025992909</v>
      </c>
      <c r="I54" s="1059">
        <f t="shared" si="23"/>
        <v>34732.517494371175</v>
      </c>
      <c r="J54" s="1059"/>
      <c r="K54" s="1059">
        <f t="shared" si="24"/>
        <v>34732.517494371175</v>
      </c>
      <c r="L54" s="1059">
        <f t="shared" si="25"/>
        <v>2894</v>
      </c>
      <c r="M54" s="1080"/>
      <c r="N54" s="1059">
        <f t="shared" si="26"/>
        <v>34732.517494371175</v>
      </c>
      <c r="O54" s="1051">
        <f>'[18]FY2012-13 Final'!D55</f>
        <v>4645</v>
      </c>
      <c r="P54" s="1053">
        <f t="shared" si="35"/>
        <v>32515</v>
      </c>
      <c r="Q54" s="1118">
        <f t="shared" si="27"/>
        <v>-81.287500000000009</v>
      </c>
      <c r="R54" s="1053">
        <f t="shared" si="28"/>
        <v>32433.712500000001</v>
      </c>
      <c r="S54" s="1053"/>
      <c r="T54" s="1053">
        <f t="shared" si="29"/>
        <v>32433.712500000001</v>
      </c>
      <c r="U54" s="1053">
        <f t="shared" si="30"/>
        <v>2703</v>
      </c>
      <c r="V54" s="1054">
        <f t="shared" si="31"/>
        <v>67166.229994371184</v>
      </c>
      <c r="W54" s="1054">
        <f t="shared" si="32"/>
        <v>5597</v>
      </c>
    </row>
    <row r="55" spans="1:23">
      <c r="A55" s="994">
        <v>49</v>
      </c>
      <c r="B55" s="995" t="s">
        <v>142</v>
      </c>
      <c r="C55" s="1002">
        <f>'[2]ALL-Reformatted'!I54</f>
        <v>0</v>
      </c>
      <c r="D55" s="1003">
        <f>'Table 3 Levels 1&amp;2'!BN57+'Table 3 Levels 1&amp;2'!BV57</f>
        <v>4790.0513947378495</v>
      </c>
      <c r="E55" s="1102">
        <f t="shared" si="33"/>
        <v>0</v>
      </c>
      <c r="F55" s="1102">
        <f t="shared" si="21"/>
        <v>0</v>
      </c>
      <c r="G55" s="1059">
        <f t="shared" si="34"/>
        <v>0</v>
      </c>
      <c r="H55" s="1112">
        <f t="shared" si="22"/>
        <v>0</v>
      </c>
      <c r="I55" s="1059">
        <f t="shared" si="23"/>
        <v>0</v>
      </c>
      <c r="J55" s="1059"/>
      <c r="K55" s="1059">
        <f t="shared" si="24"/>
        <v>0</v>
      </c>
      <c r="L55" s="1059">
        <f t="shared" si="25"/>
        <v>0</v>
      </c>
      <c r="M55" s="1080"/>
      <c r="N55" s="1059">
        <f t="shared" si="26"/>
        <v>0</v>
      </c>
      <c r="O55" s="1051">
        <f>'[18]FY2012-13 Final'!D56</f>
        <v>2335</v>
      </c>
      <c r="P55" s="1053">
        <f t="shared" si="35"/>
        <v>0</v>
      </c>
      <c r="Q55" s="1118">
        <f t="shared" si="27"/>
        <v>0</v>
      </c>
      <c r="R55" s="1053">
        <f t="shared" si="28"/>
        <v>0</v>
      </c>
      <c r="S55" s="1053"/>
      <c r="T55" s="1053">
        <f t="shared" si="29"/>
        <v>0</v>
      </c>
      <c r="U55" s="1053">
        <f t="shared" si="30"/>
        <v>0</v>
      </c>
      <c r="V55" s="1054">
        <f t="shared" si="31"/>
        <v>0</v>
      </c>
      <c r="W55" s="1054">
        <f t="shared" si="32"/>
        <v>0</v>
      </c>
    </row>
    <row r="56" spans="1:23">
      <c r="A56" s="998">
        <v>50</v>
      </c>
      <c r="B56" s="999" t="s">
        <v>143</v>
      </c>
      <c r="C56" s="1004">
        <f>'[2]ALL-Reformatted'!I55</f>
        <v>0</v>
      </c>
      <c r="D56" s="1005">
        <f>'Table 3 Levels 1&amp;2'!BN58+'Table 3 Levels 1&amp;2'!BV58</f>
        <v>4954.3375045905796</v>
      </c>
      <c r="E56" s="1103">
        <f t="shared" si="33"/>
        <v>0</v>
      </c>
      <c r="F56" s="1103">
        <f t="shared" si="21"/>
        <v>0</v>
      </c>
      <c r="G56" s="1060">
        <f t="shared" si="34"/>
        <v>0</v>
      </c>
      <c r="H56" s="1113">
        <f t="shared" si="22"/>
        <v>0</v>
      </c>
      <c r="I56" s="1060">
        <f t="shared" si="23"/>
        <v>0</v>
      </c>
      <c r="J56" s="1060"/>
      <c r="K56" s="1060">
        <f t="shared" si="24"/>
        <v>0</v>
      </c>
      <c r="L56" s="1060">
        <f t="shared" si="25"/>
        <v>0</v>
      </c>
      <c r="M56" s="1081"/>
      <c r="N56" s="1060">
        <f t="shared" si="26"/>
        <v>0</v>
      </c>
      <c r="O56" s="1056">
        <f>'[18]FY2012-13 Final'!D57</f>
        <v>2131</v>
      </c>
      <c r="P56" s="1057">
        <f t="shared" si="35"/>
        <v>0</v>
      </c>
      <c r="Q56" s="1119">
        <f t="shared" si="27"/>
        <v>0</v>
      </c>
      <c r="R56" s="1057">
        <f t="shared" si="28"/>
        <v>0</v>
      </c>
      <c r="S56" s="1057"/>
      <c r="T56" s="1057">
        <f t="shared" si="29"/>
        <v>0</v>
      </c>
      <c r="U56" s="1057">
        <f t="shared" si="30"/>
        <v>0</v>
      </c>
      <c r="V56" s="1058">
        <f t="shared" si="31"/>
        <v>0</v>
      </c>
      <c r="W56" s="1058">
        <f t="shared" si="32"/>
        <v>0</v>
      </c>
    </row>
    <row r="57" spans="1:23">
      <c r="A57" s="987">
        <v>51</v>
      </c>
      <c r="B57" s="988" t="s">
        <v>144</v>
      </c>
      <c r="C57" s="1006">
        <f>'[2]ALL-Reformatted'!I56</f>
        <v>0</v>
      </c>
      <c r="D57" s="1007">
        <f>'Table 3 Levels 1&amp;2'!BN59+'Table 3 Levels 1&amp;2'!BV59</f>
        <v>4290.3461727150461</v>
      </c>
      <c r="E57" s="1104">
        <f t="shared" si="33"/>
        <v>0</v>
      </c>
      <c r="F57" s="1104">
        <f t="shared" si="21"/>
        <v>0</v>
      </c>
      <c r="G57" s="1061">
        <f t="shared" si="34"/>
        <v>0</v>
      </c>
      <c r="H57" s="1114">
        <f t="shared" si="22"/>
        <v>0</v>
      </c>
      <c r="I57" s="1061">
        <f t="shared" si="23"/>
        <v>0</v>
      </c>
      <c r="J57" s="1061"/>
      <c r="K57" s="1061">
        <f t="shared" si="24"/>
        <v>0</v>
      </c>
      <c r="L57" s="1061">
        <f t="shared" si="25"/>
        <v>0</v>
      </c>
      <c r="M57" s="1082"/>
      <c r="N57" s="1061">
        <f t="shared" si="26"/>
        <v>0</v>
      </c>
      <c r="O57" s="1051">
        <f>'[18]FY2012-13 Final'!D58</f>
        <v>3850</v>
      </c>
      <c r="P57" s="992">
        <f t="shared" si="35"/>
        <v>0</v>
      </c>
      <c r="Q57" s="1117">
        <f t="shared" si="27"/>
        <v>0</v>
      </c>
      <c r="R57" s="992">
        <f t="shared" si="28"/>
        <v>0</v>
      </c>
      <c r="S57" s="992"/>
      <c r="T57" s="992">
        <f t="shared" si="29"/>
        <v>0</v>
      </c>
      <c r="U57" s="992">
        <f t="shared" si="30"/>
        <v>0</v>
      </c>
      <c r="V57" s="993">
        <f t="shared" si="31"/>
        <v>0</v>
      </c>
      <c r="W57" s="993">
        <f t="shared" si="32"/>
        <v>0</v>
      </c>
    </row>
    <row r="58" spans="1:23">
      <c r="A58" s="994">
        <v>52</v>
      </c>
      <c r="B58" s="995" t="s">
        <v>145</v>
      </c>
      <c r="C58" s="1002">
        <f>'[2]ALL-Reformatted'!I57</f>
        <v>12</v>
      </c>
      <c r="D58" s="1003">
        <f>'Table 3 Levels 1&amp;2'!BN60+'Table 3 Levels 1&amp;2'!BV60</f>
        <v>4988.6415961118701</v>
      </c>
      <c r="E58" s="1102">
        <f t="shared" si="33"/>
        <v>59863.699153342444</v>
      </c>
      <c r="F58" s="1102">
        <f t="shared" si="21"/>
        <v>8577.7218907563001</v>
      </c>
      <c r="G58" s="1059">
        <f t="shared" si="34"/>
        <v>68441.421044098737</v>
      </c>
      <c r="H58" s="1112">
        <f t="shared" si="22"/>
        <v>-171.10355261024685</v>
      </c>
      <c r="I58" s="1059">
        <f t="shared" si="23"/>
        <v>68270.317491488488</v>
      </c>
      <c r="J58" s="1059"/>
      <c r="K58" s="1059">
        <f t="shared" si="24"/>
        <v>68270.317491488488</v>
      </c>
      <c r="L58" s="1059">
        <f t="shared" si="25"/>
        <v>5689</v>
      </c>
      <c r="M58" s="1080"/>
      <c r="N58" s="1059">
        <f t="shared" si="26"/>
        <v>68270.317491488488</v>
      </c>
      <c r="O58" s="1051">
        <f>'[18]FY2012-13 Final'!D59</f>
        <v>4041</v>
      </c>
      <c r="P58" s="1053">
        <f t="shared" si="35"/>
        <v>48492</v>
      </c>
      <c r="Q58" s="1118">
        <f t="shared" si="27"/>
        <v>-121.23</v>
      </c>
      <c r="R58" s="1053">
        <f t="shared" si="28"/>
        <v>48370.77</v>
      </c>
      <c r="S58" s="1053"/>
      <c r="T58" s="1053">
        <f t="shared" si="29"/>
        <v>48370.77</v>
      </c>
      <c r="U58" s="1053">
        <f t="shared" si="30"/>
        <v>4031</v>
      </c>
      <c r="V58" s="1054">
        <f t="shared" si="31"/>
        <v>116641.08749148849</v>
      </c>
      <c r="W58" s="1054">
        <f t="shared" si="32"/>
        <v>9720</v>
      </c>
    </row>
    <row r="59" spans="1:23">
      <c r="A59" s="994">
        <v>53</v>
      </c>
      <c r="B59" s="995" t="s">
        <v>146</v>
      </c>
      <c r="C59" s="1002">
        <f>'[2]ALL-Reformatted'!I58</f>
        <v>0</v>
      </c>
      <c r="D59" s="1003">
        <f>'Table 3 Levels 1&amp;2'!BN61+'Table 3 Levels 1&amp;2'!BV61</f>
        <v>4739.7077057162423</v>
      </c>
      <c r="E59" s="1102">
        <f t="shared" si="33"/>
        <v>0</v>
      </c>
      <c r="F59" s="1102">
        <f t="shared" si="21"/>
        <v>0</v>
      </c>
      <c r="G59" s="1059">
        <f t="shared" si="34"/>
        <v>0</v>
      </c>
      <c r="H59" s="1112">
        <f t="shared" si="22"/>
        <v>0</v>
      </c>
      <c r="I59" s="1059">
        <f t="shared" si="23"/>
        <v>0</v>
      </c>
      <c r="J59" s="1059"/>
      <c r="K59" s="1059">
        <f t="shared" si="24"/>
        <v>0</v>
      </c>
      <c r="L59" s="1059">
        <f t="shared" si="25"/>
        <v>0</v>
      </c>
      <c r="M59" s="1080"/>
      <c r="N59" s="1059">
        <f t="shared" si="26"/>
        <v>0</v>
      </c>
      <c r="O59" s="1051">
        <f>'[18]FY2012-13 Final'!D60</f>
        <v>1422</v>
      </c>
      <c r="P59" s="1053">
        <f t="shared" si="35"/>
        <v>0</v>
      </c>
      <c r="Q59" s="1118">
        <f t="shared" si="27"/>
        <v>0</v>
      </c>
      <c r="R59" s="1053">
        <f t="shared" si="28"/>
        <v>0</v>
      </c>
      <c r="S59" s="1053"/>
      <c r="T59" s="1053">
        <f t="shared" si="29"/>
        <v>0</v>
      </c>
      <c r="U59" s="1053">
        <f t="shared" si="30"/>
        <v>0</v>
      </c>
      <c r="V59" s="1054">
        <f t="shared" si="31"/>
        <v>0</v>
      </c>
      <c r="W59" s="1054">
        <f t="shared" si="32"/>
        <v>0</v>
      </c>
    </row>
    <row r="60" spans="1:23">
      <c r="A60" s="994">
        <v>54</v>
      </c>
      <c r="B60" s="995" t="s">
        <v>147</v>
      </c>
      <c r="C60" s="1002">
        <f>'[2]ALL-Reformatted'!I59</f>
        <v>0</v>
      </c>
      <c r="D60" s="1003">
        <f>'Table 3 Levels 1&amp;2'!BN62+'Table 3 Levels 1&amp;2'!BV62</f>
        <v>5907.1276437932838</v>
      </c>
      <c r="E60" s="1102">
        <f t="shared" si="33"/>
        <v>0</v>
      </c>
      <c r="F60" s="1102">
        <f t="shared" si="21"/>
        <v>0</v>
      </c>
      <c r="G60" s="1059">
        <f t="shared" si="34"/>
        <v>0</v>
      </c>
      <c r="H60" s="1112">
        <f t="shared" si="22"/>
        <v>0</v>
      </c>
      <c r="I60" s="1059">
        <f t="shared" si="23"/>
        <v>0</v>
      </c>
      <c r="J60" s="1059"/>
      <c r="K60" s="1059">
        <f t="shared" si="24"/>
        <v>0</v>
      </c>
      <c r="L60" s="1059">
        <f t="shared" si="25"/>
        <v>0</v>
      </c>
      <c r="M60" s="1080"/>
      <c r="N60" s="1059">
        <f t="shared" si="26"/>
        <v>0</v>
      </c>
      <c r="O60" s="1051">
        <f>'[18]FY2012-13 Final'!D61</f>
        <v>3382</v>
      </c>
      <c r="P60" s="1053">
        <f t="shared" si="35"/>
        <v>0</v>
      </c>
      <c r="Q60" s="1118">
        <f t="shared" si="27"/>
        <v>0</v>
      </c>
      <c r="R60" s="1053">
        <f t="shared" si="28"/>
        <v>0</v>
      </c>
      <c r="S60" s="1053"/>
      <c r="T60" s="1053">
        <f t="shared" si="29"/>
        <v>0</v>
      </c>
      <c r="U60" s="1053">
        <f t="shared" si="30"/>
        <v>0</v>
      </c>
      <c r="V60" s="1054">
        <f t="shared" si="31"/>
        <v>0</v>
      </c>
      <c r="W60" s="1054">
        <f t="shared" si="32"/>
        <v>0</v>
      </c>
    </row>
    <row r="61" spans="1:23">
      <c r="A61" s="998">
        <v>55</v>
      </c>
      <c r="B61" s="999" t="s">
        <v>148</v>
      </c>
      <c r="C61" s="1004">
        <f>'[2]ALL-Reformatted'!I60</f>
        <v>0</v>
      </c>
      <c r="D61" s="1005">
        <f>'Table 3 Levels 1&amp;2'!BN63+'Table 3 Levels 1&amp;2'!BV63</f>
        <v>4115.0954812679902</v>
      </c>
      <c r="E61" s="1103">
        <f t="shared" si="33"/>
        <v>0</v>
      </c>
      <c r="F61" s="1103">
        <f t="shared" si="21"/>
        <v>0</v>
      </c>
      <c r="G61" s="1060">
        <f t="shared" si="34"/>
        <v>0</v>
      </c>
      <c r="H61" s="1113">
        <f t="shared" si="22"/>
        <v>0</v>
      </c>
      <c r="I61" s="1060">
        <f t="shared" si="23"/>
        <v>0</v>
      </c>
      <c r="J61" s="1060"/>
      <c r="K61" s="1060">
        <f t="shared" si="24"/>
        <v>0</v>
      </c>
      <c r="L61" s="1060">
        <f t="shared" si="25"/>
        <v>0</v>
      </c>
      <c r="M61" s="1081"/>
      <c r="N61" s="1060">
        <f t="shared" si="26"/>
        <v>0</v>
      </c>
      <c r="O61" s="1056">
        <f>'[18]FY2012-13 Final'!D62</f>
        <v>3127</v>
      </c>
      <c r="P61" s="1057">
        <f t="shared" si="35"/>
        <v>0</v>
      </c>
      <c r="Q61" s="1119">
        <f t="shared" si="27"/>
        <v>0</v>
      </c>
      <c r="R61" s="1057">
        <f t="shared" si="28"/>
        <v>0</v>
      </c>
      <c r="S61" s="1057"/>
      <c r="T61" s="1057">
        <f t="shared" si="29"/>
        <v>0</v>
      </c>
      <c r="U61" s="1057">
        <f t="shared" si="30"/>
        <v>0</v>
      </c>
      <c r="V61" s="1058">
        <f t="shared" si="31"/>
        <v>0</v>
      </c>
      <c r="W61" s="1058">
        <f t="shared" si="32"/>
        <v>0</v>
      </c>
    </row>
    <row r="62" spans="1:23">
      <c r="A62" s="987">
        <v>56</v>
      </c>
      <c r="B62" s="988" t="s">
        <v>149</v>
      </c>
      <c r="C62" s="1006">
        <f>'[2]ALL-Reformatted'!I61</f>
        <v>0</v>
      </c>
      <c r="D62" s="1007">
        <f>'Table 3 Levels 1&amp;2'!BN64+'Table 3 Levels 1&amp;2'!BV64</f>
        <v>4924.9032059941637</v>
      </c>
      <c r="E62" s="1104">
        <f t="shared" si="33"/>
        <v>0</v>
      </c>
      <c r="F62" s="1104">
        <f t="shared" si="21"/>
        <v>0</v>
      </c>
      <c r="G62" s="1061">
        <f t="shared" si="34"/>
        <v>0</v>
      </c>
      <c r="H62" s="1114">
        <f t="shared" si="22"/>
        <v>0</v>
      </c>
      <c r="I62" s="1061">
        <f t="shared" si="23"/>
        <v>0</v>
      </c>
      <c r="J62" s="1061"/>
      <c r="K62" s="1061">
        <f t="shared" si="24"/>
        <v>0</v>
      </c>
      <c r="L62" s="1061">
        <f t="shared" si="25"/>
        <v>0</v>
      </c>
      <c r="M62" s="1082"/>
      <c r="N62" s="1061">
        <f t="shared" si="26"/>
        <v>0</v>
      </c>
      <c r="O62" s="1051">
        <f>'[18]FY2012-13 Final'!D63</f>
        <v>2768</v>
      </c>
      <c r="P62" s="992">
        <f t="shared" si="35"/>
        <v>0</v>
      </c>
      <c r="Q62" s="1117">
        <f t="shared" si="27"/>
        <v>0</v>
      </c>
      <c r="R62" s="992">
        <f t="shared" si="28"/>
        <v>0</v>
      </c>
      <c r="S62" s="992"/>
      <c r="T62" s="992">
        <f t="shared" si="29"/>
        <v>0</v>
      </c>
      <c r="U62" s="992">
        <f t="shared" si="30"/>
        <v>0</v>
      </c>
      <c r="V62" s="993">
        <f t="shared" si="31"/>
        <v>0</v>
      </c>
      <c r="W62" s="993">
        <f t="shared" si="32"/>
        <v>0</v>
      </c>
    </row>
    <row r="63" spans="1:23">
      <c r="A63" s="994">
        <v>57</v>
      </c>
      <c r="B63" s="995" t="s">
        <v>150</v>
      </c>
      <c r="C63" s="1002">
        <f>'[2]ALL-Reformatted'!I62</f>
        <v>0</v>
      </c>
      <c r="D63" s="1003">
        <f>'Table 3 Levels 1&amp;2'!BN65+'Table 3 Levels 1&amp;2'!BV65</f>
        <v>4434.5516744018987</v>
      </c>
      <c r="E63" s="1102">
        <f t="shared" si="33"/>
        <v>0</v>
      </c>
      <c r="F63" s="1102">
        <f t="shared" si="21"/>
        <v>0</v>
      </c>
      <c r="G63" s="1059">
        <f t="shared" si="34"/>
        <v>0</v>
      </c>
      <c r="H63" s="1112">
        <f t="shared" si="22"/>
        <v>0</v>
      </c>
      <c r="I63" s="1059">
        <f t="shared" si="23"/>
        <v>0</v>
      </c>
      <c r="J63" s="1059"/>
      <c r="K63" s="1059">
        <f t="shared" si="24"/>
        <v>0</v>
      </c>
      <c r="L63" s="1059">
        <f t="shared" si="25"/>
        <v>0</v>
      </c>
      <c r="M63" s="1080"/>
      <c r="N63" s="1059">
        <f t="shared" si="26"/>
        <v>0</v>
      </c>
      <c r="O63" s="1051">
        <f>'[18]FY2012-13 Final'!D64</f>
        <v>2987</v>
      </c>
      <c r="P63" s="1053">
        <f t="shared" si="35"/>
        <v>0</v>
      </c>
      <c r="Q63" s="1118">
        <f t="shared" si="27"/>
        <v>0</v>
      </c>
      <c r="R63" s="1053">
        <f t="shared" si="28"/>
        <v>0</v>
      </c>
      <c r="S63" s="1053"/>
      <c r="T63" s="1053">
        <f t="shared" si="29"/>
        <v>0</v>
      </c>
      <c r="U63" s="1053">
        <f t="shared" si="30"/>
        <v>0</v>
      </c>
      <c r="V63" s="1054">
        <f t="shared" si="31"/>
        <v>0</v>
      </c>
      <c r="W63" s="1054">
        <f t="shared" si="32"/>
        <v>0</v>
      </c>
    </row>
    <row r="64" spans="1:23">
      <c r="A64" s="994">
        <v>58</v>
      </c>
      <c r="B64" s="995" t="s">
        <v>151</v>
      </c>
      <c r="C64" s="1002">
        <f>'[2]ALL-Reformatted'!I63</f>
        <v>0</v>
      </c>
      <c r="D64" s="1003">
        <f>'Table 3 Levels 1&amp;2'!BN66+'Table 3 Levels 1&amp;2'!BV66</f>
        <v>5434.7170435013286</v>
      </c>
      <c r="E64" s="1102">
        <f t="shared" si="33"/>
        <v>0</v>
      </c>
      <c r="F64" s="1102">
        <f t="shared" si="21"/>
        <v>0</v>
      </c>
      <c r="G64" s="1059">
        <f t="shared" si="34"/>
        <v>0</v>
      </c>
      <c r="H64" s="1112">
        <f t="shared" si="22"/>
        <v>0</v>
      </c>
      <c r="I64" s="1059">
        <f t="shared" si="23"/>
        <v>0</v>
      </c>
      <c r="J64" s="1059"/>
      <c r="K64" s="1059">
        <f t="shared" si="24"/>
        <v>0</v>
      </c>
      <c r="L64" s="1059">
        <f t="shared" si="25"/>
        <v>0</v>
      </c>
      <c r="M64" s="1080"/>
      <c r="N64" s="1059">
        <f t="shared" si="26"/>
        <v>0</v>
      </c>
      <c r="O64" s="1051">
        <f>'[18]FY2012-13 Final'!D65</f>
        <v>1657</v>
      </c>
      <c r="P64" s="1053">
        <f t="shared" si="35"/>
        <v>0</v>
      </c>
      <c r="Q64" s="1118">
        <f t="shared" si="27"/>
        <v>0</v>
      </c>
      <c r="R64" s="1053">
        <f t="shared" si="28"/>
        <v>0</v>
      </c>
      <c r="S64" s="1053"/>
      <c r="T64" s="1053">
        <f t="shared" si="29"/>
        <v>0</v>
      </c>
      <c r="U64" s="1053">
        <f t="shared" si="30"/>
        <v>0</v>
      </c>
      <c r="V64" s="1054">
        <f t="shared" si="31"/>
        <v>0</v>
      </c>
      <c r="W64" s="1054">
        <f t="shared" si="32"/>
        <v>0</v>
      </c>
    </row>
    <row r="65" spans="1:23">
      <c r="A65" s="994">
        <v>59</v>
      </c>
      <c r="B65" s="995" t="s">
        <v>152</v>
      </c>
      <c r="C65" s="1002">
        <f>'[2]ALL-Reformatted'!I64</f>
        <v>0</v>
      </c>
      <c r="D65" s="1003">
        <f>'Table 3 Levels 1&amp;2'!BN67+'Table 3 Levels 1&amp;2'!BV67</f>
        <v>6252.2385330184643</v>
      </c>
      <c r="E65" s="1102">
        <f t="shared" si="33"/>
        <v>0</v>
      </c>
      <c r="F65" s="1102">
        <f t="shared" si="21"/>
        <v>0</v>
      </c>
      <c r="G65" s="1059">
        <f t="shared" si="34"/>
        <v>0</v>
      </c>
      <c r="H65" s="1112">
        <f t="shared" si="22"/>
        <v>0</v>
      </c>
      <c r="I65" s="1059">
        <f t="shared" si="23"/>
        <v>0</v>
      </c>
      <c r="J65" s="1059"/>
      <c r="K65" s="1059">
        <f t="shared" si="24"/>
        <v>0</v>
      </c>
      <c r="L65" s="1059">
        <f t="shared" si="25"/>
        <v>0</v>
      </c>
      <c r="M65" s="1080"/>
      <c r="N65" s="1059">
        <f t="shared" si="26"/>
        <v>0</v>
      </c>
      <c r="O65" s="1051">
        <f>'[18]FY2012-13 Final'!D66</f>
        <v>1105</v>
      </c>
      <c r="P65" s="1053">
        <f t="shared" si="35"/>
        <v>0</v>
      </c>
      <c r="Q65" s="1118">
        <f t="shared" si="27"/>
        <v>0</v>
      </c>
      <c r="R65" s="1053">
        <f t="shared" si="28"/>
        <v>0</v>
      </c>
      <c r="S65" s="1053"/>
      <c r="T65" s="1053">
        <f t="shared" si="29"/>
        <v>0</v>
      </c>
      <c r="U65" s="1053">
        <f t="shared" si="30"/>
        <v>0</v>
      </c>
      <c r="V65" s="1054">
        <f t="shared" si="31"/>
        <v>0</v>
      </c>
      <c r="W65" s="1054">
        <f t="shared" si="32"/>
        <v>0</v>
      </c>
    </row>
    <row r="66" spans="1:23">
      <c r="A66" s="998">
        <v>60</v>
      </c>
      <c r="B66" s="999" t="s">
        <v>153</v>
      </c>
      <c r="C66" s="1004">
        <f>'[2]ALL-Reformatted'!I65</f>
        <v>0</v>
      </c>
      <c r="D66" s="1005">
        <f>'Table 3 Levels 1&amp;2'!BN68+'Table 3 Levels 1&amp;2'!BV68</f>
        <v>4902.6575100268701</v>
      </c>
      <c r="E66" s="1103">
        <f t="shared" si="33"/>
        <v>0</v>
      </c>
      <c r="F66" s="1103">
        <f t="shared" si="21"/>
        <v>0</v>
      </c>
      <c r="G66" s="1060">
        <f t="shared" si="34"/>
        <v>0</v>
      </c>
      <c r="H66" s="1113">
        <f t="shared" si="22"/>
        <v>0</v>
      </c>
      <c r="I66" s="1060">
        <f t="shared" si="23"/>
        <v>0</v>
      </c>
      <c r="J66" s="1060"/>
      <c r="K66" s="1060">
        <f t="shared" si="24"/>
        <v>0</v>
      </c>
      <c r="L66" s="1060">
        <f t="shared" si="25"/>
        <v>0</v>
      </c>
      <c r="M66" s="1081"/>
      <c r="N66" s="1060">
        <f t="shared" si="26"/>
        <v>0</v>
      </c>
      <c r="O66" s="1056">
        <f>'[18]FY2012-13 Final'!D67</f>
        <v>2808</v>
      </c>
      <c r="P66" s="1057">
        <f t="shared" si="35"/>
        <v>0</v>
      </c>
      <c r="Q66" s="1119">
        <f t="shared" si="27"/>
        <v>0</v>
      </c>
      <c r="R66" s="1057">
        <f t="shared" si="28"/>
        <v>0</v>
      </c>
      <c r="S66" s="1057"/>
      <c r="T66" s="1057">
        <f t="shared" si="29"/>
        <v>0</v>
      </c>
      <c r="U66" s="1057">
        <f t="shared" si="30"/>
        <v>0</v>
      </c>
      <c r="V66" s="1058">
        <f t="shared" si="31"/>
        <v>0</v>
      </c>
      <c r="W66" s="1058">
        <f t="shared" si="32"/>
        <v>0</v>
      </c>
    </row>
    <row r="67" spans="1:23">
      <c r="A67" s="987">
        <v>61</v>
      </c>
      <c r="B67" s="988" t="s">
        <v>154</v>
      </c>
      <c r="C67" s="1006">
        <f>'[2]ALL-Reformatted'!I66</f>
        <v>0</v>
      </c>
      <c r="D67" s="1007">
        <f>'Table 3 Levels 1&amp;2'!BN69+'Table 3 Levels 1&amp;2'!BV69</f>
        <v>2872.7719101339244</v>
      </c>
      <c r="E67" s="1104">
        <f t="shared" si="33"/>
        <v>0</v>
      </c>
      <c r="F67" s="1104">
        <f t="shared" si="21"/>
        <v>0</v>
      </c>
      <c r="G67" s="1061">
        <f t="shared" si="34"/>
        <v>0</v>
      </c>
      <c r="H67" s="1114">
        <f t="shared" si="22"/>
        <v>0</v>
      </c>
      <c r="I67" s="1061">
        <f t="shared" si="23"/>
        <v>0</v>
      </c>
      <c r="J67" s="1061"/>
      <c r="K67" s="1061">
        <f t="shared" si="24"/>
        <v>0</v>
      </c>
      <c r="L67" s="1061">
        <f t="shared" si="25"/>
        <v>0</v>
      </c>
      <c r="M67" s="1082"/>
      <c r="N67" s="1061">
        <f t="shared" si="26"/>
        <v>0</v>
      </c>
      <c r="O67" s="1051">
        <f>'[18]FY2012-13 Final'!D68</f>
        <v>6300</v>
      </c>
      <c r="P67" s="992">
        <f t="shared" si="35"/>
        <v>0</v>
      </c>
      <c r="Q67" s="1117">
        <f t="shared" si="27"/>
        <v>0</v>
      </c>
      <c r="R67" s="992">
        <f t="shared" si="28"/>
        <v>0</v>
      </c>
      <c r="S67" s="992"/>
      <c r="T67" s="992">
        <f t="shared" si="29"/>
        <v>0</v>
      </c>
      <c r="U67" s="992">
        <f t="shared" si="30"/>
        <v>0</v>
      </c>
      <c r="V67" s="993">
        <f t="shared" si="31"/>
        <v>0</v>
      </c>
      <c r="W67" s="993">
        <f t="shared" si="32"/>
        <v>0</v>
      </c>
    </row>
    <row r="68" spans="1:23">
      <c r="A68" s="994">
        <v>62</v>
      </c>
      <c r="B68" s="995" t="s">
        <v>155</v>
      </c>
      <c r="C68" s="1002">
        <f>'[2]ALL-Reformatted'!I67</f>
        <v>0</v>
      </c>
      <c r="D68" s="1003">
        <f>'Table 3 Levels 1&amp;2'!BN70+'Table 3 Levels 1&amp;2'!BV70</f>
        <v>5594.25143978908</v>
      </c>
      <c r="E68" s="1102">
        <f t="shared" si="33"/>
        <v>0</v>
      </c>
      <c r="F68" s="1102">
        <f t="shared" si="21"/>
        <v>0</v>
      </c>
      <c r="G68" s="1059">
        <f t="shared" si="34"/>
        <v>0</v>
      </c>
      <c r="H68" s="1112">
        <f t="shared" si="22"/>
        <v>0</v>
      </c>
      <c r="I68" s="1059">
        <f t="shared" si="23"/>
        <v>0</v>
      </c>
      <c r="J68" s="1059"/>
      <c r="K68" s="1059">
        <f t="shared" si="24"/>
        <v>0</v>
      </c>
      <c r="L68" s="1059">
        <f t="shared" si="25"/>
        <v>0</v>
      </c>
      <c r="M68" s="1080"/>
      <c r="N68" s="1059">
        <f t="shared" si="26"/>
        <v>0</v>
      </c>
      <c r="O68" s="1051">
        <f>'[18]FY2012-13 Final'!D69</f>
        <v>1754</v>
      </c>
      <c r="P68" s="1053">
        <f t="shared" si="35"/>
        <v>0</v>
      </c>
      <c r="Q68" s="1118">
        <f t="shared" si="27"/>
        <v>0</v>
      </c>
      <c r="R68" s="1053">
        <f t="shared" si="28"/>
        <v>0</v>
      </c>
      <c r="S68" s="1053"/>
      <c r="T68" s="1053">
        <f t="shared" si="29"/>
        <v>0</v>
      </c>
      <c r="U68" s="1053">
        <f t="shared" si="30"/>
        <v>0</v>
      </c>
      <c r="V68" s="1054">
        <f t="shared" si="31"/>
        <v>0</v>
      </c>
      <c r="W68" s="1054">
        <f t="shared" si="32"/>
        <v>0</v>
      </c>
    </row>
    <row r="69" spans="1:23">
      <c r="A69" s="994">
        <v>63</v>
      </c>
      <c r="B69" s="995" t="s">
        <v>156</v>
      </c>
      <c r="C69" s="1002">
        <f>'[2]ALL-Reformatted'!I68</f>
        <v>0</v>
      </c>
      <c r="D69" s="1003">
        <f>'Table 3 Levels 1&amp;2'!BN71+'Table 3 Levels 1&amp;2'!BV71</f>
        <v>4318.8609300898834</v>
      </c>
      <c r="E69" s="1102">
        <f t="shared" si="33"/>
        <v>0</v>
      </c>
      <c r="F69" s="1102">
        <f t="shared" si="21"/>
        <v>0</v>
      </c>
      <c r="G69" s="1059">
        <f t="shared" si="34"/>
        <v>0</v>
      </c>
      <c r="H69" s="1112">
        <f t="shared" si="22"/>
        <v>0</v>
      </c>
      <c r="I69" s="1059">
        <f t="shared" si="23"/>
        <v>0</v>
      </c>
      <c r="J69" s="1059"/>
      <c r="K69" s="1059">
        <f t="shared" si="24"/>
        <v>0</v>
      </c>
      <c r="L69" s="1059">
        <f t="shared" si="25"/>
        <v>0</v>
      </c>
      <c r="M69" s="1080"/>
      <c r="N69" s="1059">
        <f t="shared" si="26"/>
        <v>0</v>
      </c>
      <c r="O69" s="1051">
        <f>'[18]FY2012-13 Final'!D70</f>
        <v>6670</v>
      </c>
      <c r="P69" s="1053">
        <f t="shared" si="35"/>
        <v>0</v>
      </c>
      <c r="Q69" s="1118">
        <f t="shared" si="27"/>
        <v>0</v>
      </c>
      <c r="R69" s="1053">
        <f t="shared" si="28"/>
        <v>0</v>
      </c>
      <c r="S69" s="1053"/>
      <c r="T69" s="1053">
        <f t="shared" si="29"/>
        <v>0</v>
      </c>
      <c r="U69" s="1053">
        <f t="shared" si="30"/>
        <v>0</v>
      </c>
      <c r="V69" s="1054">
        <f t="shared" si="31"/>
        <v>0</v>
      </c>
      <c r="W69" s="1054">
        <f t="shared" si="32"/>
        <v>0</v>
      </c>
    </row>
    <row r="70" spans="1:23">
      <c r="A70" s="994">
        <v>64</v>
      </c>
      <c r="B70" s="995" t="s">
        <v>157</v>
      </c>
      <c r="C70" s="1002">
        <f>'[2]ALL-Reformatted'!I69</f>
        <v>0</v>
      </c>
      <c r="D70" s="1003">
        <f>'Table 3 Levels 1&amp;2'!BN72+'Table 3 Levels 1&amp;2'!BV72</f>
        <v>5921.7418933384488</v>
      </c>
      <c r="E70" s="1102">
        <f t="shared" si="33"/>
        <v>0</v>
      </c>
      <c r="F70" s="1102">
        <f t="shared" si="21"/>
        <v>0</v>
      </c>
      <c r="G70" s="1059">
        <f t="shared" si="34"/>
        <v>0</v>
      </c>
      <c r="H70" s="1112">
        <f t="shared" si="22"/>
        <v>0</v>
      </c>
      <c r="I70" s="1059">
        <f t="shared" si="23"/>
        <v>0</v>
      </c>
      <c r="J70" s="1059"/>
      <c r="K70" s="1059">
        <f t="shared" si="24"/>
        <v>0</v>
      </c>
      <c r="L70" s="1059">
        <f t="shared" si="25"/>
        <v>0</v>
      </c>
      <c r="M70" s="1080"/>
      <c r="N70" s="1059">
        <f t="shared" si="26"/>
        <v>0</v>
      </c>
      <c r="O70" s="1051">
        <f>'[18]FY2012-13 Final'!D71</f>
        <v>2130</v>
      </c>
      <c r="P70" s="1053">
        <f t="shared" si="35"/>
        <v>0</v>
      </c>
      <c r="Q70" s="1118">
        <f t="shared" si="27"/>
        <v>0</v>
      </c>
      <c r="R70" s="1053">
        <f t="shared" si="28"/>
        <v>0</v>
      </c>
      <c r="S70" s="1053"/>
      <c r="T70" s="1053">
        <f t="shared" si="29"/>
        <v>0</v>
      </c>
      <c r="U70" s="1053">
        <f t="shared" si="30"/>
        <v>0</v>
      </c>
      <c r="V70" s="1054">
        <f t="shared" si="31"/>
        <v>0</v>
      </c>
      <c r="W70" s="1054">
        <f t="shared" si="32"/>
        <v>0</v>
      </c>
    </row>
    <row r="71" spans="1:23">
      <c r="A71" s="998">
        <v>65</v>
      </c>
      <c r="B71" s="999" t="s">
        <v>158</v>
      </c>
      <c r="C71" s="1004">
        <f>'[2]ALL-Reformatted'!I70</f>
        <v>0</v>
      </c>
      <c r="D71" s="1005">
        <f>'Table 3 Levels 1&amp;2'!BN73+'Table 3 Levels 1&amp;2'!BV73</f>
        <v>4578.9201269671275</v>
      </c>
      <c r="E71" s="1103">
        <f t="shared" ref="E71:E75" si="36">D71*C71</f>
        <v>0</v>
      </c>
      <c r="F71" s="1103">
        <f t="shared" si="21"/>
        <v>0</v>
      </c>
      <c r="G71" s="1060">
        <f t="shared" ref="G71:G75" si="37">E71+F71</f>
        <v>0</v>
      </c>
      <c r="H71" s="1113">
        <f t="shared" si="22"/>
        <v>0</v>
      </c>
      <c r="I71" s="1060">
        <f t="shared" si="23"/>
        <v>0</v>
      </c>
      <c r="J71" s="1060"/>
      <c r="K71" s="1060">
        <f t="shared" si="24"/>
        <v>0</v>
      </c>
      <c r="L71" s="1060">
        <f t="shared" si="25"/>
        <v>0</v>
      </c>
      <c r="M71" s="1081"/>
      <c r="N71" s="1060">
        <f t="shared" si="26"/>
        <v>0</v>
      </c>
      <c r="O71" s="1056">
        <f>'[18]FY2012-13 Final'!D72</f>
        <v>4144</v>
      </c>
      <c r="P71" s="1057">
        <f t="shared" ref="P71:P75" si="38">O71*C71</f>
        <v>0</v>
      </c>
      <c r="Q71" s="1119">
        <f t="shared" si="27"/>
        <v>0</v>
      </c>
      <c r="R71" s="1057">
        <f t="shared" si="28"/>
        <v>0</v>
      </c>
      <c r="S71" s="1057"/>
      <c r="T71" s="1057">
        <f t="shared" si="29"/>
        <v>0</v>
      </c>
      <c r="U71" s="1057">
        <f t="shared" si="30"/>
        <v>0</v>
      </c>
      <c r="V71" s="1058">
        <f t="shared" si="31"/>
        <v>0</v>
      </c>
      <c r="W71" s="1058">
        <f t="shared" ref="W71:W75" si="39">L71+U71</f>
        <v>0</v>
      </c>
    </row>
    <row r="72" spans="1:23">
      <c r="A72" s="987">
        <v>66</v>
      </c>
      <c r="B72" s="988" t="s">
        <v>159</v>
      </c>
      <c r="C72" s="1006">
        <f>'[2]ALL-Reformatted'!I71</f>
        <v>0</v>
      </c>
      <c r="D72" s="1007">
        <f>'Table 3 Levels 1&amp;2'!BN74+'Table 3 Levels 1&amp;2'!BV74</f>
        <v>6340.8763293271122</v>
      </c>
      <c r="E72" s="1104">
        <f t="shared" si="36"/>
        <v>0</v>
      </c>
      <c r="F72" s="1104">
        <f t="shared" ref="F72:F75" si="40">C72*$F$4</f>
        <v>0</v>
      </c>
      <c r="G72" s="1061">
        <f t="shared" si="37"/>
        <v>0</v>
      </c>
      <c r="H72" s="1114">
        <f t="shared" ref="H72:H75" si="41">-G72*$H$4</f>
        <v>0</v>
      </c>
      <c r="I72" s="1061">
        <f t="shared" ref="I72:I75" si="42">SUM(G72:H72)</f>
        <v>0</v>
      </c>
      <c r="J72" s="1061"/>
      <c r="K72" s="1061">
        <f t="shared" ref="K72:K75" si="43">SUM(I72:J72)</f>
        <v>0</v>
      </c>
      <c r="L72" s="1061">
        <f t="shared" ref="L72:L75" si="44">ROUND(K72/12,0)</f>
        <v>0</v>
      </c>
      <c r="M72" s="1082"/>
      <c r="N72" s="1061">
        <f t="shared" ref="N72:N75" si="45">K72+M72</f>
        <v>0</v>
      </c>
      <c r="O72" s="1051">
        <f>'[18]FY2012-13 Final'!D73</f>
        <v>3516</v>
      </c>
      <c r="P72" s="992">
        <f t="shared" si="38"/>
        <v>0</v>
      </c>
      <c r="Q72" s="1117">
        <f t="shared" ref="Q72:Q75" si="46">-P72*$Q$4</f>
        <v>0</v>
      </c>
      <c r="R72" s="992">
        <f t="shared" ref="R72:R75" si="47">SUM(P72:Q72)</f>
        <v>0</v>
      </c>
      <c r="S72" s="992"/>
      <c r="T72" s="992">
        <f t="shared" ref="T72:T75" si="48">SUM(R72:S72)</f>
        <v>0</v>
      </c>
      <c r="U72" s="992">
        <f t="shared" ref="U72:U75" si="49">ROUND(T72/12,0)</f>
        <v>0</v>
      </c>
      <c r="V72" s="993">
        <f t="shared" ref="V72:V75" si="50">N72+T72</f>
        <v>0</v>
      </c>
      <c r="W72" s="993">
        <f t="shared" si="39"/>
        <v>0</v>
      </c>
    </row>
    <row r="73" spans="1:23">
      <c r="A73" s="994">
        <v>67</v>
      </c>
      <c r="B73" s="995" t="s">
        <v>32</v>
      </c>
      <c r="C73" s="1002">
        <f>'[2]ALL-Reformatted'!I72</f>
        <v>0</v>
      </c>
      <c r="D73" s="1003">
        <f>'Table 3 Levels 1&amp;2'!BN75+'Table 3 Levels 1&amp;2'!BV75</f>
        <v>4984.1100297034172</v>
      </c>
      <c r="E73" s="1102">
        <f t="shared" si="36"/>
        <v>0</v>
      </c>
      <c r="F73" s="1102">
        <f t="shared" si="40"/>
        <v>0</v>
      </c>
      <c r="G73" s="1059">
        <f t="shared" si="37"/>
        <v>0</v>
      </c>
      <c r="H73" s="1112">
        <f t="shared" si="41"/>
        <v>0</v>
      </c>
      <c r="I73" s="1059">
        <f t="shared" si="42"/>
        <v>0</v>
      </c>
      <c r="J73" s="1059"/>
      <c r="K73" s="1059">
        <f t="shared" si="43"/>
        <v>0</v>
      </c>
      <c r="L73" s="1059">
        <f t="shared" si="44"/>
        <v>0</v>
      </c>
      <c r="M73" s="1080"/>
      <c r="N73" s="1059">
        <f t="shared" si="45"/>
        <v>0</v>
      </c>
      <c r="O73" s="1051">
        <f>'[18]FY2012-13 Final'!D74</f>
        <v>3737</v>
      </c>
      <c r="P73" s="1053">
        <f t="shared" si="38"/>
        <v>0</v>
      </c>
      <c r="Q73" s="1118">
        <f t="shared" si="46"/>
        <v>0</v>
      </c>
      <c r="R73" s="1053">
        <f t="shared" si="47"/>
        <v>0</v>
      </c>
      <c r="S73" s="1053"/>
      <c r="T73" s="1053">
        <f t="shared" si="48"/>
        <v>0</v>
      </c>
      <c r="U73" s="1053">
        <f t="shared" si="49"/>
        <v>0</v>
      </c>
      <c r="V73" s="1054">
        <f t="shared" si="50"/>
        <v>0</v>
      </c>
      <c r="W73" s="1054">
        <f t="shared" si="39"/>
        <v>0</v>
      </c>
    </row>
    <row r="74" spans="1:23">
      <c r="A74" s="994">
        <v>68</v>
      </c>
      <c r="B74" s="995" t="s">
        <v>30</v>
      </c>
      <c r="C74" s="1002">
        <f>'[2]ALL-Reformatted'!I73</f>
        <v>0</v>
      </c>
      <c r="D74" s="1003">
        <f>'Table 3 Levels 1&amp;2'!BN76+'Table 3 Levels 1&amp;2'!BV76</f>
        <v>6012.7854305239725</v>
      </c>
      <c r="E74" s="1102">
        <f t="shared" si="36"/>
        <v>0</v>
      </c>
      <c r="F74" s="1102">
        <f t="shared" si="40"/>
        <v>0</v>
      </c>
      <c r="G74" s="1059">
        <f t="shared" si="37"/>
        <v>0</v>
      </c>
      <c r="H74" s="1112">
        <f t="shared" si="41"/>
        <v>0</v>
      </c>
      <c r="I74" s="1059">
        <f t="shared" si="42"/>
        <v>0</v>
      </c>
      <c r="J74" s="1059"/>
      <c r="K74" s="1059">
        <f t="shared" si="43"/>
        <v>0</v>
      </c>
      <c r="L74" s="1059">
        <f t="shared" si="44"/>
        <v>0</v>
      </c>
      <c r="M74" s="1080"/>
      <c r="N74" s="1059">
        <f t="shared" si="45"/>
        <v>0</v>
      </c>
      <c r="O74" s="1051">
        <f>'[18]FY2012-13 Final'!D75</f>
        <v>2763</v>
      </c>
      <c r="P74" s="1053">
        <f t="shared" si="38"/>
        <v>0</v>
      </c>
      <c r="Q74" s="1118">
        <f t="shared" si="46"/>
        <v>0</v>
      </c>
      <c r="R74" s="1053">
        <f t="shared" si="47"/>
        <v>0</v>
      </c>
      <c r="S74" s="1053"/>
      <c r="T74" s="1053">
        <f t="shared" si="48"/>
        <v>0</v>
      </c>
      <c r="U74" s="1053">
        <f t="shared" si="49"/>
        <v>0</v>
      </c>
      <c r="V74" s="1054">
        <f t="shared" si="50"/>
        <v>0</v>
      </c>
      <c r="W74" s="1054">
        <f t="shared" si="39"/>
        <v>0</v>
      </c>
    </row>
    <row r="75" spans="1:23">
      <c r="A75" s="1008">
        <v>69</v>
      </c>
      <c r="B75" s="1009" t="s">
        <v>213</v>
      </c>
      <c r="C75" s="1010">
        <f>'[2]ALL-Reformatted'!I74</f>
        <v>0</v>
      </c>
      <c r="D75" s="1011">
        <f>'Table 3 Levels 1&amp;2'!BN77+'Table 3 Levels 1&amp;2'!BV77</f>
        <v>5559.7139008686299</v>
      </c>
      <c r="E75" s="1105">
        <f t="shared" si="36"/>
        <v>0</v>
      </c>
      <c r="F75" s="1105">
        <f t="shared" si="40"/>
        <v>0</v>
      </c>
      <c r="G75" s="1062">
        <f t="shared" si="37"/>
        <v>0</v>
      </c>
      <c r="H75" s="1115">
        <f t="shared" si="41"/>
        <v>0</v>
      </c>
      <c r="I75" s="1062">
        <f t="shared" si="42"/>
        <v>0</v>
      </c>
      <c r="J75" s="1062"/>
      <c r="K75" s="1062">
        <f t="shared" si="43"/>
        <v>0</v>
      </c>
      <c r="L75" s="1062">
        <f t="shared" si="44"/>
        <v>0</v>
      </c>
      <c r="M75" s="1083"/>
      <c r="N75" s="1062">
        <f t="shared" si="45"/>
        <v>0</v>
      </c>
      <c r="O75" s="1051">
        <f>'[18]FY2012-13 Final'!D76</f>
        <v>2397</v>
      </c>
      <c r="P75" s="1063">
        <f t="shared" si="38"/>
        <v>0</v>
      </c>
      <c r="Q75" s="1120">
        <f t="shared" si="46"/>
        <v>0</v>
      </c>
      <c r="R75" s="1063">
        <f t="shared" si="47"/>
        <v>0</v>
      </c>
      <c r="S75" s="1063"/>
      <c r="T75" s="1063">
        <f t="shared" si="48"/>
        <v>0</v>
      </c>
      <c r="U75" s="1063">
        <f t="shared" si="49"/>
        <v>0</v>
      </c>
      <c r="V75" s="1064">
        <f t="shared" si="50"/>
        <v>0</v>
      </c>
      <c r="W75" s="1064">
        <f t="shared" si="39"/>
        <v>0</v>
      </c>
    </row>
    <row r="76" spans="1:23" s="1019" customFormat="1" ht="13.5" thickBot="1">
      <c r="A76" s="1012"/>
      <c r="B76" s="1013" t="s">
        <v>160</v>
      </c>
      <c r="C76" s="1014">
        <f>SUM(C7:C75)</f>
        <v>735</v>
      </c>
      <c r="D76" s="1015"/>
      <c r="E76" s="1106">
        <f>SUM(E7:E75)</f>
        <v>2640322.9948977903</v>
      </c>
      <c r="F76" s="1106">
        <f>SUM(F7:F75)</f>
        <v>525385.46580882336</v>
      </c>
      <c r="G76" s="1016">
        <f>SUM(G7:G75)</f>
        <v>3165708.4607066135</v>
      </c>
      <c r="H76" s="1116">
        <f t="shared" ref="H76:J76" si="51">SUM(H7:H75)</f>
        <v>-7914.271151766533</v>
      </c>
      <c r="I76" s="1016">
        <f t="shared" si="51"/>
        <v>3157794.1895548468</v>
      </c>
      <c r="J76" s="1016">
        <f t="shared" si="51"/>
        <v>0</v>
      </c>
      <c r="K76" s="1016">
        <f>SUM(K7:K75)</f>
        <v>3157794.1895548468</v>
      </c>
      <c r="L76" s="1016">
        <f>SUM(L7:L75)</f>
        <v>263149</v>
      </c>
      <c r="M76" s="1084">
        <f t="shared" ref="M76:N76" si="52">SUM(M7:M75)</f>
        <v>540000</v>
      </c>
      <c r="N76" s="1016">
        <f t="shared" si="52"/>
        <v>3697794.1895548468</v>
      </c>
      <c r="O76" s="1065"/>
      <c r="P76" s="1017">
        <f>SUM(P7:P75)</f>
        <v>3064572</v>
      </c>
      <c r="Q76" s="1121">
        <f t="shared" ref="Q76" si="53">SUM(Q7:Q75)</f>
        <v>-7661.43</v>
      </c>
      <c r="R76" s="1017">
        <f t="shared" ref="R76:W76" si="54">SUM(R7:R75)</f>
        <v>3056910.57</v>
      </c>
      <c r="S76" s="1017">
        <f t="shared" si="54"/>
        <v>0</v>
      </c>
      <c r="T76" s="1017">
        <f t="shared" si="54"/>
        <v>3056910.57</v>
      </c>
      <c r="U76" s="1017">
        <f t="shared" si="54"/>
        <v>254742</v>
      </c>
      <c r="V76" s="1018">
        <f t="shared" si="54"/>
        <v>6754704.7595548481</v>
      </c>
      <c r="W76" s="1018">
        <f t="shared" si="54"/>
        <v>517891</v>
      </c>
    </row>
    <row r="77" spans="1:23" s="1019" customFormat="1" ht="13.5" thickTop="1">
      <c r="A77" s="1020"/>
      <c r="B77" s="1020"/>
      <c r="C77" s="1021"/>
      <c r="D77" s="1021"/>
      <c r="O77" s="1023"/>
      <c r="P77" s="1023"/>
      <c r="Q77" s="1023"/>
      <c r="R77" s="1023"/>
      <c r="S77" s="1023"/>
      <c r="T77" s="1023"/>
      <c r="U77" s="1023"/>
    </row>
    <row r="78" spans="1:23" ht="12.75" customHeight="1">
      <c r="A78" s="1025"/>
      <c r="C78" s="1026"/>
    </row>
    <row r="79" spans="1:23" ht="12.75" hidden="1" customHeight="1"/>
    <row r="80" spans="1:23" hidden="1"/>
    <row r="81" spans="3:14" hidden="1"/>
    <row r="82" spans="3:14" hidden="1"/>
    <row r="83" spans="3:14" hidden="1">
      <c r="E83" s="1027" t="s">
        <v>373</v>
      </c>
      <c r="F83" s="1027"/>
      <c r="G83" s="1027"/>
      <c r="H83" s="1027"/>
      <c r="I83" s="1027"/>
      <c r="J83" s="1027"/>
      <c r="K83" s="1027"/>
      <c r="L83" s="1027"/>
      <c r="M83" s="1027"/>
      <c r="N83" s="1027"/>
    </row>
    <row r="84" spans="3:14" ht="10.5" hidden="1" customHeight="1"/>
    <row r="85" spans="3:14" hidden="1"/>
    <row r="86" spans="3:14" hidden="1">
      <c r="C86" s="1029">
        <v>85661</v>
      </c>
      <c r="D86" s="1030" t="s">
        <v>374</v>
      </c>
    </row>
    <row r="87" spans="3:14" hidden="1">
      <c r="C87" s="1029">
        <v>650290</v>
      </c>
      <c r="D87" s="1030" t="s">
        <v>375</v>
      </c>
    </row>
    <row r="88" spans="3:14" hidden="1">
      <c r="C88" s="1031">
        <f>C86/C87</f>
        <v>0.13172738316750987</v>
      </c>
      <c r="D88" s="1030" t="s">
        <v>376</v>
      </c>
    </row>
    <row r="89" spans="3:14" hidden="1">
      <c r="C89" s="1029"/>
      <c r="D89" s="1030"/>
    </row>
    <row r="90" spans="3:14" hidden="1">
      <c r="C90" s="1029">
        <v>128510</v>
      </c>
      <c r="D90" s="1030" t="s">
        <v>377</v>
      </c>
    </row>
    <row r="91" spans="3:14" hidden="1">
      <c r="C91" s="1029">
        <v>911320</v>
      </c>
      <c r="D91" s="1030" t="s">
        <v>378</v>
      </c>
    </row>
    <row r="92" spans="3:14" hidden="1">
      <c r="C92" s="1031">
        <f>C90/C91</f>
        <v>0.14101523065443533</v>
      </c>
      <c r="D92" s="1030" t="s">
        <v>379</v>
      </c>
    </row>
    <row r="93" spans="3:14" hidden="1">
      <c r="C93" s="1029"/>
      <c r="D93" s="1030"/>
    </row>
    <row r="94" spans="3:14" hidden="1">
      <c r="C94" s="1032">
        <v>2663489616</v>
      </c>
      <c r="D94" s="1033" t="s">
        <v>380</v>
      </c>
    </row>
    <row r="95" spans="3:14" hidden="1">
      <c r="C95" s="1034">
        <f>C92</f>
        <v>0.14101523065443533</v>
      </c>
      <c r="D95" s="1033"/>
    </row>
    <row r="96" spans="3:14" hidden="1">
      <c r="C96" s="1035">
        <f>C94*C95</f>
        <v>375592602.54593337</v>
      </c>
      <c r="D96" s="1030" t="s">
        <v>381</v>
      </c>
    </row>
    <row r="97" spans="3:4" hidden="1">
      <c r="C97" s="1036">
        <f>50%/C92</f>
        <v>3.5457162866702978</v>
      </c>
      <c r="D97" s="1033" t="s">
        <v>382</v>
      </c>
    </row>
    <row r="98" spans="3:4" hidden="1">
      <c r="C98" s="1035">
        <f>C96*C97</f>
        <v>1331744808</v>
      </c>
      <c r="D98" s="1037" t="s">
        <v>383</v>
      </c>
    </row>
    <row r="99" spans="3:4" hidden="1">
      <c r="C99" s="1038">
        <f>C87</f>
        <v>650290</v>
      </c>
      <c r="D99" s="1033" t="s">
        <v>384</v>
      </c>
    </row>
    <row r="100" spans="3:4" hidden="1">
      <c r="C100" s="1035">
        <f>C98/C99</f>
        <v>2047.9244767719017</v>
      </c>
      <c r="D100" s="1033" t="s">
        <v>385</v>
      </c>
    </row>
    <row r="101" spans="3:4" hidden="1">
      <c r="C101" s="1039">
        <f>(C96/C99)*-1</f>
        <v>-577.57708490970697</v>
      </c>
      <c r="D101" s="1033" t="s">
        <v>386</v>
      </c>
    </row>
    <row r="102" spans="3:4" hidden="1">
      <c r="C102" s="1040">
        <f>SUM(C100:C101)</f>
        <v>1470.3473918621949</v>
      </c>
      <c r="D102" s="1033" t="s">
        <v>387</v>
      </c>
    </row>
    <row r="103" spans="3:4" hidden="1">
      <c r="C103" s="1040"/>
      <c r="D103" s="1033"/>
    </row>
    <row r="104" spans="3:4" hidden="1">
      <c r="C104" s="1040"/>
      <c r="D104" s="1033"/>
    </row>
    <row r="105" spans="3:4" hidden="1">
      <c r="D105" s="1033"/>
    </row>
    <row r="106" spans="3:4" hidden="1"/>
  </sheetData>
  <mergeCells count="20">
    <mergeCell ref="A2:B4"/>
    <mergeCell ref="C2:L2"/>
    <mergeCell ref="O2:U2"/>
    <mergeCell ref="V2:V4"/>
    <mergeCell ref="G3:G4"/>
    <mergeCell ref="P3:P4"/>
    <mergeCell ref="U3:U4"/>
    <mergeCell ref="I3:I4"/>
    <mergeCell ref="M3:M4"/>
    <mergeCell ref="N3:N4"/>
    <mergeCell ref="W2:W4"/>
    <mergeCell ref="C3:C4"/>
    <mergeCell ref="D3:D4"/>
    <mergeCell ref="E3:E4"/>
    <mergeCell ref="L3:L4"/>
    <mergeCell ref="O3:O4"/>
    <mergeCell ref="J3:J4"/>
    <mergeCell ref="K3:K4"/>
    <mergeCell ref="S3:S4"/>
    <mergeCell ref="T3:T4"/>
  </mergeCells>
  <printOptions horizontalCentered="1"/>
  <pageMargins left="0.27" right="0.25" top="0.87" bottom="0.2" header="0.25" footer="0.2"/>
  <pageSetup paperSize="5" scale="61" firstPageNumber="100" fitToWidth="3" orientation="portrait" useFirstPageNumber="1" r:id="rId1"/>
  <headerFooter alignWithMargins="0">
    <oddHeader xml:space="preserve">&amp;L&amp;"Arial,Bold"&amp;16Table 5D-3:  FY2013-14 MFP Budget Letter (Projection)&amp;"Arial,Regular"&amp;10
&amp;"Arial,Bold"&amp;14Legacy Type 2 Charters &amp;R&amp;"Arial,Bold"&amp;12&amp;KFF0000
</oddHeader>
    <oddFooter>&amp;R&amp;P</oddFooter>
  </headerFooter>
  <colBreaks count="2" manualBreakCount="2">
    <brk id="7" min="1" max="77" man="1"/>
    <brk id="14" min="1" max="78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U106"/>
  <sheetViews>
    <sheetView view="pageBreakPreview" zoomScaleNormal="85" zoomScaleSheetLayoutView="100" workbookViewId="0">
      <pane xSplit="2" ySplit="6" topLeftCell="C7" activePane="bottomRight" state="frozen"/>
      <selection activeCell="A2" sqref="A2:B4"/>
      <selection pane="topRight" activeCell="A2" sqref="A2:B4"/>
      <selection pane="bottomLeft" activeCell="A2" sqref="A2:B4"/>
      <selection pane="bottomRight" activeCell="A2" sqref="A2:B4"/>
    </sheetView>
  </sheetViews>
  <sheetFormatPr defaultColWidth="12.5703125" defaultRowHeight="12.75"/>
  <cols>
    <col min="1" max="1" width="3.85546875" style="971" customWidth="1"/>
    <col min="2" max="2" width="23.7109375" style="971" customWidth="1"/>
    <col min="3" max="3" width="11.85546875" style="974" customWidth="1"/>
    <col min="4" max="4" width="15.28515625" style="974" customWidth="1"/>
    <col min="5" max="5" width="11" style="974" customWidth="1"/>
    <col min="6" max="6" width="12.5703125" style="974" bestFit="1" customWidth="1"/>
    <col min="7" max="7" width="11.85546875" style="974" customWidth="1"/>
    <col min="8" max="8" width="11" style="974" customWidth="1"/>
    <col min="9" max="9" width="11.7109375" style="974" customWidth="1"/>
    <col min="10" max="10" width="13.5703125" style="974" customWidth="1"/>
    <col min="11" max="11" width="11.7109375" style="974" customWidth="1"/>
    <col min="12" max="12" width="9.42578125" style="974" bestFit="1" customWidth="1"/>
    <col min="13" max="13" width="17.7109375" style="1049" customWidth="1"/>
    <col min="14" max="14" width="13.7109375" style="974" bestFit="1" customWidth="1"/>
    <col min="15" max="18" width="13.7109375" style="974" customWidth="1"/>
    <col min="19" max="19" width="10.85546875" style="974" bestFit="1" customWidth="1"/>
    <col min="20" max="21" width="12.5703125" style="971" customWidth="1"/>
    <col min="22" max="16384" width="12.5703125" style="971"/>
  </cols>
  <sheetData>
    <row r="1" spans="1:21" ht="9" customHeight="1">
      <c r="B1" s="972"/>
      <c r="C1" s="973"/>
      <c r="D1" s="973"/>
    </row>
    <row r="2" spans="1:21" s="976" customFormat="1" ht="37.5" customHeight="1">
      <c r="A2" s="2000" t="s">
        <v>487</v>
      </c>
      <c r="B2" s="2001"/>
      <c r="C2" s="2065" t="s">
        <v>483</v>
      </c>
      <c r="D2" s="2017"/>
      <c r="E2" s="2017"/>
      <c r="F2" s="2017"/>
      <c r="G2" s="2017"/>
      <c r="H2" s="2017"/>
      <c r="I2" s="2017"/>
      <c r="J2" s="2017"/>
      <c r="K2" s="2017"/>
      <c r="L2" s="2018"/>
      <c r="M2" s="1992" t="s">
        <v>1357</v>
      </c>
      <c r="N2" s="1993"/>
      <c r="O2" s="1993"/>
      <c r="P2" s="1993"/>
      <c r="Q2" s="1993"/>
      <c r="R2" s="1993"/>
      <c r="S2" s="1994"/>
      <c r="T2" s="1995" t="s">
        <v>1412</v>
      </c>
      <c r="U2" s="1995" t="s">
        <v>1355</v>
      </c>
    </row>
    <row r="3" spans="1:21" ht="101.25" customHeight="1">
      <c r="A3" s="2002"/>
      <c r="B3" s="2003"/>
      <c r="C3" s="2109" t="s">
        <v>1178</v>
      </c>
      <c r="D3" s="2008" t="s">
        <v>1393</v>
      </c>
      <c r="E3" s="2008" t="s">
        <v>1377</v>
      </c>
      <c r="F3" s="977" t="s">
        <v>492</v>
      </c>
      <c r="G3" s="2006" t="s">
        <v>1378</v>
      </c>
      <c r="H3" s="1096" t="s">
        <v>510</v>
      </c>
      <c r="I3" s="2006" t="s">
        <v>1379</v>
      </c>
      <c r="J3" s="2006" t="s">
        <v>1230</v>
      </c>
      <c r="K3" s="2006" t="s">
        <v>1380</v>
      </c>
      <c r="L3" s="2008" t="s">
        <v>1356</v>
      </c>
      <c r="M3" s="2019" t="s">
        <v>692</v>
      </c>
      <c r="N3" s="2019" t="s">
        <v>1382</v>
      </c>
      <c r="O3" s="1098" t="s">
        <v>512</v>
      </c>
      <c r="P3" s="1743" t="s">
        <v>1383</v>
      </c>
      <c r="Q3" s="2019" t="s">
        <v>1230</v>
      </c>
      <c r="R3" s="2019" t="s">
        <v>1384</v>
      </c>
      <c r="S3" s="2019" t="s">
        <v>1385</v>
      </c>
      <c r="T3" s="1996"/>
      <c r="U3" s="1996"/>
    </row>
    <row r="4" spans="1:21" ht="40.5" customHeight="1">
      <c r="A4" s="2004"/>
      <c r="B4" s="2005"/>
      <c r="C4" s="2110"/>
      <c r="D4" s="2008"/>
      <c r="E4" s="2008"/>
      <c r="F4" s="1067">
        <v>536.12413544332276</v>
      </c>
      <c r="G4" s="2007"/>
      <c r="H4" s="1107">
        <v>2.5000000000000001E-3</v>
      </c>
      <c r="I4" s="2007"/>
      <c r="J4" s="2007"/>
      <c r="K4" s="2007"/>
      <c r="L4" s="2008"/>
      <c r="M4" s="1999"/>
      <c r="N4" s="1999"/>
      <c r="O4" s="1108">
        <v>2.5000000000000001E-3</v>
      </c>
      <c r="P4" s="1097"/>
      <c r="Q4" s="1999"/>
      <c r="R4" s="1999"/>
      <c r="S4" s="1999"/>
      <c r="T4" s="1997"/>
      <c r="U4" s="1997"/>
    </row>
    <row r="5" spans="1:21" s="981" customFormat="1" ht="14.25" customHeight="1">
      <c r="A5" s="978"/>
      <c r="B5" s="979"/>
      <c r="C5" s="980">
        <v>1</v>
      </c>
      <c r="D5" s="980">
        <f t="shared" ref="D5:N5" si="0">C5+1</f>
        <v>2</v>
      </c>
      <c r="E5" s="980">
        <f>D5+1</f>
        <v>3</v>
      </c>
      <c r="F5" s="980">
        <f t="shared" ref="F5:G5" si="1">E5+1</f>
        <v>4</v>
      </c>
      <c r="G5" s="980">
        <f t="shared" si="1"/>
        <v>5</v>
      </c>
      <c r="H5" s="980">
        <f t="shared" ref="H5" si="2">G5+1</f>
        <v>6</v>
      </c>
      <c r="I5" s="980">
        <f t="shared" ref="I5" si="3">H5+1</f>
        <v>7</v>
      </c>
      <c r="J5" s="980">
        <f t="shared" ref="J5" si="4">I5+1</f>
        <v>8</v>
      </c>
      <c r="K5" s="980">
        <f t="shared" ref="K5" si="5">J5+1</f>
        <v>9</v>
      </c>
      <c r="L5" s="980">
        <f t="shared" ref="L5" si="6">K5+1</f>
        <v>10</v>
      </c>
      <c r="M5" s="980">
        <f t="shared" si="0"/>
        <v>11</v>
      </c>
      <c r="N5" s="980">
        <f t="shared" si="0"/>
        <v>12</v>
      </c>
      <c r="O5" s="980">
        <f t="shared" ref="O5" si="7">N5+1</f>
        <v>13</v>
      </c>
      <c r="P5" s="980">
        <f t="shared" ref="P5" si="8">O5+1</f>
        <v>14</v>
      </c>
      <c r="Q5" s="980">
        <f t="shared" ref="Q5" si="9">P5+1</f>
        <v>15</v>
      </c>
      <c r="R5" s="980">
        <f t="shared" ref="R5" si="10">Q5+1</f>
        <v>16</v>
      </c>
      <c r="S5" s="980">
        <f t="shared" ref="S5" si="11">R5+1</f>
        <v>17</v>
      </c>
      <c r="T5" s="980">
        <f t="shared" ref="T5" si="12">S5+1</f>
        <v>18</v>
      </c>
      <c r="U5" s="980">
        <f t="shared" ref="U5" si="13">T5+1</f>
        <v>19</v>
      </c>
    </row>
    <row r="6" spans="1:21" s="986" customFormat="1" ht="27" customHeight="1">
      <c r="A6" s="982"/>
      <c r="B6" s="983"/>
      <c r="C6" s="984" t="s">
        <v>441</v>
      </c>
      <c r="D6" s="985" t="s">
        <v>363</v>
      </c>
      <c r="E6" s="984" t="s">
        <v>532</v>
      </c>
      <c r="F6" s="985" t="s">
        <v>494</v>
      </c>
      <c r="G6" s="984" t="s">
        <v>493</v>
      </c>
      <c r="H6" s="984" t="s">
        <v>511</v>
      </c>
      <c r="I6" s="984" t="s">
        <v>513</v>
      </c>
      <c r="J6" s="984"/>
      <c r="K6" s="984" t="s">
        <v>642</v>
      </c>
      <c r="L6" s="984" t="s">
        <v>537</v>
      </c>
      <c r="M6" s="1050" t="s">
        <v>363</v>
      </c>
      <c r="N6" s="1044" t="s">
        <v>538</v>
      </c>
      <c r="O6" s="1044" t="s">
        <v>643</v>
      </c>
      <c r="P6" s="1044" t="s">
        <v>640</v>
      </c>
      <c r="Q6" s="985"/>
      <c r="R6" s="1044" t="s">
        <v>641</v>
      </c>
      <c r="S6" s="1044" t="s">
        <v>540</v>
      </c>
      <c r="T6" s="1044" t="s">
        <v>541</v>
      </c>
      <c r="U6" s="1044" t="s">
        <v>542</v>
      </c>
    </row>
    <row r="7" spans="1:21">
      <c r="A7" s="987">
        <v>1</v>
      </c>
      <c r="B7" s="988" t="s">
        <v>95</v>
      </c>
      <c r="C7" s="989">
        <f>'[2]ALL-Reformatted'!J6</f>
        <v>0</v>
      </c>
      <c r="D7" s="990">
        <f>'Table 3 Levels 1&amp;2'!BN9+'Table 3 Levels 1&amp;2'!BV9</f>
        <v>4565.2108060165392</v>
      </c>
      <c r="E7" s="1099">
        <f t="shared" ref="E7:E38" si="14">D7*C7</f>
        <v>0</v>
      </c>
      <c r="F7" s="1099">
        <f>C7*$F$4</f>
        <v>0</v>
      </c>
      <c r="G7" s="991">
        <f t="shared" ref="G7:G38" si="15">E7+F7</f>
        <v>0</v>
      </c>
      <c r="H7" s="1109">
        <f>-G7*$H$4</f>
        <v>0</v>
      </c>
      <c r="I7" s="991">
        <f>SUM(G7:H7)</f>
        <v>0</v>
      </c>
      <c r="J7" s="991"/>
      <c r="K7" s="991">
        <f>SUM(I7:J7)</f>
        <v>0</v>
      </c>
      <c r="L7" s="991">
        <f>ROUND(K7/12,0)</f>
        <v>0</v>
      </c>
      <c r="M7" s="1051">
        <f>'[18]FY2012-13 Final'!K8</f>
        <v>2112</v>
      </c>
      <c r="N7" s="992">
        <f t="shared" ref="N7:N38" si="16">M7*C7</f>
        <v>0</v>
      </c>
      <c r="O7" s="1117">
        <f>-N7*$O$4</f>
        <v>0</v>
      </c>
      <c r="P7" s="992">
        <f>SUM(N7:O7)</f>
        <v>0</v>
      </c>
      <c r="Q7" s="992"/>
      <c r="R7" s="992">
        <f>SUM(P7:Q7)</f>
        <v>0</v>
      </c>
      <c r="S7" s="992">
        <f>ROUND(R7/12,0)</f>
        <v>0</v>
      </c>
      <c r="T7" s="993">
        <f>K7+R7</f>
        <v>0</v>
      </c>
      <c r="U7" s="993">
        <f>L7+S7</f>
        <v>0</v>
      </c>
    </row>
    <row r="8" spans="1:21">
      <c r="A8" s="994">
        <v>2</v>
      </c>
      <c r="B8" s="995" t="s">
        <v>96</v>
      </c>
      <c r="C8" s="996">
        <f>'[2]ALL-Reformatted'!J7</f>
        <v>0</v>
      </c>
      <c r="D8" s="997">
        <f>'Table 3 Levels 1&amp;2'!BN10+'Table 3 Levels 1&amp;2'!BV10</f>
        <v>6132.0480322513831</v>
      </c>
      <c r="E8" s="1100">
        <f t="shared" si="14"/>
        <v>0</v>
      </c>
      <c r="F8" s="1100">
        <f t="shared" ref="F8:F71" si="17">C8*$F$4</f>
        <v>0</v>
      </c>
      <c r="G8" s="1052">
        <f t="shared" si="15"/>
        <v>0</v>
      </c>
      <c r="H8" s="1110">
        <f t="shared" ref="H8:H71" si="18">-G8*$H$4</f>
        <v>0</v>
      </c>
      <c r="I8" s="1052">
        <f t="shared" ref="I8:I71" si="19">SUM(G8:H8)</f>
        <v>0</v>
      </c>
      <c r="J8" s="1052"/>
      <c r="K8" s="1052">
        <f t="shared" ref="K8:K71" si="20">SUM(I8:J8)</f>
        <v>0</v>
      </c>
      <c r="L8" s="1052">
        <f t="shared" ref="L8:L71" si="21">ROUND(K8/12,0)</f>
        <v>0</v>
      </c>
      <c r="M8" s="1051">
        <f>'[18]FY2012-13 Final'!K9</f>
        <v>2584</v>
      </c>
      <c r="N8" s="1053">
        <f t="shared" si="16"/>
        <v>0</v>
      </c>
      <c r="O8" s="1118">
        <f t="shared" ref="O8:O71" si="22">-N8*$O$4</f>
        <v>0</v>
      </c>
      <c r="P8" s="1053">
        <f t="shared" ref="P8:P71" si="23">SUM(N8:O8)</f>
        <v>0</v>
      </c>
      <c r="Q8" s="1053"/>
      <c r="R8" s="1053">
        <f t="shared" ref="R8:R71" si="24">SUM(P8:Q8)</f>
        <v>0</v>
      </c>
      <c r="S8" s="1053">
        <f t="shared" ref="S8:S71" si="25">ROUND(R8/12,0)</f>
        <v>0</v>
      </c>
      <c r="T8" s="1054">
        <f t="shared" ref="T8:T71" si="26">K8+R8</f>
        <v>0</v>
      </c>
      <c r="U8" s="1054">
        <f t="shared" ref="U8:U70" si="27">L8+S8</f>
        <v>0</v>
      </c>
    </row>
    <row r="9" spans="1:21" ht="12.75" customHeight="1">
      <c r="A9" s="994">
        <v>3</v>
      </c>
      <c r="B9" s="995" t="s">
        <v>97</v>
      </c>
      <c r="C9" s="996">
        <f>'[2]ALL-Reformatted'!J8</f>
        <v>0</v>
      </c>
      <c r="D9" s="997">
        <f>'Table 3 Levels 1&amp;2'!BN11+'Table 3 Levels 1&amp;2'!BV11</f>
        <v>4186.9626187036429</v>
      </c>
      <c r="E9" s="1100">
        <f t="shared" si="14"/>
        <v>0</v>
      </c>
      <c r="F9" s="1100">
        <f t="shared" si="17"/>
        <v>0</v>
      </c>
      <c r="G9" s="1052">
        <f t="shared" si="15"/>
        <v>0</v>
      </c>
      <c r="H9" s="1110">
        <f t="shared" si="18"/>
        <v>0</v>
      </c>
      <c r="I9" s="1052">
        <f t="shared" si="19"/>
        <v>0</v>
      </c>
      <c r="J9" s="1052"/>
      <c r="K9" s="1052">
        <f t="shared" si="20"/>
        <v>0</v>
      </c>
      <c r="L9" s="1052">
        <f t="shared" si="21"/>
        <v>0</v>
      </c>
      <c r="M9" s="1051">
        <f>'[18]FY2012-13 Final'!K10</f>
        <v>4966</v>
      </c>
      <c r="N9" s="1053">
        <f t="shared" si="16"/>
        <v>0</v>
      </c>
      <c r="O9" s="1118">
        <f t="shared" si="22"/>
        <v>0</v>
      </c>
      <c r="P9" s="1053">
        <f t="shared" si="23"/>
        <v>0</v>
      </c>
      <c r="Q9" s="1053"/>
      <c r="R9" s="1053">
        <f t="shared" si="24"/>
        <v>0</v>
      </c>
      <c r="S9" s="1053">
        <f t="shared" si="25"/>
        <v>0</v>
      </c>
      <c r="T9" s="1054">
        <f t="shared" si="26"/>
        <v>0</v>
      </c>
      <c r="U9" s="1054">
        <f t="shared" si="27"/>
        <v>0</v>
      </c>
    </row>
    <row r="10" spans="1:21" ht="12.75" customHeight="1">
      <c r="A10" s="994">
        <v>4</v>
      </c>
      <c r="B10" s="995" t="s">
        <v>98</v>
      </c>
      <c r="C10" s="996">
        <f>'[2]ALL-Reformatted'!J9</f>
        <v>0</v>
      </c>
      <c r="D10" s="997">
        <f>'Table 3 Levels 1&amp;2'!BN12+'Table 3 Levels 1&amp;2'!BV12</f>
        <v>5918.8798759182582</v>
      </c>
      <c r="E10" s="1100">
        <f t="shared" si="14"/>
        <v>0</v>
      </c>
      <c r="F10" s="1100">
        <f t="shared" si="17"/>
        <v>0</v>
      </c>
      <c r="G10" s="1052">
        <f t="shared" si="15"/>
        <v>0</v>
      </c>
      <c r="H10" s="1110">
        <f t="shared" si="18"/>
        <v>0</v>
      </c>
      <c r="I10" s="1052">
        <f t="shared" si="19"/>
        <v>0</v>
      </c>
      <c r="J10" s="1052"/>
      <c r="K10" s="1052">
        <f t="shared" si="20"/>
        <v>0</v>
      </c>
      <c r="L10" s="1052">
        <f t="shared" si="21"/>
        <v>0</v>
      </c>
      <c r="M10" s="1051">
        <f>'[18]FY2012-13 Final'!K11</f>
        <v>3445</v>
      </c>
      <c r="N10" s="1053">
        <f t="shared" si="16"/>
        <v>0</v>
      </c>
      <c r="O10" s="1118">
        <f t="shared" si="22"/>
        <v>0</v>
      </c>
      <c r="P10" s="1053">
        <f t="shared" si="23"/>
        <v>0</v>
      </c>
      <c r="Q10" s="1053"/>
      <c r="R10" s="1053">
        <f t="shared" si="24"/>
        <v>0</v>
      </c>
      <c r="S10" s="1053">
        <f t="shared" si="25"/>
        <v>0</v>
      </c>
      <c r="T10" s="1054">
        <f t="shared" si="26"/>
        <v>0</v>
      </c>
      <c r="U10" s="1054">
        <f t="shared" si="27"/>
        <v>0</v>
      </c>
    </row>
    <row r="11" spans="1:21">
      <c r="A11" s="998">
        <v>5</v>
      </c>
      <c r="B11" s="999" t="s">
        <v>99</v>
      </c>
      <c r="C11" s="1000">
        <f>'[2]ALL-Reformatted'!J10</f>
        <v>687</v>
      </c>
      <c r="D11" s="1001">
        <f>'Table 3 Levels 1&amp;2'!BN13+'Table 3 Levels 1&amp;2'!BV13</f>
        <v>4880.3484353147733</v>
      </c>
      <c r="E11" s="1101">
        <f t="shared" si="14"/>
        <v>3352799.3750612494</v>
      </c>
      <c r="F11" s="1101">
        <f t="shared" si="17"/>
        <v>368317.28104956273</v>
      </c>
      <c r="G11" s="1055">
        <f t="shared" si="15"/>
        <v>3721116.656110812</v>
      </c>
      <c r="H11" s="1111">
        <f t="shared" si="18"/>
        <v>-9302.7916402770297</v>
      </c>
      <c r="I11" s="1055">
        <f t="shared" si="19"/>
        <v>3711813.864470535</v>
      </c>
      <c r="J11" s="1055"/>
      <c r="K11" s="1055">
        <f t="shared" si="20"/>
        <v>3711813.864470535</v>
      </c>
      <c r="L11" s="1055">
        <f t="shared" si="21"/>
        <v>309318</v>
      </c>
      <c r="M11" s="1056">
        <f>'[18]FY2012-13 Final'!K12</f>
        <v>1353</v>
      </c>
      <c r="N11" s="1057">
        <f t="shared" si="16"/>
        <v>929511</v>
      </c>
      <c r="O11" s="1119">
        <f t="shared" si="22"/>
        <v>-2323.7775000000001</v>
      </c>
      <c r="P11" s="1057">
        <f t="shared" si="23"/>
        <v>927187.22250000003</v>
      </c>
      <c r="Q11" s="1057"/>
      <c r="R11" s="1057">
        <f t="shared" si="24"/>
        <v>927187.22250000003</v>
      </c>
      <c r="S11" s="1057">
        <f t="shared" si="25"/>
        <v>77266</v>
      </c>
      <c r="T11" s="1058">
        <f t="shared" si="26"/>
        <v>4639001.0869705351</v>
      </c>
      <c r="U11" s="1058">
        <f t="shared" si="27"/>
        <v>386584</v>
      </c>
    </row>
    <row r="12" spans="1:21" ht="12.75" customHeight="1">
      <c r="A12" s="987">
        <v>6</v>
      </c>
      <c r="B12" s="988" t="s">
        <v>100</v>
      </c>
      <c r="C12" s="989">
        <f>'[2]ALL-Reformatted'!J11</f>
        <v>0</v>
      </c>
      <c r="D12" s="990">
        <f>'Table 3 Levels 1&amp;2'!BN14+'Table 3 Levels 1&amp;2'!BV14</f>
        <v>5379.7759718479856</v>
      </c>
      <c r="E12" s="1099">
        <f t="shared" si="14"/>
        <v>0</v>
      </c>
      <c r="F12" s="1099">
        <f t="shared" si="17"/>
        <v>0</v>
      </c>
      <c r="G12" s="991">
        <f t="shared" si="15"/>
        <v>0</v>
      </c>
      <c r="H12" s="1109">
        <f t="shared" si="18"/>
        <v>0</v>
      </c>
      <c r="I12" s="991">
        <f t="shared" si="19"/>
        <v>0</v>
      </c>
      <c r="J12" s="991"/>
      <c r="K12" s="991">
        <f t="shared" si="20"/>
        <v>0</v>
      </c>
      <c r="L12" s="991">
        <f t="shared" si="21"/>
        <v>0</v>
      </c>
      <c r="M12" s="1051">
        <f>'[18]FY2012-13 Final'!K13</f>
        <v>3576</v>
      </c>
      <c r="N12" s="992">
        <f t="shared" si="16"/>
        <v>0</v>
      </c>
      <c r="O12" s="1117">
        <f t="shared" si="22"/>
        <v>0</v>
      </c>
      <c r="P12" s="992">
        <f t="shared" si="23"/>
        <v>0</v>
      </c>
      <c r="Q12" s="992"/>
      <c r="R12" s="992">
        <f t="shared" si="24"/>
        <v>0</v>
      </c>
      <c r="S12" s="992">
        <f t="shared" si="25"/>
        <v>0</v>
      </c>
      <c r="T12" s="993">
        <f t="shared" si="26"/>
        <v>0</v>
      </c>
      <c r="U12" s="993">
        <f t="shared" si="27"/>
        <v>0</v>
      </c>
    </row>
    <row r="13" spans="1:21">
      <c r="A13" s="994">
        <v>7</v>
      </c>
      <c r="B13" s="995" t="s">
        <v>101</v>
      </c>
      <c r="C13" s="996">
        <f>'[2]ALL-Reformatted'!J12</f>
        <v>0</v>
      </c>
      <c r="D13" s="997">
        <f>'Table 3 Levels 1&amp;2'!BN15+'Table 3 Levels 1&amp;2'!BV15</f>
        <v>1698.1351763907733</v>
      </c>
      <c r="E13" s="1100">
        <f t="shared" si="14"/>
        <v>0</v>
      </c>
      <c r="F13" s="1100">
        <f t="shared" si="17"/>
        <v>0</v>
      </c>
      <c r="G13" s="1052">
        <f t="shared" si="15"/>
        <v>0</v>
      </c>
      <c r="H13" s="1110">
        <f t="shared" si="18"/>
        <v>0</v>
      </c>
      <c r="I13" s="1052">
        <f t="shared" si="19"/>
        <v>0</v>
      </c>
      <c r="J13" s="1052"/>
      <c r="K13" s="1052">
        <f t="shared" si="20"/>
        <v>0</v>
      </c>
      <c r="L13" s="1052">
        <f t="shared" si="21"/>
        <v>0</v>
      </c>
      <c r="M13" s="1051">
        <f>'[18]FY2012-13 Final'!K14</f>
        <v>12465</v>
      </c>
      <c r="N13" s="1053">
        <f t="shared" si="16"/>
        <v>0</v>
      </c>
      <c r="O13" s="1118">
        <f t="shared" si="22"/>
        <v>0</v>
      </c>
      <c r="P13" s="1053">
        <f t="shared" si="23"/>
        <v>0</v>
      </c>
      <c r="Q13" s="1053"/>
      <c r="R13" s="1053">
        <f t="shared" si="24"/>
        <v>0</v>
      </c>
      <c r="S13" s="1053">
        <f t="shared" si="25"/>
        <v>0</v>
      </c>
      <c r="T13" s="1054">
        <f t="shared" si="26"/>
        <v>0</v>
      </c>
      <c r="U13" s="1054">
        <f t="shared" si="27"/>
        <v>0</v>
      </c>
    </row>
    <row r="14" spans="1:21">
      <c r="A14" s="994">
        <v>8</v>
      </c>
      <c r="B14" s="995" t="s">
        <v>102</v>
      </c>
      <c r="C14" s="996">
        <f>'[2]ALL-Reformatted'!J13</f>
        <v>0</v>
      </c>
      <c r="D14" s="997">
        <f>'Table 3 Levels 1&amp;2'!BN16+'Table 3 Levels 1&amp;2'!BV16</f>
        <v>4239.8578920718974</v>
      </c>
      <c r="E14" s="1100">
        <f t="shared" si="14"/>
        <v>0</v>
      </c>
      <c r="F14" s="1100">
        <f t="shared" si="17"/>
        <v>0</v>
      </c>
      <c r="G14" s="1052">
        <f t="shared" si="15"/>
        <v>0</v>
      </c>
      <c r="H14" s="1110">
        <f t="shared" si="18"/>
        <v>0</v>
      </c>
      <c r="I14" s="1052">
        <f t="shared" si="19"/>
        <v>0</v>
      </c>
      <c r="J14" s="1052"/>
      <c r="K14" s="1052">
        <f t="shared" si="20"/>
        <v>0</v>
      </c>
      <c r="L14" s="1052">
        <f t="shared" si="21"/>
        <v>0</v>
      </c>
      <c r="M14" s="1051">
        <f>'[18]FY2012-13 Final'!K15</f>
        <v>4184</v>
      </c>
      <c r="N14" s="1053">
        <f t="shared" si="16"/>
        <v>0</v>
      </c>
      <c r="O14" s="1118">
        <f t="shared" si="22"/>
        <v>0</v>
      </c>
      <c r="P14" s="1053">
        <f t="shared" si="23"/>
        <v>0</v>
      </c>
      <c r="Q14" s="1053"/>
      <c r="R14" s="1053">
        <f t="shared" si="24"/>
        <v>0</v>
      </c>
      <c r="S14" s="1053">
        <f t="shared" si="25"/>
        <v>0</v>
      </c>
      <c r="T14" s="1054">
        <f t="shared" si="26"/>
        <v>0</v>
      </c>
      <c r="U14" s="1054">
        <f t="shared" si="27"/>
        <v>0</v>
      </c>
    </row>
    <row r="15" spans="1:21">
      <c r="A15" s="994">
        <v>9</v>
      </c>
      <c r="B15" s="995" t="s">
        <v>103</v>
      </c>
      <c r="C15" s="996">
        <f>'[2]ALL-Reformatted'!J14</f>
        <v>0</v>
      </c>
      <c r="D15" s="997">
        <f>'Table 3 Levels 1&amp;2'!BN17+'Table 3 Levels 1&amp;2'!BV17</f>
        <v>4361.2752875373017</v>
      </c>
      <c r="E15" s="1100">
        <f t="shared" si="14"/>
        <v>0</v>
      </c>
      <c r="F15" s="1100">
        <f t="shared" si="17"/>
        <v>0</v>
      </c>
      <c r="G15" s="1052">
        <f t="shared" si="15"/>
        <v>0</v>
      </c>
      <c r="H15" s="1110">
        <f t="shared" si="18"/>
        <v>0</v>
      </c>
      <c r="I15" s="1052">
        <f t="shared" si="19"/>
        <v>0</v>
      </c>
      <c r="J15" s="1052"/>
      <c r="K15" s="1052">
        <f t="shared" si="20"/>
        <v>0</v>
      </c>
      <c r="L15" s="1052">
        <f t="shared" si="21"/>
        <v>0</v>
      </c>
      <c r="M15" s="1051">
        <f>'[18]FY2012-13 Final'!K16</f>
        <v>4640</v>
      </c>
      <c r="N15" s="1053">
        <f t="shared" si="16"/>
        <v>0</v>
      </c>
      <c r="O15" s="1118">
        <f t="shared" si="22"/>
        <v>0</v>
      </c>
      <c r="P15" s="1053">
        <f t="shared" si="23"/>
        <v>0</v>
      </c>
      <c r="Q15" s="1053"/>
      <c r="R15" s="1053">
        <f t="shared" si="24"/>
        <v>0</v>
      </c>
      <c r="S15" s="1053">
        <f t="shared" si="25"/>
        <v>0</v>
      </c>
      <c r="T15" s="1054">
        <f t="shared" si="26"/>
        <v>0</v>
      </c>
      <c r="U15" s="1054">
        <f t="shared" si="27"/>
        <v>0</v>
      </c>
    </row>
    <row r="16" spans="1:21">
      <c r="A16" s="998">
        <v>10</v>
      </c>
      <c r="B16" s="999" t="s">
        <v>104</v>
      </c>
      <c r="C16" s="1000">
        <f>'[2]ALL-Reformatted'!J15</f>
        <v>0</v>
      </c>
      <c r="D16" s="1001">
        <f>'Table 3 Levels 1&amp;2'!BN18+'Table 3 Levels 1&amp;2'!BV18</f>
        <v>4179.4641652904756</v>
      </c>
      <c r="E16" s="1101">
        <f t="shared" si="14"/>
        <v>0</v>
      </c>
      <c r="F16" s="1101">
        <f t="shared" si="17"/>
        <v>0</v>
      </c>
      <c r="G16" s="1055">
        <f t="shared" si="15"/>
        <v>0</v>
      </c>
      <c r="H16" s="1111">
        <f t="shared" si="18"/>
        <v>0</v>
      </c>
      <c r="I16" s="1055">
        <f t="shared" si="19"/>
        <v>0</v>
      </c>
      <c r="J16" s="1055"/>
      <c r="K16" s="1055">
        <f t="shared" si="20"/>
        <v>0</v>
      </c>
      <c r="L16" s="1055">
        <f t="shared" si="21"/>
        <v>0</v>
      </c>
      <c r="M16" s="1056">
        <f>'[18]FY2012-13 Final'!K17</f>
        <v>4391</v>
      </c>
      <c r="N16" s="1057">
        <f t="shared" si="16"/>
        <v>0</v>
      </c>
      <c r="O16" s="1119">
        <f t="shared" si="22"/>
        <v>0</v>
      </c>
      <c r="P16" s="1057">
        <f t="shared" si="23"/>
        <v>0</v>
      </c>
      <c r="Q16" s="1057"/>
      <c r="R16" s="1057">
        <f t="shared" si="24"/>
        <v>0</v>
      </c>
      <c r="S16" s="1057">
        <f t="shared" si="25"/>
        <v>0</v>
      </c>
      <c r="T16" s="1058">
        <f t="shared" si="26"/>
        <v>0</v>
      </c>
      <c r="U16" s="1058">
        <f t="shared" si="27"/>
        <v>0</v>
      </c>
    </row>
    <row r="17" spans="1:21">
      <c r="A17" s="987">
        <v>11</v>
      </c>
      <c r="B17" s="988" t="s">
        <v>105</v>
      </c>
      <c r="C17" s="989">
        <f>'[2]ALL-Reformatted'!J16</f>
        <v>0</v>
      </c>
      <c r="D17" s="990">
        <f>'Table 3 Levels 1&amp;2'!BN19+'Table 3 Levels 1&amp;2'!BV19</f>
        <v>6825.0221851487568</v>
      </c>
      <c r="E17" s="1099">
        <f t="shared" si="14"/>
        <v>0</v>
      </c>
      <c r="F17" s="1099">
        <f t="shared" si="17"/>
        <v>0</v>
      </c>
      <c r="G17" s="991">
        <f t="shared" si="15"/>
        <v>0</v>
      </c>
      <c r="H17" s="1109">
        <f t="shared" si="18"/>
        <v>0</v>
      </c>
      <c r="I17" s="991">
        <f t="shared" si="19"/>
        <v>0</v>
      </c>
      <c r="J17" s="991"/>
      <c r="K17" s="991">
        <f t="shared" si="20"/>
        <v>0</v>
      </c>
      <c r="L17" s="991">
        <f t="shared" si="21"/>
        <v>0</v>
      </c>
      <c r="M17" s="1051">
        <f>'[18]FY2012-13 Final'!K18</f>
        <v>3430</v>
      </c>
      <c r="N17" s="992">
        <f t="shared" si="16"/>
        <v>0</v>
      </c>
      <c r="O17" s="1117">
        <f t="shared" si="22"/>
        <v>0</v>
      </c>
      <c r="P17" s="992">
        <f t="shared" si="23"/>
        <v>0</v>
      </c>
      <c r="Q17" s="992"/>
      <c r="R17" s="992">
        <f t="shared" si="24"/>
        <v>0</v>
      </c>
      <c r="S17" s="992">
        <f t="shared" si="25"/>
        <v>0</v>
      </c>
      <c r="T17" s="993">
        <f t="shared" si="26"/>
        <v>0</v>
      </c>
      <c r="U17" s="993">
        <f t="shared" si="27"/>
        <v>0</v>
      </c>
    </row>
    <row r="18" spans="1:21">
      <c r="A18" s="994">
        <v>12</v>
      </c>
      <c r="B18" s="995" t="s">
        <v>106</v>
      </c>
      <c r="C18" s="996">
        <f>'[2]ALL-Reformatted'!J17</f>
        <v>0</v>
      </c>
      <c r="D18" s="997">
        <f>'Table 3 Levels 1&amp;2'!BN20+'Table 3 Levels 1&amp;2'!BV20</f>
        <v>1688.0492586490939</v>
      </c>
      <c r="E18" s="1100">
        <f t="shared" si="14"/>
        <v>0</v>
      </c>
      <c r="F18" s="1100">
        <f t="shared" si="17"/>
        <v>0</v>
      </c>
      <c r="G18" s="1052">
        <f t="shared" si="15"/>
        <v>0</v>
      </c>
      <c r="H18" s="1110">
        <f t="shared" si="18"/>
        <v>0</v>
      </c>
      <c r="I18" s="1052">
        <f t="shared" si="19"/>
        <v>0</v>
      </c>
      <c r="J18" s="1052"/>
      <c r="K18" s="1052">
        <f t="shared" si="20"/>
        <v>0</v>
      </c>
      <c r="L18" s="1052">
        <f t="shared" si="21"/>
        <v>0</v>
      </c>
      <c r="M18" s="1051">
        <f>'[18]FY2012-13 Final'!K19</f>
        <v>12558</v>
      </c>
      <c r="N18" s="1053">
        <f t="shared" si="16"/>
        <v>0</v>
      </c>
      <c r="O18" s="1118">
        <f t="shared" si="22"/>
        <v>0</v>
      </c>
      <c r="P18" s="1053">
        <f t="shared" si="23"/>
        <v>0</v>
      </c>
      <c r="Q18" s="1053"/>
      <c r="R18" s="1053">
        <f t="shared" si="24"/>
        <v>0</v>
      </c>
      <c r="S18" s="1053">
        <f t="shared" si="25"/>
        <v>0</v>
      </c>
      <c r="T18" s="1054">
        <f t="shared" si="26"/>
        <v>0</v>
      </c>
      <c r="U18" s="1054">
        <f t="shared" si="27"/>
        <v>0</v>
      </c>
    </row>
    <row r="19" spans="1:21">
      <c r="A19" s="994">
        <v>13</v>
      </c>
      <c r="B19" s="995" t="s">
        <v>107</v>
      </c>
      <c r="C19" s="996">
        <f>'[2]ALL-Reformatted'!J18</f>
        <v>0</v>
      </c>
      <c r="D19" s="997">
        <f>'Table 3 Levels 1&amp;2'!BN21+'Table 3 Levels 1&amp;2'!BV21</f>
        <v>6187.1651272387344</v>
      </c>
      <c r="E19" s="1100">
        <f t="shared" si="14"/>
        <v>0</v>
      </c>
      <c r="F19" s="1100">
        <f t="shared" si="17"/>
        <v>0</v>
      </c>
      <c r="G19" s="1052">
        <f t="shared" si="15"/>
        <v>0</v>
      </c>
      <c r="H19" s="1110">
        <f t="shared" si="18"/>
        <v>0</v>
      </c>
      <c r="I19" s="1052">
        <f t="shared" si="19"/>
        <v>0</v>
      </c>
      <c r="J19" s="1052"/>
      <c r="K19" s="1052">
        <f t="shared" si="20"/>
        <v>0</v>
      </c>
      <c r="L19" s="1052">
        <f t="shared" si="21"/>
        <v>0</v>
      </c>
      <c r="M19" s="1051">
        <f>'[18]FY2012-13 Final'!K20</f>
        <v>2536</v>
      </c>
      <c r="N19" s="1053">
        <f t="shared" si="16"/>
        <v>0</v>
      </c>
      <c r="O19" s="1118">
        <f t="shared" si="22"/>
        <v>0</v>
      </c>
      <c r="P19" s="1053">
        <f t="shared" si="23"/>
        <v>0</v>
      </c>
      <c r="Q19" s="1053"/>
      <c r="R19" s="1053">
        <f t="shared" si="24"/>
        <v>0</v>
      </c>
      <c r="S19" s="1053">
        <f t="shared" si="25"/>
        <v>0</v>
      </c>
      <c r="T19" s="1054">
        <f t="shared" si="26"/>
        <v>0</v>
      </c>
      <c r="U19" s="1054">
        <f t="shared" si="27"/>
        <v>0</v>
      </c>
    </row>
    <row r="20" spans="1:21" ht="12.75" customHeight="1">
      <c r="A20" s="994">
        <v>14</v>
      </c>
      <c r="B20" s="995" t="s">
        <v>108</v>
      </c>
      <c r="C20" s="996">
        <f>'[2]ALL-Reformatted'!J19</f>
        <v>0</v>
      </c>
      <c r="D20" s="997">
        <f>'Table 3 Levels 1&amp;2'!BN22+'Table 3 Levels 1&amp;2'!BV22</f>
        <v>5339.1887414618923</v>
      </c>
      <c r="E20" s="1100">
        <f t="shared" si="14"/>
        <v>0</v>
      </c>
      <c r="F20" s="1100">
        <f t="shared" si="17"/>
        <v>0</v>
      </c>
      <c r="G20" s="1052">
        <f t="shared" si="15"/>
        <v>0</v>
      </c>
      <c r="H20" s="1110">
        <f t="shared" si="18"/>
        <v>0</v>
      </c>
      <c r="I20" s="1052">
        <f t="shared" si="19"/>
        <v>0</v>
      </c>
      <c r="J20" s="1052"/>
      <c r="K20" s="1052">
        <f t="shared" si="20"/>
        <v>0</v>
      </c>
      <c r="L20" s="1052">
        <f t="shared" si="21"/>
        <v>0</v>
      </c>
      <c r="M20" s="1051">
        <f>'[18]FY2012-13 Final'!K21</f>
        <v>3888</v>
      </c>
      <c r="N20" s="1053">
        <f t="shared" si="16"/>
        <v>0</v>
      </c>
      <c r="O20" s="1118">
        <f t="shared" si="22"/>
        <v>0</v>
      </c>
      <c r="P20" s="1053">
        <f t="shared" si="23"/>
        <v>0</v>
      </c>
      <c r="Q20" s="1053"/>
      <c r="R20" s="1053">
        <f t="shared" si="24"/>
        <v>0</v>
      </c>
      <c r="S20" s="1053">
        <f t="shared" si="25"/>
        <v>0</v>
      </c>
      <c r="T20" s="1054">
        <f t="shared" si="26"/>
        <v>0</v>
      </c>
      <c r="U20" s="1054">
        <f t="shared" si="27"/>
        <v>0</v>
      </c>
    </row>
    <row r="21" spans="1:21">
      <c r="A21" s="998">
        <v>15</v>
      </c>
      <c r="B21" s="999" t="s">
        <v>109</v>
      </c>
      <c r="C21" s="1000">
        <f>'[2]ALL-Reformatted'!J20</f>
        <v>0</v>
      </c>
      <c r="D21" s="1001">
        <f>'Table 3 Levels 1&amp;2'!BN23+'Table 3 Levels 1&amp;2'!BV23</f>
        <v>5492.5789412344011</v>
      </c>
      <c r="E21" s="1101">
        <f t="shared" si="14"/>
        <v>0</v>
      </c>
      <c r="F21" s="1101">
        <f t="shared" si="17"/>
        <v>0</v>
      </c>
      <c r="G21" s="1055">
        <f t="shared" si="15"/>
        <v>0</v>
      </c>
      <c r="H21" s="1111">
        <f t="shared" si="18"/>
        <v>0</v>
      </c>
      <c r="I21" s="1055">
        <f t="shared" si="19"/>
        <v>0</v>
      </c>
      <c r="J21" s="1055"/>
      <c r="K21" s="1055">
        <f t="shared" si="20"/>
        <v>0</v>
      </c>
      <c r="L21" s="1055">
        <f t="shared" si="21"/>
        <v>0</v>
      </c>
      <c r="M21" s="1056">
        <f>'[18]FY2012-13 Final'!K22</f>
        <v>2752</v>
      </c>
      <c r="N21" s="1057">
        <f t="shared" si="16"/>
        <v>0</v>
      </c>
      <c r="O21" s="1119">
        <f t="shared" si="22"/>
        <v>0</v>
      </c>
      <c r="P21" s="1057">
        <f t="shared" si="23"/>
        <v>0</v>
      </c>
      <c r="Q21" s="1057"/>
      <c r="R21" s="1057">
        <f t="shared" si="24"/>
        <v>0</v>
      </c>
      <c r="S21" s="1057">
        <f t="shared" si="25"/>
        <v>0</v>
      </c>
      <c r="T21" s="1058">
        <f t="shared" si="26"/>
        <v>0</v>
      </c>
      <c r="U21" s="1058">
        <f t="shared" si="27"/>
        <v>0</v>
      </c>
    </row>
    <row r="22" spans="1:21">
      <c r="A22" s="987">
        <v>16</v>
      </c>
      <c r="B22" s="988" t="s">
        <v>110</v>
      </c>
      <c r="C22" s="989">
        <f>'[2]ALL-Reformatted'!J21</f>
        <v>0</v>
      </c>
      <c r="D22" s="990">
        <f>'Table 3 Levels 1&amp;2'!BN24+'Table 3 Levels 1&amp;2'!BV24</f>
        <v>1506.1153407945151</v>
      </c>
      <c r="E22" s="1099">
        <f t="shared" si="14"/>
        <v>0</v>
      </c>
      <c r="F22" s="1099">
        <f t="shared" si="17"/>
        <v>0</v>
      </c>
      <c r="G22" s="991">
        <f t="shared" si="15"/>
        <v>0</v>
      </c>
      <c r="H22" s="1109">
        <f t="shared" si="18"/>
        <v>0</v>
      </c>
      <c r="I22" s="991">
        <f t="shared" si="19"/>
        <v>0</v>
      </c>
      <c r="J22" s="991"/>
      <c r="K22" s="991">
        <f t="shared" si="20"/>
        <v>0</v>
      </c>
      <c r="L22" s="991">
        <f t="shared" si="21"/>
        <v>0</v>
      </c>
      <c r="M22" s="1051">
        <f>'[18]FY2012-13 Final'!K23</f>
        <v>15092</v>
      </c>
      <c r="N22" s="992">
        <f t="shared" si="16"/>
        <v>0</v>
      </c>
      <c r="O22" s="1117">
        <f t="shared" si="22"/>
        <v>0</v>
      </c>
      <c r="P22" s="992">
        <f t="shared" si="23"/>
        <v>0</v>
      </c>
      <c r="Q22" s="992"/>
      <c r="R22" s="992">
        <f t="shared" si="24"/>
        <v>0</v>
      </c>
      <c r="S22" s="992">
        <f t="shared" si="25"/>
        <v>0</v>
      </c>
      <c r="T22" s="993">
        <f t="shared" si="26"/>
        <v>0</v>
      </c>
      <c r="U22" s="993">
        <f t="shared" si="27"/>
        <v>0</v>
      </c>
    </row>
    <row r="23" spans="1:21">
      <c r="A23" s="994">
        <v>17</v>
      </c>
      <c r="B23" s="995" t="s">
        <v>111</v>
      </c>
      <c r="C23" s="996">
        <f>'[2]ALL-Reformatted'!J22</f>
        <v>0</v>
      </c>
      <c r="D23" s="997">
        <f>'Table 3 Levels 1&amp;2'!BN25+'Table 3 Levels 1&amp;2'!BV25</f>
        <v>3311.610845996096</v>
      </c>
      <c r="E23" s="1100">
        <f t="shared" si="14"/>
        <v>0</v>
      </c>
      <c r="F23" s="1100">
        <f t="shared" si="17"/>
        <v>0</v>
      </c>
      <c r="G23" s="1052">
        <f t="shared" si="15"/>
        <v>0</v>
      </c>
      <c r="H23" s="1110">
        <f t="shared" si="18"/>
        <v>0</v>
      </c>
      <c r="I23" s="1052">
        <f t="shared" si="19"/>
        <v>0</v>
      </c>
      <c r="J23" s="1052"/>
      <c r="K23" s="1052">
        <f t="shared" si="20"/>
        <v>0</v>
      </c>
      <c r="L23" s="1052">
        <f t="shared" si="21"/>
        <v>0</v>
      </c>
      <c r="M23" s="1051">
        <f>'[18]FY2012-13 Final'!K24</f>
        <v>6551</v>
      </c>
      <c r="N23" s="1053">
        <f t="shared" si="16"/>
        <v>0</v>
      </c>
      <c r="O23" s="1118">
        <f t="shared" si="22"/>
        <v>0</v>
      </c>
      <c r="P23" s="1053">
        <f t="shared" si="23"/>
        <v>0</v>
      </c>
      <c r="Q23" s="1053"/>
      <c r="R23" s="1053">
        <f t="shared" si="24"/>
        <v>0</v>
      </c>
      <c r="S23" s="1053">
        <f t="shared" si="25"/>
        <v>0</v>
      </c>
      <c r="T23" s="1054">
        <f t="shared" si="26"/>
        <v>0</v>
      </c>
      <c r="U23" s="1054">
        <f t="shared" si="27"/>
        <v>0</v>
      </c>
    </row>
    <row r="24" spans="1:21">
      <c r="A24" s="994">
        <v>18</v>
      </c>
      <c r="B24" s="995" t="s">
        <v>112</v>
      </c>
      <c r="C24" s="996">
        <f>'[2]ALL-Reformatted'!J23</f>
        <v>0</v>
      </c>
      <c r="D24" s="997">
        <f>'Table 3 Levels 1&amp;2'!BN26+'Table 3 Levels 1&amp;2'!BV26</f>
        <v>5964.3490202032081</v>
      </c>
      <c r="E24" s="1100">
        <f t="shared" si="14"/>
        <v>0</v>
      </c>
      <c r="F24" s="1100">
        <f t="shared" si="17"/>
        <v>0</v>
      </c>
      <c r="G24" s="1052">
        <f t="shared" si="15"/>
        <v>0</v>
      </c>
      <c r="H24" s="1110">
        <f t="shared" si="18"/>
        <v>0</v>
      </c>
      <c r="I24" s="1052">
        <f t="shared" si="19"/>
        <v>0</v>
      </c>
      <c r="J24" s="1052"/>
      <c r="K24" s="1052">
        <f t="shared" si="20"/>
        <v>0</v>
      </c>
      <c r="L24" s="1052">
        <f t="shared" si="21"/>
        <v>0</v>
      </c>
      <c r="M24" s="1051">
        <f>'[18]FY2012-13 Final'!K25</f>
        <v>2165</v>
      </c>
      <c r="N24" s="1053">
        <f t="shared" si="16"/>
        <v>0</v>
      </c>
      <c r="O24" s="1118">
        <f t="shared" si="22"/>
        <v>0</v>
      </c>
      <c r="P24" s="1053">
        <f t="shared" si="23"/>
        <v>0</v>
      </c>
      <c r="Q24" s="1053"/>
      <c r="R24" s="1053">
        <f t="shared" si="24"/>
        <v>0</v>
      </c>
      <c r="S24" s="1053">
        <f t="shared" si="25"/>
        <v>0</v>
      </c>
      <c r="T24" s="1054">
        <f t="shared" si="26"/>
        <v>0</v>
      </c>
      <c r="U24" s="1054">
        <f t="shared" si="27"/>
        <v>0</v>
      </c>
    </row>
    <row r="25" spans="1:21">
      <c r="A25" s="994">
        <v>19</v>
      </c>
      <c r="B25" s="995" t="s">
        <v>113</v>
      </c>
      <c r="C25" s="996">
        <f>'[2]ALL-Reformatted'!J24</f>
        <v>0</v>
      </c>
      <c r="D25" s="997">
        <f>'Table 3 Levels 1&amp;2'!BN27+'Table 3 Levels 1&amp;2'!BV27</f>
        <v>5283.1088158476596</v>
      </c>
      <c r="E25" s="1100">
        <f t="shared" si="14"/>
        <v>0</v>
      </c>
      <c r="F25" s="1100">
        <f t="shared" si="17"/>
        <v>0</v>
      </c>
      <c r="G25" s="1052">
        <f t="shared" si="15"/>
        <v>0</v>
      </c>
      <c r="H25" s="1110">
        <f t="shared" si="18"/>
        <v>0</v>
      </c>
      <c r="I25" s="1052">
        <f t="shared" si="19"/>
        <v>0</v>
      </c>
      <c r="J25" s="1052"/>
      <c r="K25" s="1052">
        <f t="shared" si="20"/>
        <v>0</v>
      </c>
      <c r="L25" s="1052">
        <f t="shared" si="21"/>
        <v>0</v>
      </c>
      <c r="M25" s="1051">
        <f>'[18]FY2012-13 Final'!K26</f>
        <v>2729</v>
      </c>
      <c r="N25" s="1053">
        <f t="shared" si="16"/>
        <v>0</v>
      </c>
      <c r="O25" s="1118">
        <f t="shared" si="22"/>
        <v>0</v>
      </c>
      <c r="P25" s="1053">
        <f t="shared" si="23"/>
        <v>0</v>
      </c>
      <c r="Q25" s="1053"/>
      <c r="R25" s="1053">
        <f t="shared" si="24"/>
        <v>0</v>
      </c>
      <c r="S25" s="1053">
        <f t="shared" si="25"/>
        <v>0</v>
      </c>
      <c r="T25" s="1054">
        <f t="shared" si="26"/>
        <v>0</v>
      </c>
      <c r="U25" s="1054">
        <f t="shared" si="27"/>
        <v>0</v>
      </c>
    </row>
    <row r="26" spans="1:21">
      <c r="A26" s="998">
        <v>20</v>
      </c>
      <c r="B26" s="999" t="s">
        <v>114</v>
      </c>
      <c r="C26" s="1000">
        <f>'[2]ALL-Reformatted'!J25</f>
        <v>0</v>
      </c>
      <c r="D26" s="1001">
        <f>'Table 3 Levels 1&amp;2'!BN28+'Table 3 Levels 1&amp;2'!BV28</f>
        <v>5389.6047094824808</v>
      </c>
      <c r="E26" s="1101">
        <f t="shared" si="14"/>
        <v>0</v>
      </c>
      <c r="F26" s="1101">
        <f t="shared" si="17"/>
        <v>0</v>
      </c>
      <c r="G26" s="1055">
        <f t="shared" si="15"/>
        <v>0</v>
      </c>
      <c r="H26" s="1111">
        <f t="shared" si="18"/>
        <v>0</v>
      </c>
      <c r="I26" s="1055">
        <f t="shared" si="19"/>
        <v>0</v>
      </c>
      <c r="J26" s="1055"/>
      <c r="K26" s="1055">
        <f t="shared" si="20"/>
        <v>0</v>
      </c>
      <c r="L26" s="1055">
        <f t="shared" si="21"/>
        <v>0</v>
      </c>
      <c r="M26" s="1056">
        <f>'[18]FY2012-13 Final'!K27</f>
        <v>2334</v>
      </c>
      <c r="N26" s="1057">
        <f t="shared" si="16"/>
        <v>0</v>
      </c>
      <c r="O26" s="1119">
        <f t="shared" si="22"/>
        <v>0</v>
      </c>
      <c r="P26" s="1057">
        <f t="shared" si="23"/>
        <v>0</v>
      </c>
      <c r="Q26" s="1057"/>
      <c r="R26" s="1057">
        <f t="shared" si="24"/>
        <v>0</v>
      </c>
      <c r="S26" s="1057">
        <f t="shared" si="25"/>
        <v>0</v>
      </c>
      <c r="T26" s="1058">
        <f t="shared" si="26"/>
        <v>0</v>
      </c>
      <c r="U26" s="1058">
        <f t="shared" si="27"/>
        <v>0</v>
      </c>
    </row>
    <row r="27" spans="1:21">
      <c r="A27" s="987">
        <v>21</v>
      </c>
      <c r="B27" s="988" t="s">
        <v>115</v>
      </c>
      <c r="C27" s="989">
        <f>'[2]ALL-Reformatted'!J26</f>
        <v>0</v>
      </c>
      <c r="D27" s="990">
        <f>'Table 3 Levels 1&amp;2'!BN29+'Table 3 Levels 1&amp;2'!BV29</f>
        <v>5659.8229810652783</v>
      </c>
      <c r="E27" s="1099">
        <f t="shared" si="14"/>
        <v>0</v>
      </c>
      <c r="F27" s="1099">
        <f t="shared" si="17"/>
        <v>0</v>
      </c>
      <c r="G27" s="991">
        <f t="shared" si="15"/>
        <v>0</v>
      </c>
      <c r="H27" s="1109">
        <f t="shared" si="18"/>
        <v>0</v>
      </c>
      <c r="I27" s="991">
        <f t="shared" si="19"/>
        <v>0</v>
      </c>
      <c r="J27" s="991"/>
      <c r="K27" s="991">
        <f t="shared" si="20"/>
        <v>0</v>
      </c>
      <c r="L27" s="991">
        <f t="shared" si="21"/>
        <v>0</v>
      </c>
      <c r="M27" s="1051">
        <f>'[18]FY2012-13 Final'!K28</f>
        <v>2233</v>
      </c>
      <c r="N27" s="992">
        <f t="shared" si="16"/>
        <v>0</v>
      </c>
      <c r="O27" s="1117">
        <f t="shared" si="22"/>
        <v>0</v>
      </c>
      <c r="P27" s="992">
        <f t="shared" si="23"/>
        <v>0</v>
      </c>
      <c r="Q27" s="992"/>
      <c r="R27" s="992">
        <f t="shared" si="24"/>
        <v>0</v>
      </c>
      <c r="S27" s="992">
        <f t="shared" si="25"/>
        <v>0</v>
      </c>
      <c r="T27" s="993">
        <f t="shared" si="26"/>
        <v>0</v>
      </c>
      <c r="U27" s="993">
        <f t="shared" si="27"/>
        <v>0</v>
      </c>
    </row>
    <row r="28" spans="1:21">
      <c r="A28" s="994">
        <v>22</v>
      </c>
      <c r="B28" s="995" t="s">
        <v>116</v>
      </c>
      <c r="C28" s="996">
        <f>'[2]ALL-Reformatted'!J27</f>
        <v>0</v>
      </c>
      <c r="D28" s="997">
        <f>'Table 3 Levels 1&amp;2'!BN30+'Table 3 Levels 1&amp;2'!BV30</f>
        <v>6191.1997628958306</v>
      </c>
      <c r="E28" s="1100">
        <f t="shared" si="14"/>
        <v>0</v>
      </c>
      <c r="F28" s="1100">
        <f t="shared" si="17"/>
        <v>0</v>
      </c>
      <c r="G28" s="1052">
        <f t="shared" si="15"/>
        <v>0</v>
      </c>
      <c r="H28" s="1110">
        <f t="shared" si="18"/>
        <v>0</v>
      </c>
      <c r="I28" s="1052">
        <f t="shared" si="19"/>
        <v>0</v>
      </c>
      <c r="J28" s="1052"/>
      <c r="K28" s="1052">
        <f t="shared" si="20"/>
        <v>0</v>
      </c>
      <c r="L28" s="1052">
        <f t="shared" si="21"/>
        <v>0</v>
      </c>
      <c r="M28" s="1051">
        <f>'[18]FY2012-13 Final'!K29</f>
        <v>1410</v>
      </c>
      <c r="N28" s="1053">
        <f t="shared" si="16"/>
        <v>0</v>
      </c>
      <c r="O28" s="1118">
        <f t="shared" si="22"/>
        <v>0</v>
      </c>
      <c r="P28" s="1053">
        <f t="shared" si="23"/>
        <v>0</v>
      </c>
      <c r="Q28" s="1053"/>
      <c r="R28" s="1053">
        <f t="shared" si="24"/>
        <v>0</v>
      </c>
      <c r="S28" s="1053">
        <f t="shared" si="25"/>
        <v>0</v>
      </c>
      <c r="T28" s="1054">
        <f t="shared" si="26"/>
        <v>0</v>
      </c>
      <c r="U28" s="1054">
        <f t="shared" si="27"/>
        <v>0</v>
      </c>
    </row>
    <row r="29" spans="1:21">
      <c r="A29" s="994">
        <v>23</v>
      </c>
      <c r="B29" s="995" t="s">
        <v>117</v>
      </c>
      <c r="C29" s="996">
        <f>'[2]ALL-Reformatted'!J28</f>
        <v>0</v>
      </c>
      <c r="D29" s="997">
        <f>'Table 3 Levels 1&amp;2'!BN31+'Table 3 Levels 1&amp;2'!BV31</f>
        <v>4788.2881021645453</v>
      </c>
      <c r="E29" s="1100">
        <f t="shared" si="14"/>
        <v>0</v>
      </c>
      <c r="F29" s="1100">
        <f t="shared" si="17"/>
        <v>0</v>
      </c>
      <c r="G29" s="1052">
        <f t="shared" si="15"/>
        <v>0</v>
      </c>
      <c r="H29" s="1110">
        <f t="shared" si="18"/>
        <v>0</v>
      </c>
      <c r="I29" s="1052">
        <f t="shared" si="19"/>
        <v>0</v>
      </c>
      <c r="J29" s="1052"/>
      <c r="K29" s="1052">
        <f t="shared" si="20"/>
        <v>0</v>
      </c>
      <c r="L29" s="1052">
        <f t="shared" si="21"/>
        <v>0</v>
      </c>
      <c r="M29" s="1051">
        <f>'[18]FY2012-13 Final'!K30</f>
        <v>3258</v>
      </c>
      <c r="N29" s="1053">
        <f t="shared" si="16"/>
        <v>0</v>
      </c>
      <c r="O29" s="1118">
        <f t="shared" si="22"/>
        <v>0</v>
      </c>
      <c r="P29" s="1053">
        <f t="shared" si="23"/>
        <v>0</v>
      </c>
      <c r="Q29" s="1053"/>
      <c r="R29" s="1053">
        <f t="shared" si="24"/>
        <v>0</v>
      </c>
      <c r="S29" s="1053">
        <f t="shared" si="25"/>
        <v>0</v>
      </c>
      <c r="T29" s="1054">
        <f t="shared" si="26"/>
        <v>0</v>
      </c>
      <c r="U29" s="1054">
        <f t="shared" si="27"/>
        <v>0</v>
      </c>
    </row>
    <row r="30" spans="1:21">
      <c r="A30" s="994">
        <v>24</v>
      </c>
      <c r="B30" s="995" t="s">
        <v>118</v>
      </c>
      <c r="C30" s="996">
        <f>'[2]ALL-Reformatted'!J29</f>
        <v>0</v>
      </c>
      <c r="D30" s="997">
        <f>'Table 3 Levels 1&amp;2'!BN32+'Table 3 Levels 1&amp;2'!BV32</f>
        <v>2743.328175824176</v>
      </c>
      <c r="E30" s="1100">
        <f t="shared" si="14"/>
        <v>0</v>
      </c>
      <c r="F30" s="1100">
        <f t="shared" si="17"/>
        <v>0</v>
      </c>
      <c r="G30" s="1052">
        <f t="shared" si="15"/>
        <v>0</v>
      </c>
      <c r="H30" s="1110">
        <f t="shared" si="18"/>
        <v>0</v>
      </c>
      <c r="I30" s="1052">
        <f t="shared" si="19"/>
        <v>0</v>
      </c>
      <c r="J30" s="1052"/>
      <c r="K30" s="1052">
        <f t="shared" si="20"/>
        <v>0</v>
      </c>
      <c r="L30" s="1052">
        <f t="shared" si="21"/>
        <v>0</v>
      </c>
      <c r="M30" s="1051">
        <f>'[18]FY2012-13 Final'!K31</f>
        <v>9280</v>
      </c>
      <c r="N30" s="1053">
        <f t="shared" si="16"/>
        <v>0</v>
      </c>
      <c r="O30" s="1118">
        <f t="shared" si="22"/>
        <v>0</v>
      </c>
      <c r="P30" s="1053">
        <f t="shared" si="23"/>
        <v>0</v>
      </c>
      <c r="Q30" s="1053"/>
      <c r="R30" s="1053">
        <f t="shared" si="24"/>
        <v>0</v>
      </c>
      <c r="S30" s="1053">
        <f t="shared" si="25"/>
        <v>0</v>
      </c>
      <c r="T30" s="1054">
        <f t="shared" si="26"/>
        <v>0</v>
      </c>
      <c r="U30" s="1054">
        <f t="shared" si="27"/>
        <v>0</v>
      </c>
    </row>
    <row r="31" spans="1:21">
      <c r="A31" s="998">
        <v>25</v>
      </c>
      <c r="B31" s="999" t="s">
        <v>119</v>
      </c>
      <c r="C31" s="1000">
        <f>'[2]ALL-Reformatted'!J30</f>
        <v>0</v>
      </c>
      <c r="D31" s="1001">
        <f>'Table 3 Levels 1&amp;2'!BN33+'Table 3 Levels 1&amp;2'!BV33</f>
        <v>3799.3890273447178</v>
      </c>
      <c r="E31" s="1101">
        <f t="shared" si="14"/>
        <v>0</v>
      </c>
      <c r="F31" s="1101">
        <f t="shared" si="17"/>
        <v>0</v>
      </c>
      <c r="G31" s="1055">
        <f t="shared" si="15"/>
        <v>0</v>
      </c>
      <c r="H31" s="1111">
        <f t="shared" si="18"/>
        <v>0</v>
      </c>
      <c r="I31" s="1055">
        <f t="shared" si="19"/>
        <v>0</v>
      </c>
      <c r="J31" s="1055"/>
      <c r="K31" s="1055">
        <f t="shared" si="20"/>
        <v>0</v>
      </c>
      <c r="L31" s="1055">
        <f t="shared" si="21"/>
        <v>0</v>
      </c>
      <c r="M31" s="1056">
        <f>'[18]FY2012-13 Final'!K32</f>
        <v>5351</v>
      </c>
      <c r="N31" s="1057">
        <f t="shared" si="16"/>
        <v>0</v>
      </c>
      <c r="O31" s="1119">
        <f t="shared" si="22"/>
        <v>0</v>
      </c>
      <c r="P31" s="1057">
        <f t="shared" si="23"/>
        <v>0</v>
      </c>
      <c r="Q31" s="1057"/>
      <c r="R31" s="1057">
        <f t="shared" si="24"/>
        <v>0</v>
      </c>
      <c r="S31" s="1057">
        <f t="shared" si="25"/>
        <v>0</v>
      </c>
      <c r="T31" s="1058">
        <f t="shared" si="26"/>
        <v>0</v>
      </c>
      <c r="U31" s="1058">
        <f t="shared" si="27"/>
        <v>0</v>
      </c>
    </row>
    <row r="32" spans="1:21">
      <c r="A32" s="987">
        <v>26</v>
      </c>
      <c r="B32" s="988" t="s">
        <v>120</v>
      </c>
      <c r="C32" s="989">
        <f>'[2]ALL-Reformatted'!J31</f>
        <v>0</v>
      </c>
      <c r="D32" s="990">
        <f>'Table 3 Levels 1&amp;2'!BN34+'Table 3 Levels 1&amp;2'!BV34</f>
        <v>3320.7842100822745</v>
      </c>
      <c r="E32" s="1099">
        <f t="shared" si="14"/>
        <v>0</v>
      </c>
      <c r="F32" s="1099">
        <f t="shared" si="17"/>
        <v>0</v>
      </c>
      <c r="G32" s="991">
        <f t="shared" si="15"/>
        <v>0</v>
      </c>
      <c r="H32" s="1109">
        <f t="shared" si="18"/>
        <v>0</v>
      </c>
      <c r="I32" s="991">
        <f t="shared" si="19"/>
        <v>0</v>
      </c>
      <c r="J32" s="991"/>
      <c r="K32" s="991">
        <f t="shared" si="20"/>
        <v>0</v>
      </c>
      <c r="L32" s="991">
        <f t="shared" si="21"/>
        <v>0</v>
      </c>
      <c r="M32" s="1051">
        <f>'[18]FY2012-13 Final'!K33</f>
        <v>5100</v>
      </c>
      <c r="N32" s="992">
        <f t="shared" si="16"/>
        <v>0</v>
      </c>
      <c r="O32" s="1117">
        <f t="shared" si="22"/>
        <v>0</v>
      </c>
      <c r="P32" s="992">
        <f t="shared" si="23"/>
        <v>0</v>
      </c>
      <c r="Q32" s="992"/>
      <c r="R32" s="992">
        <f t="shared" si="24"/>
        <v>0</v>
      </c>
      <c r="S32" s="992">
        <f t="shared" si="25"/>
        <v>0</v>
      </c>
      <c r="T32" s="993">
        <f t="shared" si="26"/>
        <v>0</v>
      </c>
      <c r="U32" s="993">
        <f t="shared" si="27"/>
        <v>0</v>
      </c>
    </row>
    <row r="33" spans="1:21">
      <c r="A33" s="994">
        <v>27</v>
      </c>
      <c r="B33" s="995" t="s">
        <v>121</v>
      </c>
      <c r="C33" s="1002">
        <f>'[2]ALL-Reformatted'!J32</f>
        <v>0</v>
      </c>
      <c r="D33" s="1003">
        <f>'Table 3 Levels 1&amp;2'!BN35+'Table 3 Levels 1&amp;2'!BV35</f>
        <v>5636.5919457972805</v>
      </c>
      <c r="E33" s="1102">
        <f t="shared" si="14"/>
        <v>0</v>
      </c>
      <c r="F33" s="1102">
        <f t="shared" si="17"/>
        <v>0</v>
      </c>
      <c r="G33" s="1059">
        <f t="shared" si="15"/>
        <v>0</v>
      </c>
      <c r="H33" s="1112">
        <f t="shared" si="18"/>
        <v>0</v>
      </c>
      <c r="I33" s="1059">
        <f t="shared" si="19"/>
        <v>0</v>
      </c>
      <c r="J33" s="1059"/>
      <c r="K33" s="1059">
        <f t="shared" si="20"/>
        <v>0</v>
      </c>
      <c r="L33" s="1059">
        <f t="shared" si="21"/>
        <v>0</v>
      </c>
      <c r="M33" s="1051">
        <f>'[18]FY2012-13 Final'!K34</f>
        <v>3091</v>
      </c>
      <c r="N33" s="1053">
        <f t="shared" si="16"/>
        <v>0</v>
      </c>
      <c r="O33" s="1118">
        <f t="shared" si="22"/>
        <v>0</v>
      </c>
      <c r="P33" s="1053">
        <f t="shared" si="23"/>
        <v>0</v>
      </c>
      <c r="Q33" s="1053"/>
      <c r="R33" s="1053">
        <f t="shared" si="24"/>
        <v>0</v>
      </c>
      <c r="S33" s="1053">
        <f t="shared" si="25"/>
        <v>0</v>
      </c>
      <c r="T33" s="1054">
        <f t="shared" si="26"/>
        <v>0</v>
      </c>
      <c r="U33" s="1054">
        <f t="shared" si="27"/>
        <v>0</v>
      </c>
    </row>
    <row r="34" spans="1:21">
      <c r="A34" s="994">
        <v>28</v>
      </c>
      <c r="B34" s="995" t="s">
        <v>122</v>
      </c>
      <c r="C34" s="1002">
        <f>'[2]ALL-Reformatted'!J33</f>
        <v>0</v>
      </c>
      <c r="D34" s="1003">
        <f>'Table 3 Levels 1&amp;2'!BN36+'Table 3 Levels 1&amp;2'!BV36</f>
        <v>3106.8056522508969</v>
      </c>
      <c r="E34" s="1102">
        <f t="shared" si="14"/>
        <v>0</v>
      </c>
      <c r="F34" s="1102">
        <f t="shared" si="17"/>
        <v>0</v>
      </c>
      <c r="G34" s="1059">
        <f t="shared" si="15"/>
        <v>0</v>
      </c>
      <c r="H34" s="1112">
        <f t="shared" si="18"/>
        <v>0</v>
      </c>
      <c r="I34" s="1059">
        <f t="shared" si="19"/>
        <v>0</v>
      </c>
      <c r="J34" s="1059"/>
      <c r="K34" s="1059">
        <f t="shared" si="20"/>
        <v>0</v>
      </c>
      <c r="L34" s="1059">
        <f t="shared" si="21"/>
        <v>0</v>
      </c>
      <c r="M34" s="1051">
        <f>'[18]FY2012-13 Final'!K35</f>
        <v>5323</v>
      </c>
      <c r="N34" s="1053">
        <f t="shared" si="16"/>
        <v>0</v>
      </c>
      <c r="O34" s="1118">
        <f t="shared" si="22"/>
        <v>0</v>
      </c>
      <c r="P34" s="1053">
        <f t="shared" si="23"/>
        <v>0</v>
      </c>
      <c r="Q34" s="1053"/>
      <c r="R34" s="1053">
        <f t="shared" si="24"/>
        <v>0</v>
      </c>
      <c r="S34" s="1053">
        <f t="shared" si="25"/>
        <v>0</v>
      </c>
      <c r="T34" s="1054">
        <f t="shared" si="26"/>
        <v>0</v>
      </c>
      <c r="U34" s="1054">
        <f t="shared" si="27"/>
        <v>0</v>
      </c>
    </row>
    <row r="35" spans="1:21">
      <c r="A35" s="994">
        <v>29</v>
      </c>
      <c r="B35" s="995" t="s">
        <v>123</v>
      </c>
      <c r="C35" s="1002">
        <f>'[2]ALL-Reformatted'!J34</f>
        <v>0</v>
      </c>
      <c r="D35" s="1003">
        <f>'Table 3 Levels 1&amp;2'!BN37+'Table 3 Levels 1&amp;2'!BV37</f>
        <v>3912.1846976122315</v>
      </c>
      <c r="E35" s="1102">
        <f t="shared" si="14"/>
        <v>0</v>
      </c>
      <c r="F35" s="1102">
        <f t="shared" si="17"/>
        <v>0</v>
      </c>
      <c r="G35" s="1059">
        <f t="shared" si="15"/>
        <v>0</v>
      </c>
      <c r="H35" s="1112">
        <f t="shared" si="18"/>
        <v>0</v>
      </c>
      <c r="I35" s="1059">
        <f t="shared" si="19"/>
        <v>0</v>
      </c>
      <c r="J35" s="1059"/>
      <c r="K35" s="1059">
        <f t="shared" si="20"/>
        <v>0</v>
      </c>
      <c r="L35" s="1059">
        <f t="shared" si="21"/>
        <v>0</v>
      </c>
      <c r="M35" s="1051">
        <f>'[18]FY2012-13 Final'!K36</f>
        <v>4388</v>
      </c>
      <c r="N35" s="1053">
        <f t="shared" si="16"/>
        <v>0</v>
      </c>
      <c r="O35" s="1118">
        <f t="shared" si="22"/>
        <v>0</v>
      </c>
      <c r="P35" s="1053">
        <f t="shared" si="23"/>
        <v>0</v>
      </c>
      <c r="Q35" s="1053"/>
      <c r="R35" s="1053">
        <f t="shared" si="24"/>
        <v>0</v>
      </c>
      <c r="S35" s="1053">
        <f t="shared" si="25"/>
        <v>0</v>
      </c>
      <c r="T35" s="1054">
        <f t="shared" si="26"/>
        <v>0</v>
      </c>
      <c r="U35" s="1054">
        <f t="shared" si="27"/>
        <v>0</v>
      </c>
    </row>
    <row r="36" spans="1:21">
      <c r="A36" s="998">
        <v>30</v>
      </c>
      <c r="B36" s="999" t="s">
        <v>124</v>
      </c>
      <c r="C36" s="1004">
        <f>'[2]ALL-Reformatted'!J35</f>
        <v>0</v>
      </c>
      <c r="D36" s="1005">
        <f>'Table 3 Levels 1&amp;2'!BN38+'Table 3 Levels 1&amp;2'!BV38</f>
        <v>5594.0091640611508</v>
      </c>
      <c r="E36" s="1103">
        <f t="shared" si="14"/>
        <v>0</v>
      </c>
      <c r="F36" s="1103">
        <f t="shared" si="17"/>
        <v>0</v>
      </c>
      <c r="G36" s="1060">
        <f t="shared" si="15"/>
        <v>0</v>
      </c>
      <c r="H36" s="1113">
        <f t="shared" si="18"/>
        <v>0</v>
      </c>
      <c r="I36" s="1060">
        <f t="shared" si="19"/>
        <v>0</v>
      </c>
      <c r="J36" s="1060"/>
      <c r="K36" s="1060">
        <f t="shared" si="20"/>
        <v>0</v>
      </c>
      <c r="L36" s="1060">
        <f t="shared" si="21"/>
        <v>0</v>
      </c>
      <c r="M36" s="1056">
        <f>'[18]FY2012-13 Final'!K37</f>
        <v>3702</v>
      </c>
      <c r="N36" s="1057">
        <f t="shared" si="16"/>
        <v>0</v>
      </c>
      <c r="O36" s="1119">
        <f t="shared" si="22"/>
        <v>0</v>
      </c>
      <c r="P36" s="1057">
        <f t="shared" si="23"/>
        <v>0</v>
      </c>
      <c r="Q36" s="1057"/>
      <c r="R36" s="1057">
        <f t="shared" si="24"/>
        <v>0</v>
      </c>
      <c r="S36" s="1057">
        <f t="shared" si="25"/>
        <v>0</v>
      </c>
      <c r="T36" s="1058">
        <f t="shared" si="26"/>
        <v>0</v>
      </c>
      <c r="U36" s="1058">
        <f t="shared" si="27"/>
        <v>0</v>
      </c>
    </row>
    <row r="37" spans="1:21">
      <c r="A37" s="987">
        <v>31</v>
      </c>
      <c r="B37" s="988" t="s">
        <v>125</v>
      </c>
      <c r="C37" s="1006">
        <f>'[2]ALL-Reformatted'!J36</f>
        <v>0</v>
      </c>
      <c r="D37" s="1007">
        <f>'Table 3 Levels 1&amp;2'!BN39+'Table 3 Levels 1&amp;2'!BV39</f>
        <v>4320.114188911979</v>
      </c>
      <c r="E37" s="1104">
        <f t="shared" si="14"/>
        <v>0</v>
      </c>
      <c r="F37" s="1104">
        <f t="shared" si="17"/>
        <v>0</v>
      </c>
      <c r="G37" s="1061">
        <f t="shared" si="15"/>
        <v>0</v>
      </c>
      <c r="H37" s="1114">
        <f t="shared" si="18"/>
        <v>0</v>
      </c>
      <c r="I37" s="1061">
        <f t="shared" si="19"/>
        <v>0</v>
      </c>
      <c r="J37" s="1061"/>
      <c r="K37" s="1061">
        <f t="shared" si="20"/>
        <v>0</v>
      </c>
      <c r="L37" s="1061">
        <f t="shared" si="21"/>
        <v>0</v>
      </c>
      <c r="M37" s="1051">
        <f>'[18]FY2012-13 Final'!K38</f>
        <v>4669</v>
      </c>
      <c r="N37" s="992">
        <f t="shared" si="16"/>
        <v>0</v>
      </c>
      <c r="O37" s="1117">
        <f t="shared" si="22"/>
        <v>0</v>
      </c>
      <c r="P37" s="992">
        <f t="shared" si="23"/>
        <v>0</v>
      </c>
      <c r="Q37" s="992"/>
      <c r="R37" s="992">
        <f t="shared" si="24"/>
        <v>0</v>
      </c>
      <c r="S37" s="992">
        <f t="shared" si="25"/>
        <v>0</v>
      </c>
      <c r="T37" s="993">
        <f t="shared" si="26"/>
        <v>0</v>
      </c>
      <c r="U37" s="993">
        <f t="shared" si="27"/>
        <v>0</v>
      </c>
    </row>
    <row r="38" spans="1:21">
      <c r="A38" s="994">
        <v>32</v>
      </c>
      <c r="B38" s="995" t="s">
        <v>126</v>
      </c>
      <c r="C38" s="1002">
        <f>'[2]ALL-Reformatted'!J37</f>
        <v>0</v>
      </c>
      <c r="D38" s="1003">
        <f>'Table 3 Levels 1&amp;2'!BN40+'Table 3 Levels 1&amp;2'!BV40</f>
        <v>5504.4479209353676</v>
      </c>
      <c r="E38" s="1102">
        <f t="shared" si="14"/>
        <v>0</v>
      </c>
      <c r="F38" s="1102">
        <f t="shared" si="17"/>
        <v>0</v>
      </c>
      <c r="G38" s="1059">
        <f t="shared" si="15"/>
        <v>0</v>
      </c>
      <c r="H38" s="1112">
        <f t="shared" si="18"/>
        <v>0</v>
      </c>
      <c r="I38" s="1059">
        <f t="shared" si="19"/>
        <v>0</v>
      </c>
      <c r="J38" s="1059"/>
      <c r="K38" s="1059">
        <f t="shared" si="20"/>
        <v>0</v>
      </c>
      <c r="L38" s="1059">
        <f t="shared" si="21"/>
        <v>0</v>
      </c>
      <c r="M38" s="1051">
        <f>'[18]FY2012-13 Final'!K39</f>
        <v>1965</v>
      </c>
      <c r="N38" s="1053">
        <f t="shared" si="16"/>
        <v>0</v>
      </c>
      <c r="O38" s="1118">
        <f t="shared" si="22"/>
        <v>0</v>
      </c>
      <c r="P38" s="1053">
        <f t="shared" si="23"/>
        <v>0</v>
      </c>
      <c r="Q38" s="1053"/>
      <c r="R38" s="1053">
        <f t="shared" si="24"/>
        <v>0</v>
      </c>
      <c r="S38" s="1053">
        <f t="shared" si="25"/>
        <v>0</v>
      </c>
      <c r="T38" s="1054">
        <f t="shared" si="26"/>
        <v>0</v>
      </c>
      <c r="U38" s="1054">
        <f t="shared" si="27"/>
        <v>0</v>
      </c>
    </row>
    <row r="39" spans="1:21">
      <c r="A39" s="994">
        <v>33</v>
      </c>
      <c r="B39" s="995" t="s">
        <v>127</v>
      </c>
      <c r="C39" s="1002">
        <f>'[2]ALL-Reformatted'!J38</f>
        <v>0</v>
      </c>
      <c r="D39" s="1003">
        <f>'Table 3 Levels 1&amp;2'!BN41+'Table 3 Levels 1&amp;2'!BV41</f>
        <v>5322.07272511876</v>
      </c>
      <c r="E39" s="1102">
        <f t="shared" ref="E39:E70" si="28">D39*C39</f>
        <v>0</v>
      </c>
      <c r="F39" s="1102">
        <f t="shared" si="17"/>
        <v>0</v>
      </c>
      <c r="G39" s="1059">
        <f t="shared" ref="G39:G70" si="29">E39+F39</f>
        <v>0</v>
      </c>
      <c r="H39" s="1112">
        <f t="shared" si="18"/>
        <v>0</v>
      </c>
      <c r="I39" s="1059">
        <f t="shared" si="19"/>
        <v>0</v>
      </c>
      <c r="J39" s="1059"/>
      <c r="K39" s="1059">
        <f t="shared" si="20"/>
        <v>0</v>
      </c>
      <c r="L39" s="1059">
        <f t="shared" si="21"/>
        <v>0</v>
      </c>
      <c r="M39" s="1051">
        <f>'[18]FY2012-13 Final'!K40</f>
        <v>2771</v>
      </c>
      <c r="N39" s="1053">
        <f t="shared" ref="N39:N70" si="30">M39*C39</f>
        <v>0</v>
      </c>
      <c r="O39" s="1118">
        <f t="shared" si="22"/>
        <v>0</v>
      </c>
      <c r="P39" s="1053">
        <f t="shared" si="23"/>
        <v>0</v>
      </c>
      <c r="Q39" s="1053"/>
      <c r="R39" s="1053">
        <f t="shared" si="24"/>
        <v>0</v>
      </c>
      <c r="S39" s="1053">
        <f t="shared" si="25"/>
        <v>0</v>
      </c>
      <c r="T39" s="1054">
        <f t="shared" si="26"/>
        <v>0</v>
      </c>
      <c r="U39" s="1054">
        <f t="shared" si="27"/>
        <v>0</v>
      </c>
    </row>
    <row r="40" spans="1:21">
      <c r="A40" s="994">
        <v>34</v>
      </c>
      <c r="B40" s="995" t="s">
        <v>128</v>
      </c>
      <c r="C40" s="1002">
        <f>'[2]ALL-Reformatted'!J39</f>
        <v>0</v>
      </c>
      <c r="D40" s="1003">
        <f>'Table 3 Levels 1&amp;2'!BN42+'Table 3 Levels 1&amp;2'!BV42</f>
        <v>5959.062840731639</v>
      </c>
      <c r="E40" s="1102">
        <f t="shared" si="28"/>
        <v>0</v>
      </c>
      <c r="F40" s="1102">
        <f t="shared" si="17"/>
        <v>0</v>
      </c>
      <c r="G40" s="1059">
        <f t="shared" si="29"/>
        <v>0</v>
      </c>
      <c r="H40" s="1112">
        <f t="shared" si="18"/>
        <v>0</v>
      </c>
      <c r="I40" s="1059">
        <f t="shared" si="19"/>
        <v>0</v>
      </c>
      <c r="J40" s="1059"/>
      <c r="K40" s="1059">
        <f t="shared" si="20"/>
        <v>0</v>
      </c>
      <c r="L40" s="1059">
        <f t="shared" si="21"/>
        <v>0</v>
      </c>
      <c r="M40" s="1051">
        <f>'[18]FY2012-13 Final'!K41</f>
        <v>2758</v>
      </c>
      <c r="N40" s="1053">
        <f t="shared" si="30"/>
        <v>0</v>
      </c>
      <c r="O40" s="1118">
        <f t="shared" si="22"/>
        <v>0</v>
      </c>
      <c r="P40" s="1053">
        <f t="shared" si="23"/>
        <v>0</v>
      </c>
      <c r="Q40" s="1053"/>
      <c r="R40" s="1053">
        <f t="shared" si="24"/>
        <v>0</v>
      </c>
      <c r="S40" s="1053">
        <f t="shared" si="25"/>
        <v>0</v>
      </c>
      <c r="T40" s="1054">
        <f t="shared" si="26"/>
        <v>0</v>
      </c>
      <c r="U40" s="1054">
        <f t="shared" si="27"/>
        <v>0</v>
      </c>
    </row>
    <row r="41" spans="1:21">
      <c r="A41" s="998">
        <v>35</v>
      </c>
      <c r="B41" s="999" t="s">
        <v>129</v>
      </c>
      <c r="C41" s="1004">
        <f>'[2]ALL-Reformatted'!J40</f>
        <v>0</v>
      </c>
      <c r="D41" s="1005">
        <f>'Table 3 Levels 1&amp;2'!BN43+'Table 3 Levels 1&amp;2'!BV43</f>
        <v>4571.947611490059</v>
      </c>
      <c r="E41" s="1103">
        <f t="shared" si="28"/>
        <v>0</v>
      </c>
      <c r="F41" s="1103">
        <f t="shared" si="17"/>
        <v>0</v>
      </c>
      <c r="G41" s="1060">
        <f t="shared" si="29"/>
        <v>0</v>
      </c>
      <c r="H41" s="1113">
        <f t="shared" si="18"/>
        <v>0</v>
      </c>
      <c r="I41" s="1060">
        <f t="shared" si="19"/>
        <v>0</v>
      </c>
      <c r="J41" s="1060"/>
      <c r="K41" s="1060">
        <f t="shared" si="20"/>
        <v>0</v>
      </c>
      <c r="L41" s="1060">
        <f t="shared" si="21"/>
        <v>0</v>
      </c>
      <c r="M41" s="1056">
        <f>'[18]FY2012-13 Final'!K42</f>
        <v>3603</v>
      </c>
      <c r="N41" s="1057">
        <f t="shared" si="30"/>
        <v>0</v>
      </c>
      <c r="O41" s="1119">
        <f t="shared" si="22"/>
        <v>0</v>
      </c>
      <c r="P41" s="1057">
        <f t="shared" si="23"/>
        <v>0</v>
      </c>
      <c r="Q41" s="1057"/>
      <c r="R41" s="1057">
        <f t="shared" si="24"/>
        <v>0</v>
      </c>
      <c r="S41" s="1057">
        <f t="shared" si="25"/>
        <v>0</v>
      </c>
      <c r="T41" s="1058">
        <f t="shared" si="26"/>
        <v>0</v>
      </c>
      <c r="U41" s="1058">
        <f t="shared" si="27"/>
        <v>0</v>
      </c>
    </row>
    <row r="42" spans="1:21">
      <c r="A42" s="987">
        <v>36</v>
      </c>
      <c r="B42" s="988" t="s">
        <v>130</v>
      </c>
      <c r="C42" s="1006">
        <f>'[2]ALL-Reformatted'!J41</f>
        <v>0</v>
      </c>
      <c r="D42" s="1007">
        <f>'Table 3 Levels 1&amp;2'!BN44+'Table 3 Levels 1&amp;2'!BV44</f>
        <v>3666.4136012725312</v>
      </c>
      <c r="E42" s="1104">
        <f t="shared" si="28"/>
        <v>0</v>
      </c>
      <c r="F42" s="1104">
        <f t="shared" si="17"/>
        <v>0</v>
      </c>
      <c r="G42" s="1061">
        <f t="shared" si="29"/>
        <v>0</v>
      </c>
      <c r="H42" s="1114">
        <f t="shared" si="18"/>
        <v>0</v>
      </c>
      <c r="I42" s="1061">
        <f t="shared" si="19"/>
        <v>0</v>
      </c>
      <c r="J42" s="1061"/>
      <c r="K42" s="1061">
        <f t="shared" si="20"/>
        <v>0</v>
      </c>
      <c r="L42" s="1061">
        <f t="shared" si="21"/>
        <v>0</v>
      </c>
      <c r="M42" s="1051">
        <f>'[18]FY2012-13 Final'!K43</f>
        <v>4601</v>
      </c>
      <c r="N42" s="992">
        <f t="shared" si="30"/>
        <v>0</v>
      </c>
      <c r="O42" s="1117">
        <f t="shared" si="22"/>
        <v>0</v>
      </c>
      <c r="P42" s="992">
        <f t="shared" si="23"/>
        <v>0</v>
      </c>
      <c r="Q42" s="992"/>
      <c r="R42" s="992">
        <f t="shared" si="24"/>
        <v>0</v>
      </c>
      <c r="S42" s="992">
        <f t="shared" si="25"/>
        <v>0</v>
      </c>
      <c r="T42" s="993">
        <f t="shared" si="26"/>
        <v>0</v>
      </c>
      <c r="U42" s="993">
        <f t="shared" si="27"/>
        <v>0</v>
      </c>
    </row>
    <row r="43" spans="1:21">
      <c r="A43" s="994">
        <v>37</v>
      </c>
      <c r="B43" s="995" t="s">
        <v>131</v>
      </c>
      <c r="C43" s="1002">
        <f>'[2]ALL-Reformatted'!J42</f>
        <v>0</v>
      </c>
      <c r="D43" s="1003">
        <f>'Table 3 Levels 1&amp;2'!BN45+'Table 3 Levels 1&amp;2'!BV45</f>
        <v>5484.8089042263191</v>
      </c>
      <c r="E43" s="1102">
        <f t="shared" si="28"/>
        <v>0</v>
      </c>
      <c r="F43" s="1102">
        <f t="shared" si="17"/>
        <v>0</v>
      </c>
      <c r="G43" s="1059">
        <f t="shared" si="29"/>
        <v>0</v>
      </c>
      <c r="H43" s="1112">
        <f t="shared" si="18"/>
        <v>0</v>
      </c>
      <c r="I43" s="1059">
        <f t="shared" si="19"/>
        <v>0</v>
      </c>
      <c r="J43" s="1059"/>
      <c r="K43" s="1059">
        <f t="shared" si="20"/>
        <v>0</v>
      </c>
      <c r="L43" s="1059">
        <f t="shared" si="21"/>
        <v>0</v>
      </c>
      <c r="M43" s="1051">
        <f>'[18]FY2012-13 Final'!K44</f>
        <v>3099</v>
      </c>
      <c r="N43" s="1053">
        <f t="shared" si="30"/>
        <v>0</v>
      </c>
      <c r="O43" s="1118">
        <f t="shared" si="22"/>
        <v>0</v>
      </c>
      <c r="P43" s="1053">
        <f t="shared" si="23"/>
        <v>0</v>
      </c>
      <c r="Q43" s="1053"/>
      <c r="R43" s="1053">
        <f t="shared" si="24"/>
        <v>0</v>
      </c>
      <c r="S43" s="1053">
        <f t="shared" si="25"/>
        <v>0</v>
      </c>
      <c r="T43" s="1054">
        <f t="shared" si="26"/>
        <v>0</v>
      </c>
      <c r="U43" s="1054">
        <f t="shared" si="27"/>
        <v>0</v>
      </c>
    </row>
    <row r="44" spans="1:21">
      <c r="A44" s="994">
        <v>38</v>
      </c>
      <c r="B44" s="995" t="s">
        <v>132</v>
      </c>
      <c r="C44" s="1002">
        <f>'[2]ALL-Reformatted'!J43</f>
        <v>0</v>
      </c>
      <c r="D44" s="1003">
        <f>'Table 3 Levels 1&amp;2'!BN46+'Table 3 Levels 1&amp;2'!BV46</f>
        <v>2078.5917829727841</v>
      </c>
      <c r="E44" s="1102">
        <f t="shared" si="28"/>
        <v>0</v>
      </c>
      <c r="F44" s="1102">
        <f t="shared" si="17"/>
        <v>0</v>
      </c>
      <c r="G44" s="1059">
        <f t="shared" si="29"/>
        <v>0</v>
      </c>
      <c r="H44" s="1112">
        <f t="shared" si="18"/>
        <v>0</v>
      </c>
      <c r="I44" s="1059">
        <f t="shared" si="19"/>
        <v>0</v>
      </c>
      <c r="J44" s="1059"/>
      <c r="K44" s="1059">
        <f t="shared" si="20"/>
        <v>0</v>
      </c>
      <c r="L44" s="1059">
        <f t="shared" si="21"/>
        <v>0</v>
      </c>
      <c r="M44" s="1051">
        <f>'[18]FY2012-13 Final'!K45</f>
        <v>9674</v>
      </c>
      <c r="N44" s="1053">
        <f t="shared" si="30"/>
        <v>0</v>
      </c>
      <c r="O44" s="1118">
        <f t="shared" si="22"/>
        <v>0</v>
      </c>
      <c r="P44" s="1053">
        <f t="shared" si="23"/>
        <v>0</v>
      </c>
      <c r="Q44" s="1053"/>
      <c r="R44" s="1053">
        <f t="shared" si="24"/>
        <v>0</v>
      </c>
      <c r="S44" s="1053">
        <f t="shared" si="25"/>
        <v>0</v>
      </c>
      <c r="T44" s="1054">
        <f t="shared" si="26"/>
        <v>0</v>
      </c>
      <c r="U44" s="1054">
        <f t="shared" si="27"/>
        <v>0</v>
      </c>
    </row>
    <row r="45" spans="1:21">
      <c r="A45" s="994">
        <v>39</v>
      </c>
      <c r="B45" s="995" t="s">
        <v>133</v>
      </c>
      <c r="C45" s="1002">
        <f>'[2]ALL-Reformatted'!J44</f>
        <v>1</v>
      </c>
      <c r="D45" s="1003">
        <f>'Table 3 Levels 1&amp;2'!BN47+'Table 3 Levels 1&amp;2'!BV47</f>
        <v>3622.4878999042335</v>
      </c>
      <c r="E45" s="1102">
        <f t="shared" si="28"/>
        <v>3622.4878999042335</v>
      </c>
      <c r="F45" s="1102">
        <f t="shared" si="17"/>
        <v>536.12413544332276</v>
      </c>
      <c r="G45" s="1059">
        <f t="shared" si="29"/>
        <v>4158.6120353475562</v>
      </c>
      <c r="H45" s="1112">
        <f t="shared" si="18"/>
        <v>-10.396530088368891</v>
      </c>
      <c r="I45" s="1059">
        <f t="shared" si="19"/>
        <v>4148.215505259187</v>
      </c>
      <c r="J45" s="1059"/>
      <c r="K45" s="1059">
        <f t="shared" si="20"/>
        <v>4148.215505259187</v>
      </c>
      <c r="L45" s="1059">
        <f t="shared" si="21"/>
        <v>346</v>
      </c>
      <c r="M45" s="1051">
        <f>'[18]FY2012-13 Final'!K46</f>
        <v>4277</v>
      </c>
      <c r="N45" s="1053">
        <f t="shared" si="30"/>
        <v>4277</v>
      </c>
      <c r="O45" s="1118">
        <f t="shared" si="22"/>
        <v>-10.692500000000001</v>
      </c>
      <c r="P45" s="1053">
        <f t="shared" si="23"/>
        <v>4266.3074999999999</v>
      </c>
      <c r="Q45" s="1053"/>
      <c r="R45" s="1053">
        <f t="shared" si="24"/>
        <v>4266.3074999999999</v>
      </c>
      <c r="S45" s="1053">
        <f t="shared" si="25"/>
        <v>356</v>
      </c>
      <c r="T45" s="1054">
        <f t="shared" si="26"/>
        <v>8414.5230052591869</v>
      </c>
      <c r="U45" s="1054">
        <f t="shared" si="27"/>
        <v>702</v>
      </c>
    </row>
    <row r="46" spans="1:21">
      <c r="A46" s="998">
        <v>40</v>
      </c>
      <c r="B46" s="999" t="s">
        <v>134</v>
      </c>
      <c r="C46" s="1004">
        <f>'[2]ALL-Reformatted'!J45</f>
        <v>4</v>
      </c>
      <c r="D46" s="1005">
        <f>'Table 3 Levels 1&amp;2'!BN48+'Table 3 Levels 1&amp;2'!BV48</f>
        <v>4885.6387343180086</v>
      </c>
      <c r="E46" s="1103">
        <f t="shared" si="28"/>
        <v>19542.554937272034</v>
      </c>
      <c r="F46" s="1103">
        <f t="shared" si="17"/>
        <v>2144.496541773291</v>
      </c>
      <c r="G46" s="1060">
        <f t="shared" si="29"/>
        <v>21687.051479045324</v>
      </c>
      <c r="H46" s="1113">
        <f t="shared" si="18"/>
        <v>-54.217628697613307</v>
      </c>
      <c r="I46" s="1060">
        <f t="shared" si="19"/>
        <v>21632.83385034771</v>
      </c>
      <c r="J46" s="1060"/>
      <c r="K46" s="1060">
        <f t="shared" si="20"/>
        <v>21632.83385034771</v>
      </c>
      <c r="L46" s="1060">
        <f t="shared" si="21"/>
        <v>1803</v>
      </c>
      <c r="M46" s="1056">
        <f>'[18]FY2012-13 Final'!K47</f>
        <v>2921</v>
      </c>
      <c r="N46" s="1057">
        <f t="shared" si="30"/>
        <v>11684</v>
      </c>
      <c r="O46" s="1119">
        <f t="shared" si="22"/>
        <v>-29.21</v>
      </c>
      <c r="P46" s="1057">
        <f t="shared" si="23"/>
        <v>11654.79</v>
      </c>
      <c r="Q46" s="1057"/>
      <c r="R46" s="1057">
        <f t="shared" si="24"/>
        <v>11654.79</v>
      </c>
      <c r="S46" s="1057">
        <f t="shared" si="25"/>
        <v>971</v>
      </c>
      <c r="T46" s="1058">
        <f t="shared" si="26"/>
        <v>33287.623850347707</v>
      </c>
      <c r="U46" s="1058">
        <f t="shared" si="27"/>
        <v>2774</v>
      </c>
    </row>
    <row r="47" spans="1:21">
      <c r="A47" s="987">
        <v>41</v>
      </c>
      <c r="B47" s="988" t="s">
        <v>135</v>
      </c>
      <c r="C47" s="1006">
        <f>'[2]ALL-Reformatted'!J46</f>
        <v>0</v>
      </c>
      <c r="D47" s="1007">
        <f>'Table 3 Levels 1&amp;2'!BN49+'Table 3 Levels 1&amp;2'!BV49</f>
        <v>1602.0398121899364</v>
      </c>
      <c r="E47" s="1104">
        <f t="shared" si="28"/>
        <v>0</v>
      </c>
      <c r="F47" s="1104">
        <f t="shared" si="17"/>
        <v>0</v>
      </c>
      <c r="G47" s="1061">
        <f t="shared" si="29"/>
        <v>0</v>
      </c>
      <c r="H47" s="1114">
        <f t="shared" si="18"/>
        <v>0</v>
      </c>
      <c r="I47" s="1061">
        <f t="shared" si="19"/>
        <v>0</v>
      </c>
      <c r="J47" s="1061"/>
      <c r="K47" s="1061">
        <f t="shared" si="20"/>
        <v>0</v>
      </c>
      <c r="L47" s="1061">
        <f t="shared" si="21"/>
        <v>0</v>
      </c>
      <c r="M47" s="1051">
        <f>'[18]FY2012-13 Final'!K48</f>
        <v>12026</v>
      </c>
      <c r="N47" s="992">
        <f t="shared" si="30"/>
        <v>0</v>
      </c>
      <c r="O47" s="1117">
        <f t="shared" si="22"/>
        <v>0</v>
      </c>
      <c r="P47" s="992">
        <f t="shared" si="23"/>
        <v>0</v>
      </c>
      <c r="Q47" s="992"/>
      <c r="R47" s="992">
        <f t="shared" si="24"/>
        <v>0</v>
      </c>
      <c r="S47" s="992">
        <f t="shared" si="25"/>
        <v>0</v>
      </c>
      <c r="T47" s="993">
        <f t="shared" si="26"/>
        <v>0</v>
      </c>
      <c r="U47" s="993">
        <f t="shared" si="27"/>
        <v>0</v>
      </c>
    </row>
    <row r="48" spans="1:21">
      <c r="A48" s="994">
        <v>42</v>
      </c>
      <c r="B48" s="995" t="s">
        <v>136</v>
      </c>
      <c r="C48" s="1002">
        <f>'[2]ALL-Reformatted'!J47</f>
        <v>0</v>
      </c>
      <c r="D48" s="1003">
        <f>'Table 3 Levels 1&amp;2'!BN50+'Table 3 Levels 1&amp;2'!BV50</f>
        <v>5098.6172346404755</v>
      </c>
      <c r="E48" s="1102">
        <f t="shared" si="28"/>
        <v>0</v>
      </c>
      <c r="F48" s="1102">
        <f t="shared" si="17"/>
        <v>0</v>
      </c>
      <c r="G48" s="1059">
        <f t="shared" si="29"/>
        <v>0</v>
      </c>
      <c r="H48" s="1112">
        <f t="shared" si="18"/>
        <v>0</v>
      </c>
      <c r="I48" s="1059">
        <f t="shared" si="19"/>
        <v>0</v>
      </c>
      <c r="J48" s="1059"/>
      <c r="K48" s="1059">
        <f t="shared" si="20"/>
        <v>0</v>
      </c>
      <c r="L48" s="1059">
        <f t="shared" si="21"/>
        <v>0</v>
      </c>
      <c r="M48" s="1051">
        <f>'[18]FY2012-13 Final'!K49</f>
        <v>2554</v>
      </c>
      <c r="N48" s="1053">
        <f t="shared" si="30"/>
        <v>0</v>
      </c>
      <c r="O48" s="1118">
        <f t="shared" si="22"/>
        <v>0</v>
      </c>
      <c r="P48" s="1053">
        <f t="shared" si="23"/>
        <v>0</v>
      </c>
      <c r="Q48" s="1053"/>
      <c r="R48" s="1053">
        <f t="shared" si="24"/>
        <v>0</v>
      </c>
      <c r="S48" s="1053">
        <f t="shared" si="25"/>
        <v>0</v>
      </c>
      <c r="T48" s="1054">
        <f t="shared" si="26"/>
        <v>0</v>
      </c>
      <c r="U48" s="1054">
        <f t="shared" si="27"/>
        <v>0</v>
      </c>
    </row>
    <row r="49" spans="1:21">
      <c r="A49" s="994">
        <v>43</v>
      </c>
      <c r="B49" s="995" t="s">
        <v>137</v>
      </c>
      <c r="C49" s="1002">
        <f>'[2]ALL-Reformatted'!J48</f>
        <v>0</v>
      </c>
      <c r="D49" s="1003">
        <f>'Table 3 Levels 1&amp;2'!BN51+'Table 3 Levels 1&amp;2'!BV51</f>
        <v>4701.3362575004667</v>
      </c>
      <c r="E49" s="1102">
        <f t="shared" si="28"/>
        <v>0</v>
      </c>
      <c r="F49" s="1102">
        <f t="shared" si="17"/>
        <v>0</v>
      </c>
      <c r="G49" s="1059">
        <f t="shared" si="29"/>
        <v>0</v>
      </c>
      <c r="H49" s="1112">
        <f t="shared" si="18"/>
        <v>0</v>
      </c>
      <c r="I49" s="1059">
        <f t="shared" si="19"/>
        <v>0</v>
      </c>
      <c r="J49" s="1059"/>
      <c r="K49" s="1059">
        <f t="shared" si="20"/>
        <v>0</v>
      </c>
      <c r="L49" s="1059">
        <f t="shared" si="21"/>
        <v>0</v>
      </c>
      <c r="M49" s="1051">
        <f>'[18]FY2012-13 Final'!K50</f>
        <v>5265</v>
      </c>
      <c r="N49" s="1053">
        <f t="shared" si="30"/>
        <v>0</v>
      </c>
      <c r="O49" s="1118">
        <f t="shared" si="22"/>
        <v>0</v>
      </c>
      <c r="P49" s="1053">
        <f t="shared" si="23"/>
        <v>0</v>
      </c>
      <c r="Q49" s="1053"/>
      <c r="R49" s="1053">
        <f t="shared" si="24"/>
        <v>0</v>
      </c>
      <c r="S49" s="1053">
        <f t="shared" si="25"/>
        <v>0</v>
      </c>
      <c r="T49" s="1054">
        <f t="shared" si="26"/>
        <v>0</v>
      </c>
      <c r="U49" s="1054">
        <f t="shared" si="27"/>
        <v>0</v>
      </c>
    </row>
    <row r="50" spans="1:21">
      <c r="A50" s="994">
        <v>44</v>
      </c>
      <c r="B50" s="995" t="s">
        <v>138</v>
      </c>
      <c r="C50" s="1002">
        <f>'[2]ALL-Reformatted'!J49</f>
        <v>0</v>
      </c>
      <c r="D50" s="1003">
        <f>'Table 3 Levels 1&amp;2'!BN52+'Table 3 Levels 1&amp;2'!BV52</f>
        <v>4649.5559521248724</v>
      </c>
      <c r="E50" s="1102">
        <f t="shared" si="28"/>
        <v>0</v>
      </c>
      <c r="F50" s="1102">
        <f t="shared" si="17"/>
        <v>0</v>
      </c>
      <c r="G50" s="1059">
        <f t="shared" si="29"/>
        <v>0</v>
      </c>
      <c r="H50" s="1112">
        <f t="shared" si="18"/>
        <v>0</v>
      </c>
      <c r="I50" s="1059">
        <f t="shared" si="19"/>
        <v>0</v>
      </c>
      <c r="J50" s="1059"/>
      <c r="K50" s="1059">
        <f t="shared" si="20"/>
        <v>0</v>
      </c>
      <c r="L50" s="1059">
        <f t="shared" si="21"/>
        <v>0</v>
      </c>
      <c r="M50" s="1051">
        <f>'[18]FY2012-13 Final'!K51</f>
        <v>4109</v>
      </c>
      <c r="N50" s="1053">
        <f t="shared" si="30"/>
        <v>0</v>
      </c>
      <c r="O50" s="1118">
        <f t="shared" si="22"/>
        <v>0</v>
      </c>
      <c r="P50" s="1053">
        <f t="shared" si="23"/>
        <v>0</v>
      </c>
      <c r="Q50" s="1053"/>
      <c r="R50" s="1053">
        <f t="shared" si="24"/>
        <v>0</v>
      </c>
      <c r="S50" s="1053">
        <f t="shared" si="25"/>
        <v>0</v>
      </c>
      <c r="T50" s="1054">
        <f t="shared" si="26"/>
        <v>0</v>
      </c>
      <c r="U50" s="1054">
        <f t="shared" si="27"/>
        <v>0</v>
      </c>
    </row>
    <row r="51" spans="1:21">
      <c r="A51" s="998">
        <v>45</v>
      </c>
      <c r="B51" s="999" t="s">
        <v>139</v>
      </c>
      <c r="C51" s="1004">
        <f>'[2]ALL-Reformatted'!J50</f>
        <v>0</v>
      </c>
      <c r="D51" s="1005">
        <f>'Table 3 Levels 1&amp;2'!BN53+'Table 3 Levels 1&amp;2'!BV53</f>
        <v>2159.257884231537</v>
      </c>
      <c r="E51" s="1103">
        <f t="shared" si="28"/>
        <v>0</v>
      </c>
      <c r="F51" s="1103">
        <f t="shared" si="17"/>
        <v>0</v>
      </c>
      <c r="G51" s="1060">
        <f t="shared" si="29"/>
        <v>0</v>
      </c>
      <c r="H51" s="1113">
        <f t="shared" si="18"/>
        <v>0</v>
      </c>
      <c r="I51" s="1060">
        <f t="shared" si="19"/>
        <v>0</v>
      </c>
      <c r="J51" s="1060"/>
      <c r="K51" s="1060">
        <f t="shared" si="20"/>
        <v>0</v>
      </c>
      <c r="L51" s="1060">
        <f t="shared" si="21"/>
        <v>0</v>
      </c>
      <c r="M51" s="1056">
        <f>'[18]FY2012-13 Final'!K52</f>
        <v>12427</v>
      </c>
      <c r="N51" s="1057">
        <f t="shared" si="30"/>
        <v>0</v>
      </c>
      <c r="O51" s="1119">
        <f t="shared" si="22"/>
        <v>0</v>
      </c>
      <c r="P51" s="1057">
        <f t="shared" si="23"/>
        <v>0</v>
      </c>
      <c r="Q51" s="1057"/>
      <c r="R51" s="1057">
        <f t="shared" si="24"/>
        <v>0</v>
      </c>
      <c r="S51" s="1057">
        <f t="shared" si="25"/>
        <v>0</v>
      </c>
      <c r="T51" s="1058">
        <f t="shared" si="26"/>
        <v>0</v>
      </c>
      <c r="U51" s="1058">
        <f t="shared" si="27"/>
        <v>0</v>
      </c>
    </row>
    <row r="52" spans="1:21">
      <c r="A52" s="987">
        <v>46</v>
      </c>
      <c r="B52" s="988" t="s">
        <v>140</v>
      </c>
      <c r="C52" s="1006">
        <f>'[2]ALL-Reformatted'!J51</f>
        <v>0</v>
      </c>
      <c r="D52" s="1007">
        <f>'Table 3 Levels 1&amp;2'!BN54+'Table 3 Levels 1&amp;2'!BV54</f>
        <v>5578.7258135108641</v>
      </c>
      <c r="E52" s="1104">
        <f t="shared" si="28"/>
        <v>0</v>
      </c>
      <c r="F52" s="1104">
        <f t="shared" si="17"/>
        <v>0</v>
      </c>
      <c r="G52" s="1061">
        <f t="shared" si="29"/>
        <v>0</v>
      </c>
      <c r="H52" s="1114">
        <f t="shared" si="18"/>
        <v>0</v>
      </c>
      <c r="I52" s="1061">
        <f t="shared" si="19"/>
        <v>0</v>
      </c>
      <c r="J52" s="1061"/>
      <c r="K52" s="1061">
        <f t="shared" si="20"/>
        <v>0</v>
      </c>
      <c r="L52" s="1061">
        <f t="shared" si="21"/>
        <v>0</v>
      </c>
      <c r="M52" s="1051">
        <f>'[18]FY2012-13 Final'!K53</f>
        <v>1968</v>
      </c>
      <c r="N52" s="992">
        <f t="shared" si="30"/>
        <v>0</v>
      </c>
      <c r="O52" s="1117">
        <f t="shared" si="22"/>
        <v>0</v>
      </c>
      <c r="P52" s="992">
        <f t="shared" si="23"/>
        <v>0</v>
      </c>
      <c r="Q52" s="992"/>
      <c r="R52" s="992">
        <f t="shared" si="24"/>
        <v>0</v>
      </c>
      <c r="S52" s="992">
        <f t="shared" si="25"/>
        <v>0</v>
      </c>
      <c r="T52" s="993">
        <f t="shared" si="26"/>
        <v>0</v>
      </c>
      <c r="U52" s="993">
        <f t="shared" si="27"/>
        <v>0</v>
      </c>
    </row>
    <row r="53" spans="1:21">
      <c r="A53" s="994">
        <v>47</v>
      </c>
      <c r="B53" s="995" t="s">
        <v>141</v>
      </c>
      <c r="C53" s="1002">
        <f>'[2]ALL-Reformatted'!J52</f>
        <v>0</v>
      </c>
      <c r="D53" s="1003">
        <f>'Table 3 Levels 1&amp;2'!BN55+'Table 3 Levels 1&amp;2'!BV55</f>
        <v>2709.058014721415</v>
      </c>
      <c r="E53" s="1102">
        <f t="shared" si="28"/>
        <v>0</v>
      </c>
      <c r="F53" s="1102">
        <f t="shared" si="17"/>
        <v>0</v>
      </c>
      <c r="G53" s="1059">
        <f t="shared" si="29"/>
        <v>0</v>
      </c>
      <c r="H53" s="1112">
        <f t="shared" si="18"/>
        <v>0</v>
      </c>
      <c r="I53" s="1059">
        <f t="shared" si="19"/>
        <v>0</v>
      </c>
      <c r="J53" s="1059"/>
      <c r="K53" s="1059">
        <f t="shared" si="20"/>
        <v>0</v>
      </c>
      <c r="L53" s="1059">
        <f t="shared" si="21"/>
        <v>0</v>
      </c>
      <c r="M53" s="1051">
        <f>'[18]FY2012-13 Final'!K54</f>
        <v>10049</v>
      </c>
      <c r="N53" s="1053">
        <f t="shared" si="30"/>
        <v>0</v>
      </c>
      <c r="O53" s="1118">
        <f t="shared" si="22"/>
        <v>0</v>
      </c>
      <c r="P53" s="1053">
        <f t="shared" si="23"/>
        <v>0</v>
      </c>
      <c r="Q53" s="1053"/>
      <c r="R53" s="1053">
        <f t="shared" si="24"/>
        <v>0</v>
      </c>
      <c r="S53" s="1053">
        <f t="shared" si="25"/>
        <v>0</v>
      </c>
      <c r="T53" s="1054">
        <f t="shared" si="26"/>
        <v>0</v>
      </c>
      <c r="U53" s="1054">
        <f t="shared" si="27"/>
        <v>0</v>
      </c>
    </row>
    <row r="54" spans="1:21">
      <c r="A54" s="994">
        <v>48</v>
      </c>
      <c r="B54" s="995" t="s">
        <v>202</v>
      </c>
      <c r="C54" s="1002">
        <f>'[2]ALL-Reformatted'!J53</f>
        <v>0</v>
      </c>
      <c r="D54" s="1003">
        <f>'Table 3 Levels 1&amp;2'!BN56+'Table 3 Levels 1&amp;2'!BV56</f>
        <v>4259.4136153508553</v>
      </c>
      <c r="E54" s="1102">
        <f t="shared" si="28"/>
        <v>0</v>
      </c>
      <c r="F54" s="1102">
        <f t="shared" si="17"/>
        <v>0</v>
      </c>
      <c r="G54" s="1059">
        <f t="shared" si="29"/>
        <v>0</v>
      </c>
      <c r="H54" s="1112">
        <f t="shared" si="18"/>
        <v>0</v>
      </c>
      <c r="I54" s="1059">
        <f t="shared" si="19"/>
        <v>0</v>
      </c>
      <c r="J54" s="1059"/>
      <c r="K54" s="1059">
        <f t="shared" si="20"/>
        <v>0</v>
      </c>
      <c r="L54" s="1059">
        <f t="shared" si="21"/>
        <v>0</v>
      </c>
      <c r="M54" s="1051">
        <f>'[18]FY2012-13 Final'!K55</f>
        <v>5755</v>
      </c>
      <c r="N54" s="1053">
        <f t="shared" si="30"/>
        <v>0</v>
      </c>
      <c r="O54" s="1118">
        <f t="shared" si="22"/>
        <v>0</v>
      </c>
      <c r="P54" s="1053">
        <f t="shared" si="23"/>
        <v>0</v>
      </c>
      <c r="Q54" s="1053"/>
      <c r="R54" s="1053">
        <f t="shared" si="24"/>
        <v>0</v>
      </c>
      <c r="S54" s="1053">
        <f t="shared" si="25"/>
        <v>0</v>
      </c>
      <c r="T54" s="1054">
        <f t="shared" si="26"/>
        <v>0</v>
      </c>
      <c r="U54" s="1054">
        <f t="shared" si="27"/>
        <v>0</v>
      </c>
    </row>
    <row r="55" spans="1:21">
      <c r="A55" s="994">
        <v>49</v>
      </c>
      <c r="B55" s="995" t="s">
        <v>142</v>
      </c>
      <c r="C55" s="1002">
        <f>'[2]ALL-Reformatted'!J54</f>
        <v>2</v>
      </c>
      <c r="D55" s="1003">
        <f>'Table 3 Levels 1&amp;2'!BN57+'Table 3 Levels 1&amp;2'!BV57</f>
        <v>4790.0513947378495</v>
      </c>
      <c r="E55" s="1102">
        <f t="shared" si="28"/>
        <v>9580.102789475699</v>
      </c>
      <c r="F55" s="1102">
        <f t="shared" si="17"/>
        <v>1072.2482708866455</v>
      </c>
      <c r="G55" s="1059">
        <f t="shared" si="29"/>
        <v>10652.351060362344</v>
      </c>
      <c r="H55" s="1112">
        <f t="shared" si="18"/>
        <v>-26.630877650905859</v>
      </c>
      <c r="I55" s="1059">
        <f t="shared" si="19"/>
        <v>10625.720182711437</v>
      </c>
      <c r="J55" s="1059"/>
      <c r="K55" s="1059">
        <f t="shared" si="20"/>
        <v>10625.720182711437</v>
      </c>
      <c r="L55" s="1059">
        <f t="shared" si="21"/>
        <v>885</v>
      </c>
      <c r="M55" s="1051">
        <f>'[18]FY2012-13 Final'!K56</f>
        <v>2335</v>
      </c>
      <c r="N55" s="1053">
        <f t="shared" si="30"/>
        <v>4670</v>
      </c>
      <c r="O55" s="1118">
        <f t="shared" si="22"/>
        <v>-11.675000000000001</v>
      </c>
      <c r="P55" s="1053">
        <f t="shared" si="23"/>
        <v>4658.3249999999998</v>
      </c>
      <c r="Q55" s="1053"/>
      <c r="R55" s="1053">
        <f t="shared" si="24"/>
        <v>4658.3249999999998</v>
      </c>
      <c r="S55" s="1053">
        <f t="shared" si="25"/>
        <v>388</v>
      </c>
      <c r="T55" s="1054">
        <f t="shared" si="26"/>
        <v>15284.045182711438</v>
      </c>
      <c r="U55" s="1054">
        <f t="shared" si="27"/>
        <v>1273</v>
      </c>
    </row>
    <row r="56" spans="1:21">
      <c r="A56" s="998">
        <v>50</v>
      </c>
      <c r="B56" s="999" t="s">
        <v>143</v>
      </c>
      <c r="C56" s="1004">
        <f>'[2]ALL-Reformatted'!J55</f>
        <v>0</v>
      </c>
      <c r="D56" s="1005">
        <f>'Table 3 Levels 1&amp;2'!BN58+'Table 3 Levels 1&amp;2'!BV58</f>
        <v>4954.3375045905796</v>
      </c>
      <c r="E56" s="1103">
        <f t="shared" si="28"/>
        <v>0</v>
      </c>
      <c r="F56" s="1103">
        <f t="shared" si="17"/>
        <v>0</v>
      </c>
      <c r="G56" s="1060">
        <f t="shared" si="29"/>
        <v>0</v>
      </c>
      <c r="H56" s="1113">
        <f t="shared" si="18"/>
        <v>0</v>
      </c>
      <c r="I56" s="1060">
        <f t="shared" si="19"/>
        <v>0</v>
      </c>
      <c r="J56" s="1060"/>
      <c r="K56" s="1060">
        <f t="shared" si="20"/>
        <v>0</v>
      </c>
      <c r="L56" s="1060">
        <f t="shared" si="21"/>
        <v>0</v>
      </c>
      <c r="M56" s="1056">
        <f>'[18]FY2012-13 Final'!K57</f>
        <v>2801</v>
      </c>
      <c r="N56" s="1057">
        <f t="shared" si="30"/>
        <v>0</v>
      </c>
      <c r="O56" s="1119">
        <f t="shared" si="22"/>
        <v>0</v>
      </c>
      <c r="P56" s="1057">
        <f t="shared" si="23"/>
        <v>0</v>
      </c>
      <c r="Q56" s="1057"/>
      <c r="R56" s="1057">
        <f t="shared" si="24"/>
        <v>0</v>
      </c>
      <c r="S56" s="1057">
        <f t="shared" si="25"/>
        <v>0</v>
      </c>
      <c r="T56" s="1058">
        <f t="shared" si="26"/>
        <v>0</v>
      </c>
      <c r="U56" s="1058">
        <f t="shared" si="27"/>
        <v>0</v>
      </c>
    </row>
    <row r="57" spans="1:21">
      <c r="A57" s="987">
        <v>51</v>
      </c>
      <c r="B57" s="988" t="s">
        <v>144</v>
      </c>
      <c r="C57" s="1006">
        <f>'[2]ALL-Reformatted'!J56</f>
        <v>0</v>
      </c>
      <c r="D57" s="1007">
        <f>'Table 3 Levels 1&amp;2'!BN59+'Table 3 Levels 1&amp;2'!BV59</f>
        <v>4290.3461727150461</v>
      </c>
      <c r="E57" s="1104">
        <f t="shared" si="28"/>
        <v>0</v>
      </c>
      <c r="F57" s="1104">
        <f t="shared" si="17"/>
        <v>0</v>
      </c>
      <c r="G57" s="1061">
        <f t="shared" si="29"/>
        <v>0</v>
      </c>
      <c r="H57" s="1114">
        <f t="shared" si="18"/>
        <v>0</v>
      </c>
      <c r="I57" s="1061">
        <f t="shared" si="19"/>
        <v>0</v>
      </c>
      <c r="J57" s="1061"/>
      <c r="K57" s="1061">
        <f t="shared" si="20"/>
        <v>0</v>
      </c>
      <c r="L57" s="1061">
        <f t="shared" si="21"/>
        <v>0</v>
      </c>
      <c r="M57" s="1051">
        <f>'[18]FY2012-13 Final'!K58</f>
        <v>4053</v>
      </c>
      <c r="N57" s="992">
        <f t="shared" si="30"/>
        <v>0</v>
      </c>
      <c r="O57" s="1117">
        <f t="shared" si="22"/>
        <v>0</v>
      </c>
      <c r="P57" s="992">
        <f t="shared" si="23"/>
        <v>0</v>
      </c>
      <c r="Q57" s="992"/>
      <c r="R57" s="992">
        <f t="shared" si="24"/>
        <v>0</v>
      </c>
      <c r="S57" s="992">
        <f t="shared" si="25"/>
        <v>0</v>
      </c>
      <c r="T57" s="993">
        <f t="shared" si="26"/>
        <v>0</v>
      </c>
      <c r="U57" s="993">
        <f t="shared" si="27"/>
        <v>0</v>
      </c>
    </row>
    <row r="58" spans="1:21">
      <c r="A58" s="994">
        <v>52</v>
      </c>
      <c r="B58" s="995" t="s">
        <v>145</v>
      </c>
      <c r="C58" s="1002">
        <f>'[2]ALL-Reformatted'!J57</f>
        <v>0</v>
      </c>
      <c r="D58" s="1003">
        <f>'Table 3 Levels 1&amp;2'!BN60+'Table 3 Levels 1&amp;2'!BV60</f>
        <v>4988.6415961118701</v>
      </c>
      <c r="E58" s="1102">
        <f t="shared" si="28"/>
        <v>0</v>
      </c>
      <c r="F58" s="1102">
        <f t="shared" si="17"/>
        <v>0</v>
      </c>
      <c r="G58" s="1059">
        <f t="shared" si="29"/>
        <v>0</v>
      </c>
      <c r="H58" s="1112">
        <f t="shared" si="18"/>
        <v>0</v>
      </c>
      <c r="I58" s="1059">
        <f t="shared" si="19"/>
        <v>0</v>
      </c>
      <c r="J58" s="1059"/>
      <c r="K58" s="1059">
        <f t="shared" si="20"/>
        <v>0</v>
      </c>
      <c r="L58" s="1059">
        <f t="shared" si="21"/>
        <v>0</v>
      </c>
      <c r="M58" s="1051">
        <f>'[18]FY2012-13 Final'!K59</f>
        <v>4886</v>
      </c>
      <c r="N58" s="1053">
        <f t="shared" si="30"/>
        <v>0</v>
      </c>
      <c r="O58" s="1118">
        <f t="shared" si="22"/>
        <v>0</v>
      </c>
      <c r="P58" s="1053">
        <f t="shared" si="23"/>
        <v>0</v>
      </c>
      <c r="Q58" s="1053"/>
      <c r="R58" s="1053">
        <f t="shared" si="24"/>
        <v>0</v>
      </c>
      <c r="S58" s="1053">
        <f t="shared" si="25"/>
        <v>0</v>
      </c>
      <c r="T58" s="1054">
        <f t="shared" si="26"/>
        <v>0</v>
      </c>
      <c r="U58" s="1054">
        <f t="shared" si="27"/>
        <v>0</v>
      </c>
    </row>
    <row r="59" spans="1:21">
      <c r="A59" s="994">
        <v>53</v>
      </c>
      <c r="B59" s="995" t="s">
        <v>146</v>
      </c>
      <c r="C59" s="1002">
        <f>'[2]ALL-Reformatted'!J58</f>
        <v>0</v>
      </c>
      <c r="D59" s="1003">
        <f>'Table 3 Levels 1&amp;2'!BN61+'Table 3 Levels 1&amp;2'!BV61</f>
        <v>4739.7077057162423</v>
      </c>
      <c r="E59" s="1102">
        <f t="shared" si="28"/>
        <v>0</v>
      </c>
      <c r="F59" s="1102">
        <f t="shared" si="17"/>
        <v>0</v>
      </c>
      <c r="G59" s="1059">
        <f t="shared" si="29"/>
        <v>0</v>
      </c>
      <c r="H59" s="1112">
        <f t="shared" si="18"/>
        <v>0</v>
      </c>
      <c r="I59" s="1059">
        <f t="shared" si="19"/>
        <v>0</v>
      </c>
      <c r="J59" s="1059"/>
      <c r="K59" s="1059">
        <f t="shared" si="20"/>
        <v>0</v>
      </c>
      <c r="L59" s="1059">
        <f t="shared" si="21"/>
        <v>0</v>
      </c>
      <c r="M59" s="1051">
        <f>'[18]FY2012-13 Final'!K60</f>
        <v>1929</v>
      </c>
      <c r="N59" s="1053">
        <f t="shared" si="30"/>
        <v>0</v>
      </c>
      <c r="O59" s="1118">
        <f t="shared" si="22"/>
        <v>0</v>
      </c>
      <c r="P59" s="1053">
        <f t="shared" si="23"/>
        <v>0</v>
      </c>
      <c r="Q59" s="1053"/>
      <c r="R59" s="1053">
        <f t="shared" si="24"/>
        <v>0</v>
      </c>
      <c r="S59" s="1053">
        <f t="shared" si="25"/>
        <v>0</v>
      </c>
      <c r="T59" s="1054">
        <f t="shared" si="26"/>
        <v>0</v>
      </c>
      <c r="U59" s="1054">
        <f t="shared" si="27"/>
        <v>0</v>
      </c>
    </row>
    <row r="60" spans="1:21">
      <c r="A60" s="994">
        <v>54</v>
      </c>
      <c r="B60" s="995" t="s">
        <v>147</v>
      </c>
      <c r="C60" s="1002">
        <f>'[2]ALL-Reformatted'!J59</f>
        <v>0</v>
      </c>
      <c r="D60" s="1003">
        <f>'Table 3 Levels 1&amp;2'!BN62+'Table 3 Levels 1&amp;2'!BV62</f>
        <v>5907.1276437932838</v>
      </c>
      <c r="E60" s="1102">
        <f t="shared" si="28"/>
        <v>0</v>
      </c>
      <c r="F60" s="1102">
        <f t="shared" si="17"/>
        <v>0</v>
      </c>
      <c r="G60" s="1059">
        <f t="shared" si="29"/>
        <v>0</v>
      </c>
      <c r="H60" s="1112">
        <f t="shared" si="18"/>
        <v>0</v>
      </c>
      <c r="I60" s="1059">
        <f t="shared" si="19"/>
        <v>0</v>
      </c>
      <c r="J60" s="1059"/>
      <c r="K60" s="1059">
        <f t="shared" si="20"/>
        <v>0</v>
      </c>
      <c r="L60" s="1059">
        <f t="shared" si="21"/>
        <v>0</v>
      </c>
      <c r="M60" s="1051">
        <f>'[18]FY2012-13 Final'!K61</f>
        <v>3382</v>
      </c>
      <c r="N60" s="1053">
        <f t="shared" si="30"/>
        <v>0</v>
      </c>
      <c r="O60" s="1118">
        <f t="shared" si="22"/>
        <v>0</v>
      </c>
      <c r="P60" s="1053">
        <f t="shared" si="23"/>
        <v>0</v>
      </c>
      <c r="Q60" s="1053"/>
      <c r="R60" s="1053">
        <f t="shared" si="24"/>
        <v>0</v>
      </c>
      <c r="S60" s="1053">
        <f t="shared" si="25"/>
        <v>0</v>
      </c>
      <c r="T60" s="1054">
        <f t="shared" si="26"/>
        <v>0</v>
      </c>
      <c r="U60" s="1054">
        <f t="shared" si="27"/>
        <v>0</v>
      </c>
    </row>
    <row r="61" spans="1:21">
      <c r="A61" s="998">
        <v>55</v>
      </c>
      <c r="B61" s="999" t="s">
        <v>148</v>
      </c>
      <c r="C61" s="1004">
        <f>'[2]ALL-Reformatted'!J60</f>
        <v>0</v>
      </c>
      <c r="D61" s="1005">
        <f>'Table 3 Levels 1&amp;2'!BN63+'Table 3 Levels 1&amp;2'!BV63</f>
        <v>4115.0954812679902</v>
      </c>
      <c r="E61" s="1103">
        <f t="shared" si="28"/>
        <v>0</v>
      </c>
      <c r="F61" s="1103">
        <f t="shared" si="17"/>
        <v>0</v>
      </c>
      <c r="G61" s="1060">
        <f t="shared" si="29"/>
        <v>0</v>
      </c>
      <c r="H61" s="1113">
        <f t="shared" si="18"/>
        <v>0</v>
      </c>
      <c r="I61" s="1060">
        <f t="shared" si="19"/>
        <v>0</v>
      </c>
      <c r="J61" s="1060"/>
      <c r="K61" s="1060">
        <f t="shared" si="20"/>
        <v>0</v>
      </c>
      <c r="L61" s="1060">
        <f t="shared" si="21"/>
        <v>0</v>
      </c>
      <c r="M61" s="1056">
        <f>'[18]FY2012-13 Final'!K62</f>
        <v>3127</v>
      </c>
      <c r="N61" s="1057">
        <f t="shared" si="30"/>
        <v>0</v>
      </c>
      <c r="O61" s="1119">
        <f t="shared" si="22"/>
        <v>0</v>
      </c>
      <c r="P61" s="1057">
        <f t="shared" si="23"/>
        <v>0</v>
      </c>
      <c r="Q61" s="1057"/>
      <c r="R61" s="1057">
        <f t="shared" si="24"/>
        <v>0</v>
      </c>
      <c r="S61" s="1057">
        <f t="shared" si="25"/>
        <v>0</v>
      </c>
      <c r="T61" s="1058">
        <f t="shared" si="26"/>
        <v>0</v>
      </c>
      <c r="U61" s="1058">
        <f t="shared" si="27"/>
        <v>0</v>
      </c>
    </row>
    <row r="62" spans="1:21">
      <c r="A62" s="987">
        <v>56</v>
      </c>
      <c r="B62" s="988" t="s">
        <v>149</v>
      </c>
      <c r="C62" s="1006">
        <f>'[2]ALL-Reformatted'!J61</f>
        <v>0</v>
      </c>
      <c r="D62" s="1007">
        <f>'Table 3 Levels 1&amp;2'!BN64+'Table 3 Levels 1&amp;2'!BV64</f>
        <v>4924.9032059941637</v>
      </c>
      <c r="E62" s="1104">
        <f t="shared" si="28"/>
        <v>0</v>
      </c>
      <c r="F62" s="1104">
        <f t="shared" si="17"/>
        <v>0</v>
      </c>
      <c r="G62" s="1061">
        <f t="shared" si="29"/>
        <v>0</v>
      </c>
      <c r="H62" s="1114">
        <f t="shared" si="18"/>
        <v>0</v>
      </c>
      <c r="I62" s="1061">
        <f t="shared" si="19"/>
        <v>0</v>
      </c>
      <c r="J62" s="1061"/>
      <c r="K62" s="1061">
        <f t="shared" si="20"/>
        <v>0</v>
      </c>
      <c r="L62" s="1061">
        <f t="shared" si="21"/>
        <v>0</v>
      </c>
      <c r="M62" s="1051">
        <f>'[18]FY2012-13 Final'!K63</f>
        <v>2768</v>
      </c>
      <c r="N62" s="992">
        <f t="shared" si="30"/>
        <v>0</v>
      </c>
      <c r="O62" s="1117">
        <f t="shared" si="22"/>
        <v>0</v>
      </c>
      <c r="P62" s="992">
        <f t="shared" si="23"/>
        <v>0</v>
      </c>
      <c r="Q62" s="992"/>
      <c r="R62" s="992">
        <f t="shared" si="24"/>
        <v>0</v>
      </c>
      <c r="S62" s="992">
        <f t="shared" si="25"/>
        <v>0</v>
      </c>
      <c r="T62" s="993">
        <f t="shared" si="26"/>
        <v>0</v>
      </c>
      <c r="U62" s="993">
        <f t="shared" si="27"/>
        <v>0</v>
      </c>
    </row>
    <row r="63" spans="1:21">
      <c r="A63" s="994">
        <v>57</v>
      </c>
      <c r="B63" s="995" t="s">
        <v>150</v>
      </c>
      <c r="C63" s="1002">
        <f>'[2]ALL-Reformatted'!J62</f>
        <v>0</v>
      </c>
      <c r="D63" s="1003">
        <f>'Table 3 Levels 1&amp;2'!BN65+'Table 3 Levels 1&amp;2'!BV65</f>
        <v>4434.5516744018987</v>
      </c>
      <c r="E63" s="1102">
        <f t="shared" si="28"/>
        <v>0</v>
      </c>
      <c r="F63" s="1102">
        <f t="shared" si="17"/>
        <v>0</v>
      </c>
      <c r="G63" s="1059">
        <f t="shared" si="29"/>
        <v>0</v>
      </c>
      <c r="H63" s="1112">
        <f t="shared" si="18"/>
        <v>0</v>
      </c>
      <c r="I63" s="1059">
        <f t="shared" si="19"/>
        <v>0</v>
      </c>
      <c r="J63" s="1059"/>
      <c r="K63" s="1059">
        <f t="shared" si="20"/>
        <v>0</v>
      </c>
      <c r="L63" s="1059">
        <f t="shared" si="21"/>
        <v>0</v>
      </c>
      <c r="M63" s="1051">
        <f>'[18]FY2012-13 Final'!K64</f>
        <v>2987</v>
      </c>
      <c r="N63" s="1053">
        <f t="shared" si="30"/>
        <v>0</v>
      </c>
      <c r="O63" s="1118">
        <f t="shared" si="22"/>
        <v>0</v>
      </c>
      <c r="P63" s="1053">
        <f t="shared" si="23"/>
        <v>0</v>
      </c>
      <c r="Q63" s="1053"/>
      <c r="R63" s="1053">
        <f t="shared" si="24"/>
        <v>0</v>
      </c>
      <c r="S63" s="1053">
        <f t="shared" si="25"/>
        <v>0</v>
      </c>
      <c r="T63" s="1054">
        <f t="shared" si="26"/>
        <v>0</v>
      </c>
      <c r="U63" s="1054">
        <f t="shared" si="27"/>
        <v>0</v>
      </c>
    </row>
    <row r="64" spans="1:21">
      <c r="A64" s="994">
        <v>58</v>
      </c>
      <c r="B64" s="995" t="s">
        <v>151</v>
      </c>
      <c r="C64" s="1002">
        <f>'[2]ALL-Reformatted'!J63</f>
        <v>0</v>
      </c>
      <c r="D64" s="1003">
        <f>'Table 3 Levels 1&amp;2'!BN66+'Table 3 Levels 1&amp;2'!BV66</f>
        <v>5434.7170435013286</v>
      </c>
      <c r="E64" s="1102">
        <f t="shared" si="28"/>
        <v>0</v>
      </c>
      <c r="F64" s="1102">
        <f t="shared" si="17"/>
        <v>0</v>
      </c>
      <c r="G64" s="1059">
        <f t="shared" si="29"/>
        <v>0</v>
      </c>
      <c r="H64" s="1112">
        <f t="shared" si="18"/>
        <v>0</v>
      </c>
      <c r="I64" s="1059">
        <f t="shared" si="19"/>
        <v>0</v>
      </c>
      <c r="J64" s="1059"/>
      <c r="K64" s="1059">
        <f t="shared" si="20"/>
        <v>0</v>
      </c>
      <c r="L64" s="1059">
        <f t="shared" si="21"/>
        <v>0</v>
      </c>
      <c r="M64" s="1051">
        <f>'[18]FY2012-13 Final'!K65</f>
        <v>2055</v>
      </c>
      <c r="N64" s="1053">
        <f t="shared" si="30"/>
        <v>0</v>
      </c>
      <c r="O64" s="1118">
        <f t="shared" si="22"/>
        <v>0</v>
      </c>
      <c r="P64" s="1053">
        <f t="shared" si="23"/>
        <v>0</v>
      </c>
      <c r="Q64" s="1053"/>
      <c r="R64" s="1053">
        <f t="shared" si="24"/>
        <v>0</v>
      </c>
      <c r="S64" s="1053">
        <f t="shared" si="25"/>
        <v>0</v>
      </c>
      <c r="T64" s="1054">
        <f t="shared" si="26"/>
        <v>0</v>
      </c>
      <c r="U64" s="1054">
        <f t="shared" si="27"/>
        <v>0</v>
      </c>
    </row>
    <row r="65" spans="1:21">
      <c r="A65" s="994">
        <v>59</v>
      </c>
      <c r="B65" s="995" t="s">
        <v>152</v>
      </c>
      <c r="C65" s="1002">
        <f>'[2]ALL-Reformatted'!J64</f>
        <v>0</v>
      </c>
      <c r="D65" s="1003">
        <f>'Table 3 Levels 1&amp;2'!BN67+'Table 3 Levels 1&amp;2'!BV67</f>
        <v>6252.2385330184643</v>
      </c>
      <c r="E65" s="1102">
        <f t="shared" si="28"/>
        <v>0</v>
      </c>
      <c r="F65" s="1102">
        <f t="shared" si="17"/>
        <v>0</v>
      </c>
      <c r="G65" s="1059">
        <f t="shared" si="29"/>
        <v>0</v>
      </c>
      <c r="H65" s="1112">
        <f t="shared" si="18"/>
        <v>0</v>
      </c>
      <c r="I65" s="1059">
        <f t="shared" si="19"/>
        <v>0</v>
      </c>
      <c r="J65" s="1059"/>
      <c r="K65" s="1059">
        <f t="shared" si="20"/>
        <v>0</v>
      </c>
      <c r="L65" s="1059">
        <f t="shared" si="21"/>
        <v>0</v>
      </c>
      <c r="M65" s="1051">
        <f>'[18]FY2012-13 Final'!K66</f>
        <v>1528</v>
      </c>
      <c r="N65" s="1053">
        <f t="shared" si="30"/>
        <v>0</v>
      </c>
      <c r="O65" s="1118">
        <f t="shared" si="22"/>
        <v>0</v>
      </c>
      <c r="P65" s="1053">
        <f t="shared" si="23"/>
        <v>0</v>
      </c>
      <c r="Q65" s="1053"/>
      <c r="R65" s="1053">
        <f t="shared" si="24"/>
        <v>0</v>
      </c>
      <c r="S65" s="1053">
        <f t="shared" si="25"/>
        <v>0</v>
      </c>
      <c r="T65" s="1054">
        <f t="shared" si="26"/>
        <v>0</v>
      </c>
      <c r="U65" s="1054">
        <f t="shared" si="27"/>
        <v>0</v>
      </c>
    </row>
    <row r="66" spans="1:21">
      <c r="A66" s="998">
        <v>60</v>
      </c>
      <c r="B66" s="999" t="s">
        <v>153</v>
      </c>
      <c r="C66" s="1004">
        <f>'[2]ALL-Reformatted'!J65</f>
        <v>0</v>
      </c>
      <c r="D66" s="1005">
        <f>'Table 3 Levels 1&amp;2'!BN68+'Table 3 Levels 1&amp;2'!BV68</f>
        <v>4902.6575100268701</v>
      </c>
      <c r="E66" s="1103">
        <f t="shared" si="28"/>
        <v>0</v>
      </c>
      <c r="F66" s="1103">
        <f t="shared" si="17"/>
        <v>0</v>
      </c>
      <c r="G66" s="1060">
        <f t="shared" si="29"/>
        <v>0</v>
      </c>
      <c r="H66" s="1113">
        <f t="shared" si="18"/>
        <v>0</v>
      </c>
      <c r="I66" s="1060">
        <f t="shared" si="19"/>
        <v>0</v>
      </c>
      <c r="J66" s="1060"/>
      <c r="K66" s="1060">
        <f t="shared" si="20"/>
        <v>0</v>
      </c>
      <c r="L66" s="1060">
        <f t="shared" si="21"/>
        <v>0</v>
      </c>
      <c r="M66" s="1056">
        <f>'[18]FY2012-13 Final'!K67</f>
        <v>3918</v>
      </c>
      <c r="N66" s="1057">
        <f t="shared" si="30"/>
        <v>0</v>
      </c>
      <c r="O66" s="1119">
        <f t="shared" si="22"/>
        <v>0</v>
      </c>
      <c r="P66" s="1057">
        <f t="shared" si="23"/>
        <v>0</v>
      </c>
      <c r="Q66" s="1057"/>
      <c r="R66" s="1057">
        <f t="shared" si="24"/>
        <v>0</v>
      </c>
      <c r="S66" s="1057">
        <f t="shared" si="25"/>
        <v>0</v>
      </c>
      <c r="T66" s="1058">
        <f t="shared" si="26"/>
        <v>0</v>
      </c>
      <c r="U66" s="1058">
        <f t="shared" si="27"/>
        <v>0</v>
      </c>
    </row>
    <row r="67" spans="1:21">
      <c r="A67" s="987">
        <v>61</v>
      </c>
      <c r="B67" s="988" t="s">
        <v>154</v>
      </c>
      <c r="C67" s="1006">
        <f>'[2]ALL-Reformatted'!J66</f>
        <v>0</v>
      </c>
      <c r="D67" s="1007">
        <f>'Table 3 Levels 1&amp;2'!BN69+'Table 3 Levels 1&amp;2'!BV69</f>
        <v>2872.7719101339244</v>
      </c>
      <c r="E67" s="1104">
        <f t="shared" si="28"/>
        <v>0</v>
      </c>
      <c r="F67" s="1104">
        <f t="shared" si="17"/>
        <v>0</v>
      </c>
      <c r="G67" s="1061">
        <f t="shared" si="29"/>
        <v>0</v>
      </c>
      <c r="H67" s="1114">
        <f t="shared" si="18"/>
        <v>0</v>
      </c>
      <c r="I67" s="1061">
        <f t="shared" si="19"/>
        <v>0</v>
      </c>
      <c r="J67" s="1061"/>
      <c r="K67" s="1061">
        <f t="shared" si="20"/>
        <v>0</v>
      </c>
      <c r="L67" s="1061">
        <f t="shared" si="21"/>
        <v>0</v>
      </c>
      <c r="M67" s="1051">
        <f>'[18]FY2012-13 Final'!K68</f>
        <v>6680</v>
      </c>
      <c r="N67" s="992">
        <f t="shared" si="30"/>
        <v>0</v>
      </c>
      <c r="O67" s="1117">
        <f t="shared" si="22"/>
        <v>0</v>
      </c>
      <c r="P67" s="992">
        <f t="shared" si="23"/>
        <v>0</v>
      </c>
      <c r="Q67" s="992"/>
      <c r="R67" s="992">
        <f t="shared" si="24"/>
        <v>0</v>
      </c>
      <c r="S67" s="992">
        <f t="shared" si="25"/>
        <v>0</v>
      </c>
      <c r="T67" s="993">
        <f t="shared" si="26"/>
        <v>0</v>
      </c>
      <c r="U67" s="993">
        <f t="shared" si="27"/>
        <v>0</v>
      </c>
    </row>
    <row r="68" spans="1:21">
      <c r="A68" s="994">
        <v>62</v>
      </c>
      <c r="B68" s="995" t="s">
        <v>155</v>
      </c>
      <c r="C68" s="1002">
        <f>'[2]ALL-Reformatted'!J67</f>
        <v>0</v>
      </c>
      <c r="D68" s="1003">
        <f>'Table 3 Levels 1&amp;2'!BN70+'Table 3 Levels 1&amp;2'!BV70</f>
        <v>5594.25143978908</v>
      </c>
      <c r="E68" s="1102">
        <f t="shared" si="28"/>
        <v>0</v>
      </c>
      <c r="F68" s="1102">
        <f t="shared" si="17"/>
        <v>0</v>
      </c>
      <c r="G68" s="1059">
        <f t="shared" si="29"/>
        <v>0</v>
      </c>
      <c r="H68" s="1112">
        <f t="shared" si="18"/>
        <v>0</v>
      </c>
      <c r="I68" s="1059">
        <f t="shared" si="19"/>
        <v>0</v>
      </c>
      <c r="J68" s="1059"/>
      <c r="K68" s="1059">
        <f t="shared" si="20"/>
        <v>0</v>
      </c>
      <c r="L68" s="1059">
        <f t="shared" si="21"/>
        <v>0</v>
      </c>
      <c r="M68" s="1051">
        <f>'[18]FY2012-13 Final'!K69</f>
        <v>1754</v>
      </c>
      <c r="N68" s="1053">
        <f t="shared" si="30"/>
        <v>0</v>
      </c>
      <c r="O68" s="1118">
        <f t="shared" si="22"/>
        <v>0</v>
      </c>
      <c r="P68" s="1053">
        <f t="shared" si="23"/>
        <v>0</v>
      </c>
      <c r="Q68" s="1053"/>
      <c r="R68" s="1053">
        <f t="shared" si="24"/>
        <v>0</v>
      </c>
      <c r="S68" s="1053">
        <f t="shared" si="25"/>
        <v>0</v>
      </c>
      <c r="T68" s="1054">
        <f t="shared" si="26"/>
        <v>0</v>
      </c>
      <c r="U68" s="1054">
        <f t="shared" si="27"/>
        <v>0</v>
      </c>
    </row>
    <row r="69" spans="1:21">
      <c r="A69" s="994">
        <v>63</v>
      </c>
      <c r="B69" s="995" t="s">
        <v>156</v>
      </c>
      <c r="C69" s="1002">
        <f>'[2]ALL-Reformatted'!J68</f>
        <v>0</v>
      </c>
      <c r="D69" s="1003">
        <f>'Table 3 Levels 1&amp;2'!BN71+'Table 3 Levels 1&amp;2'!BV71</f>
        <v>4318.8609300898834</v>
      </c>
      <c r="E69" s="1102">
        <f t="shared" si="28"/>
        <v>0</v>
      </c>
      <c r="F69" s="1102">
        <f t="shared" si="17"/>
        <v>0</v>
      </c>
      <c r="G69" s="1059">
        <f t="shared" si="29"/>
        <v>0</v>
      </c>
      <c r="H69" s="1112">
        <f t="shared" si="18"/>
        <v>0</v>
      </c>
      <c r="I69" s="1059">
        <f t="shared" si="19"/>
        <v>0</v>
      </c>
      <c r="J69" s="1059"/>
      <c r="K69" s="1059">
        <f t="shared" si="20"/>
        <v>0</v>
      </c>
      <c r="L69" s="1059">
        <f t="shared" si="21"/>
        <v>0</v>
      </c>
      <c r="M69" s="1051">
        <f>'[18]FY2012-13 Final'!K70</f>
        <v>7182</v>
      </c>
      <c r="N69" s="1053">
        <f t="shared" si="30"/>
        <v>0</v>
      </c>
      <c r="O69" s="1118">
        <f t="shared" si="22"/>
        <v>0</v>
      </c>
      <c r="P69" s="1053">
        <f t="shared" si="23"/>
        <v>0</v>
      </c>
      <c r="Q69" s="1053"/>
      <c r="R69" s="1053">
        <f t="shared" si="24"/>
        <v>0</v>
      </c>
      <c r="S69" s="1053">
        <f t="shared" si="25"/>
        <v>0</v>
      </c>
      <c r="T69" s="1054">
        <f t="shared" si="26"/>
        <v>0</v>
      </c>
      <c r="U69" s="1054">
        <f t="shared" si="27"/>
        <v>0</v>
      </c>
    </row>
    <row r="70" spans="1:21">
      <c r="A70" s="994">
        <v>64</v>
      </c>
      <c r="B70" s="995" t="s">
        <v>157</v>
      </c>
      <c r="C70" s="1002">
        <f>'[2]ALL-Reformatted'!J69</f>
        <v>0</v>
      </c>
      <c r="D70" s="1003">
        <f>'Table 3 Levels 1&amp;2'!BN72+'Table 3 Levels 1&amp;2'!BV72</f>
        <v>5921.7418933384488</v>
      </c>
      <c r="E70" s="1102">
        <f t="shared" si="28"/>
        <v>0</v>
      </c>
      <c r="F70" s="1102">
        <f t="shared" si="17"/>
        <v>0</v>
      </c>
      <c r="G70" s="1059">
        <f t="shared" si="29"/>
        <v>0</v>
      </c>
      <c r="H70" s="1112">
        <f t="shared" si="18"/>
        <v>0</v>
      </c>
      <c r="I70" s="1059">
        <f t="shared" si="19"/>
        <v>0</v>
      </c>
      <c r="J70" s="1059"/>
      <c r="K70" s="1059">
        <f t="shared" si="20"/>
        <v>0</v>
      </c>
      <c r="L70" s="1059">
        <f t="shared" si="21"/>
        <v>0</v>
      </c>
      <c r="M70" s="1051">
        <f>'[18]FY2012-13 Final'!K71</f>
        <v>2701</v>
      </c>
      <c r="N70" s="1053">
        <f t="shared" si="30"/>
        <v>0</v>
      </c>
      <c r="O70" s="1118">
        <f t="shared" si="22"/>
        <v>0</v>
      </c>
      <c r="P70" s="1053">
        <f t="shared" si="23"/>
        <v>0</v>
      </c>
      <c r="Q70" s="1053"/>
      <c r="R70" s="1053">
        <f t="shared" si="24"/>
        <v>0</v>
      </c>
      <c r="S70" s="1053">
        <f t="shared" si="25"/>
        <v>0</v>
      </c>
      <c r="T70" s="1054">
        <f t="shared" si="26"/>
        <v>0</v>
      </c>
      <c r="U70" s="1054">
        <f t="shared" si="27"/>
        <v>0</v>
      </c>
    </row>
    <row r="71" spans="1:21">
      <c r="A71" s="998">
        <v>65</v>
      </c>
      <c r="B71" s="999" t="s">
        <v>158</v>
      </c>
      <c r="C71" s="1004">
        <f>'[2]ALL-Reformatted'!J70</f>
        <v>0</v>
      </c>
      <c r="D71" s="1005">
        <f>'Table 3 Levels 1&amp;2'!BN73+'Table 3 Levels 1&amp;2'!BV73</f>
        <v>4578.9201269671275</v>
      </c>
      <c r="E71" s="1103">
        <f t="shared" ref="E71:E75" si="31">D71*C71</f>
        <v>0</v>
      </c>
      <c r="F71" s="1103">
        <f t="shared" si="17"/>
        <v>0</v>
      </c>
      <c r="G71" s="1060">
        <f t="shared" ref="G71:G75" si="32">E71+F71</f>
        <v>0</v>
      </c>
      <c r="H71" s="1113">
        <f t="shared" si="18"/>
        <v>0</v>
      </c>
      <c r="I71" s="1060">
        <f t="shared" si="19"/>
        <v>0</v>
      </c>
      <c r="J71" s="1060"/>
      <c r="K71" s="1060">
        <f t="shared" si="20"/>
        <v>0</v>
      </c>
      <c r="L71" s="1060">
        <f t="shared" si="21"/>
        <v>0</v>
      </c>
      <c r="M71" s="1056">
        <f>'[18]FY2012-13 Final'!K72</f>
        <v>4813</v>
      </c>
      <c r="N71" s="1057">
        <f t="shared" ref="N71:N75" si="33">M71*C71</f>
        <v>0</v>
      </c>
      <c r="O71" s="1119">
        <f t="shared" si="22"/>
        <v>0</v>
      </c>
      <c r="P71" s="1057">
        <f t="shared" si="23"/>
        <v>0</v>
      </c>
      <c r="Q71" s="1057"/>
      <c r="R71" s="1057">
        <f t="shared" si="24"/>
        <v>0</v>
      </c>
      <c r="S71" s="1057">
        <f t="shared" si="25"/>
        <v>0</v>
      </c>
      <c r="T71" s="1058">
        <f t="shared" si="26"/>
        <v>0</v>
      </c>
      <c r="U71" s="1058">
        <f t="shared" ref="U71:U75" si="34">L71+S71</f>
        <v>0</v>
      </c>
    </row>
    <row r="72" spans="1:21">
      <c r="A72" s="987">
        <v>66</v>
      </c>
      <c r="B72" s="988" t="s">
        <v>159</v>
      </c>
      <c r="C72" s="1006">
        <f>'[2]ALL-Reformatted'!J71</f>
        <v>0</v>
      </c>
      <c r="D72" s="1007">
        <f>'Table 3 Levels 1&amp;2'!BN74+'Table 3 Levels 1&amp;2'!BV74</f>
        <v>6340.8763293271122</v>
      </c>
      <c r="E72" s="1104">
        <f t="shared" si="31"/>
        <v>0</v>
      </c>
      <c r="F72" s="1104">
        <f t="shared" ref="F72:F75" si="35">C72*$F$4</f>
        <v>0</v>
      </c>
      <c r="G72" s="1061">
        <f t="shared" si="32"/>
        <v>0</v>
      </c>
      <c r="H72" s="1114">
        <f t="shared" ref="H72:H75" si="36">-G72*$H$4</f>
        <v>0</v>
      </c>
      <c r="I72" s="1061">
        <f t="shared" ref="I72:I75" si="37">SUM(G72:H72)</f>
        <v>0</v>
      </c>
      <c r="J72" s="1061"/>
      <c r="K72" s="1061">
        <f t="shared" ref="K72:K75" si="38">SUM(I72:J72)</f>
        <v>0</v>
      </c>
      <c r="L72" s="1061">
        <f t="shared" ref="L72:L75" si="39">ROUND(K72/12,0)</f>
        <v>0</v>
      </c>
      <c r="M72" s="1051">
        <f>'[18]FY2012-13 Final'!K73</f>
        <v>3516</v>
      </c>
      <c r="N72" s="992">
        <f t="shared" si="33"/>
        <v>0</v>
      </c>
      <c r="O72" s="1117">
        <f t="shared" ref="O72:O75" si="40">-N72*$O$4</f>
        <v>0</v>
      </c>
      <c r="P72" s="992">
        <f t="shared" ref="P72:P75" si="41">SUM(N72:O72)</f>
        <v>0</v>
      </c>
      <c r="Q72" s="992"/>
      <c r="R72" s="992">
        <f t="shared" ref="R72:R75" si="42">SUM(P72:Q72)</f>
        <v>0</v>
      </c>
      <c r="S72" s="992">
        <f t="shared" ref="S72:S75" si="43">ROUND(R72/12,0)</f>
        <v>0</v>
      </c>
      <c r="T72" s="993">
        <f t="shared" ref="T72:T75" si="44">K72+R72</f>
        <v>0</v>
      </c>
      <c r="U72" s="993">
        <f t="shared" si="34"/>
        <v>0</v>
      </c>
    </row>
    <row r="73" spans="1:21">
      <c r="A73" s="994">
        <v>67</v>
      </c>
      <c r="B73" s="995" t="s">
        <v>32</v>
      </c>
      <c r="C73" s="1002">
        <f>'[2]ALL-Reformatted'!J72</f>
        <v>0</v>
      </c>
      <c r="D73" s="1003">
        <f>'Table 3 Levels 1&amp;2'!BN75+'Table 3 Levels 1&amp;2'!BV75</f>
        <v>4984.1100297034172</v>
      </c>
      <c r="E73" s="1102">
        <f t="shared" si="31"/>
        <v>0</v>
      </c>
      <c r="F73" s="1102">
        <f t="shared" si="35"/>
        <v>0</v>
      </c>
      <c r="G73" s="1059">
        <f t="shared" si="32"/>
        <v>0</v>
      </c>
      <c r="H73" s="1112">
        <f t="shared" si="36"/>
        <v>0</v>
      </c>
      <c r="I73" s="1059">
        <f t="shared" si="37"/>
        <v>0</v>
      </c>
      <c r="J73" s="1059"/>
      <c r="K73" s="1059">
        <f t="shared" si="38"/>
        <v>0</v>
      </c>
      <c r="L73" s="1059">
        <f t="shared" si="39"/>
        <v>0</v>
      </c>
      <c r="M73" s="1051">
        <f>'[18]FY2012-13 Final'!K74</f>
        <v>5052</v>
      </c>
      <c r="N73" s="1053">
        <f t="shared" si="33"/>
        <v>0</v>
      </c>
      <c r="O73" s="1118">
        <f t="shared" si="40"/>
        <v>0</v>
      </c>
      <c r="P73" s="1053">
        <f t="shared" si="41"/>
        <v>0</v>
      </c>
      <c r="Q73" s="1053"/>
      <c r="R73" s="1053">
        <f t="shared" si="42"/>
        <v>0</v>
      </c>
      <c r="S73" s="1053">
        <f t="shared" si="43"/>
        <v>0</v>
      </c>
      <c r="T73" s="1054">
        <f t="shared" si="44"/>
        <v>0</v>
      </c>
      <c r="U73" s="1054">
        <f t="shared" si="34"/>
        <v>0</v>
      </c>
    </row>
    <row r="74" spans="1:21">
      <c r="A74" s="994">
        <v>68</v>
      </c>
      <c r="B74" s="995" t="s">
        <v>30</v>
      </c>
      <c r="C74" s="1002">
        <f>'[2]ALL-Reformatted'!J73</f>
        <v>0</v>
      </c>
      <c r="D74" s="1003">
        <f>'Table 3 Levels 1&amp;2'!BN76+'Table 3 Levels 1&amp;2'!BV76</f>
        <v>6012.7854305239725</v>
      </c>
      <c r="E74" s="1102">
        <f t="shared" si="31"/>
        <v>0</v>
      </c>
      <c r="F74" s="1102">
        <f t="shared" si="35"/>
        <v>0</v>
      </c>
      <c r="G74" s="1059">
        <f t="shared" si="32"/>
        <v>0</v>
      </c>
      <c r="H74" s="1112">
        <f t="shared" si="36"/>
        <v>0</v>
      </c>
      <c r="I74" s="1059">
        <f t="shared" si="37"/>
        <v>0</v>
      </c>
      <c r="J74" s="1059"/>
      <c r="K74" s="1059">
        <f t="shared" si="38"/>
        <v>0</v>
      </c>
      <c r="L74" s="1059">
        <f t="shared" si="39"/>
        <v>0</v>
      </c>
      <c r="M74" s="1051">
        <f>'[18]FY2012-13 Final'!K75</f>
        <v>2763</v>
      </c>
      <c r="N74" s="1053">
        <f t="shared" si="33"/>
        <v>0</v>
      </c>
      <c r="O74" s="1118">
        <f t="shared" si="40"/>
        <v>0</v>
      </c>
      <c r="P74" s="1053">
        <f t="shared" si="41"/>
        <v>0</v>
      </c>
      <c r="Q74" s="1053"/>
      <c r="R74" s="1053">
        <f t="shared" si="42"/>
        <v>0</v>
      </c>
      <c r="S74" s="1053">
        <f t="shared" si="43"/>
        <v>0</v>
      </c>
      <c r="T74" s="1054">
        <f t="shared" si="44"/>
        <v>0</v>
      </c>
      <c r="U74" s="1054">
        <f t="shared" si="34"/>
        <v>0</v>
      </c>
    </row>
    <row r="75" spans="1:21">
      <c r="A75" s="1008">
        <v>69</v>
      </c>
      <c r="B75" s="1009" t="s">
        <v>213</v>
      </c>
      <c r="C75" s="1010">
        <f>'[2]ALL-Reformatted'!J74</f>
        <v>0</v>
      </c>
      <c r="D75" s="1011">
        <f>'Table 3 Levels 1&amp;2'!BN77+'Table 3 Levels 1&amp;2'!BV77</f>
        <v>5559.7139008686299</v>
      </c>
      <c r="E75" s="1105">
        <f t="shared" si="31"/>
        <v>0</v>
      </c>
      <c r="F75" s="1105">
        <f t="shared" si="35"/>
        <v>0</v>
      </c>
      <c r="G75" s="1062">
        <f t="shared" si="32"/>
        <v>0</v>
      </c>
      <c r="H75" s="1115">
        <f t="shared" si="36"/>
        <v>0</v>
      </c>
      <c r="I75" s="1062">
        <f t="shared" si="37"/>
        <v>0</v>
      </c>
      <c r="J75" s="1062"/>
      <c r="K75" s="1062">
        <f t="shared" si="38"/>
        <v>0</v>
      </c>
      <c r="L75" s="1062">
        <f t="shared" si="39"/>
        <v>0</v>
      </c>
      <c r="M75" s="1051">
        <f>'[18]FY2012-13 Final'!K76</f>
        <v>3327</v>
      </c>
      <c r="N75" s="1063">
        <f t="shared" si="33"/>
        <v>0</v>
      </c>
      <c r="O75" s="1120">
        <f t="shared" si="40"/>
        <v>0</v>
      </c>
      <c r="P75" s="1063">
        <f t="shared" si="41"/>
        <v>0</v>
      </c>
      <c r="Q75" s="1063"/>
      <c r="R75" s="1063">
        <f t="shared" si="42"/>
        <v>0</v>
      </c>
      <c r="S75" s="1063">
        <f t="shared" si="43"/>
        <v>0</v>
      </c>
      <c r="T75" s="1064">
        <f t="shared" si="44"/>
        <v>0</v>
      </c>
      <c r="U75" s="1064">
        <f t="shared" si="34"/>
        <v>0</v>
      </c>
    </row>
    <row r="76" spans="1:21" s="1019" customFormat="1" ht="13.5" thickBot="1">
      <c r="A76" s="1012"/>
      <c r="B76" s="1013" t="s">
        <v>160</v>
      </c>
      <c r="C76" s="1014">
        <f>SUM(C7:C75)</f>
        <v>694</v>
      </c>
      <c r="D76" s="1015"/>
      <c r="E76" s="1106">
        <f>SUM(E7:E75)</f>
        <v>3385544.5206879009</v>
      </c>
      <c r="F76" s="1106">
        <f>SUM(F7:F75)</f>
        <v>372070.14999766601</v>
      </c>
      <c r="G76" s="1016">
        <f>SUM(G7:G75)</f>
        <v>3757614.6706855674</v>
      </c>
      <c r="H76" s="1116">
        <f t="shared" ref="H76:J76" si="45">SUM(H7:H75)</f>
        <v>-9394.0366767139167</v>
      </c>
      <c r="I76" s="1016">
        <f t="shared" si="45"/>
        <v>3748220.6340088532</v>
      </c>
      <c r="J76" s="1016">
        <f t="shared" si="45"/>
        <v>0</v>
      </c>
      <c r="K76" s="1016">
        <f>SUM(K7:K75)</f>
        <v>3748220.6340088532</v>
      </c>
      <c r="L76" s="1016">
        <f>SUM(L7:L75)</f>
        <v>312352</v>
      </c>
      <c r="M76" s="1065"/>
      <c r="N76" s="1017">
        <f>SUM(N7:N75)</f>
        <v>950142</v>
      </c>
      <c r="O76" s="1121">
        <f t="shared" ref="O76" si="46">SUM(O7:O75)</f>
        <v>-2375.3550000000005</v>
      </c>
      <c r="P76" s="1017">
        <f t="shared" ref="P76:U76" si="47">SUM(P7:P75)</f>
        <v>947766.64500000002</v>
      </c>
      <c r="Q76" s="1017">
        <f t="shared" si="47"/>
        <v>0</v>
      </c>
      <c r="R76" s="1017">
        <f t="shared" si="47"/>
        <v>947766.64500000002</v>
      </c>
      <c r="S76" s="1017">
        <f t="shared" si="47"/>
        <v>78981</v>
      </c>
      <c r="T76" s="1018">
        <f t="shared" si="47"/>
        <v>4695987.2790088532</v>
      </c>
      <c r="U76" s="1018">
        <f t="shared" si="47"/>
        <v>391333</v>
      </c>
    </row>
    <row r="77" spans="1:21" s="1019" customFormat="1" ht="13.5" thickTop="1">
      <c r="A77" s="1020"/>
      <c r="B77" s="1020"/>
      <c r="C77" s="1021"/>
      <c r="D77" s="1021"/>
      <c r="M77" s="1023"/>
      <c r="N77" s="1023"/>
      <c r="O77" s="1023"/>
      <c r="P77" s="1023"/>
      <c r="Q77" s="1023"/>
      <c r="R77" s="1023"/>
      <c r="S77" s="1023"/>
    </row>
    <row r="78" spans="1:21" ht="12.75" customHeight="1">
      <c r="A78" s="1025"/>
      <c r="C78" s="1026"/>
    </row>
    <row r="79" spans="1:21" ht="12.75" hidden="1" customHeight="1"/>
    <row r="80" spans="1:21" hidden="1"/>
    <row r="81" spans="3:12" hidden="1"/>
    <row r="82" spans="3:12" hidden="1"/>
    <row r="83" spans="3:12" hidden="1">
      <c r="E83" s="1027" t="s">
        <v>373</v>
      </c>
      <c r="F83" s="1027"/>
      <c r="G83" s="1027"/>
      <c r="H83" s="1027"/>
      <c r="I83" s="1027"/>
      <c r="J83" s="1027"/>
      <c r="K83" s="1027"/>
      <c r="L83" s="1027"/>
    </row>
    <row r="84" spans="3:12" ht="10.5" hidden="1" customHeight="1"/>
    <row r="85" spans="3:12" hidden="1"/>
    <row r="86" spans="3:12" hidden="1">
      <c r="C86" s="1029">
        <v>85661</v>
      </c>
      <c r="D86" s="1030" t="s">
        <v>374</v>
      </c>
    </row>
    <row r="87" spans="3:12" hidden="1">
      <c r="C87" s="1029">
        <v>650290</v>
      </c>
      <c r="D87" s="1030" t="s">
        <v>375</v>
      </c>
    </row>
    <row r="88" spans="3:12" hidden="1">
      <c r="C88" s="1031">
        <f>C86/C87</f>
        <v>0.13172738316750987</v>
      </c>
      <c r="D88" s="1030" t="s">
        <v>376</v>
      </c>
    </row>
    <row r="89" spans="3:12" hidden="1">
      <c r="C89" s="1029"/>
      <c r="D89" s="1030"/>
    </row>
    <row r="90" spans="3:12" hidden="1">
      <c r="C90" s="1029">
        <v>128510</v>
      </c>
      <c r="D90" s="1030" t="s">
        <v>377</v>
      </c>
    </row>
    <row r="91" spans="3:12" hidden="1">
      <c r="C91" s="1029">
        <v>911320</v>
      </c>
      <c r="D91" s="1030" t="s">
        <v>378</v>
      </c>
    </row>
    <row r="92" spans="3:12" hidden="1">
      <c r="C92" s="1031">
        <f>C90/C91</f>
        <v>0.14101523065443533</v>
      </c>
      <c r="D92" s="1030" t="s">
        <v>379</v>
      </c>
    </row>
    <row r="93" spans="3:12" hidden="1">
      <c r="C93" s="1029"/>
      <c r="D93" s="1030"/>
    </row>
    <row r="94" spans="3:12" hidden="1">
      <c r="C94" s="1032">
        <v>2663489616</v>
      </c>
      <c r="D94" s="1033" t="s">
        <v>380</v>
      </c>
    </row>
    <row r="95" spans="3:12" hidden="1">
      <c r="C95" s="1034">
        <f>C92</f>
        <v>0.14101523065443533</v>
      </c>
      <c r="D95" s="1033"/>
    </row>
    <row r="96" spans="3:12" hidden="1">
      <c r="C96" s="1035">
        <f>C94*C95</f>
        <v>375592602.54593337</v>
      </c>
      <c r="D96" s="1030" t="s">
        <v>381</v>
      </c>
    </row>
    <row r="97" spans="3:4" hidden="1">
      <c r="C97" s="1036">
        <f>50%/C92</f>
        <v>3.5457162866702978</v>
      </c>
      <c r="D97" s="1033" t="s">
        <v>382</v>
      </c>
    </row>
    <row r="98" spans="3:4" hidden="1">
      <c r="C98" s="1035">
        <f>C96*C97</f>
        <v>1331744808</v>
      </c>
      <c r="D98" s="1037" t="s">
        <v>383</v>
      </c>
    </row>
    <row r="99" spans="3:4" hidden="1">
      <c r="C99" s="1038">
        <f>C87</f>
        <v>650290</v>
      </c>
      <c r="D99" s="1033" t="s">
        <v>384</v>
      </c>
    </row>
    <row r="100" spans="3:4" hidden="1">
      <c r="C100" s="1035">
        <f>C98/C99</f>
        <v>2047.9244767719017</v>
      </c>
      <c r="D100" s="1033" t="s">
        <v>385</v>
      </c>
    </row>
    <row r="101" spans="3:4" hidden="1">
      <c r="C101" s="1039">
        <f>(C96/C99)*-1</f>
        <v>-577.57708490970697</v>
      </c>
      <c r="D101" s="1033" t="s">
        <v>386</v>
      </c>
    </row>
    <row r="102" spans="3:4" hidden="1">
      <c r="C102" s="1040">
        <f>SUM(C100:C101)</f>
        <v>1470.3473918621949</v>
      </c>
      <c r="D102" s="1033" t="s">
        <v>387</v>
      </c>
    </row>
    <row r="103" spans="3:4" hidden="1">
      <c r="C103" s="1040"/>
      <c r="D103" s="1033"/>
    </row>
    <row r="104" spans="3:4" hidden="1">
      <c r="C104" s="1040"/>
      <c r="D104" s="1033"/>
    </row>
    <row r="105" spans="3:4" hidden="1">
      <c r="D105" s="1033"/>
    </row>
    <row r="106" spans="3:4" hidden="1"/>
  </sheetData>
  <mergeCells count="18">
    <mergeCell ref="A2:B4"/>
    <mergeCell ref="C2:L2"/>
    <mergeCell ref="M2:S2"/>
    <mergeCell ref="T2:T4"/>
    <mergeCell ref="G3:G4"/>
    <mergeCell ref="N3:N4"/>
    <mergeCell ref="S3:S4"/>
    <mergeCell ref="I3:I4"/>
    <mergeCell ref="U2:U4"/>
    <mergeCell ref="C3:C4"/>
    <mergeCell ref="D3:D4"/>
    <mergeCell ref="E3:E4"/>
    <mergeCell ref="L3:L4"/>
    <mergeCell ref="M3:M4"/>
    <mergeCell ref="J3:J4"/>
    <mergeCell ref="K3:K4"/>
    <mergeCell ref="Q3:Q4"/>
    <mergeCell ref="R3:R4"/>
  </mergeCells>
  <printOptions horizontalCentered="1"/>
  <pageMargins left="0.27" right="0.25" top="0.87" bottom="0.2" header="0.25" footer="0.2"/>
  <pageSetup paperSize="5" scale="61" firstPageNumber="103" fitToWidth="3" orientation="portrait" useFirstPageNumber="1" r:id="rId1"/>
  <headerFooter alignWithMargins="0">
    <oddHeader xml:space="preserve">&amp;L&amp;"Arial,Bold"&amp;16Table 5D-4:  FY2013-14 MFP Budget Letter (Projection)&amp;"Arial,Regular"&amp;10
&amp;"Arial,Bold"&amp;14Legacy Type 2 Charters &amp;R&amp;"Arial,Bold"&amp;12&amp;KFF0000
</oddHeader>
    <oddFooter>&amp;R&amp;P</oddFooter>
  </headerFooter>
  <colBreaks count="1" manualBreakCount="1">
    <brk id="12" min="1" max="77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U106"/>
  <sheetViews>
    <sheetView view="pageBreakPreview" zoomScaleNormal="85" zoomScaleSheetLayoutView="100" workbookViewId="0">
      <pane xSplit="2" ySplit="6" topLeftCell="C7" activePane="bottomRight" state="frozen"/>
      <selection activeCell="A2" sqref="A2:B4"/>
      <selection pane="topRight" activeCell="A2" sqref="A2:B4"/>
      <selection pane="bottomLeft" activeCell="A2" sqref="A2:B4"/>
      <selection pane="bottomRight" activeCell="A2" sqref="A2:B4"/>
    </sheetView>
  </sheetViews>
  <sheetFormatPr defaultColWidth="12.5703125" defaultRowHeight="12.75"/>
  <cols>
    <col min="1" max="1" width="3.85546875" style="971" customWidth="1"/>
    <col min="2" max="2" width="23.7109375" style="971" customWidth="1"/>
    <col min="3" max="3" width="11.85546875" style="974" customWidth="1"/>
    <col min="4" max="4" width="15.28515625" style="974" customWidth="1"/>
    <col min="5" max="5" width="11" style="974" customWidth="1"/>
    <col min="6" max="6" width="12.5703125" style="974" bestFit="1" customWidth="1"/>
    <col min="7" max="7" width="11.85546875" style="974" customWidth="1"/>
    <col min="8" max="8" width="11" style="974" customWidth="1"/>
    <col min="9" max="9" width="11.7109375" style="974" customWidth="1"/>
    <col min="10" max="10" width="14" style="974" customWidth="1"/>
    <col min="11" max="11" width="11.7109375" style="974" customWidth="1"/>
    <col min="12" max="12" width="9.42578125" style="974" bestFit="1" customWidth="1"/>
    <col min="13" max="13" width="17.7109375" style="1049" customWidth="1"/>
    <col min="14" max="14" width="13.7109375" style="974" bestFit="1" customWidth="1"/>
    <col min="15" max="18" width="13.7109375" style="974" customWidth="1"/>
    <col min="19" max="19" width="10.85546875" style="974" bestFit="1" customWidth="1"/>
    <col min="20" max="21" width="12.5703125" style="971" customWidth="1"/>
    <col min="22" max="16384" width="12.5703125" style="971"/>
  </cols>
  <sheetData>
    <row r="1" spans="1:21" ht="9" customHeight="1">
      <c r="B1" s="972"/>
      <c r="C1" s="973"/>
      <c r="D1" s="973"/>
    </row>
    <row r="2" spans="1:21" s="976" customFormat="1" ht="37.5" customHeight="1">
      <c r="A2" s="2000" t="s">
        <v>488</v>
      </c>
      <c r="B2" s="2001"/>
      <c r="C2" s="2065" t="s">
        <v>483</v>
      </c>
      <c r="D2" s="2017"/>
      <c r="E2" s="2017"/>
      <c r="F2" s="2017"/>
      <c r="G2" s="2017"/>
      <c r="H2" s="2017"/>
      <c r="I2" s="2017"/>
      <c r="J2" s="2017"/>
      <c r="K2" s="2017"/>
      <c r="L2" s="2018"/>
      <c r="M2" s="1992" t="s">
        <v>1357</v>
      </c>
      <c r="N2" s="1993"/>
      <c r="O2" s="1993"/>
      <c r="P2" s="1993"/>
      <c r="Q2" s="1993"/>
      <c r="R2" s="1993"/>
      <c r="S2" s="1994"/>
      <c r="T2" s="1995" t="s">
        <v>1412</v>
      </c>
      <c r="U2" s="1995" t="s">
        <v>1355</v>
      </c>
    </row>
    <row r="3" spans="1:21" ht="104.25" customHeight="1">
      <c r="A3" s="2002"/>
      <c r="B3" s="2003"/>
      <c r="C3" s="2109" t="s">
        <v>1178</v>
      </c>
      <c r="D3" s="2008" t="s">
        <v>1393</v>
      </c>
      <c r="E3" s="2008" t="s">
        <v>1377</v>
      </c>
      <c r="F3" s="977" t="s">
        <v>492</v>
      </c>
      <c r="G3" s="2006" t="s">
        <v>1378</v>
      </c>
      <c r="H3" s="1096" t="s">
        <v>510</v>
      </c>
      <c r="I3" s="2006" t="s">
        <v>1379</v>
      </c>
      <c r="J3" s="2006" t="s">
        <v>1230</v>
      </c>
      <c r="K3" s="2006" t="s">
        <v>1380</v>
      </c>
      <c r="L3" s="2008" t="s">
        <v>1356</v>
      </c>
      <c r="M3" s="2009" t="s">
        <v>692</v>
      </c>
      <c r="N3" s="2019" t="s">
        <v>1382</v>
      </c>
      <c r="O3" s="1098" t="s">
        <v>512</v>
      </c>
      <c r="P3" s="1743" t="s">
        <v>1383</v>
      </c>
      <c r="Q3" s="2117" t="s">
        <v>1230</v>
      </c>
      <c r="R3" s="2019" t="s">
        <v>1384</v>
      </c>
      <c r="S3" s="2019" t="s">
        <v>1385</v>
      </c>
      <c r="T3" s="1996"/>
      <c r="U3" s="1996"/>
    </row>
    <row r="4" spans="1:21" ht="35.25" customHeight="1">
      <c r="A4" s="2004"/>
      <c r="B4" s="2005"/>
      <c r="C4" s="2110"/>
      <c r="D4" s="2008"/>
      <c r="E4" s="2008"/>
      <c r="F4" s="1067">
        <v>527.02354414153262</v>
      </c>
      <c r="G4" s="2007"/>
      <c r="H4" s="1107">
        <v>2.5000000000000001E-3</v>
      </c>
      <c r="I4" s="2007"/>
      <c r="J4" s="2007"/>
      <c r="K4" s="2007"/>
      <c r="L4" s="2008"/>
      <c r="M4" s="2010"/>
      <c r="N4" s="1999"/>
      <c r="O4" s="1108">
        <v>2.5000000000000001E-3</v>
      </c>
      <c r="P4" s="1097"/>
      <c r="Q4" s="1999"/>
      <c r="R4" s="1999"/>
      <c r="S4" s="1999"/>
      <c r="T4" s="1997"/>
      <c r="U4" s="1997"/>
    </row>
    <row r="5" spans="1:21" s="981" customFormat="1" ht="14.25" customHeight="1">
      <c r="A5" s="978"/>
      <c r="B5" s="979"/>
      <c r="C5" s="980">
        <v>1</v>
      </c>
      <c r="D5" s="980">
        <f t="shared" ref="D5:N5" si="0">C5+1</f>
        <v>2</v>
      </c>
      <c r="E5" s="980">
        <f>D5+1</f>
        <v>3</v>
      </c>
      <c r="F5" s="980">
        <f t="shared" ref="F5:G5" si="1">E5+1</f>
        <v>4</v>
      </c>
      <c r="G5" s="980">
        <f t="shared" si="1"/>
        <v>5</v>
      </c>
      <c r="H5" s="980">
        <f t="shared" ref="H5" si="2">G5+1</f>
        <v>6</v>
      </c>
      <c r="I5" s="980">
        <f t="shared" ref="I5" si="3">H5+1</f>
        <v>7</v>
      </c>
      <c r="J5" s="980">
        <f t="shared" ref="J5" si="4">I5+1</f>
        <v>8</v>
      </c>
      <c r="K5" s="980">
        <f t="shared" ref="K5" si="5">J5+1</f>
        <v>9</v>
      </c>
      <c r="L5" s="980">
        <f t="shared" ref="L5" si="6">K5+1</f>
        <v>10</v>
      </c>
      <c r="M5" s="980">
        <f t="shared" si="0"/>
        <v>11</v>
      </c>
      <c r="N5" s="980">
        <f t="shared" si="0"/>
        <v>12</v>
      </c>
      <c r="O5" s="980">
        <f t="shared" ref="O5" si="7">N5+1</f>
        <v>13</v>
      </c>
      <c r="P5" s="980">
        <f t="shared" ref="P5" si="8">O5+1</f>
        <v>14</v>
      </c>
      <c r="Q5" s="980">
        <f t="shared" ref="Q5" si="9">P5+1</f>
        <v>15</v>
      </c>
      <c r="R5" s="980">
        <f t="shared" ref="R5" si="10">Q5+1</f>
        <v>16</v>
      </c>
      <c r="S5" s="980">
        <f t="shared" ref="S5" si="11">R5+1</f>
        <v>17</v>
      </c>
      <c r="T5" s="980">
        <f t="shared" ref="T5" si="12">S5+1</f>
        <v>18</v>
      </c>
      <c r="U5" s="980">
        <f t="shared" ref="U5" si="13">T5+1</f>
        <v>19</v>
      </c>
    </row>
    <row r="6" spans="1:21" s="986" customFormat="1" ht="27" customHeight="1">
      <c r="A6" s="982"/>
      <c r="B6" s="983"/>
      <c r="C6" s="984" t="s">
        <v>441</v>
      </c>
      <c r="D6" s="985" t="s">
        <v>363</v>
      </c>
      <c r="E6" s="984" t="s">
        <v>532</v>
      </c>
      <c r="F6" s="985" t="s">
        <v>494</v>
      </c>
      <c r="G6" s="984" t="s">
        <v>493</v>
      </c>
      <c r="H6" s="984" t="s">
        <v>511</v>
      </c>
      <c r="I6" s="984" t="s">
        <v>513</v>
      </c>
      <c r="J6" s="984"/>
      <c r="K6" s="984" t="s">
        <v>642</v>
      </c>
      <c r="L6" s="984" t="s">
        <v>537</v>
      </c>
      <c r="M6" s="1050" t="s">
        <v>363</v>
      </c>
      <c r="N6" s="1044" t="s">
        <v>538</v>
      </c>
      <c r="O6" s="1044" t="s">
        <v>643</v>
      </c>
      <c r="P6" s="1044" t="s">
        <v>640</v>
      </c>
      <c r="Q6" s="985"/>
      <c r="R6" s="1044" t="s">
        <v>641</v>
      </c>
      <c r="S6" s="1044" t="s">
        <v>540</v>
      </c>
      <c r="T6" s="1044" t="s">
        <v>541</v>
      </c>
      <c r="U6" s="1044" t="s">
        <v>542</v>
      </c>
    </row>
    <row r="7" spans="1:21">
      <c r="A7" s="987">
        <v>1</v>
      </c>
      <c r="B7" s="988" t="s">
        <v>95</v>
      </c>
      <c r="C7" s="989">
        <f>'[2]ALL-Reformatted'!K6</f>
        <v>0</v>
      </c>
      <c r="D7" s="990">
        <f>'Table 3 Levels 1&amp;2'!BN9+'Table 3 Levels 1&amp;2'!BV9</f>
        <v>4565.2108060165392</v>
      </c>
      <c r="E7" s="1099">
        <f t="shared" ref="E7:E38" si="14">D7*C7</f>
        <v>0</v>
      </c>
      <c r="F7" s="1099">
        <f>C7*$F$4</f>
        <v>0</v>
      </c>
      <c r="G7" s="991">
        <f t="shared" ref="G7:G38" si="15">E7+F7</f>
        <v>0</v>
      </c>
      <c r="H7" s="1109">
        <f>-G7*$H$4</f>
        <v>0</v>
      </c>
      <c r="I7" s="991">
        <f>SUM(G7:H7)</f>
        <v>0</v>
      </c>
      <c r="J7" s="991"/>
      <c r="K7" s="991">
        <f>SUM(I7:J7)</f>
        <v>0</v>
      </c>
      <c r="L7" s="991">
        <f>ROUND(K7/12,0)</f>
        <v>0</v>
      </c>
      <c r="M7" s="1051">
        <f>'[18]FY2012-13 Final'!K8</f>
        <v>2112</v>
      </c>
      <c r="N7" s="992">
        <f t="shared" ref="N7:N38" si="16">M7*C7</f>
        <v>0</v>
      </c>
      <c r="O7" s="1117">
        <f>-N7*$O$4</f>
        <v>0</v>
      </c>
      <c r="P7" s="992">
        <f>SUM(N7:O7)</f>
        <v>0</v>
      </c>
      <c r="Q7" s="992"/>
      <c r="R7" s="992">
        <f>SUM(P7:Q7)</f>
        <v>0</v>
      </c>
      <c r="S7" s="992">
        <f>ROUND(R7/12,0)</f>
        <v>0</v>
      </c>
      <c r="T7" s="993">
        <f>K7+R7</f>
        <v>0</v>
      </c>
      <c r="U7" s="993">
        <f>L7+S7</f>
        <v>0</v>
      </c>
    </row>
    <row r="8" spans="1:21">
      <c r="A8" s="994">
        <v>2</v>
      </c>
      <c r="B8" s="995" t="s">
        <v>96</v>
      </c>
      <c r="C8" s="996">
        <f>'[2]ALL-Reformatted'!K7</f>
        <v>0</v>
      </c>
      <c r="D8" s="997">
        <f>'Table 3 Levels 1&amp;2'!BN10+'Table 3 Levels 1&amp;2'!BV10</f>
        <v>6132.0480322513831</v>
      </c>
      <c r="E8" s="1100">
        <f t="shared" si="14"/>
        <v>0</v>
      </c>
      <c r="F8" s="1100">
        <f t="shared" ref="F8:F71" si="17">C8*$F$4</f>
        <v>0</v>
      </c>
      <c r="G8" s="1052">
        <f t="shared" si="15"/>
        <v>0</v>
      </c>
      <c r="H8" s="1110">
        <f t="shared" ref="H8:H71" si="18">-G8*$H$4</f>
        <v>0</v>
      </c>
      <c r="I8" s="1052">
        <f t="shared" ref="I8:I71" si="19">SUM(G8:H8)</f>
        <v>0</v>
      </c>
      <c r="J8" s="1052"/>
      <c r="K8" s="1052">
        <f t="shared" ref="K8:K71" si="20">SUM(I8:J8)</f>
        <v>0</v>
      </c>
      <c r="L8" s="1052">
        <f t="shared" ref="L8:L71" si="21">ROUND(K8/12,0)</f>
        <v>0</v>
      </c>
      <c r="M8" s="1051">
        <f>'[18]FY2012-13 Final'!K9</f>
        <v>2584</v>
      </c>
      <c r="N8" s="1053">
        <f t="shared" si="16"/>
        <v>0</v>
      </c>
      <c r="O8" s="1118">
        <f t="shared" ref="O8:O71" si="22">-N8*$O$4</f>
        <v>0</v>
      </c>
      <c r="P8" s="1053">
        <f t="shared" ref="P8:P71" si="23">SUM(N8:O8)</f>
        <v>0</v>
      </c>
      <c r="Q8" s="1053"/>
      <c r="R8" s="1053">
        <f t="shared" ref="R8:R71" si="24">SUM(P8:Q8)</f>
        <v>0</v>
      </c>
      <c r="S8" s="1053">
        <f t="shared" ref="S8:S71" si="25">ROUND(R8/12,0)</f>
        <v>0</v>
      </c>
      <c r="T8" s="1054">
        <f t="shared" ref="T8:T71" si="26">K8+R8</f>
        <v>0</v>
      </c>
      <c r="U8" s="1054">
        <f t="shared" ref="U8:U70" si="27">L8+S8</f>
        <v>0</v>
      </c>
    </row>
    <row r="9" spans="1:21" ht="12.75" customHeight="1">
      <c r="A9" s="994">
        <v>3</v>
      </c>
      <c r="B9" s="995" t="s">
        <v>97</v>
      </c>
      <c r="C9" s="996">
        <f>'[2]ALL-Reformatted'!K8</f>
        <v>0</v>
      </c>
      <c r="D9" s="997">
        <f>'Table 3 Levels 1&amp;2'!BN11+'Table 3 Levels 1&amp;2'!BV11</f>
        <v>4186.9626187036429</v>
      </c>
      <c r="E9" s="1100">
        <f t="shared" si="14"/>
        <v>0</v>
      </c>
      <c r="F9" s="1100">
        <f t="shared" si="17"/>
        <v>0</v>
      </c>
      <c r="G9" s="1052">
        <f t="shared" si="15"/>
        <v>0</v>
      </c>
      <c r="H9" s="1110">
        <f t="shared" si="18"/>
        <v>0</v>
      </c>
      <c r="I9" s="1052">
        <f t="shared" si="19"/>
        <v>0</v>
      </c>
      <c r="J9" s="1052"/>
      <c r="K9" s="1052">
        <f t="shared" si="20"/>
        <v>0</v>
      </c>
      <c r="L9" s="1052">
        <f t="shared" si="21"/>
        <v>0</v>
      </c>
      <c r="M9" s="1051">
        <f>'[18]FY2012-13 Final'!K10</f>
        <v>4966</v>
      </c>
      <c r="N9" s="1053">
        <f t="shared" si="16"/>
        <v>0</v>
      </c>
      <c r="O9" s="1118">
        <f t="shared" si="22"/>
        <v>0</v>
      </c>
      <c r="P9" s="1053">
        <f t="shared" si="23"/>
        <v>0</v>
      </c>
      <c r="Q9" s="1053"/>
      <c r="R9" s="1053">
        <f t="shared" si="24"/>
        <v>0</v>
      </c>
      <c r="S9" s="1053">
        <f t="shared" si="25"/>
        <v>0</v>
      </c>
      <c r="T9" s="1054">
        <f t="shared" si="26"/>
        <v>0</v>
      </c>
      <c r="U9" s="1054">
        <f t="shared" si="27"/>
        <v>0</v>
      </c>
    </row>
    <row r="10" spans="1:21" ht="12.75" customHeight="1">
      <c r="A10" s="994">
        <v>4</v>
      </c>
      <c r="B10" s="995" t="s">
        <v>98</v>
      </c>
      <c r="C10" s="996">
        <f>'[2]ALL-Reformatted'!K9</f>
        <v>0</v>
      </c>
      <c r="D10" s="997">
        <f>'Table 3 Levels 1&amp;2'!BN12+'Table 3 Levels 1&amp;2'!BV12</f>
        <v>5918.8798759182582</v>
      </c>
      <c r="E10" s="1100">
        <f t="shared" si="14"/>
        <v>0</v>
      </c>
      <c r="F10" s="1100">
        <f t="shared" si="17"/>
        <v>0</v>
      </c>
      <c r="G10" s="1052">
        <f t="shared" si="15"/>
        <v>0</v>
      </c>
      <c r="H10" s="1110">
        <f t="shared" si="18"/>
        <v>0</v>
      </c>
      <c r="I10" s="1052">
        <f t="shared" si="19"/>
        <v>0</v>
      </c>
      <c r="J10" s="1052"/>
      <c r="K10" s="1052">
        <f t="shared" si="20"/>
        <v>0</v>
      </c>
      <c r="L10" s="1052">
        <f t="shared" si="21"/>
        <v>0</v>
      </c>
      <c r="M10" s="1051">
        <f>'[18]FY2012-13 Final'!K11</f>
        <v>3445</v>
      </c>
      <c r="N10" s="1053">
        <f t="shared" si="16"/>
        <v>0</v>
      </c>
      <c r="O10" s="1118">
        <f t="shared" si="22"/>
        <v>0</v>
      </c>
      <c r="P10" s="1053">
        <f t="shared" si="23"/>
        <v>0</v>
      </c>
      <c r="Q10" s="1053"/>
      <c r="R10" s="1053">
        <f t="shared" si="24"/>
        <v>0</v>
      </c>
      <c r="S10" s="1053">
        <f t="shared" si="25"/>
        <v>0</v>
      </c>
      <c r="T10" s="1054">
        <f t="shared" si="26"/>
        <v>0</v>
      </c>
      <c r="U10" s="1054">
        <f t="shared" si="27"/>
        <v>0</v>
      </c>
    </row>
    <row r="11" spans="1:21">
      <c r="A11" s="998">
        <v>5</v>
      </c>
      <c r="B11" s="999" t="s">
        <v>99</v>
      </c>
      <c r="C11" s="1000">
        <f>'[2]ALL-Reformatted'!K10</f>
        <v>0</v>
      </c>
      <c r="D11" s="1001">
        <f>'Table 3 Levels 1&amp;2'!BN13+'Table 3 Levels 1&amp;2'!BV13</f>
        <v>4880.3484353147733</v>
      </c>
      <c r="E11" s="1101">
        <f t="shared" si="14"/>
        <v>0</v>
      </c>
      <c r="F11" s="1101">
        <f t="shared" si="17"/>
        <v>0</v>
      </c>
      <c r="G11" s="1055">
        <f t="shared" si="15"/>
        <v>0</v>
      </c>
      <c r="H11" s="1111">
        <f t="shared" si="18"/>
        <v>0</v>
      </c>
      <c r="I11" s="1055">
        <f t="shared" si="19"/>
        <v>0</v>
      </c>
      <c r="J11" s="1055"/>
      <c r="K11" s="1055">
        <f t="shared" si="20"/>
        <v>0</v>
      </c>
      <c r="L11" s="1055">
        <f t="shared" si="21"/>
        <v>0</v>
      </c>
      <c r="M11" s="1056">
        <f>'[18]FY2012-13 Final'!K12</f>
        <v>1353</v>
      </c>
      <c r="N11" s="1057">
        <f t="shared" si="16"/>
        <v>0</v>
      </c>
      <c r="O11" s="1119">
        <f t="shared" si="22"/>
        <v>0</v>
      </c>
      <c r="P11" s="1057">
        <f t="shared" si="23"/>
        <v>0</v>
      </c>
      <c r="Q11" s="1057"/>
      <c r="R11" s="1057">
        <f t="shared" si="24"/>
        <v>0</v>
      </c>
      <c r="S11" s="1057">
        <f t="shared" si="25"/>
        <v>0</v>
      </c>
      <c r="T11" s="1058">
        <f t="shared" si="26"/>
        <v>0</v>
      </c>
      <c r="U11" s="1058">
        <f t="shared" si="27"/>
        <v>0</v>
      </c>
    </row>
    <row r="12" spans="1:21" ht="12.75" customHeight="1">
      <c r="A12" s="987">
        <v>6</v>
      </c>
      <c r="B12" s="988" t="s">
        <v>100</v>
      </c>
      <c r="C12" s="989">
        <f>'[2]ALL-Reformatted'!K11</f>
        <v>0</v>
      </c>
      <c r="D12" s="990">
        <f>'Table 3 Levels 1&amp;2'!BN14+'Table 3 Levels 1&amp;2'!BV14</f>
        <v>5379.7759718479856</v>
      </c>
      <c r="E12" s="1099">
        <f t="shared" si="14"/>
        <v>0</v>
      </c>
      <c r="F12" s="1099">
        <f t="shared" si="17"/>
        <v>0</v>
      </c>
      <c r="G12" s="991">
        <f t="shared" si="15"/>
        <v>0</v>
      </c>
      <c r="H12" s="1109">
        <f t="shared" si="18"/>
        <v>0</v>
      </c>
      <c r="I12" s="991">
        <f t="shared" si="19"/>
        <v>0</v>
      </c>
      <c r="J12" s="991"/>
      <c r="K12" s="991">
        <f t="shared" si="20"/>
        <v>0</v>
      </c>
      <c r="L12" s="991">
        <f t="shared" si="21"/>
        <v>0</v>
      </c>
      <c r="M12" s="1051">
        <f>'[18]FY2012-13 Final'!K13</f>
        <v>3576</v>
      </c>
      <c r="N12" s="992">
        <f t="shared" si="16"/>
        <v>0</v>
      </c>
      <c r="O12" s="1117">
        <f t="shared" si="22"/>
        <v>0</v>
      </c>
      <c r="P12" s="992">
        <f t="shared" si="23"/>
        <v>0</v>
      </c>
      <c r="Q12" s="992"/>
      <c r="R12" s="992">
        <f t="shared" si="24"/>
        <v>0</v>
      </c>
      <c r="S12" s="992">
        <f t="shared" si="25"/>
        <v>0</v>
      </c>
      <c r="T12" s="993">
        <f t="shared" si="26"/>
        <v>0</v>
      </c>
      <c r="U12" s="993">
        <f t="shared" si="27"/>
        <v>0</v>
      </c>
    </row>
    <row r="13" spans="1:21">
      <c r="A13" s="994">
        <v>7</v>
      </c>
      <c r="B13" s="995" t="s">
        <v>101</v>
      </c>
      <c r="C13" s="996">
        <f>'[2]ALL-Reformatted'!K12</f>
        <v>0</v>
      </c>
      <c r="D13" s="997">
        <f>'Table 3 Levels 1&amp;2'!BN15+'Table 3 Levels 1&amp;2'!BV15</f>
        <v>1698.1351763907733</v>
      </c>
      <c r="E13" s="1100">
        <f t="shared" si="14"/>
        <v>0</v>
      </c>
      <c r="F13" s="1100">
        <f t="shared" si="17"/>
        <v>0</v>
      </c>
      <c r="G13" s="1052">
        <f t="shared" si="15"/>
        <v>0</v>
      </c>
      <c r="H13" s="1110">
        <f t="shared" si="18"/>
        <v>0</v>
      </c>
      <c r="I13" s="1052">
        <f t="shared" si="19"/>
        <v>0</v>
      </c>
      <c r="J13" s="1052"/>
      <c r="K13" s="1052">
        <f t="shared" si="20"/>
        <v>0</v>
      </c>
      <c r="L13" s="1052">
        <f t="shared" si="21"/>
        <v>0</v>
      </c>
      <c r="M13" s="1051">
        <f>'[18]FY2012-13 Final'!K14</f>
        <v>12465</v>
      </c>
      <c r="N13" s="1053">
        <f t="shared" si="16"/>
        <v>0</v>
      </c>
      <c r="O13" s="1118">
        <f t="shared" si="22"/>
        <v>0</v>
      </c>
      <c r="P13" s="1053">
        <f t="shared" si="23"/>
        <v>0</v>
      </c>
      <c r="Q13" s="1053"/>
      <c r="R13" s="1053">
        <f t="shared" si="24"/>
        <v>0</v>
      </c>
      <c r="S13" s="1053">
        <f t="shared" si="25"/>
        <v>0</v>
      </c>
      <c r="T13" s="1054">
        <f t="shared" si="26"/>
        <v>0</v>
      </c>
      <c r="U13" s="1054">
        <f t="shared" si="27"/>
        <v>0</v>
      </c>
    </row>
    <row r="14" spans="1:21">
      <c r="A14" s="994">
        <v>8</v>
      </c>
      <c r="B14" s="995" t="s">
        <v>102</v>
      </c>
      <c r="C14" s="996">
        <f>'[2]ALL-Reformatted'!K13</f>
        <v>0</v>
      </c>
      <c r="D14" s="997">
        <f>'Table 3 Levels 1&amp;2'!BN16+'Table 3 Levels 1&amp;2'!BV16</f>
        <v>4239.8578920718974</v>
      </c>
      <c r="E14" s="1100">
        <f t="shared" si="14"/>
        <v>0</v>
      </c>
      <c r="F14" s="1100">
        <f t="shared" si="17"/>
        <v>0</v>
      </c>
      <c r="G14" s="1052">
        <f t="shared" si="15"/>
        <v>0</v>
      </c>
      <c r="H14" s="1110">
        <f t="shared" si="18"/>
        <v>0</v>
      </c>
      <c r="I14" s="1052">
        <f t="shared" si="19"/>
        <v>0</v>
      </c>
      <c r="J14" s="1052"/>
      <c r="K14" s="1052">
        <f t="shared" si="20"/>
        <v>0</v>
      </c>
      <c r="L14" s="1052">
        <f t="shared" si="21"/>
        <v>0</v>
      </c>
      <c r="M14" s="1051">
        <f>'[18]FY2012-13 Final'!K15</f>
        <v>4184</v>
      </c>
      <c r="N14" s="1053">
        <f t="shared" si="16"/>
        <v>0</v>
      </c>
      <c r="O14" s="1118">
        <f t="shared" si="22"/>
        <v>0</v>
      </c>
      <c r="P14" s="1053">
        <f t="shared" si="23"/>
        <v>0</v>
      </c>
      <c r="Q14" s="1053"/>
      <c r="R14" s="1053">
        <f t="shared" si="24"/>
        <v>0</v>
      </c>
      <c r="S14" s="1053">
        <f t="shared" si="25"/>
        <v>0</v>
      </c>
      <c r="T14" s="1054">
        <f t="shared" si="26"/>
        <v>0</v>
      </c>
      <c r="U14" s="1054">
        <f t="shared" si="27"/>
        <v>0</v>
      </c>
    </row>
    <row r="15" spans="1:21">
      <c r="A15" s="994">
        <v>9</v>
      </c>
      <c r="B15" s="995" t="s">
        <v>103</v>
      </c>
      <c r="C15" s="996">
        <f>'[2]ALL-Reformatted'!K14</f>
        <v>0</v>
      </c>
      <c r="D15" s="997">
        <f>'Table 3 Levels 1&amp;2'!BN17+'Table 3 Levels 1&amp;2'!BV17</f>
        <v>4361.2752875373017</v>
      </c>
      <c r="E15" s="1100">
        <f t="shared" si="14"/>
        <v>0</v>
      </c>
      <c r="F15" s="1100">
        <f t="shared" si="17"/>
        <v>0</v>
      </c>
      <c r="G15" s="1052">
        <f t="shared" si="15"/>
        <v>0</v>
      </c>
      <c r="H15" s="1110">
        <f t="shared" si="18"/>
        <v>0</v>
      </c>
      <c r="I15" s="1052">
        <f t="shared" si="19"/>
        <v>0</v>
      </c>
      <c r="J15" s="1052"/>
      <c r="K15" s="1052">
        <f t="shared" si="20"/>
        <v>0</v>
      </c>
      <c r="L15" s="1052">
        <f t="shared" si="21"/>
        <v>0</v>
      </c>
      <c r="M15" s="1051">
        <f>'[18]FY2012-13 Final'!K16</f>
        <v>4640</v>
      </c>
      <c r="N15" s="1053">
        <f t="shared" si="16"/>
        <v>0</v>
      </c>
      <c r="O15" s="1118">
        <f t="shared" si="22"/>
        <v>0</v>
      </c>
      <c r="P15" s="1053">
        <f t="shared" si="23"/>
        <v>0</v>
      </c>
      <c r="Q15" s="1053"/>
      <c r="R15" s="1053">
        <f t="shared" si="24"/>
        <v>0</v>
      </c>
      <c r="S15" s="1053">
        <f t="shared" si="25"/>
        <v>0</v>
      </c>
      <c r="T15" s="1054">
        <f t="shared" si="26"/>
        <v>0</v>
      </c>
      <c r="U15" s="1054">
        <f t="shared" si="27"/>
        <v>0</v>
      </c>
    </row>
    <row r="16" spans="1:21">
      <c r="A16" s="998">
        <v>10</v>
      </c>
      <c r="B16" s="999" t="s">
        <v>104</v>
      </c>
      <c r="C16" s="1000">
        <f>'[2]ALL-Reformatted'!K15</f>
        <v>0</v>
      </c>
      <c r="D16" s="1001">
        <f>'Table 3 Levels 1&amp;2'!BN18+'Table 3 Levels 1&amp;2'!BV18</f>
        <v>4179.4641652904756</v>
      </c>
      <c r="E16" s="1101">
        <f t="shared" si="14"/>
        <v>0</v>
      </c>
      <c r="F16" s="1101">
        <f t="shared" si="17"/>
        <v>0</v>
      </c>
      <c r="G16" s="1055">
        <f t="shared" si="15"/>
        <v>0</v>
      </c>
      <c r="H16" s="1111">
        <f t="shared" si="18"/>
        <v>0</v>
      </c>
      <c r="I16" s="1055">
        <f t="shared" si="19"/>
        <v>0</v>
      </c>
      <c r="J16" s="1055"/>
      <c r="K16" s="1055">
        <f t="shared" si="20"/>
        <v>0</v>
      </c>
      <c r="L16" s="1055">
        <f t="shared" si="21"/>
        <v>0</v>
      </c>
      <c r="M16" s="1056">
        <f>'[18]FY2012-13 Final'!K17</f>
        <v>4391</v>
      </c>
      <c r="N16" s="1057">
        <f t="shared" si="16"/>
        <v>0</v>
      </c>
      <c r="O16" s="1119">
        <f t="shared" si="22"/>
        <v>0</v>
      </c>
      <c r="P16" s="1057">
        <f t="shared" si="23"/>
        <v>0</v>
      </c>
      <c r="Q16" s="1057"/>
      <c r="R16" s="1057">
        <f t="shared" si="24"/>
        <v>0</v>
      </c>
      <c r="S16" s="1057">
        <f t="shared" si="25"/>
        <v>0</v>
      </c>
      <c r="T16" s="1058">
        <f t="shared" si="26"/>
        <v>0</v>
      </c>
      <c r="U16" s="1058">
        <f t="shared" si="27"/>
        <v>0</v>
      </c>
    </row>
    <row r="17" spans="1:21">
      <c r="A17" s="987">
        <v>11</v>
      </c>
      <c r="B17" s="988" t="s">
        <v>105</v>
      </c>
      <c r="C17" s="989">
        <f>'[2]ALL-Reformatted'!K16</f>
        <v>0</v>
      </c>
      <c r="D17" s="990">
        <f>'Table 3 Levels 1&amp;2'!BN19+'Table 3 Levels 1&amp;2'!BV19</f>
        <v>6825.0221851487568</v>
      </c>
      <c r="E17" s="1099">
        <f t="shared" si="14"/>
        <v>0</v>
      </c>
      <c r="F17" s="1099">
        <f t="shared" si="17"/>
        <v>0</v>
      </c>
      <c r="G17" s="991">
        <f t="shared" si="15"/>
        <v>0</v>
      </c>
      <c r="H17" s="1109">
        <f t="shared" si="18"/>
        <v>0</v>
      </c>
      <c r="I17" s="991">
        <f t="shared" si="19"/>
        <v>0</v>
      </c>
      <c r="J17" s="991"/>
      <c r="K17" s="991">
        <f t="shared" si="20"/>
        <v>0</v>
      </c>
      <c r="L17" s="991">
        <f t="shared" si="21"/>
        <v>0</v>
      </c>
      <c r="M17" s="1051">
        <f>'[18]FY2012-13 Final'!K18</f>
        <v>3430</v>
      </c>
      <c r="N17" s="992">
        <f t="shared" si="16"/>
        <v>0</v>
      </c>
      <c r="O17" s="1117">
        <f t="shared" si="22"/>
        <v>0</v>
      </c>
      <c r="P17" s="992">
        <f t="shared" si="23"/>
        <v>0</v>
      </c>
      <c r="Q17" s="992"/>
      <c r="R17" s="992">
        <f t="shared" si="24"/>
        <v>0</v>
      </c>
      <c r="S17" s="992">
        <f t="shared" si="25"/>
        <v>0</v>
      </c>
      <c r="T17" s="993">
        <f t="shared" si="26"/>
        <v>0</v>
      </c>
      <c r="U17" s="993">
        <f t="shared" si="27"/>
        <v>0</v>
      </c>
    </row>
    <row r="18" spans="1:21">
      <c r="A18" s="994">
        <v>12</v>
      </c>
      <c r="B18" s="995" t="s">
        <v>106</v>
      </c>
      <c r="C18" s="996">
        <f>'[2]ALL-Reformatted'!K17</f>
        <v>0</v>
      </c>
      <c r="D18" s="997">
        <f>'Table 3 Levels 1&amp;2'!BN20+'Table 3 Levels 1&amp;2'!BV20</f>
        <v>1688.0492586490939</v>
      </c>
      <c r="E18" s="1100">
        <f t="shared" si="14"/>
        <v>0</v>
      </c>
      <c r="F18" s="1100">
        <f t="shared" si="17"/>
        <v>0</v>
      </c>
      <c r="G18" s="1052">
        <f t="shared" si="15"/>
        <v>0</v>
      </c>
      <c r="H18" s="1110">
        <f t="shared" si="18"/>
        <v>0</v>
      </c>
      <c r="I18" s="1052">
        <f t="shared" si="19"/>
        <v>0</v>
      </c>
      <c r="J18" s="1052"/>
      <c r="K18" s="1052">
        <f t="shared" si="20"/>
        <v>0</v>
      </c>
      <c r="L18" s="1052">
        <f t="shared" si="21"/>
        <v>0</v>
      </c>
      <c r="M18" s="1051">
        <f>'[18]FY2012-13 Final'!K19</f>
        <v>12558</v>
      </c>
      <c r="N18" s="1053">
        <f t="shared" si="16"/>
        <v>0</v>
      </c>
      <c r="O18" s="1118">
        <f t="shared" si="22"/>
        <v>0</v>
      </c>
      <c r="P18" s="1053">
        <f t="shared" si="23"/>
        <v>0</v>
      </c>
      <c r="Q18" s="1053"/>
      <c r="R18" s="1053">
        <f t="shared" si="24"/>
        <v>0</v>
      </c>
      <c r="S18" s="1053">
        <f t="shared" si="25"/>
        <v>0</v>
      </c>
      <c r="T18" s="1054">
        <f t="shared" si="26"/>
        <v>0</v>
      </c>
      <c r="U18" s="1054">
        <f t="shared" si="27"/>
        <v>0</v>
      </c>
    </row>
    <row r="19" spans="1:21">
      <c r="A19" s="994">
        <v>13</v>
      </c>
      <c r="B19" s="995" t="s">
        <v>107</v>
      </c>
      <c r="C19" s="996">
        <f>'[2]ALL-Reformatted'!K18</f>
        <v>0</v>
      </c>
      <c r="D19" s="997">
        <f>'Table 3 Levels 1&amp;2'!BN21+'Table 3 Levels 1&amp;2'!BV21</f>
        <v>6187.1651272387344</v>
      </c>
      <c r="E19" s="1100">
        <f t="shared" si="14"/>
        <v>0</v>
      </c>
      <c r="F19" s="1100">
        <f t="shared" si="17"/>
        <v>0</v>
      </c>
      <c r="G19" s="1052">
        <f t="shared" si="15"/>
        <v>0</v>
      </c>
      <c r="H19" s="1110">
        <f t="shared" si="18"/>
        <v>0</v>
      </c>
      <c r="I19" s="1052">
        <f t="shared" si="19"/>
        <v>0</v>
      </c>
      <c r="J19" s="1052"/>
      <c r="K19" s="1052">
        <f t="shared" si="20"/>
        <v>0</v>
      </c>
      <c r="L19" s="1052">
        <f t="shared" si="21"/>
        <v>0</v>
      </c>
      <c r="M19" s="1051">
        <f>'[18]FY2012-13 Final'!K20</f>
        <v>2536</v>
      </c>
      <c r="N19" s="1053">
        <f t="shared" si="16"/>
        <v>0</v>
      </c>
      <c r="O19" s="1118">
        <f t="shared" si="22"/>
        <v>0</v>
      </c>
      <c r="P19" s="1053">
        <f t="shared" si="23"/>
        <v>0</v>
      </c>
      <c r="Q19" s="1053"/>
      <c r="R19" s="1053">
        <f t="shared" si="24"/>
        <v>0</v>
      </c>
      <c r="S19" s="1053">
        <f t="shared" si="25"/>
        <v>0</v>
      </c>
      <c r="T19" s="1054">
        <f t="shared" si="26"/>
        <v>0</v>
      </c>
      <c r="U19" s="1054">
        <f t="shared" si="27"/>
        <v>0</v>
      </c>
    </row>
    <row r="20" spans="1:21" ht="12.75" customHeight="1">
      <c r="A20" s="994">
        <v>14</v>
      </c>
      <c r="B20" s="995" t="s">
        <v>108</v>
      </c>
      <c r="C20" s="996">
        <f>'[2]ALL-Reformatted'!K19</f>
        <v>0</v>
      </c>
      <c r="D20" s="997">
        <f>'Table 3 Levels 1&amp;2'!BN22+'Table 3 Levels 1&amp;2'!BV22</f>
        <v>5339.1887414618923</v>
      </c>
      <c r="E20" s="1100">
        <f t="shared" si="14"/>
        <v>0</v>
      </c>
      <c r="F20" s="1100">
        <f t="shared" si="17"/>
        <v>0</v>
      </c>
      <c r="G20" s="1052">
        <f t="shared" si="15"/>
        <v>0</v>
      </c>
      <c r="H20" s="1110">
        <f t="shared" si="18"/>
        <v>0</v>
      </c>
      <c r="I20" s="1052">
        <f t="shared" si="19"/>
        <v>0</v>
      </c>
      <c r="J20" s="1052"/>
      <c r="K20" s="1052">
        <f t="shared" si="20"/>
        <v>0</v>
      </c>
      <c r="L20" s="1052">
        <f t="shared" si="21"/>
        <v>0</v>
      </c>
      <c r="M20" s="1051">
        <f>'[18]FY2012-13 Final'!K21</f>
        <v>3888</v>
      </c>
      <c r="N20" s="1053">
        <f t="shared" si="16"/>
        <v>0</v>
      </c>
      <c r="O20" s="1118">
        <f t="shared" si="22"/>
        <v>0</v>
      </c>
      <c r="P20" s="1053">
        <f t="shared" si="23"/>
        <v>0</v>
      </c>
      <c r="Q20" s="1053"/>
      <c r="R20" s="1053">
        <f t="shared" si="24"/>
        <v>0</v>
      </c>
      <c r="S20" s="1053">
        <f t="shared" si="25"/>
        <v>0</v>
      </c>
      <c r="T20" s="1054">
        <f t="shared" si="26"/>
        <v>0</v>
      </c>
      <c r="U20" s="1054">
        <f t="shared" si="27"/>
        <v>0</v>
      </c>
    </row>
    <row r="21" spans="1:21">
      <c r="A21" s="998">
        <v>15</v>
      </c>
      <c r="B21" s="999" t="s">
        <v>109</v>
      </c>
      <c r="C21" s="1000">
        <f>'[2]ALL-Reformatted'!K20</f>
        <v>0</v>
      </c>
      <c r="D21" s="1001">
        <f>'Table 3 Levels 1&amp;2'!BN23+'Table 3 Levels 1&amp;2'!BV23</f>
        <v>5492.5789412344011</v>
      </c>
      <c r="E21" s="1101">
        <f t="shared" si="14"/>
        <v>0</v>
      </c>
      <c r="F21" s="1101">
        <f t="shared" si="17"/>
        <v>0</v>
      </c>
      <c r="G21" s="1055">
        <f t="shared" si="15"/>
        <v>0</v>
      </c>
      <c r="H21" s="1111">
        <f t="shared" si="18"/>
        <v>0</v>
      </c>
      <c r="I21" s="1055">
        <f t="shared" si="19"/>
        <v>0</v>
      </c>
      <c r="J21" s="1055"/>
      <c r="K21" s="1055">
        <f t="shared" si="20"/>
        <v>0</v>
      </c>
      <c r="L21" s="1055">
        <f t="shared" si="21"/>
        <v>0</v>
      </c>
      <c r="M21" s="1056">
        <f>'[18]FY2012-13 Final'!K22</f>
        <v>2752</v>
      </c>
      <c r="N21" s="1057">
        <f t="shared" si="16"/>
        <v>0</v>
      </c>
      <c r="O21" s="1119">
        <f t="shared" si="22"/>
        <v>0</v>
      </c>
      <c r="P21" s="1057">
        <f t="shared" si="23"/>
        <v>0</v>
      </c>
      <c r="Q21" s="1057"/>
      <c r="R21" s="1057">
        <f t="shared" si="24"/>
        <v>0</v>
      </c>
      <c r="S21" s="1057">
        <f t="shared" si="25"/>
        <v>0</v>
      </c>
      <c r="T21" s="1058">
        <f t="shared" si="26"/>
        <v>0</v>
      </c>
      <c r="U21" s="1058">
        <f t="shared" si="27"/>
        <v>0</v>
      </c>
    </row>
    <row r="22" spans="1:21">
      <c r="A22" s="987">
        <v>16</v>
      </c>
      <c r="B22" s="988" t="s">
        <v>110</v>
      </c>
      <c r="C22" s="989">
        <f>'[2]ALL-Reformatted'!K21</f>
        <v>0</v>
      </c>
      <c r="D22" s="990">
        <f>'Table 3 Levels 1&amp;2'!BN24+'Table 3 Levels 1&amp;2'!BV24</f>
        <v>1506.1153407945151</v>
      </c>
      <c r="E22" s="1099">
        <f t="shared" si="14"/>
        <v>0</v>
      </c>
      <c r="F22" s="1099">
        <f t="shared" si="17"/>
        <v>0</v>
      </c>
      <c r="G22" s="991">
        <f t="shared" si="15"/>
        <v>0</v>
      </c>
      <c r="H22" s="1109">
        <f t="shared" si="18"/>
        <v>0</v>
      </c>
      <c r="I22" s="991">
        <f t="shared" si="19"/>
        <v>0</v>
      </c>
      <c r="J22" s="991"/>
      <c r="K22" s="991">
        <f t="shared" si="20"/>
        <v>0</v>
      </c>
      <c r="L22" s="991">
        <f t="shared" si="21"/>
        <v>0</v>
      </c>
      <c r="M22" s="1051">
        <f>'[18]FY2012-13 Final'!K23</f>
        <v>15092</v>
      </c>
      <c r="N22" s="992">
        <f t="shared" si="16"/>
        <v>0</v>
      </c>
      <c r="O22" s="1117">
        <f t="shared" si="22"/>
        <v>0</v>
      </c>
      <c r="P22" s="992">
        <f t="shared" si="23"/>
        <v>0</v>
      </c>
      <c r="Q22" s="992"/>
      <c r="R22" s="992">
        <f t="shared" si="24"/>
        <v>0</v>
      </c>
      <c r="S22" s="992">
        <f t="shared" si="25"/>
        <v>0</v>
      </c>
      <c r="T22" s="993">
        <f t="shared" si="26"/>
        <v>0</v>
      </c>
      <c r="U22" s="993">
        <f t="shared" si="27"/>
        <v>0</v>
      </c>
    </row>
    <row r="23" spans="1:21">
      <c r="A23" s="994">
        <v>17</v>
      </c>
      <c r="B23" s="995" t="s">
        <v>111</v>
      </c>
      <c r="C23" s="996">
        <f>'[2]ALL-Reformatted'!K22</f>
        <v>0</v>
      </c>
      <c r="D23" s="997">
        <f>'Table 3 Levels 1&amp;2'!BN25+'Table 3 Levels 1&amp;2'!BV25</f>
        <v>3311.610845996096</v>
      </c>
      <c r="E23" s="1100">
        <f t="shared" si="14"/>
        <v>0</v>
      </c>
      <c r="F23" s="1100">
        <f t="shared" si="17"/>
        <v>0</v>
      </c>
      <c r="G23" s="1052">
        <f t="shared" si="15"/>
        <v>0</v>
      </c>
      <c r="H23" s="1110">
        <f t="shared" si="18"/>
        <v>0</v>
      </c>
      <c r="I23" s="1052">
        <f t="shared" si="19"/>
        <v>0</v>
      </c>
      <c r="J23" s="1052"/>
      <c r="K23" s="1052">
        <f t="shared" si="20"/>
        <v>0</v>
      </c>
      <c r="L23" s="1052">
        <f t="shared" si="21"/>
        <v>0</v>
      </c>
      <c r="M23" s="1051">
        <f>'[18]FY2012-13 Final'!K24</f>
        <v>6551</v>
      </c>
      <c r="N23" s="1053">
        <f t="shared" si="16"/>
        <v>0</v>
      </c>
      <c r="O23" s="1118">
        <f t="shared" si="22"/>
        <v>0</v>
      </c>
      <c r="P23" s="1053">
        <f t="shared" si="23"/>
        <v>0</v>
      </c>
      <c r="Q23" s="1053"/>
      <c r="R23" s="1053">
        <f t="shared" si="24"/>
        <v>0</v>
      </c>
      <c r="S23" s="1053">
        <f t="shared" si="25"/>
        <v>0</v>
      </c>
      <c r="T23" s="1054">
        <f t="shared" si="26"/>
        <v>0</v>
      </c>
      <c r="U23" s="1054">
        <f t="shared" si="27"/>
        <v>0</v>
      </c>
    </row>
    <row r="24" spans="1:21">
      <c r="A24" s="994">
        <v>18</v>
      </c>
      <c r="B24" s="995" t="s">
        <v>112</v>
      </c>
      <c r="C24" s="996">
        <f>'[2]ALL-Reformatted'!K23</f>
        <v>7</v>
      </c>
      <c r="D24" s="997">
        <f>'Table 3 Levels 1&amp;2'!BN26+'Table 3 Levels 1&amp;2'!BV26</f>
        <v>5964.3490202032081</v>
      </c>
      <c r="E24" s="1100">
        <f t="shared" si="14"/>
        <v>41750.443141422453</v>
      </c>
      <c r="F24" s="1100">
        <f t="shared" si="17"/>
        <v>3689.1648089907285</v>
      </c>
      <c r="G24" s="1052">
        <f t="shared" si="15"/>
        <v>45439.607950413178</v>
      </c>
      <c r="H24" s="1110">
        <f t="shared" si="18"/>
        <v>-113.59901987603294</v>
      </c>
      <c r="I24" s="1052">
        <f t="shared" si="19"/>
        <v>45326.008930537144</v>
      </c>
      <c r="J24" s="1052"/>
      <c r="K24" s="1052">
        <f t="shared" si="20"/>
        <v>45326.008930537144</v>
      </c>
      <c r="L24" s="1052">
        <f t="shared" si="21"/>
        <v>3777</v>
      </c>
      <c r="M24" s="1051">
        <f>'[18]FY2012-13 Final'!K25</f>
        <v>2165</v>
      </c>
      <c r="N24" s="1053">
        <f t="shared" si="16"/>
        <v>15155</v>
      </c>
      <c r="O24" s="1118">
        <f t="shared" si="22"/>
        <v>-37.887500000000003</v>
      </c>
      <c r="P24" s="1053">
        <f t="shared" si="23"/>
        <v>15117.112499999999</v>
      </c>
      <c r="Q24" s="1053"/>
      <c r="R24" s="1053">
        <f t="shared" si="24"/>
        <v>15117.112499999999</v>
      </c>
      <c r="S24" s="1053">
        <f t="shared" si="25"/>
        <v>1260</v>
      </c>
      <c r="T24" s="1054">
        <f t="shared" si="26"/>
        <v>60443.12143053714</v>
      </c>
      <c r="U24" s="1054">
        <f t="shared" si="27"/>
        <v>5037</v>
      </c>
    </row>
    <row r="25" spans="1:21">
      <c r="A25" s="994">
        <v>19</v>
      </c>
      <c r="B25" s="995" t="s">
        <v>113</v>
      </c>
      <c r="C25" s="996">
        <f>'[2]ALL-Reformatted'!K24</f>
        <v>0</v>
      </c>
      <c r="D25" s="997">
        <f>'Table 3 Levels 1&amp;2'!BN27+'Table 3 Levels 1&amp;2'!BV27</f>
        <v>5283.1088158476596</v>
      </c>
      <c r="E25" s="1100">
        <f t="shared" si="14"/>
        <v>0</v>
      </c>
      <c r="F25" s="1100">
        <f t="shared" si="17"/>
        <v>0</v>
      </c>
      <c r="G25" s="1052">
        <f t="shared" si="15"/>
        <v>0</v>
      </c>
      <c r="H25" s="1110">
        <f t="shared" si="18"/>
        <v>0</v>
      </c>
      <c r="I25" s="1052">
        <f t="shared" si="19"/>
        <v>0</v>
      </c>
      <c r="J25" s="1052"/>
      <c r="K25" s="1052">
        <f t="shared" si="20"/>
        <v>0</v>
      </c>
      <c r="L25" s="1052">
        <f t="shared" si="21"/>
        <v>0</v>
      </c>
      <c r="M25" s="1051">
        <f>'[18]FY2012-13 Final'!K26</f>
        <v>2729</v>
      </c>
      <c r="N25" s="1053">
        <f t="shared" si="16"/>
        <v>0</v>
      </c>
      <c r="O25" s="1118">
        <f t="shared" si="22"/>
        <v>0</v>
      </c>
      <c r="P25" s="1053">
        <f t="shared" si="23"/>
        <v>0</v>
      </c>
      <c r="Q25" s="1053"/>
      <c r="R25" s="1053">
        <f t="shared" si="24"/>
        <v>0</v>
      </c>
      <c r="S25" s="1053">
        <f t="shared" si="25"/>
        <v>0</v>
      </c>
      <c r="T25" s="1054">
        <f t="shared" si="26"/>
        <v>0</v>
      </c>
      <c r="U25" s="1054">
        <f t="shared" si="27"/>
        <v>0</v>
      </c>
    </row>
    <row r="26" spans="1:21">
      <c r="A26" s="998">
        <v>20</v>
      </c>
      <c r="B26" s="999" t="s">
        <v>114</v>
      </c>
      <c r="C26" s="1000">
        <f>'[2]ALL-Reformatted'!K25</f>
        <v>0</v>
      </c>
      <c r="D26" s="1001">
        <f>'Table 3 Levels 1&amp;2'!BN28+'Table 3 Levels 1&amp;2'!BV28</f>
        <v>5389.6047094824808</v>
      </c>
      <c r="E26" s="1101">
        <f t="shared" si="14"/>
        <v>0</v>
      </c>
      <c r="F26" s="1101">
        <f t="shared" si="17"/>
        <v>0</v>
      </c>
      <c r="G26" s="1055">
        <f t="shared" si="15"/>
        <v>0</v>
      </c>
      <c r="H26" s="1111">
        <f t="shared" si="18"/>
        <v>0</v>
      </c>
      <c r="I26" s="1055">
        <f t="shared" si="19"/>
        <v>0</v>
      </c>
      <c r="J26" s="1055"/>
      <c r="K26" s="1055">
        <f t="shared" si="20"/>
        <v>0</v>
      </c>
      <c r="L26" s="1055">
        <f t="shared" si="21"/>
        <v>0</v>
      </c>
      <c r="M26" s="1056">
        <f>'[18]FY2012-13 Final'!K27</f>
        <v>2334</v>
      </c>
      <c r="N26" s="1057">
        <f t="shared" si="16"/>
        <v>0</v>
      </c>
      <c r="O26" s="1119">
        <f t="shared" si="22"/>
        <v>0</v>
      </c>
      <c r="P26" s="1057">
        <f t="shared" si="23"/>
        <v>0</v>
      </c>
      <c r="Q26" s="1057"/>
      <c r="R26" s="1057">
        <f t="shared" si="24"/>
        <v>0</v>
      </c>
      <c r="S26" s="1057">
        <f t="shared" si="25"/>
        <v>0</v>
      </c>
      <c r="T26" s="1058">
        <f t="shared" si="26"/>
        <v>0</v>
      </c>
      <c r="U26" s="1058">
        <f t="shared" si="27"/>
        <v>0</v>
      </c>
    </row>
    <row r="27" spans="1:21">
      <c r="A27" s="987">
        <v>21</v>
      </c>
      <c r="B27" s="988" t="s">
        <v>115</v>
      </c>
      <c r="C27" s="989">
        <f>'[2]ALL-Reformatted'!K26</f>
        <v>69</v>
      </c>
      <c r="D27" s="990">
        <f>'Table 3 Levels 1&amp;2'!BN29+'Table 3 Levels 1&amp;2'!BV29</f>
        <v>5659.8229810652783</v>
      </c>
      <c r="E27" s="1099">
        <f t="shared" si="14"/>
        <v>390527.78569350421</v>
      </c>
      <c r="F27" s="1099">
        <f t="shared" si="17"/>
        <v>36364.62454576575</v>
      </c>
      <c r="G27" s="991">
        <f t="shared" si="15"/>
        <v>426892.41023926996</v>
      </c>
      <c r="H27" s="1109">
        <f t="shared" si="18"/>
        <v>-1067.2310255981749</v>
      </c>
      <c r="I27" s="991">
        <f t="shared" si="19"/>
        <v>425825.17921367177</v>
      </c>
      <c r="J27" s="991"/>
      <c r="K27" s="991">
        <f t="shared" si="20"/>
        <v>425825.17921367177</v>
      </c>
      <c r="L27" s="991">
        <f t="shared" si="21"/>
        <v>35485</v>
      </c>
      <c r="M27" s="1051">
        <f>'[18]FY2012-13 Final'!K28</f>
        <v>2233</v>
      </c>
      <c r="N27" s="992">
        <f t="shared" si="16"/>
        <v>154077</v>
      </c>
      <c r="O27" s="1117">
        <f t="shared" si="22"/>
        <v>-385.1925</v>
      </c>
      <c r="P27" s="992">
        <f t="shared" si="23"/>
        <v>153691.8075</v>
      </c>
      <c r="Q27" s="992"/>
      <c r="R27" s="992">
        <f t="shared" si="24"/>
        <v>153691.8075</v>
      </c>
      <c r="S27" s="992">
        <f t="shared" si="25"/>
        <v>12808</v>
      </c>
      <c r="T27" s="993">
        <f t="shared" si="26"/>
        <v>579516.98671367182</v>
      </c>
      <c r="U27" s="993">
        <f t="shared" si="27"/>
        <v>48293</v>
      </c>
    </row>
    <row r="28" spans="1:21">
      <c r="A28" s="994">
        <v>22</v>
      </c>
      <c r="B28" s="995" t="s">
        <v>116</v>
      </c>
      <c r="C28" s="996">
        <f>'[2]ALL-Reformatted'!K27</f>
        <v>0</v>
      </c>
      <c r="D28" s="997">
        <f>'Table 3 Levels 1&amp;2'!BN30+'Table 3 Levels 1&amp;2'!BV30</f>
        <v>6191.1997628958306</v>
      </c>
      <c r="E28" s="1100">
        <f t="shared" si="14"/>
        <v>0</v>
      </c>
      <c r="F28" s="1100">
        <f t="shared" si="17"/>
        <v>0</v>
      </c>
      <c r="G28" s="1052">
        <f t="shared" si="15"/>
        <v>0</v>
      </c>
      <c r="H28" s="1110">
        <f t="shared" si="18"/>
        <v>0</v>
      </c>
      <c r="I28" s="1052">
        <f t="shared" si="19"/>
        <v>0</v>
      </c>
      <c r="J28" s="1052"/>
      <c r="K28" s="1052">
        <f t="shared" si="20"/>
        <v>0</v>
      </c>
      <c r="L28" s="1052">
        <f t="shared" si="21"/>
        <v>0</v>
      </c>
      <c r="M28" s="1051">
        <f>'[18]FY2012-13 Final'!K29</f>
        <v>1410</v>
      </c>
      <c r="N28" s="1053">
        <f t="shared" si="16"/>
        <v>0</v>
      </c>
      <c r="O28" s="1118">
        <f t="shared" si="22"/>
        <v>0</v>
      </c>
      <c r="P28" s="1053">
        <f t="shared" si="23"/>
        <v>0</v>
      </c>
      <c r="Q28" s="1053"/>
      <c r="R28" s="1053">
        <f t="shared" si="24"/>
        <v>0</v>
      </c>
      <c r="S28" s="1053">
        <f t="shared" si="25"/>
        <v>0</v>
      </c>
      <c r="T28" s="1054">
        <f t="shared" si="26"/>
        <v>0</v>
      </c>
      <c r="U28" s="1054">
        <f t="shared" si="27"/>
        <v>0</v>
      </c>
    </row>
    <row r="29" spans="1:21">
      <c r="A29" s="994">
        <v>23</v>
      </c>
      <c r="B29" s="995" t="s">
        <v>117</v>
      </c>
      <c r="C29" s="996">
        <f>'[2]ALL-Reformatted'!K28</f>
        <v>0</v>
      </c>
      <c r="D29" s="997">
        <f>'Table 3 Levels 1&amp;2'!BN31+'Table 3 Levels 1&amp;2'!BV31</f>
        <v>4788.2881021645453</v>
      </c>
      <c r="E29" s="1100">
        <f t="shared" si="14"/>
        <v>0</v>
      </c>
      <c r="F29" s="1100">
        <f t="shared" si="17"/>
        <v>0</v>
      </c>
      <c r="G29" s="1052">
        <f t="shared" si="15"/>
        <v>0</v>
      </c>
      <c r="H29" s="1110">
        <f t="shared" si="18"/>
        <v>0</v>
      </c>
      <c r="I29" s="1052">
        <f t="shared" si="19"/>
        <v>0</v>
      </c>
      <c r="J29" s="1052"/>
      <c r="K29" s="1052">
        <f t="shared" si="20"/>
        <v>0</v>
      </c>
      <c r="L29" s="1052">
        <f t="shared" si="21"/>
        <v>0</v>
      </c>
      <c r="M29" s="1051">
        <f>'[18]FY2012-13 Final'!K30</f>
        <v>3258</v>
      </c>
      <c r="N29" s="1053">
        <f t="shared" si="16"/>
        <v>0</v>
      </c>
      <c r="O29" s="1118">
        <f t="shared" si="22"/>
        <v>0</v>
      </c>
      <c r="P29" s="1053">
        <f t="shared" si="23"/>
        <v>0</v>
      </c>
      <c r="Q29" s="1053"/>
      <c r="R29" s="1053">
        <f t="shared" si="24"/>
        <v>0</v>
      </c>
      <c r="S29" s="1053">
        <f t="shared" si="25"/>
        <v>0</v>
      </c>
      <c r="T29" s="1054">
        <f t="shared" si="26"/>
        <v>0</v>
      </c>
      <c r="U29" s="1054">
        <f t="shared" si="27"/>
        <v>0</v>
      </c>
    </row>
    <row r="30" spans="1:21">
      <c r="A30" s="994">
        <v>24</v>
      </c>
      <c r="B30" s="995" t="s">
        <v>118</v>
      </c>
      <c r="C30" s="996">
        <f>'[2]ALL-Reformatted'!K29</f>
        <v>0</v>
      </c>
      <c r="D30" s="997">
        <f>'Table 3 Levels 1&amp;2'!BN32+'Table 3 Levels 1&amp;2'!BV32</f>
        <v>2743.328175824176</v>
      </c>
      <c r="E30" s="1100">
        <f t="shared" si="14"/>
        <v>0</v>
      </c>
      <c r="F30" s="1100">
        <f t="shared" si="17"/>
        <v>0</v>
      </c>
      <c r="G30" s="1052">
        <f t="shared" si="15"/>
        <v>0</v>
      </c>
      <c r="H30" s="1110">
        <f t="shared" si="18"/>
        <v>0</v>
      </c>
      <c r="I30" s="1052">
        <f t="shared" si="19"/>
        <v>0</v>
      </c>
      <c r="J30" s="1052"/>
      <c r="K30" s="1052">
        <f t="shared" si="20"/>
        <v>0</v>
      </c>
      <c r="L30" s="1052">
        <f t="shared" si="21"/>
        <v>0</v>
      </c>
      <c r="M30" s="1051">
        <f>'[18]FY2012-13 Final'!K31</f>
        <v>9280</v>
      </c>
      <c r="N30" s="1053">
        <f t="shared" si="16"/>
        <v>0</v>
      </c>
      <c r="O30" s="1118">
        <f t="shared" si="22"/>
        <v>0</v>
      </c>
      <c r="P30" s="1053">
        <f t="shared" si="23"/>
        <v>0</v>
      </c>
      <c r="Q30" s="1053"/>
      <c r="R30" s="1053">
        <f t="shared" si="24"/>
        <v>0</v>
      </c>
      <c r="S30" s="1053">
        <f t="shared" si="25"/>
        <v>0</v>
      </c>
      <c r="T30" s="1054">
        <f t="shared" si="26"/>
        <v>0</v>
      </c>
      <c r="U30" s="1054">
        <f t="shared" si="27"/>
        <v>0</v>
      </c>
    </row>
    <row r="31" spans="1:21">
      <c r="A31" s="998">
        <v>25</v>
      </c>
      <c r="B31" s="999" t="s">
        <v>119</v>
      </c>
      <c r="C31" s="1000">
        <f>'[2]ALL-Reformatted'!K30</f>
        <v>0</v>
      </c>
      <c r="D31" s="1001">
        <f>'Table 3 Levels 1&amp;2'!BN33+'Table 3 Levels 1&amp;2'!BV33</f>
        <v>3799.3890273447178</v>
      </c>
      <c r="E31" s="1101">
        <f t="shared" si="14"/>
        <v>0</v>
      </c>
      <c r="F31" s="1101">
        <f t="shared" si="17"/>
        <v>0</v>
      </c>
      <c r="G31" s="1055">
        <f t="shared" si="15"/>
        <v>0</v>
      </c>
      <c r="H31" s="1111">
        <f t="shared" si="18"/>
        <v>0</v>
      </c>
      <c r="I31" s="1055">
        <f t="shared" si="19"/>
        <v>0</v>
      </c>
      <c r="J31" s="1055"/>
      <c r="K31" s="1055">
        <f t="shared" si="20"/>
        <v>0</v>
      </c>
      <c r="L31" s="1055">
        <f t="shared" si="21"/>
        <v>0</v>
      </c>
      <c r="M31" s="1056">
        <f>'[18]FY2012-13 Final'!K32</f>
        <v>5351</v>
      </c>
      <c r="N31" s="1057">
        <f t="shared" si="16"/>
        <v>0</v>
      </c>
      <c r="O31" s="1119">
        <f t="shared" si="22"/>
        <v>0</v>
      </c>
      <c r="P31" s="1057">
        <f t="shared" si="23"/>
        <v>0</v>
      </c>
      <c r="Q31" s="1057"/>
      <c r="R31" s="1057">
        <f t="shared" si="24"/>
        <v>0</v>
      </c>
      <c r="S31" s="1057">
        <f t="shared" si="25"/>
        <v>0</v>
      </c>
      <c r="T31" s="1058">
        <f t="shared" si="26"/>
        <v>0</v>
      </c>
      <c r="U31" s="1058">
        <f t="shared" si="27"/>
        <v>0</v>
      </c>
    </row>
    <row r="32" spans="1:21">
      <c r="A32" s="987">
        <v>26</v>
      </c>
      <c r="B32" s="988" t="s">
        <v>120</v>
      </c>
      <c r="C32" s="989">
        <f>'[2]ALL-Reformatted'!K31</f>
        <v>0</v>
      </c>
      <c r="D32" s="990">
        <f>'Table 3 Levels 1&amp;2'!BN34+'Table 3 Levels 1&amp;2'!BV34</f>
        <v>3320.7842100822745</v>
      </c>
      <c r="E32" s="1099">
        <f t="shared" si="14"/>
        <v>0</v>
      </c>
      <c r="F32" s="1099">
        <f t="shared" si="17"/>
        <v>0</v>
      </c>
      <c r="G32" s="991">
        <f t="shared" si="15"/>
        <v>0</v>
      </c>
      <c r="H32" s="1109">
        <f t="shared" si="18"/>
        <v>0</v>
      </c>
      <c r="I32" s="991">
        <f t="shared" si="19"/>
        <v>0</v>
      </c>
      <c r="J32" s="991"/>
      <c r="K32" s="991">
        <f t="shared" si="20"/>
        <v>0</v>
      </c>
      <c r="L32" s="991">
        <f t="shared" si="21"/>
        <v>0</v>
      </c>
      <c r="M32" s="1051">
        <f>'[18]FY2012-13 Final'!K33</f>
        <v>5100</v>
      </c>
      <c r="N32" s="992">
        <f t="shared" si="16"/>
        <v>0</v>
      </c>
      <c r="O32" s="1117">
        <f t="shared" si="22"/>
        <v>0</v>
      </c>
      <c r="P32" s="992">
        <f t="shared" si="23"/>
        <v>0</v>
      </c>
      <c r="Q32" s="992"/>
      <c r="R32" s="992">
        <f t="shared" si="24"/>
        <v>0</v>
      </c>
      <c r="S32" s="992">
        <f t="shared" si="25"/>
        <v>0</v>
      </c>
      <c r="T32" s="993">
        <f t="shared" si="26"/>
        <v>0</v>
      </c>
      <c r="U32" s="993">
        <f t="shared" si="27"/>
        <v>0</v>
      </c>
    </row>
    <row r="33" spans="1:21">
      <c r="A33" s="994">
        <v>27</v>
      </c>
      <c r="B33" s="995" t="s">
        <v>121</v>
      </c>
      <c r="C33" s="1002">
        <f>'[2]ALL-Reformatted'!K32</f>
        <v>0</v>
      </c>
      <c r="D33" s="1003">
        <f>'Table 3 Levels 1&amp;2'!BN35+'Table 3 Levels 1&amp;2'!BV35</f>
        <v>5636.5919457972805</v>
      </c>
      <c r="E33" s="1102">
        <f t="shared" si="14"/>
        <v>0</v>
      </c>
      <c r="F33" s="1102">
        <f t="shared" si="17"/>
        <v>0</v>
      </c>
      <c r="G33" s="1059">
        <f t="shared" si="15"/>
        <v>0</v>
      </c>
      <c r="H33" s="1112">
        <f t="shared" si="18"/>
        <v>0</v>
      </c>
      <c r="I33" s="1059">
        <f t="shared" si="19"/>
        <v>0</v>
      </c>
      <c r="J33" s="1059"/>
      <c r="K33" s="1059">
        <f t="shared" si="20"/>
        <v>0</v>
      </c>
      <c r="L33" s="1059">
        <f t="shared" si="21"/>
        <v>0</v>
      </c>
      <c r="M33" s="1051">
        <f>'[18]FY2012-13 Final'!K34</f>
        <v>3091</v>
      </c>
      <c r="N33" s="1053">
        <f t="shared" si="16"/>
        <v>0</v>
      </c>
      <c r="O33" s="1118">
        <f t="shared" si="22"/>
        <v>0</v>
      </c>
      <c r="P33" s="1053">
        <f t="shared" si="23"/>
        <v>0</v>
      </c>
      <c r="Q33" s="1053"/>
      <c r="R33" s="1053">
        <f t="shared" si="24"/>
        <v>0</v>
      </c>
      <c r="S33" s="1053">
        <f t="shared" si="25"/>
        <v>0</v>
      </c>
      <c r="T33" s="1054">
        <f t="shared" si="26"/>
        <v>0</v>
      </c>
      <c r="U33" s="1054">
        <f t="shared" si="27"/>
        <v>0</v>
      </c>
    </row>
    <row r="34" spans="1:21">
      <c r="A34" s="994">
        <v>28</v>
      </c>
      <c r="B34" s="995" t="s">
        <v>122</v>
      </c>
      <c r="C34" s="1002">
        <f>'[2]ALL-Reformatted'!K33</f>
        <v>0</v>
      </c>
      <c r="D34" s="1003">
        <f>'Table 3 Levels 1&amp;2'!BN36+'Table 3 Levels 1&amp;2'!BV36</f>
        <v>3106.8056522508969</v>
      </c>
      <c r="E34" s="1102">
        <f t="shared" si="14"/>
        <v>0</v>
      </c>
      <c r="F34" s="1102">
        <f t="shared" si="17"/>
        <v>0</v>
      </c>
      <c r="G34" s="1059">
        <f t="shared" si="15"/>
        <v>0</v>
      </c>
      <c r="H34" s="1112">
        <f t="shared" si="18"/>
        <v>0</v>
      </c>
      <c r="I34" s="1059">
        <f t="shared" si="19"/>
        <v>0</v>
      </c>
      <c r="J34" s="1059"/>
      <c r="K34" s="1059">
        <f t="shared" si="20"/>
        <v>0</v>
      </c>
      <c r="L34" s="1059">
        <f t="shared" si="21"/>
        <v>0</v>
      </c>
      <c r="M34" s="1051">
        <f>'[18]FY2012-13 Final'!K35</f>
        <v>5323</v>
      </c>
      <c r="N34" s="1053">
        <f t="shared" si="16"/>
        <v>0</v>
      </c>
      <c r="O34" s="1118">
        <f t="shared" si="22"/>
        <v>0</v>
      </c>
      <c r="P34" s="1053">
        <f t="shared" si="23"/>
        <v>0</v>
      </c>
      <c r="Q34" s="1053"/>
      <c r="R34" s="1053">
        <f t="shared" si="24"/>
        <v>0</v>
      </c>
      <c r="S34" s="1053">
        <f t="shared" si="25"/>
        <v>0</v>
      </c>
      <c r="T34" s="1054">
        <f t="shared" si="26"/>
        <v>0</v>
      </c>
      <c r="U34" s="1054">
        <f t="shared" si="27"/>
        <v>0</v>
      </c>
    </row>
    <row r="35" spans="1:21">
      <c r="A35" s="994">
        <v>29</v>
      </c>
      <c r="B35" s="995" t="s">
        <v>123</v>
      </c>
      <c r="C35" s="1002">
        <f>'[2]ALL-Reformatted'!K34</f>
        <v>0</v>
      </c>
      <c r="D35" s="1003">
        <f>'Table 3 Levels 1&amp;2'!BN37+'Table 3 Levels 1&amp;2'!BV37</f>
        <v>3912.1846976122315</v>
      </c>
      <c r="E35" s="1102">
        <f t="shared" si="14"/>
        <v>0</v>
      </c>
      <c r="F35" s="1102">
        <f t="shared" si="17"/>
        <v>0</v>
      </c>
      <c r="G35" s="1059">
        <f t="shared" si="15"/>
        <v>0</v>
      </c>
      <c r="H35" s="1112">
        <f t="shared" si="18"/>
        <v>0</v>
      </c>
      <c r="I35" s="1059">
        <f t="shared" si="19"/>
        <v>0</v>
      </c>
      <c r="J35" s="1059"/>
      <c r="K35" s="1059">
        <f t="shared" si="20"/>
        <v>0</v>
      </c>
      <c r="L35" s="1059">
        <f t="shared" si="21"/>
        <v>0</v>
      </c>
      <c r="M35" s="1051">
        <f>'[18]FY2012-13 Final'!K36</f>
        <v>4388</v>
      </c>
      <c r="N35" s="1053">
        <f t="shared" si="16"/>
        <v>0</v>
      </c>
      <c r="O35" s="1118">
        <f t="shared" si="22"/>
        <v>0</v>
      </c>
      <c r="P35" s="1053">
        <f t="shared" si="23"/>
        <v>0</v>
      </c>
      <c r="Q35" s="1053"/>
      <c r="R35" s="1053">
        <f t="shared" si="24"/>
        <v>0</v>
      </c>
      <c r="S35" s="1053">
        <f t="shared" si="25"/>
        <v>0</v>
      </c>
      <c r="T35" s="1054">
        <f t="shared" si="26"/>
        <v>0</v>
      </c>
      <c r="U35" s="1054">
        <f t="shared" si="27"/>
        <v>0</v>
      </c>
    </row>
    <row r="36" spans="1:21">
      <c r="A36" s="998">
        <v>30</v>
      </c>
      <c r="B36" s="999" t="s">
        <v>124</v>
      </c>
      <c r="C36" s="1004">
        <f>'[2]ALL-Reformatted'!K35</f>
        <v>0</v>
      </c>
      <c r="D36" s="1005">
        <f>'Table 3 Levels 1&amp;2'!BN38+'Table 3 Levels 1&amp;2'!BV38</f>
        <v>5594.0091640611508</v>
      </c>
      <c r="E36" s="1103">
        <f t="shared" si="14"/>
        <v>0</v>
      </c>
      <c r="F36" s="1103">
        <f t="shared" si="17"/>
        <v>0</v>
      </c>
      <c r="G36" s="1060">
        <f t="shared" si="15"/>
        <v>0</v>
      </c>
      <c r="H36" s="1113">
        <f t="shared" si="18"/>
        <v>0</v>
      </c>
      <c r="I36" s="1060">
        <f t="shared" si="19"/>
        <v>0</v>
      </c>
      <c r="J36" s="1060"/>
      <c r="K36" s="1060">
        <f t="shared" si="20"/>
        <v>0</v>
      </c>
      <c r="L36" s="1060">
        <f t="shared" si="21"/>
        <v>0</v>
      </c>
      <c r="M36" s="1056">
        <f>'[18]FY2012-13 Final'!K37</f>
        <v>3702</v>
      </c>
      <c r="N36" s="1057">
        <f t="shared" si="16"/>
        <v>0</v>
      </c>
      <c r="O36" s="1119">
        <f t="shared" si="22"/>
        <v>0</v>
      </c>
      <c r="P36" s="1057">
        <f t="shared" si="23"/>
        <v>0</v>
      </c>
      <c r="Q36" s="1057"/>
      <c r="R36" s="1057">
        <f t="shared" si="24"/>
        <v>0</v>
      </c>
      <c r="S36" s="1057">
        <f t="shared" si="25"/>
        <v>0</v>
      </c>
      <c r="T36" s="1058">
        <f t="shared" si="26"/>
        <v>0</v>
      </c>
      <c r="U36" s="1058">
        <f t="shared" si="27"/>
        <v>0</v>
      </c>
    </row>
    <row r="37" spans="1:21">
      <c r="A37" s="987">
        <v>31</v>
      </c>
      <c r="B37" s="988" t="s">
        <v>125</v>
      </c>
      <c r="C37" s="1006">
        <f>'[2]ALL-Reformatted'!K36</f>
        <v>0</v>
      </c>
      <c r="D37" s="1007">
        <f>'Table 3 Levels 1&amp;2'!BN39+'Table 3 Levels 1&amp;2'!BV39</f>
        <v>4320.114188911979</v>
      </c>
      <c r="E37" s="1104">
        <f t="shared" si="14"/>
        <v>0</v>
      </c>
      <c r="F37" s="1104">
        <f t="shared" si="17"/>
        <v>0</v>
      </c>
      <c r="G37" s="1061">
        <f t="shared" si="15"/>
        <v>0</v>
      </c>
      <c r="H37" s="1114">
        <f t="shared" si="18"/>
        <v>0</v>
      </c>
      <c r="I37" s="1061">
        <f t="shared" si="19"/>
        <v>0</v>
      </c>
      <c r="J37" s="1061"/>
      <c r="K37" s="1061">
        <f t="shared" si="20"/>
        <v>0</v>
      </c>
      <c r="L37" s="1061">
        <f t="shared" si="21"/>
        <v>0</v>
      </c>
      <c r="M37" s="1051">
        <f>'[18]FY2012-13 Final'!K38</f>
        <v>4669</v>
      </c>
      <c r="N37" s="992">
        <f t="shared" si="16"/>
        <v>0</v>
      </c>
      <c r="O37" s="1117">
        <f t="shared" si="22"/>
        <v>0</v>
      </c>
      <c r="P37" s="992">
        <f t="shared" si="23"/>
        <v>0</v>
      </c>
      <c r="Q37" s="992"/>
      <c r="R37" s="992">
        <f t="shared" si="24"/>
        <v>0</v>
      </c>
      <c r="S37" s="992">
        <f t="shared" si="25"/>
        <v>0</v>
      </c>
      <c r="T37" s="993">
        <f t="shared" si="26"/>
        <v>0</v>
      </c>
      <c r="U37" s="993">
        <f t="shared" si="27"/>
        <v>0</v>
      </c>
    </row>
    <row r="38" spans="1:21">
      <c r="A38" s="994">
        <v>32</v>
      </c>
      <c r="B38" s="995" t="s">
        <v>126</v>
      </c>
      <c r="C38" s="1002">
        <f>'[2]ALL-Reformatted'!K37</f>
        <v>0</v>
      </c>
      <c r="D38" s="1003">
        <f>'Table 3 Levels 1&amp;2'!BN40+'Table 3 Levels 1&amp;2'!BV40</f>
        <v>5504.4479209353676</v>
      </c>
      <c r="E38" s="1102">
        <f t="shared" si="14"/>
        <v>0</v>
      </c>
      <c r="F38" s="1102">
        <f t="shared" si="17"/>
        <v>0</v>
      </c>
      <c r="G38" s="1059">
        <f t="shared" si="15"/>
        <v>0</v>
      </c>
      <c r="H38" s="1112">
        <f t="shared" si="18"/>
        <v>0</v>
      </c>
      <c r="I38" s="1059">
        <f t="shared" si="19"/>
        <v>0</v>
      </c>
      <c r="J38" s="1059"/>
      <c r="K38" s="1059">
        <f t="shared" si="20"/>
        <v>0</v>
      </c>
      <c r="L38" s="1059">
        <f t="shared" si="21"/>
        <v>0</v>
      </c>
      <c r="M38" s="1051">
        <f>'[18]FY2012-13 Final'!K39</f>
        <v>1965</v>
      </c>
      <c r="N38" s="1053">
        <f t="shared" si="16"/>
        <v>0</v>
      </c>
      <c r="O38" s="1118">
        <f t="shared" si="22"/>
        <v>0</v>
      </c>
      <c r="P38" s="1053">
        <f t="shared" si="23"/>
        <v>0</v>
      </c>
      <c r="Q38" s="1053"/>
      <c r="R38" s="1053">
        <f t="shared" si="24"/>
        <v>0</v>
      </c>
      <c r="S38" s="1053">
        <f t="shared" si="25"/>
        <v>0</v>
      </c>
      <c r="T38" s="1054">
        <f t="shared" si="26"/>
        <v>0</v>
      </c>
      <c r="U38" s="1054">
        <f t="shared" si="27"/>
        <v>0</v>
      </c>
    </row>
    <row r="39" spans="1:21">
      <c r="A39" s="994">
        <v>33</v>
      </c>
      <c r="B39" s="995" t="s">
        <v>127</v>
      </c>
      <c r="C39" s="1002">
        <f>'[2]ALL-Reformatted'!K38</f>
        <v>140</v>
      </c>
      <c r="D39" s="1003">
        <f>'Table 3 Levels 1&amp;2'!BN41+'Table 3 Levels 1&amp;2'!BV41</f>
        <v>5322.07272511876</v>
      </c>
      <c r="E39" s="1102">
        <f t="shared" ref="E39:E70" si="28">D39*C39</f>
        <v>745090.18151662638</v>
      </c>
      <c r="F39" s="1102">
        <f t="shared" si="17"/>
        <v>73783.29617981457</v>
      </c>
      <c r="G39" s="1059">
        <f t="shared" ref="G39:G70" si="29">E39+F39</f>
        <v>818873.477696441</v>
      </c>
      <c r="H39" s="1112">
        <f t="shared" si="18"/>
        <v>-2047.1836942411026</v>
      </c>
      <c r="I39" s="1059">
        <f t="shared" si="19"/>
        <v>816826.29400219989</v>
      </c>
      <c r="J39" s="1059"/>
      <c r="K39" s="1059">
        <f t="shared" si="20"/>
        <v>816826.29400219989</v>
      </c>
      <c r="L39" s="1059">
        <f t="shared" si="21"/>
        <v>68069</v>
      </c>
      <c r="M39" s="1051">
        <f>'[18]FY2012-13 Final'!K40</f>
        <v>2771</v>
      </c>
      <c r="N39" s="1053">
        <f t="shared" ref="N39:N70" si="30">M39*C39</f>
        <v>387940</v>
      </c>
      <c r="O39" s="1118">
        <f t="shared" si="22"/>
        <v>-969.85</v>
      </c>
      <c r="P39" s="1053">
        <f t="shared" si="23"/>
        <v>386970.15</v>
      </c>
      <c r="Q39" s="1053"/>
      <c r="R39" s="1053">
        <f t="shared" si="24"/>
        <v>386970.15</v>
      </c>
      <c r="S39" s="1053">
        <f t="shared" si="25"/>
        <v>32248</v>
      </c>
      <c r="T39" s="1054">
        <f t="shared" si="26"/>
        <v>1203796.4440021999</v>
      </c>
      <c r="U39" s="1054">
        <f t="shared" si="27"/>
        <v>100317</v>
      </c>
    </row>
    <row r="40" spans="1:21">
      <c r="A40" s="994">
        <v>34</v>
      </c>
      <c r="B40" s="995" t="s">
        <v>128</v>
      </c>
      <c r="C40" s="1002">
        <f>'[2]ALL-Reformatted'!K39</f>
        <v>2</v>
      </c>
      <c r="D40" s="1003">
        <f>'Table 3 Levels 1&amp;2'!BN42+'Table 3 Levels 1&amp;2'!BV42</f>
        <v>5959.062840731639</v>
      </c>
      <c r="E40" s="1102">
        <f t="shared" si="28"/>
        <v>11918.125681463278</v>
      </c>
      <c r="F40" s="1102">
        <f t="shared" si="17"/>
        <v>1054.0470882830652</v>
      </c>
      <c r="G40" s="1059">
        <f t="shared" si="29"/>
        <v>12972.172769746343</v>
      </c>
      <c r="H40" s="1112">
        <f t="shared" si="18"/>
        <v>-32.430431924365855</v>
      </c>
      <c r="I40" s="1059">
        <f t="shared" si="19"/>
        <v>12939.742337821977</v>
      </c>
      <c r="J40" s="1059"/>
      <c r="K40" s="1059">
        <f t="shared" si="20"/>
        <v>12939.742337821977</v>
      </c>
      <c r="L40" s="1059">
        <f t="shared" si="21"/>
        <v>1078</v>
      </c>
      <c r="M40" s="1051">
        <f>'[18]FY2012-13 Final'!K41</f>
        <v>2758</v>
      </c>
      <c r="N40" s="1053">
        <f t="shared" si="30"/>
        <v>5516</v>
      </c>
      <c r="O40" s="1118">
        <f t="shared" si="22"/>
        <v>-13.790000000000001</v>
      </c>
      <c r="P40" s="1053">
        <f t="shared" si="23"/>
        <v>5502.21</v>
      </c>
      <c r="Q40" s="1053"/>
      <c r="R40" s="1053">
        <f t="shared" si="24"/>
        <v>5502.21</v>
      </c>
      <c r="S40" s="1053">
        <f t="shared" si="25"/>
        <v>459</v>
      </c>
      <c r="T40" s="1054">
        <f t="shared" si="26"/>
        <v>18441.952337821978</v>
      </c>
      <c r="U40" s="1054">
        <f t="shared" si="27"/>
        <v>1537</v>
      </c>
    </row>
    <row r="41" spans="1:21">
      <c r="A41" s="998">
        <v>35</v>
      </c>
      <c r="B41" s="999" t="s">
        <v>129</v>
      </c>
      <c r="C41" s="1004">
        <f>'[2]ALL-Reformatted'!K40</f>
        <v>0</v>
      </c>
      <c r="D41" s="1005">
        <f>'Table 3 Levels 1&amp;2'!BN43+'Table 3 Levels 1&amp;2'!BV43</f>
        <v>4571.947611490059</v>
      </c>
      <c r="E41" s="1103">
        <f t="shared" si="28"/>
        <v>0</v>
      </c>
      <c r="F41" s="1103">
        <f t="shared" si="17"/>
        <v>0</v>
      </c>
      <c r="G41" s="1060">
        <f t="shared" si="29"/>
        <v>0</v>
      </c>
      <c r="H41" s="1113">
        <f t="shared" si="18"/>
        <v>0</v>
      </c>
      <c r="I41" s="1060">
        <f t="shared" si="19"/>
        <v>0</v>
      </c>
      <c r="J41" s="1060"/>
      <c r="K41" s="1060">
        <f t="shared" si="20"/>
        <v>0</v>
      </c>
      <c r="L41" s="1060">
        <f t="shared" si="21"/>
        <v>0</v>
      </c>
      <c r="M41" s="1056">
        <f>'[18]FY2012-13 Final'!K42</f>
        <v>3603</v>
      </c>
      <c r="N41" s="1057">
        <f t="shared" si="30"/>
        <v>0</v>
      </c>
      <c r="O41" s="1119">
        <f t="shared" si="22"/>
        <v>0</v>
      </c>
      <c r="P41" s="1057">
        <f t="shared" si="23"/>
        <v>0</v>
      </c>
      <c r="Q41" s="1057"/>
      <c r="R41" s="1057">
        <f t="shared" si="24"/>
        <v>0</v>
      </c>
      <c r="S41" s="1057">
        <f t="shared" si="25"/>
        <v>0</v>
      </c>
      <c r="T41" s="1058">
        <f t="shared" si="26"/>
        <v>0</v>
      </c>
      <c r="U41" s="1058">
        <f t="shared" si="27"/>
        <v>0</v>
      </c>
    </row>
    <row r="42" spans="1:21">
      <c r="A42" s="987">
        <v>36</v>
      </c>
      <c r="B42" s="988" t="s">
        <v>130</v>
      </c>
      <c r="C42" s="1006">
        <f>'[2]ALL-Reformatted'!K41</f>
        <v>0</v>
      </c>
      <c r="D42" s="1007">
        <f>'Table 3 Levels 1&amp;2'!BN44+'Table 3 Levels 1&amp;2'!BV44</f>
        <v>3666.4136012725312</v>
      </c>
      <c r="E42" s="1104">
        <f t="shared" si="28"/>
        <v>0</v>
      </c>
      <c r="F42" s="1104">
        <f t="shared" si="17"/>
        <v>0</v>
      </c>
      <c r="G42" s="1061">
        <f t="shared" si="29"/>
        <v>0</v>
      </c>
      <c r="H42" s="1114">
        <f t="shared" si="18"/>
        <v>0</v>
      </c>
      <c r="I42" s="1061">
        <f t="shared" si="19"/>
        <v>0</v>
      </c>
      <c r="J42" s="1061"/>
      <c r="K42" s="1061">
        <f t="shared" si="20"/>
        <v>0</v>
      </c>
      <c r="L42" s="1061">
        <f t="shared" si="21"/>
        <v>0</v>
      </c>
      <c r="M42" s="1051">
        <f>'[18]FY2012-13 Final'!K43</f>
        <v>4601</v>
      </c>
      <c r="N42" s="992">
        <f t="shared" si="30"/>
        <v>0</v>
      </c>
      <c r="O42" s="1117">
        <f t="shared" si="22"/>
        <v>0</v>
      </c>
      <c r="P42" s="992">
        <f t="shared" si="23"/>
        <v>0</v>
      </c>
      <c r="Q42" s="992"/>
      <c r="R42" s="992">
        <f t="shared" si="24"/>
        <v>0</v>
      </c>
      <c r="S42" s="992">
        <f t="shared" si="25"/>
        <v>0</v>
      </c>
      <c r="T42" s="993">
        <f t="shared" si="26"/>
        <v>0</v>
      </c>
      <c r="U42" s="993">
        <f t="shared" si="27"/>
        <v>0</v>
      </c>
    </row>
    <row r="43" spans="1:21">
      <c r="A43" s="994">
        <v>37</v>
      </c>
      <c r="B43" s="995" t="s">
        <v>131</v>
      </c>
      <c r="C43" s="1002">
        <f>'[2]ALL-Reformatted'!K42</f>
        <v>3</v>
      </c>
      <c r="D43" s="1003">
        <f>'Table 3 Levels 1&amp;2'!BN45+'Table 3 Levels 1&amp;2'!BV45</f>
        <v>5484.8089042263191</v>
      </c>
      <c r="E43" s="1102">
        <f t="shared" si="28"/>
        <v>16454.426712678956</v>
      </c>
      <c r="F43" s="1102">
        <f t="shared" si="17"/>
        <v>1581.070632424598</v>
      </c>
      <c r="G43" s="1059">
        <f t="shared" si="29"/>
        <v>18035.497345103555</v>
      </c>
      <c r="H43" s="1112">
        <f t="shared" si="18"/>
        <v>-45.08874336275889</v>
      </c>
      <c r="I43" s="1059">
        <f t="shared" si="19"/>
        <v>17990.408601740797</v>
      </c>
      <c r="J43" s="1059"/>
      <c r="K43" s="1059">
        <f t="shared" si="20"/>
        <v>17990.408601740797</v>
      </c>
      <c r="L43" s="1059">
        <f t="shared" si="21"/>
        <v>1499</v>
      </c>
      <c r="M43" s="1051">
        <f>'[18]FY2012-13 Final'!K44</f>
        <v>3099</v>
      </c>
      <c r="N43" s="1053">
        <f t="shared" si="30"/>
        <v>9297</v>
      </c>
      <c r="O43" s="1118">
        <f t="shared" si="22"/>
        <v>-23.2425</v>
      </c>
      <c r="P43" s="1053">
        <f t="shared" si="23"/>
        <v>9273.7574999999997</v>
      </c>
      <c r="Q43" s="1053"/>
      <c r="R43" s="1053">
        <f t="shared" si="24"/>
        <v>9273.7574999999997</v>
      </c>
      <c r="S43" s="1053">
        <f t="shared" si="25"/>
        <v>773</v>
      </c>
      <c r="T43" s="1054">
        <f t="shared" si="26"/>
        <v>27264.166101740797</v>
      </c>
      <c r="U43" s="1054">
        <f t="shared" si="27"/>
        <v>2272</v>
      </c>
    </row>
    <row r="44" spans="1:21">
      <c r="A44" s="994">
        <v>38</v>
      </c>
      <c r="B44" s="995" t="s">
        <v>132</v>
      </c>
      <c r="C44" s="1002">
        <f>'[2]ALL-Reformatted'!K43</f>
        <v>0</v>
      </c>
      <c r="D44" s="1003">
        <f>'Table 3 Levels 1&amp;2'!BN46+'Table 3 Levels 1&amp;2'!BV46</f>
        <v>2078.5917829727841</v>
      </c>
      <c r="E44" s="1102">
        <f t="shared" si="28"/>
        <v>0</v>
      </c>
      <c r="F44" s="1102">
        <f t="shared" si="17"/>
        <v>0</v>
      </c>
      <c r="G44" s="1059">
        <f t="shared" si="29"/>
        <v>0</v>
      </c>
      <c r="H44" s="1112">
        <f t="shared" si="18"/>
        <v>0</v>
      </c>
      <c r="I44" s="1059">
        <f t="shared" si="19"/>
        <v>0</v>
      </c>
      <c r="J44" s="1059"/>
      <c r="K44" s="1059">
        <f t="shared" si="20"/>
        <v>0</v>
      </c>
      <c r="L44" s="1059">
        <f t="shared" si="21"/>
        <v>0</v>
      </c>
      <c r="M44" s="1051">
        <f>'[18]FY2012-13 Final'!K45</f>
        <v>9674</v>
      </c>
      <c r="N44" s="1053">
        <f t="shared" si="30"/>
        <v>0</v>
      </c>
      <c r="O44" s="1118">
        <f t="shared" si="22"/>
        <v>0</v>
      </c>
      <c r="P44" s="1053">
        <f t="shared" si="23"/>
        <v>0</v>
      </c>
      <c r="Q44" s="1053"/>
      <c r="R44" s="1053">
        <f t="shared" si="24"/>
        <v>0</v>
      </c>
      <c r="S44" s="1053">
        <f t="shared" si="25"/>
        <v>0</v>
      </c>
      <c r="T44" s="1054">
        <f t="shared" si="26"/>
        <v>0</v>
      </c>
      <c r="U44" s="1054">
        <f t="shared" si="27"/>
        <v>0</v>
      </c>
    </row>
    <row r="45" spans="1:21">
      <c r="A45" s="994">
        <v>39</v>
      </c>
      <c r="B45" s="995" t="s">
        <v>133</v>
      </c>
      <c r="C45" s="1002">
        <f>'[2]ALL-Reformatted'!K44</f>
        <v>0</v>
      </c>
      <c r="D45" s="1003">
        <f>'Table 3 Levels 1&amp;2'!BN47+'Table 3 Levels 1&amp;2'!BV47</f>
        <v>3622.4878999042335</v>
      </c>
      <c r="E45" s="1102">
        <f t="shared" si="28"/>
        <v>0</v>
      </c>
      <c r="F45" s="1102">
        <f t="shared" si="17"/>
        <v>0</v>
      </c>
      <c r="G45" s="1059">
        <f t="shared" si="29"/>
        <v>0</v>
      </c>
      <c r="H45" s="1112">
        <f t="shared" si="18"/>
        <v>0</v>
      </c>
      <c r="I45" s="1059">
        <f t="shared" si="19"/>
        <v>0</v>
      </c>
      <c r="J45" s="1059"/>
      <c r="K45" s="1059">
        <f t="shared" si="20"/>
        <v>0</v>
      </c>
      <c r="L45" s="1059">
        <f t="shared" si="21"/>
        <v>0</v>
      </c>
      <c r="M45" s="1051">
        <f>'[18]FY2012-13 Final'!K46</f>
        <v>4277</v>
      </c>
      <c r="N45" s="1053">
        <f t="shared" si="30"/>
        <v>0</v>
      </c>
      <c r="O45" s="1118">
        <f t="shared" si="22"/>
        <v>0</v>
      </c>
      <c r="P45" s="1053">
        <f t="shared" si="23"/>
        <v>0</v>
      </c>
      <c r="Q45" s="1053"/>
      <c r="R45" s="1053">
        <f t="shared" si="24"/>
        <v>0</v>
      </c>
      <c r="S45" s="1053">
        <f t="shared" si="25"/>
        <v>0</v>
      </c>
      <c r="T45" s="1054">
        <f t="shared" si="26"/>
        <v>0</v>
      </c>
      <c r="U45" s="1054">
        <f t="shared" si="27"/>
        <v>0</v>
      </c>
    </row>
    <row r="46" spans="1:21">
      <c r="A46" s="998">
        <v>40</v>
      </c>
      <c r="B46" s="999" t="s">
        <v>134</v>
      </c>
      <c r="C46" s="1004">
        <f>'[2]ALL-Reformatted'!K45</f>
        <v>0</v>
      </c>
      <c r="D46" s="1005">
        <f>'Table 3 Levels 1&amp;2'!BN48+'Table 3 Levels 1&amp;2'!BV48</f>
        <v>4885.6387343180086</v>
      </c>
      <c r="E46" s="1103">
        <f t="shared" si="28"/>
        <v>0</v>
      </c>
      <c r="F46" s="1103">
        <f t="shared" si="17"/>
        <v>0</v>
      </c>
      <c r="G46" s="1060">
        <f t="shared" si="29"/>
        <v>0</v>
      </c>
      <c r="H46" s="1113">
        <f t="shared" si="18"/>
        <v>0</v>
      </c>
      <c r="I46" s="1060">
        <f t="shared" si="19"/>
        <v>0</v>
      </c>
      <c r="J46" s="1060"/>
      <c r="K46" s="1060">
        <f t="shared" si="20"/>
        <v>0</v>
      </c>
      <c r="L46" s="1060">
        <f t="shared" si="21"/>
        <v>0</v>
      </c>
      <c r="M46" s="1056">
        <f>'[18]FY2012-13 Final'!K47</f>
        <v>2921</v>
      </c>
      <c r="N46" s="1057">
        <f t="shared" si="30"/>
        <v>0</v>
      </c>
      <c r="O46" s="1119">
        <f t="shared" si="22"/>
        <v>0</v>
      </c>
      <c r="P46" s="1057">
        <f t="shared" si="23"/>
        <v>0</v>
      </c>
      <c r="Q46" s="1057"/>
      <c r="R46" s="1057">
        <f t="shared" si="24"/>
        <v>0</v>
      </c>
      <c r="S46" s="1057">
        <f t="shared" si="25"/>
        <v>0</v>
      </c>
      <c r="T46" s="1058">
        <f t="shared" si="26"/>
        <v>0</v>
      </c>
      <c r="U46" s="1058">
        <f t="shared" si="27"/>
        <v>0</v>
      </c>
    </row>
    <row r="47" spans="1:21">
      <c r="A47" s="987">
        <v>41</v>
      </c>
      <c r="B47" s="988" t="s">
        <v>135</v>
      </c>
      <c r="C47" s="1006">
        <f>'[2]ALL-Reformatted'!K46</f>
        <v>0</v>
      </c>
      <c r="D47" s="1007">
        <f>'Table 3 Levels 1&amp;2'!BN49+'Table 3 Levels 1&amp;2'!BV49</f>
        <v>1602.0398121899364</v>
      </c>
      <c r="E47" s="1104">
        <f t="shared" si="28"/>
        <v>0</v>
      </c>
      <c r="F47" s="1104">
        <f t="shared" si="17"/>
        <v>0</v>
      </c>
      <c r="G47" s="1061">
        <f t="shared" si="29"/>
        <v>0</v>
      </c>
      <c r="H47" s="1114">
        <f t="shared" si="18"/>
        <v>0</v>
      </c>
      <c r="I47" s="1061">
        <f t="shared" si="19"/>
        <v>0</v>
      </c>
      <c r="J47" s="1061"/>
      <c r="K47" s="1061">
        <f t="shared" si="20"/>
        <v>0</v>
      </c>
      <c r="L47" s="1061">
        <f t="shared" si="21"/>
        <v>0</v>
      </c>
      <c r="M47" s="1051">
        <f>'[18]FY2012-13 Final'!K48</f>
        <v>12026</v>
      </c>
      <c r="N47" s="992">
        <f t="shared" si="30"/>
        <v>0</v>
      </c>
      <c r="O47" s="1117">
        <f t="shared" si="22"/>
        <v>0</v>
      </c>
      <c r="P47" s="992">
        <f t="shared" si="23"/>
        <v>0</v>
      </c>
      <c r="Q47" s="992"/>
      <c r="R47" s="992">
        <f t="shared" si="24"/>
        <v>0</v>
      </c>
      <c r="S47" s="992">
        <f t="shared" si="25"/>
        <v>0</v>
      </c>
      <c r="T47" s="993">
        <f t="shared" si="26"/>
        <v>0</v>
      </c>
      <c r="U47" s="993">
        <f t="shared" si="27"/>
        <v>0</v>
      </c>
    </row>
    <row r="48" spans="1:21">
      <c r="A48" s="994">
        <v>42</v>
      </c>
      <c r="B48" s="995" t="s">
        <v>136</v>
      </c>
      <c r="C48" s="1002">
        <f>'[2]ALL-Reformatted'!K47</f>
        <v>415</v>
      </c>
      <c r="D48" s="1003">
        <f>'Table 3 Levels 1&amp;2'!BN50+'Table 3 Levels 1&amp;2'!BV50</f>
        <v>5098.6172346404755</v>
      </c>
      <c r="E48" s="1102">
        <f t="shared" si="28"/>
        <v>2115926.1523757973</v>
      </c>
      <c r="F48" s="1102">
        <f t="shared" si="17"/>
        <v>218714.77081873603</v>
      </c>
      <c r="G48" s="1059">
        <f t="shared" si="29"/>
        <v>2334640.9231945332</v>
      </c>
      <c r="H48" s="1112">
        <f t="shared" si="18"/>
        <v>-5836.6023079863335</v>
      </c>
      <c r="I48" s="1059">
        <f t="shared" si="19"/>
        <v>2328804.3208865467</v>
      </c>
      <c r="J48" s="1059">
        <f>'[1]Adjusted Amounts'!$C$92+'[1]Adjusted Amounts'!$H$92</f>
        <v>70894.889460474515</v>
      </c>
      <c r="K48" s="1059">
        <f t="shared" si="20"/>
        <v>2399699.2103470215</v>
      </c>
      <c r="L48" s="1059">
        <f t="shared" si="21"/>
        <v>199975</v>
      </c>
      <c r="M48" s="1051">
        <f>'[18]FY2012-13 Final'!K49</f>
        <v>2554</v>
      </c>
      <c r="N48" s="1053">
        <f t="shared" si="30"/>
        <v>1059910</v>
      </c>
      <c r="O48" s="1118">
        <f t="shared" si="22"/>
        <v>-2649.7750000000001</v>
      </c>
      <c r="P48" s="1053">
        <f t="shared" si="23"/>
        <v>1057260.2250000001</v>
      </c>
      <c r="Q48" s="1053">
        <f>'[1]Adjusted Amounts'!$K$92+'[1]Adjusted Amounts'!$P$92</f>
        <v>-24631</v>
      </c>
      <c r="R48" s="1053">
        <f t="shared" si="24"/>
        <v>1032629.2250000001</v>
      </c>
      <c r="S48" s="1053">
        <f t="shared" si="25"/>
        <v>86052</v>
      </c>
      <c r="T48" s="1054">
        <f t="shared" si="26"/>
        <v>3432328.4353470216</v>
      </c>
      <c r="U48" s="1054">
        <f t="shared" si="27"/>
        <v>286027</v>
      </c>
    </row>
    <row r="49" spans="1:21">
      <c r="A49" s="994">
        <v>43</v>
      </c>
      <c r="B49" s="995" t="s">
        <v>137</v>
      </c>
      <c r="C49" s="1002">
        <f>'[2]ALL-Reformatted'!K48</f>
        <v>0</v>
      </c>
      <c r="D49" s="1003">
        <f>'Table 3 Levels 1&amp;2'!BN51+'Table 3 Levels 1&amp;2'!BV51</f>
        <v>4701.3362575004667</v>
      </c>
      <c r="E49" s="1102">
        <f t="shared" si="28"/>
        <v>0</v>
      </c>
      <c r="F49" s="1102">
        <f t="shared" si="17"/>
        <v>0</v>
      </c>
      <c r="G49" s="1059">
        <f t="shared" si="29"/>
        <v>0</v>
      </c>
      <c r="H49" s="1112">
        <f t="shared" si="18"/>
        <v>0</v>
      </c>
      <c r="I49" s="1059">
        <f t="shared" si="19"/>
        <v>0</v>
      </c>
      <c r="J49" s="1059"/>
      <c r="K49" s="1059">
        <f t="shared" si="20"/>
        <v>0</v>
      </c>
      <c r="L49" s="1059">
        <f t="shared" si="21"/>
        <v>0</v>
      </c>
      <c r="M49" s="1051">
        <f>'[18]FY2012-13 Final'!K50</f>
        <v>5265</v>
      </c>
      <c r="N49" s="1053">
        <f t="shared" si="30"/>
        <v>0</v>
      </c>
      <c r="O49" s="1118">
        <f t="shared" si="22"/>
        <v>0</v>
      </c>
      <c r="P49" s="1053">
        <f t="shared" si="23"/>
        <v>0</v>
      </c>
      <c r="Q49" s="1053"/>
      <c r="R49" s="1053">
        <f t="shared" si="24"/>
        <v>0</v>
      </c>
      <c r="S49" s="1053">
        <f t="shared" si="25"/>
        <v>0</v>
      </c>
      <c r="T49" s="1054">
        <f t="shared" si="26"/>
        <v>0</v>
      </c>
      <c r="U49" s="1054">
        <f t="shared" si="27"/>
        <v>0</v>
      </c>
    </row>
    <row r="50" spans="1:21">
      <c r="A50" s="994">
        <v>44</v>
      </c>
      <c r="B50" s="995" t="s">
        <v>138</v>
      </c>
      <c r="C50" s="1002">
        <f>'[2]ALL-Reformatted'!K49</f>
        <v>0</v>
      </c>
      <c r="D50" s="1003">
        <f>'Table 3 Levels 1&amp;2'!BN52+'Table 3 Levels 1&amp;2'!BV52</f>
        <v>4649.5559521248724</v>
      </c>
      <c r="E50" s="1102">
        <f t="shared" si="28"/>
        <v>0</v>
      </c>
      <c r="F50" s="1102">
        <f t="shared" si="17"/>
        <v>0</v>
      </c>
      <c r="G50" s="1059">
        <f t="shared" si="29"/>
        <v>0</v>
      </c>
      <c r="H50" s="1112">
        <f t="shared" si="18"/>
        <v>0</v>
      </c>
      <c r="I50" s="1059">
        <f t="shared" si="19"/>
        <v>0</v>
      </c>
      <c r="J50" s="1059"/>
      <c r="K50" s="1059">
        <f t="shared" si="20"/>
        <v>0</v>
      </c>
      <c r="L50" s="1059">
        <f t="shared" si="21"/>
        <v>0</v>
      </c>
      <c r="M50" s="1051">
        <f>'[18]FY2012-13 Final'!K51</f>
        <v>4109</v>
      </c>
      <c r="N50" s="1053">
        <f t="shared" si="30"/>
        <v>0</v>
      </c>
      <c r="O50" s="1118">
        <f t="shared" si="22"/>
        <v>0</v>
      </c>
      <c r="P50" s="1053">
        <f t="shared" si="23"/>
        <v>0</v>
      </c>
      <c r="Q50" s="1053"/>
      <c r="R50" s="1053">
        <f t="shared" si="24"/>
        <v>0</v>
      </c>
      <c r="S50" s="1053">
        <f t="shared" si="25"/>
        <v>0</v>
      </c>
      <c r="T50" s="1054">
        <f t="shared" si="26"/>
        <v>0</v>
      </c>
      <c r="U50" s="1054">
        <f t="shared" si="27"/>
        <v>0</v>
      </c>
    </row>
    <row r="51" spans="1:21">
      <c r="A51" s="998">
        <v>45</v>
      </c>
      <c r="B51" s="999" t="s">
        <v>139</v>
      </c>
      <c r="C51" s="1004">
        <f>'[2]ALL-Reformatted'!K50</f>
        <v>0</v>
      </c>
      <c r="D51" s="1005">
        <f>'Table 3 Levels 1&amp;2'!BN53+'Table 3 Levels 1&amp;2'!BV53</f>
        <v>2159.257884231537</v>
      </c>
      <c r="E51" s="1103">
        <f t="shared" si="28"/>
        <v>0</v>
      </c>
      <c r="F51" s="1103">
        <f t="shared" si="17"/>
        <v>0</v>
      </c>
      <c r="G51" s="1060">
        <f t="shared" si="29"/>
        <v>0</v>
      </c>
      <c r="H51" s="1113">
        <f t="shared" si="18"/>
        <v>0</v>
      </c>
      <c r="I51" s="1060">
        <f t="shared" si="19"/>
        <v>0</v>
      </c>
      <c r="J51" s="1060"/>
      <c r="K51" s="1060">
        <f t="shared" si="20"/>
        <v>0</v>
      </c>
      <c r="L51" s="1060">
        <f t="shared" si="21"/>
        <v>0</v>
      </c>
      <c r="M51" s="1056">
        <f>'[18]FY2012-13 Final'!K52</f>
        <v>12427</v>
      </c>
      <c r="N51" s="1057">
        <f t="shared" si="30"/>
        <v>0</v>
      </c>
      <c r="O51" s="1119">
        <f t="shared" si="22"/>
        <v>0</v>
      </c>
      <c r="P51" s="1057">
        <f t="shared" si="23"/>
        <v>0</v>
      </c>
      <c r="Q51" s="1057"/>
      <c r="R51" s="1057">
        <f t="shared" si="24"/>
        <v>0</v>
      </c>
      <c r="S51" s="1057">
        <f t="shared" si="25"/>
        <v>0</v>
      </c>
      <c r="T51" s="1058">
        <f t="shared" si="26"/>
        <v>0</v>
      </c>
      <c r="U51" s="1058">
        <f t="shared" si="27"/>
        <v>0</v>
      </c>
    </row>
    <row r="52" spans="1:21">
      <c r="A52" s="987">
        <v>46</v>
      </c>
      <c r="B52" s="988" t="s">
        <v>140</v>
      </c>
      <c r="C52" s="1006">
        <f>'[2]ALL-Reformatted'!K51</f>
        <v>0</v>
      </c>
      <c r="D52" s="1007">
        <f>'Table 3 Levels 1&amp;2'!BN54+'Table 3 Levels 1&amp;2'!BV54</f>
        <v>5578.7258135108641</v>
      </c>
      <c r="E52" s="1104">
        <f t="shared" si="28"/>
        <v>0</v>
      </c>
      <c r="F52" s="1104">
        <f t="shared" si="17"/>
        <v>0</v>
      </c>
      <c r="G52" s="1061">
        <f t="shared" si="29"/>
        <v>0</v>
      </c>
      <c r="H52" s="1114">
        <f t="shared" si="18"/>
        <v>0</v>
      </c>
      <c r="I52" s="1061">
        <f t="shared" si="19"/>
        <v>0</v>
      </c>
      <c r="J52" s="1061"/>
      <c r="K52" s="1061">
        <f t="shared" si="20"/>
        <v>0</v>
      </c>
      <c r="L52" s="1061">
        <f t="shared" si="21"/>
        <v>0</v>
      </c>
      <c r="M52" s="1051">
        <f>'[18]FY2012-13 Final'!K53</f>
        <v>1968</v>
      </c>
      <c r="N52" s="992">
        <f t="shared" si="30"/>
        <v>0</v>
      </c>
      <c r="O52" s="1117">
        <f t="shared" si="22"/>
        <v>0</v>
      </c>
      <c r="P52" s="992">
        <f t="shared" si="23"/>
        <v>0</v>
      </c>
      <c r="Q52" s="992"/>
      <c r="R52" s="992">
        <f t="shared" si="24"/>
        <v>0</v>
      </c>
      <c r="S52" s="992">
        <f t="shared" si="25"/>
        <v>0</v>
      </c>
      <c r="T52" s="993">
        <f t="shared" si="26"/>
        <v>0</v>
      </c>
      <c r="U52" s="993">
        <f t="shared" si="27"/>
        <v>0</v>
      </c>
    </row>
    <row r="53" spans="1:21">
      <c r="A53" s="994">
        <v>47</v>
      </c>
      <c r="B53" s="995" t="s">
        <v>141</v>
      </c>
      <c r="C53" s="1002">
        <f>'[2]ALL-Reformatted'!K52</f>
        <v>0</v>
      </c>
      <c r="D53" s="1003">
        <f>'Table 3 Levels 1&amp;2'!BN55+'Table 3 Levels 1&amp;2'!BV55</f>
        <v>2709.058014721415</v>
      </c>
      <c r="E53" s="1102">
        <f t="shared" si="28"/>
        <v>0</v>
      </c>
      <c r="F53" s="1102">
        <f t="shared" si="17"/>
        <v>0</v>
      </c>
      <c r="G53" s="1059">
        <f t="shared" si="29"/>
        <v>0</v>
      </c>
      <c r="H53" s="1112">
        <f t="shared" si="18"/>
        <v>0</v>
      </c>
      <c r="I53" s="1059">
        <f t="shared" si="19"/>
        <v>0</v>
      </c>
      <c r="J53" s="1059"/>
      <c r="K53" s="1059">
        <f t="shared" si="20"/>
        <v>0</v>
      </c>
      <c r="L53" s="1059">
        <f t="shared" si="21"/>
        <v>0</v>
      </c>
      <c r="M53" s="1051">
        <f>'[18]FY2012-13 Final'!K54</f>
        <v>10049</v>
      </c>
      <c r="N53" s="1053">
        <f t="shared" si="30"/>
        <v>0</v>
      </c>
      <c r="O53" s="1118">
        <f t="shared" si="22"/>
        <v>0</v>
      </c>
      <c r="P53" s="1053">
        <f t="shared" si="23"/>
        <v>0</v>
      </c>
      <c r="Q53" s="1053"/>
      <c r="R53" s="1053">
        <f t="shared" si="24"/>
        <v>0</v>
      </c>
      <c r="S53" s="1053">
        <f t="shared" si="25"/>
        <v>0</v>
      </c>
      <c r="T53" s="1054">
        <f t="shared" si="26"/>
        <v>0</v>
      </c>
      <c r="U53" s="1054">
        <f t="shared" si="27"/>
        <v>0</v>
      </c>
    </row>
    <row r="54" spans="1:21">
      <c r="A54" s="994">
        <v>48</v>
      </c>
      <c r="B54" s="995" t="s">
        <v>202</v>
      </c>
      <c r="C54" s="1002">
        <f>'[2]ALL-Reformatted'!K53</f>
        <v>0</v>
      </c>
      <c r="D54" s="1003">
        <f>'Table 3 Levels 1&amp;2'!BN56+'Table 3 Levels 1&amp;2'!BV56</f>
        <v>4259.4136153508553</v>
      </c>
      <c r="E54" s="1102">
        <f t="shared" si="28"/>
        <v>0</v>
      </c>
      <c r="F54" s="1102">
        <f t="shared" si="17"/>
        <v>0</v>
      </c>
      <c r="G54" s="1059">
        <f t="shared" si="29"/>
        <v>0</v>
      </c>
      <c r="H54" s="1112">
        <f t="shared" si="18"/>
        <v>0</v>
      </c>
      <c r="I54" s="1059">
        <f t="shared" si="19"/>
        <v>0</v>
      </c>
      <c r="J54" s="1059"/>
      <c r="K54" s="1059">
        <f t="shared" si="20"/>
        <v>0</v>
      </c>
      <c r="L54" s="1059">
        <f t="shared" si="21"/>
        <v>0</v>
      </c>
      <c r="M54" s="1051">
        <f>'[18]FY2012-13 Final'!K55</f>
        <v>5755</v>
      </c>
      <c r="N54" s="1053">
        <f t="shared" si="30"/>
        <v>0</v>
      </c>
      <c r="O54" s="1118">
        <f t="shared" si="22"/>
        <v>0</v>
      </c>
      <c r="P54" s="1053">
        <f t="shared" si="23"/>
        <v>0</v>
      </c>
      <c r="Q54" s="1053"/>
      <c r="R54" s="1053">
        <f t="shared" si="24"/>
        <v>0</v>
      </c>
      <c r="S54" s="1053">
        <f t="shared" si="25"/>
        <v>0</v>
      </c>
      <c r="T54" s="1054">
        <f t="shared" si="26"/>
        <v>0</v>
      </c>
      <c r="U54" s="1054">
        <f t="shared" si="27"/>
        <v>0</v>
      </c>
    </row>
    <row r="55" spans="1:21">
      <c r="A55" s="994">
        <v>49</v>
      </c>
      <c r="B55" s="995" t="s">
        <v>142</v>
      </c>
      <c r="C55" s="1002">
        <f>'[2]ALL-Reformatted'!K54</f>
        <v>0</v>
      </c>
      <c r="D55" s="1003">
        <f>'Table 3 Levels 1&amp;2'!BN57+'Table 3 Levels 1&amp;2'!BV57</f>
        <v>4790.0513947378495</v>
      </c>
      <c r="E55" s="1102">
        <f t="shared" si="28"/>
        <v>0</v>
      </c>
      <c r="F55" s="1102">
        <f t="shared" si="17"/>
        <v>0</v>
      </c>
      <c r="G55" s="1059">
        <f t="shared" si="29"/>
        <v>0</v>
      </c>
      <c r="H55" s="1112">
        <f t="shared" si="18"/>
        <v>0</v>
      </c>
      <c r="I55" s="1059">
        <f t="shared" si="19"/>
        <v>0</v>
      </c>
      <c r="J55" s="1059"/>
      <c r="K55" s="1059">
        <f t="shared" si="20"/>
        <v>0</v>
      </c>
      <c r="L55" s="1059">
        <f t="shared" si="21"/>
        <v>0</v>
      </c>
      <c r="M55" s="1051">
        <f>'[18]FY2012-13 Final'!K56</f>
        <v>2335</v>
      </c>
      <c r="N55" s="1053">
        <f t="shared" si="30"/>
        <v>0</v>
      </c>
      <c r="O55" s="1118">
        <f t="shared" si="22"/>
        <v>0</v>
      </c>
      <c r="P55" s="1053">
        <f t="shared" si="23"/>
        <v>0</v>
      </c>
      <c r="Q55" s="1053"/>
      <c r="R55" s="1053">
        <f t="shared" si="24"/>
        <v>0</v>
      </c>
      <c r="S55" s="1053">
        <f t="shared" si="25"/>
        <v>0</v>
      </c>
      <c r="T55" s="1054">
        <f t="shared" si="26"/>
        <v>0</v>
      </c>
      <c r="U55" s="1054">
        <f t="shared" si="27"/>
        <v>0</v>
      </c>
    </row>
    <row r="56" spans="1:21">
      <c r="A56" s="998">
        <v>50</v>
      </c>
      <c r="B56" s="999" t="s">
        <v>143</v>
      </c>
      <c r="C56" s="1004">
        <f>'[2]ALL-Reformatted'!K55</f>
        <v>0</v>
      </c>
      <c r="D56" s="1005">
        <f>'Table 3 Levels 1&amp;2'!BN58+'Table 3 Levels 1&amp;2'!BV58</f>
        <v>4954.3375045905796</v>
      </c>
      <c r="E56" s="1103">
        <f t="shared" si="28"/>
        <v>0</v>
      </c>
      <c r="F56" s="1103">
        <f t="shared" si="17"/>
        <v>0</v>
      </c>
      <c r="G56" s="1060">
        <f t="shared" si="29"/>
        <v>0</v>
      </c>
      <c r="H56" s="1113">
        <f t="shared" si="18"/>
        <v>0</v>
      </c>
      <c r="I56" s="1060">
        <f t="shared" si="19"/>
        <v>0</v>
      </c>
      <c r="J56" s="1060"/>
      <c r="K56" s="1060">
        <f t="shared" si="20"/>
        <v>0</v>
      </c>
      <c r="L56" s="1060">
        <f t="shared" si="21"/>
        <v>0</v>
      </c>
      <c r="M56" s="1056">
        <f>'[18]FY2012-13 Final'!K57</f>
        <v>2801</v>
      </c>
      <c r="N56" s="1057">
        <f t="shared" si="30"/>
        <v>0</v>
      </c>
      <c r="O56" s="1119">
        <f t="shared" si="22"/>
        <v>0</v>
      </c>
      <c r="P56" s="1057">
        <f t="shared" si="23"/>
        <v>0</v>
      </c>
      <c r="Q56" s="1057"/>
      <c r="R56" s="1057">
        <f t="shared" si="24"/>
        <v>0</v>
      </c>
      <c r="S56" s="1057">
        <f t="shared" si="25"/>
        <v>0</v>
      </c>
      <c r="T56" s="1058">
        <f t="shared" si="26"/>
        <v>0</v>
      </c>
      <c r="U56" s="1058">
        <f t="shared" si="27"/>
        <v>0</v>
      </c>
    </row>
    <row r="57" spans="1:21">
      <c r="A57" s="987">
        <v>51</v>
      </c>
      <c r="B57" s="988" t="s">
        <v>144</v>
      </c>
      <c r="C57" s="1006">
        <f>'[2]ALL-Reformatted'!K56</f>
        <v>0</v>
      </c>
      <c r="D57" s="1007">
        <f>'Table 3 Levels 1&amp;2'!BN59+'Table 3 Levels 1&amp;2'!BV59</f>
        <v>4290.3461727150461</v>
      </c>
      <c r="E57" s="1104">
        <f t="shared" si="28"/>
        <v>0</v>
      </c>
      <c r="F57" s="1104">
        <f t="shared" si="17"/>
        <v>0</v>
      </c>
      <c r="G57" s="1061">
        <f t="shared" si="29"/>
        <v>0</v>
      </c>
      <c r="H57" s="1114">
        <f t="shared" si="18"/>
        <v>0</v>
      </c>
      <c r="I57" s="1061">
        <f t="shared" si="19"/>
        <v>0</v>
      </c>
      <c r="J57" s="1061"/>
      <c r="K57" s="1061">
        <f t="shared" si="20"/>
        <v>0</v>
      </c>
      <c r="L57" s="1061">
        <f t="shared" si="21"/>
        <v>0</v>
      </c>
      <c r="M57" s="1051">
        <f>'[18]FY2012-13 Final'!K58</f>
        <v>4053</v>
      </c>
      <c r="N57" s="992">
        <f t="shared" si="30"/>
        <v>0</v>
      </c>
      <c r="O57" s="1117">
        <f t="shared" si="22"/>
        <v>0</v>
      </c>
      <c r="P57" s="992">
        <f t="shared" si="23"/>
        <v>0</v>
      </c>
      <c r="Q57" s="992"/>
      <c r="R57" s="992">
        <f t="shared" si="24"/>
        <v>0</v>
      </c>
      <c r="S57" s="992">
        <f t="shared" si="25"/>
        <v>0</v>
      </c>
      <c r="T57" s="993">
        <f t="shared" si="26"/>
        <v>0</v>
      </c>
      <c r="U57" s="993">
        <f t="shared" si="27"/>
        <v>0</v>
      </c>
    </row>
    <row r="58" spans="1:21">
      <c r="A58" s="994">
        <v>52</v>
      </c>
      <c r="B58" s="995" t="s">
        <v>145</v>
      </c>
      <c r="C58" s="1002">
        <f>'[2]ALL-Reformatted'!K57</f>
        <v>0</v>
      </c>
      <c r="D58" s="1003">
        <f>'Table 3 Levels 1&amp;2'!BN60+'Table 3 Levels 1&amp;2'!BV60</f>
        <v>4988.6415961118701</v>
      </c>
      <c r="E58" s="1102">
        <f t="shared" si="28"/>
        <v>0</v>
      </c>
      <c r="F58" s="1102">
        <f t="shared" si="17"/>
        <v>0</v>
      </c>
      <c r="G58" s="1059">
        <f t="shared" si="29"/>
        <v>0</v>
      </c>
      <c r="H58" s="1112">
        <f t="shared" si="18"/>
        <v>0</v>
      </c>
      <c r="I58" s="1059">
        <f t="shared" si="19"/>
        <v>0</v>
      </c>
      <c r="J58" s="1059"/>
      <c r="K58" s="1059">
        <f t="shared" si="20"/>
        <v>0</v>
      </c>
      <c r="L58" s="1059">
        <f t="shared" si="21"/>
        <v>0</v>
      </c>
      <c r="M58" s="1051">
        <f>'[18]FY2012-13 Final'!K59</f>
        <v>4886</v>
      </c>
      <c r="N58" s="1053">
        <f t="shared" si="30"/>
        <v>0</v>
      </c>
      <c r="O58" s="1118">
        <f t="shared" si="22"/>
        <v>0</v>
      </c>
      <c r="P58" s="1053">
        <f t="shared" si="23"/>
        <v>0</v>
      </c>
      <c r="Q58" s="1053"/>
      <c r="R58" s="1053">
        <f t="shared" si="24"/>
        <v>0</v>
      </c>
      <c r="S58" s="1053">
        <f t="shared" si="25"/>
        <v>0</v>
      </c>
      <c r="T58" s="1054">
        <f t="shared" si="26"/>
        <v>0</v>
      </c>
      <c r="U58" s="1054">
        <f t="shared" si="27"/>
        <v>0</v>
      </c>
    </row>
    <row r="59" spans="1:21">
      <c r="A59" s="994">
        <v>53</v>
      </c>
      <c r="B59" s="995" t="s">
        <v>146</v>
      </c>
      <c r="C59" s="1002">
        <f>'[2]ALL-Reformatted'!K58</f>
        <v>0</v>
      </c>
      <c r="D59" s="1003">
        <f>'Table 3 Levels 1&amp;2'!BN61+'Table 3 Levels 1&amp;2'!BV61</f>
        <v>4739.7077057162423</v>
      </c>
      <c r="E59" s="1102">
        <f t="shared" si="28"/>
        <v>0</v>
      </c>
      <c r="F59" s="1102">
        <f t="shared" si="17"/>
        <v>0</v>
      </c>
      <c r="G59" s="1059">
        <f t="shared" si="29"/>
        <v>0</v>
      </c>
      <c r="H59" s="1112">
        <f t="shared" si="18"/>
        <v>0</v>
      </c>
      <c r="I59" s="1059">
        <f t="shared" si="19"/>
        <v>0</v>
      </c>
      <c r="J59" s="1059"/>
      <c r="K59" s="1059">
        <f t="shared" si="20"/>
        <v>0</v>
      </c>
      <c r="L59" s="1059">
        <f t="shared" si="21"/>
        <v>0</v>
      </c>
      <c r="M59" s="1051">
        <f>'[18]FY2012-13 Final'!K60</f>
        <v>1929</v>
      </c>
      <c r="N59" s="1053">
        <f t="shared" si="30"/>
        <v>0</v>
      </c>
      <c r="O59" s="1118">
        <f t="shared" si="22"/>
        <v>0</v>
      </c>
      <c r="P59" s="1053">
        <f t="shared" si="23"/>
        <v>0</v>
      </c>
      <c r="Q59" s="1053"/>
      <c r="R59" s="1053">
        <f t="shared" si="24"/>
        <v>0</v>
      </c>
      <c r="S59" s="1053">
        <f t="shared" si="25"/>
        <v>0</v>
      </c>
      <c r="T59" s="1054">
        <f t="shared" si="26"/>
        <v>0</v>
      </c>
      <c r="U59" s="1054">
        <f t="shared" si="27"/>
        <v>0</v>
      </c>
    </row>
    <row r="60" spans="1:21">
      <c r="A60" s="994">
        <v>54</v>
      </c>
      <c r="B60" s="995" t="s">
        <v>147</v>
      </c>
      <c r="C60" s="1002">
        <f>'[2]ALL-Reformatted'!K59</f>
        <v>3</v>
      </c>
      <c r="D60" s="1003">
        <f>'Table 3 Levels 1&amp;2'!BN62+'Table 3 Levels 1&amp;2'!BV62</f>
        <v>5907.1276437932838</v>
      </c>
      <c r="E60" s="1102">
        <f t="shared" si="28"/>
        <v>17721.382931379852</v>
      </c>
      <c r="F60" s="1102">
        <f t="shared" si="17"/>
        <v>1581.070632424598</v>
      </c>
      <c r="G60" s="1059">
        <f t="shared" si="29"/>
        <v>19302.453563804451</v>
      </c>
      <c r="H60" s="1112">
        <f t="shared" si="18"/>
        <v>-48.256133909511128</v>
      </c>
      <c r="I60" s="1059">
        <f t="shared" si="19"/>
        <v>19254.197429894939</v>
      </c>
      <c r="J60" s="1059"/>
      <c r="K60" s="1059">
        <f t="shared" si="20"/>
        <v>19254.197429894939</v>
      </c>
      <c r="L60" s="1059">
        <f t="shared" si="21"/>
        <v>1605</v>
      </c>
      <c r="M60" s="1051">
        <f>'[18]FY2012-13 Final'!K61</f>
        <v>3382</v>
      </c>
      <c r="N60" s="1053">
        <f t="shared" si="30"/>
        <v>10146</v>
      </c>
      <c r="O60" s="1118">
        <f t="shared" si="22"/>
        <v>-25.365000000000002</v>
      </c>
      <c r="P60" s="1053">
        <f t="shared" si="23"/>
        <v>10120.635</v>
      </c>
      <c r="Q60" s="1053"/>
      <c r="R60" s="1053">
        <f t="shared" si="24"/>
        <v>10120.635</v>
      </c>
      <c r="S60" s="1053">
        <f t="shared" si="25"/>
        <v>843</v>
      </c>
      <c r="T60" s="1054">
        <f t="shared" si="26"/>
        <v>29374.832429894937</v>
      </c>
      <c r="U60" s="1054">
        <f t="shared" si="27"/>
        <v>2448</v>
      </c>
    </row>
    <row r="61" spans="1:21">
      <c r="A61" s="998">
        <v>55</v>
      </c>
      <c r="B61" s="999" t="s">
        <v>148</v>
      </c>
      <c r="C61" s="1004">
        <f>'[2]ALL-Reformatted'!K60</f>
        <v>0</v>
      </c>
      <c r="D61" s="1005">
        <f>'Table 3 Levels 1&amp;2'!BN63+'Table 3 Levels 1&amp;2'!BV63</f>
        <v>4115.0954812679902</v>
      </c>
      <c r="E61" s="1103">
        <f t="shared" si="28"/>
        <v>0</v>
      </c>
      <c r="F61" s="1103">
        <f t="shared" si="17"/>
        <v>0</v>
      </c>
      <c r="G61" s="1060">
        <f t="shared" si="29"/>
        <v>0</v>
      </c>
      <c r="H61" s="1113">
        <f t="shared" si="18"/>
        <v>0</v>
      </c>
      <c r="I61" s="1060">
        <f t="shared" si="19"/>
        <v>0</v>
      </c>
      <c r="J61" s="1060"/>
      <c r="K61" s="1060">
        <f t="shared" si="20"/>
        <v>0</v>
      </c>
      <c r="L61" s="1060">
        <f t="shared" si="21"/>
        <v>0</v>
      </c>
      <c r="M61" s="1056">
        <f>'[18]FY2012-13 Final'!K62</f>
        <v>3127</v>
      </c>
      <c r="N61" s="1057">
        <f t="shared" si="30"/>
        <v>0</v>
      </c>
      <c r="O61" s="1119">
        <f t="shared" si="22"/>
        <v>0</v>
      </c>
      <c r="P61" s="1057">
        <f t="shared" si="23"/>
        <v>0</v>
      </c>
      <c r="Q61" s="1057"/>
      <c r="R61" s="1057">
        <f t="shared" si="24"/>
        <v>0</v>
      </c>
      <c r="S61" s="1057">
        <f t="shared" si="25"/>
        <v>0</v>
      </c>
      <c r="T61" s="1058">
        <f t="shared" si="26"/>
        <v>0</v>
      </c>
      <c r="U61" s="1058">
        <f t="shared" si="27"/>
        <v>0</v>
      </c>
    </row>
    <row r="62" spans="1:21">
      <c r="A62" s="987">
        <v>56</v>
      </c>
      <c r="B62" s="988" t="s">
        <v>149</v>
      </c>
      <c r="C62" s="1006">
        <f>'[2]ALL-Reformatted'!K61</f>
        <v>0</v>
      </c>
      <c r="D62" s="1007">
        <f>'Table 3 Levels 1&amp;2'!BN64+'Table 3 Levels 1&amp;2'!BV64</f>
        <v>4924.9032059941637</v>
      </c>
      <c r="E62" s="1104">
        <f t="shared" si="28"/>
        <v>0</v>
      </c>
      <c r="F62" s="1104">
        <f t="shared" si="17"/>
        <v>0</v>
      </c>
      <c r="G62" s="1061">
        <f t="shared" si="29"/>
        <v>0</v>
      </c>
      <c r="H62" s="1114">
        <f t="shared" si="18"/>
        <v>0</v>
      </c>
      <c r="I62" s="1061">
        <f t="shared" si="19"/>
        <v>0</v>
      </c>
      <c r="J62" s="1061"/>
      <c r="K62" s="1061">
        <f t="shared" si="20"/>
        <v>0</v>
      </c>
      <c r="L62" s="1061">
        <f t="shared" si="21"/>
        <v>0</v>
      </c>
      <c r="M62" s="1051">
        <f>'[18]FY2012-13 Final'!K63</f>
        <v>2768</v>
      </c>
      <c r="N62" s="992">
        <f t="shared" si="30"/>
        <v>0</v>
      </c>
      <c r="O62" s="1117">
        <f t="shared" si="22"/>
        <v>0</v>
      </c>
      <c r="P62" s="992">
        <f t="shared" si="23"/>
        <v>0</v>
      </c>
      <c r="Q62" s="992"/>
      <c r="R62" s="992">
        <f t="shared" si="24"/>
        <v>0</v>
      </c>
      <c r="S62" s="992">
        <f t="shared" si="25"/>
        <v>0</v>
      </c>
      <c r="T62" s="993">
        <f t="shared" si="26"/>
        <v>0</v>
      </c>
      <c r="U62" s="993">
        <f t="shared" si="27"/>
        <v>0</v>
      </c>
    </row>
    <row r="63" spans="1:21">
      <c r="A63" s="994">
        <v>57</v>
      </c>
      <c r="B63" s="995" t="s">
        <v>150</v>
      </c>
      <c r="C63" s="1002">
        <f>'[2]ALL-Reformatted'!K62</f>
        <v>0</v>
      </c>
      <c r="D63" s="1003">
        <f>'Table 3 Levels 1&amp;2'!BN65+'Table 3 Levels 1&amp;2'!BV65</f>
        <v>4434.5516744018987</v>
      </c>
      <c r="E63" s="1102">
        <f t="shared" si="28"/>
        <v>0</v>
      </c>
      <c r="F63" s="1102">
        <f t="shared" si="17"/>
        <v>0</v>
      </c>
      <c r="G63" s="1059">
        <f t="shared" si="29"/>
        <v>0</v>
      </c>
      <c r="H63" s="1112">
        <f t="shared" si="18"/>
        <v>0</v>
      </c>
      <c r="I63" s="1059">
        <f t="shared" si="19"/>
        <v>0</v>
      </c>
      <c r="J63" s="1059"/>
      <c r="K63" s="1059">
        <f t="shared" si="20"/>
        <v>0</v>
      </c>
      <c r="L63" s="1059">
        <f t="shared" si="21"/>
        <v>0</v>
      </c>
      <c r="M63" s="1051">
        <f>'[18]FY2012-13 Final'!K64</f>
        <v>2987</v>
      </c>
      <c r="N63" s="1053">
        <f t="shared" si="30"/>
        <v>0</v>
      </c>
      <c r="O63" s="1118">
        <f t="shared" si="22"/>
        <v>0</v>
      </c>
      <c r="P63" s="1053">
        <f t="shared" si="23"/>
        <v>0</v>
      </c>
      <c r="Q63" s="1053"/>
      <c r="R63" s="1053">
        <f t="shared" si="24"/>
        <v>0</v>
      </c>
      <c r="S63" s="1053">
        <f t="shared" si="25"/>
        <v>0</v>
      </c>
      <c r="T63" s="1054">
        <f t="shared" si="26"/>
        <v>0</v>
      </c>
      <c r="U63" s="1054">
        <f t="shared" si="27"/>
        <v>0</v>
      </c>
    </row>
    <row r="64" spans="1:21">
      <c r="A64" s="994">
        <v>58</v>
      </c>
      <c r="B64" s="995" t="s">
        <v>151</v>
      </c>
      <c r="C64" s="1002">
        <f>'[2]ALL-Reformatted'!K63</f>
        <v>0</v>
      </c>
      <c r="D64" s="1003">
        <f>'Table 3 Levels 1&amp;2'!BN66+'Table 3 Levels 1&amp;2'!BV66</f>
        <v>5434.7170435013286</v>
      </c>
      <c r="E64" s="1102">
        <f t="shared" si="28"/>
        <v>0</v>
      </c>
      <c r="F64" s="1102">
        <f t="shared" si="17"/>
        <v>0</v>
      </c>
      <c r="G64" s="1059">
        <f t="shared" si="29"/>
        <v>0</v>
      </c>
      <c r="H64" s="1112">
        <f t="shared" si="18"/>
        <v>0</v>
      </c>
      <c r="I64" s="1059">
        <f t="shared" si="19"/>
        <v>0</v>
      </c>
      <c r="J64" s="1059"/>
      <c r="K64" s="1059">
        <f t="shared" si="20"/>
        <v>0</v>
      </c>
      <c r="L64" s="1059">
        <f t="shared" si="21"/>
        <v>0</v>
      </c>
      <c r="M64" s="1051">
        <f>'[18]FY2012-13 Final'!K65</f>
        <v>2055</v>
      </c>
      <c r="N64" s="1053">
        <f t="shared" si="30"/>
        <v>0</v>
      </c>
      <c r="O64" s="1118">
        <f t="shared" si="22"/>
        <v>0</v>
      </c>
      <c r="P64" s="1053">
        <f t="shared" si="23"/>
        <v>0</v>
      </c>
      <c r="Q64" s="1053"/>
      <c r="R64" s="1053">
        <f t="shared" si="24"/>
        <v>0</v>
      </c>
      <c r="S64" s="1053">
        <f t="shared" si="25"/>
        <v>0</v>
      </c>
      <c r="T64" s="1054">
        <f t="shared" si="26"/>
        <v>0</v>
      </c>
      <c r="U64" s="1054">
        <f t="shared" si="27"/>
        <v>0</v>
      </c>
    </row>
    <row r="65" spans="1:21">
      <c r="A65" s="994">
        <v>59</v>
      </c>
      <c r="B65" s="995" t="s">
        <v>152</v>
      </c>
      <c r="C65" s="1002">
        <f>'[2]ALL-Reformatted'!K64</f>
        <v>0</v>
      </c>
      <c r="D65" s="1003">
        <f>'Table 3 Levels 1&amp;2'!BN67+'Table 3 Levels 1&amp;2'!BV67</f>
        <v>6252.2385330184643</v>
      </c>
      <c r="E65" s="1102">
        <f t="shared" si="28"/>
        <v>0</v>
      </c>
      <c r="F65" s="1102">
        <f t="shared" si="17"/>
        <v>0</v>
      </c>
      <c r="G65" s="1059">
        <f t="shared" si="29"/>
        <v>0</v>
      </c>
      <c r="H65" s="1112">
        <f t="shared" si="18"/>
        <v>0</v>
      </c>
      <c r="I65" s="1059">
        <f t="shared" si="19"/>
        <v>0</v>
      </c>
      <c r="J65" s="1059"/>
      <c r="K65" s="1059">
        <f t="shared" si="20"/>
        <v>0</v>
      </c>
      <c r="L65" s="1059">
        <f t="shared" si="21"/>
        <v>0</v>
      </c>
      <c r="M65" s="1051">
        <f>'[18]FY2012-13 Final'!K66</f>
        <v>1528</v>
      </c>
      <c r="N65" s="1053">
        <f t="shared" si="30"/>
        <v>0</v>
      </c>
      <c r="O65" s="1118">
        <f t="shared" si="22"/>
        <v>0</v>
      </c>
      <c r="P65" s="1053">
        <f t="shared" si="23"/>
        <v>0</v>
      </c>
      <c r="Q65" s="1053"/>
      <c r="R65" s="1053">
        <f t="shared" si="24"/>
        <v>0</v>
      </c>
      <c r="S65" s="1053">
        <f t="shared" si="25"/>
        <v>0</v>
      </c>
      <c r="T65" s="1054">
        <f t="shared" si="26"/>
        <v>0</v>
      </c>
      <c r="U65" s="1054">
        <f t="shared" si="27"/>
        <v>0</v>
      </c>
    </row>
    <row r="66" spans="1:21">
      <c r="A66" s="998">
        <v>60</v>
      </c>
      <c r="B66" s="999" t="s">
        <v>153</v>
      </c>
      <c r="C66" s="1004">
        <f>'[2]ALL-Reformatted'!K65</f>
        <v>0</v>
      </c>
      <c r="D66" s="1005">
        <f>'Table 3 Levels 1&amp;2'!BN68+'Table 3 Levels 1&amp;2'!BV68</f>
        <v>4902.6575100268701</v>
      </c>
      <c r="E66" s="1103">
        <f t="shared" si="28"/>
        <v>0</v>
      </c>
      <c r="F66" s="1103">
        <f t="shared" si="17"/>
        <v>0</v>
      </c>
      <c r="G66" s="1060">
        <f t="shared" si="29"/>
        <v>0</v>
      </c>
      <c r="H66" s="1113">
        <f t="shared" si="18"/>
        <v>0</v>
      </c>
      <c r="I66" s="1060">
        <f t="shared" si="19"/>
        <v>0</v>
      </c>
      <c r="J66" s="1060"/>
      <c r="K66" s="1060">
        <f t="shared" si="20"/>
        <v>0</v>
      </c>
      <c r="L66" s="1060">
        <f t="shared" si="21"/>
        <v>0</v>
      </c>
      <c r="M66" s="1056">
        <f>'[18]FY2012-13 Final'!K67</f>
        <v>3918</v>
      </c>
      <c r="N66" s="1057">
        <f t="shared" si="30"/>
        <v>0</v>
      </c>
      <c r="O66" s="1119">
        <f t="shared" si="22"/>
        <v>0</v>
      </c>
      <c r="P66" s="1057">
        <f t="shared" si="23"/>
        <v>0</v>
      </c>
      <c r="Q66" s="1057"/>
      <c r="R66" s="1057">
        <f t="shared" si="24"/>
        <v>0</v>
      </c>
      <c r="S66" s="1057">
        <f t="shared" si="25"/>
        <v>0</v>
      </c>
      <c r="T66" s="1058">
        <f t="shared" si="26"/>
        <v>0</v>
      </c>
      <c r="U66" s="1058">
        <f t="shared" si="27"/>
        <v>0</v>
      </c>
    </row>
    <row r="67" spans="1:21">
      <c r="A67" s="987">
        <v>61</v>
      </c>
      <c r="B67" s="988" t="s">
        <v>154</v>
      </c>
      <c r="C67" s="1006">
        <f>'[2]ALL-Reformatted'!K66</f>
        <v>0</v>
      </c>
      <c r="D67" s="1007">
        <f>'Table 3 Levels 1&amp;2'!BN69+'Table 3 Levels 1&amp;2'!BV69</f>
        <v>2872.7719101339244</v>
      </c>
      <c r="E67" s="1104">
        <f t="shared" si="28"/>
        <v>0</v>
      </c>
      <c r="F67" s="1104">
        <f t="shared" si="17"/>
        <v>0</v>
      </c>
      <c r="G67" s="1061">
        <f t="shared" si="29"/>
        <v>0</v>
      </c>
      <c r="H67" s="1114">
        <f t="shared" si="18"/>
        <v>0</v>
      </c>
      <c r="I67" s="1061">
        <f t="shared" si="19"/>
        <v>0</v>
      </c>
      <c r="J67" s="1061"/>
      <c r="K67" s="1061">
        <f t="shared" si="20"/>
        <v>0</v>
      </c>
      <c r="L67" s="1061">
        <f t="shared" si="21"/>
        <v>0</v>
      </c>
      <c r="M67" s="1051">
        <f>'[18]FY2012-13 Final'!K68</f>
        <v>6680</v>
      </c>
      <c r="N67" s="992">
        <f t="shared" si="30"/>
        <v>0</v>
      </c>
      <c r="O67" s="1117">
        <f t="shared" si="22"/>
        <v>0</v>
      </c>
      <c r="P67" s="992">
        <f t="shared" si="23"/>
        <v>0</v>
      </c>
      <c r="Q67" s="992"/>
      <c r="R67" s="992">
        <f t="shared" si="24"/>
        <v>0</v>
      </c>
      <c r="S67" s="992">
        <f t="shared" si="25"/>
        <v>0</v>
      </c>
      <c r="T67" s="993">
        <f t="shared" si="26"/>
        <v>0</v>
      </c>
      <c r="U67" s="993">
        <f t="shared" si="27"/>
        <v>0</v>
      </c>
    </row>
    <row r="68" spans="1:21">
      <c r="A68" s="994">
        <v>62</v>
      </c>
      <c r="B68" s="995" t="s">
        <v>155</v>
      </c>
      <c r="C68" s="1002">
        <f>'[2]ALL-Reformatted'!K67</f>
        <v>36</v>
      </c>
      <c r="D68" s="1003">
        <f>'Table 3 Levels 1&amp;2'!BN70+'Table 3 Levels 1&amp;2'!BV70</f>
        <v>5594.25143978908</v>
      </c>
      <c r="E68" s="1102">
        <f t="shared" si="28"/>
        <v>201393.05183240687</v>
      </c>
      <c r="F68" s="1102">
        <f t="shared" si="17"/>
        <v>18972.847589095174</v>
      </c>
      <c r="G68" s="1059">
        <f t="shared" si="29"/>
        <v>220365.89942150205</v>
      </c>
      <c r="H68" s="1112">
        <f t="shared" si="18"/>
        <v>-550.91474855375509</v>
      </c>
      <c r="I68" s="1059">
        <f t="shared" si="19"/>
        <v>219814.98467294828</v>
      </c>
      <c r="J68" s="1059"/>
      <c r="K68" s="1059">
        <f t="shared" si="20"/>
        <v>219814.98467294828</v>
      </c>
      <c r="L68" s="1059">
        <f t="shared" si="21"/>
        <v>18318</v>
      </c>
      <c r="M68" s="1051">
        <f>'[18]FY2012-13 Final'!K69</f>
        <v>1754</v>
      </c>
      <c r="N68" s="1053">
        <f t="shared" si="30"/>
        <v>63144</v>
      </c>
      <c r="O68" s="1118">
        <f t="shared" si="22"/>
        <v>-157.86000000000001</v>
      </c>
      <c r="P68" s="1053">
        <f t="shared" si="23"/>
        <v>62986.14</v>
      </c>
      <c r="Q68" s="1053"/>
      <c r="R68" s="1053">
        <f t="shared" si="24"/>
        <v>62986.14</v>
      </c>
      <c r="S68" s="1053">
        <f t="shared" si="25"/>
        <v>5249</v>
      </c>
      <c r="T68" s="1054">
        <f t="shared" si="26"/>
        <v>282801.12467294827</v>
      </c>
      <c r="U68" s="1054">
        <f t="shared" si="27"/>
        <v>23567</v>
      </c>
    </row>
    <row r="69" spans="1:21">
      <c r="A69" s="994">
        <v>63</v>
      </c>
      <c r="B69" s="995" t="s">
        <v>156</v>
      </c>
      <c r="C69" s="1002">
        <f>'[2]ALL-Reformatted'!K68</f>
        <v>0</v>
      </c>
      <c r="D69" s="1003">
        <f>'Table 3 Levels 1&amp;2'!BN71+'Table 3 Levels 1&amp;2'!BV71</f>
        <v>4318.8609300898834</v>
      </c>
      <c r="E69" s="1102">
        <f t="shared" si="28"/>
        <v>0</v>
      </c>
      <c r="F69" s="1102">
        <f t="shared" si="17"/>
        <v>0</v>
      </c>
      <c r="G69" s="1059">
        <f t="shared" si="29"/>
        <v>0</v>
      </c>
      <c r="H69" s="1112">
        <f t="shared" si="18"/>
        <v>0</v>
      </c>
      <c r="I69" s="1059">
        <f t="shared" si="19"/>
        <v>0</v>
      </c>
      <c r="J69" s="1059"/>
      <c r="K69" s="1059">
        <f t="shared" si="20"/>
        <v>0</v>
      </c>
      <c r="L69" s="1059">
        <f t="shared" si="21"/>
        <v>0</v>
      </c>
      <c r="M69" s="1051">
        <f>'[18]FY2012-13 Final'!K70</f>
        <v>7182</v>
      </c>
      <c r="N69" s="1053">
        <f t="shared" si="30"/>
        <v>0</v>
      </c>
      <c r="O69" s="1118">
        <f t="shared" si="22"/>
        <v>0</v>
      </c>
      <c r="P69" s="1053">
        <f t="shared" si="23"/>
        <v>0</v>
      </c>
      <c r="Q69" s="1053"/>
      <c r="R69" s="1053">
        <f t="shared" si="24"/>
        <v>0</v>
      </c>
      <c r="S69" s="1053">
        <f t="shared" si="25"/>
        <v>0</v>
      </c>
      <c r="T69" s="1054">
        <f t="shared" si="26"/>
        <v>0</v>
      </c>
      <c r="U69" s="1054">
        <f t="shared" si="27"/>
        <v>0</v>
      </c>
    </row>
    <row r="70" spans="1:21">
      <c r="A70" s="994">
        <v>64</v>
      </c>
      <c r="B70" s="995" t="s">
        <v>157</v>
      </c>
      <c r="C70" s="1002">
        <f>'[2]ALL-Reformatted'!K69</f>
        <v>0</v>
      </c>
      <c r="D70" s="1003">
        <f>'Table 3 Levels 1&amp;2'!BN72+'Table 3 Levels 1&amp;2'!BV72</f>
        <v>5921.7418933384488</v>
      </c>
      <c r="E70" s="1102">
        <f t="shared" si="28"/>
        <v>0</v>
      </c>
      <c r="F70" s="1102">
        <f t="shared" si="17"/>
        <v>0</v>
      </c>
      <c r="G70" s="1059">
        <f t="shared" si="29"/>
        <v>0</v>
      </c>
      <c r="H70" s="1112">
        <f t="shared" si="18"/>
        <v>0</v>
      </c>
      <c r="I70" s="1059">
        <f t="shared" si="19"/>
        <v>0</v>
      </c>
      <c r="J70" s="1059"/>
      <c r="K70" s="1059">
        <f t="shared" si="20"/>
        <v>0</v>
      </c>
      <c r="L70" s="1059">
        <f t="shared" si="21"/>
        <v>0</v>
      </c>
      <c r="M70" s="1051">
        <f>'[18]FY2012-13 Final'!K71</f>
        <v>2701</v>
      </c>
      <c r="N70" s="1053">
        <f t="shared" si="30"/>
        <v>0</v>
      </c>
      <c r="O70" s="1118">
        <f t="shared" si="22"/>
        <v>0</v>
      </c>
      <c r="P70" s="1053">
        <f t="shared" si="23"/>
        <v>0</v>
      </c>
      <c r="Q70" s="1053"/>
      <c r="R70" s="1053">
        <f t="shared" si="24"/>
        <v>0</v>
      </c>
      <c r="S70" s="1053">
        <f t="shared" si="25"/>
        <v>0</v>
      </c>
      <c r="T70" s="1054">
        <f t="shared" si="26"/>
        <v>0</v>
      </c>
      <c r="U70" s="1054">
        <f t="shared" si="27"/>
        <v>0</v>
      </c>
    </row>
    <row r="71" spans="1:21">
      <c r="A71" s="998">
        <v>65</v>
      </c>
      <c r="B71" s="999" t="s">
        <v>158</v>
      </c>
      <c r="C71" s="1004">
        <f>'[2]ALL-Reformatted'!K70</f>
        <v>0</v>
      </c>
      <c r="D71" s="1005">
        <f>'Table 3 Levels 1&amp;2'!BN73+'Table 3 Levels 1&amp;2'!BV73</f>
        <v>4578.9201269671275</v>
      </c>
      <c r="E71" s="1103">
        <f t="shared" ref="E71:E75" si="31">D71*C71</f>
        <v>0</v>
      </c>
      <c r="F71" s="1103">
        <f t="shared" si="17"/>
        <v>0</v>
      </c>
      <c r="G71" s="1060">
        <f t="shared" ref="G71:G75" si="32">E71+F71</f>
        <v>0</v>
      </c>
      <c r="H71" s="1113">
        <f t="shared" si="18"/>
        <v>0</v>
      </c>
      <c r="I71" s="1060">
        <f t="shared" si="19"/>
        <v>0</v>
      </c>
      <c r="J71" s="1060"/>
      <c r="K71" s="1060">
        <f t="shared" si="20"/>
        <v>0</v>
      </c>
      <c r="L71" s="1060">
        <f t="shared" si="21"/>
        <v>0</v>
      </c>
      <c r="M71" s="1056">
        <f>'[18]FY2012-13 Final'!K72</f>
        <v>4813</v>
      </c>
      <c r="N71" s="1057">
        <f t="shared" ref="N71:N75" si="33">M71*C71</f>
        <v>0</v>
      </c>
      <c r="O71" s="1119">
        <f t="shared" si="22"/>
        <v>0</v>
      </c>
      <c r="P71" s="1057">
        <f t="shared" si="23"/>
        <v>0</v>
      </c>
      <c r="Q71" s="1057"/>
      <c r="R71" s="1057">
        <f t="shared" si="24"/>
        <v>0</v>
      </c>
      <c r="S71" s="1057">
        <f t="shared" si="25"/>
        <v>0</v>
      </c>
      <c r="T71" s="1058">
        <f t="shared" si="26"/>
        <v>0</v>
      </c>
      <c r="U71" s="1058">
        <f t="shared" ref="U71:U75" si="34">L71+S71</f>
        <v>0</v>
      </c>
    </row>
    <row r="72" spans="1:21">
      <c r="A72" s="987">
        <v>66</v>
      </c>
      <c r="B72" s="988" t="s">
        <v>159</v>
      </c>
      <c r="C72" s="1006">
        <f>'[2]ALL-Reformatted'!K71</f>
        <v>0</v>
      </c>
      <c r="D72" s="1007">
        <f>'Table 3 Levels 1&amp;2'!BN74+'Table 3 Levels 1&amp;2'!BV74</f>
        <v>6340.8763293271122</v>
      </c>
      <c r="E72" s="1104">
        <f t="shared" si="31"/>
        <v>0</v>
      </c>
      <c r="F72" s="1104">
        <f t="shared" ref="F72:F75" si="35">C72*$F$4</f>
        <v>0</v>
      </c>
      <c r="G72" s="1061">
        <f t="shared" si="32"/>
        <v>0</v>
      </c>
      <c r="H72" s="1114">
        <f t="shared" ref="H72:H75" si="36">-G72*$H$4</f>
        <v>0</v>
      </c>
      <c r="I72" s="1061">
        <f t="shared" ref="I72:I75" si="37">SUM(G72:H72)</f>
        <v>0</v>
      </c>
      <c r="J72" s="1061"/>
      <c r="K72" s="1061">
        <f t="shared" ref="K72:K75" si="38">SUM(I72:J72)</f>
        <v>0</v>
      </c>
      <c r="L72" s="1061">
        <f t="shared" ref="L72:L75" si="39">ROUND(K72/12,0)</f>
        <v>0</v>
      </c>
      <c r="M72" s="1051">
        <f>'[18]FY2012-13 Final'!K73</f>
        <v>3516</v>
      </c>
      <c r="N72" s="992">
        <f t="shared" si="33"/>
        <v>0</v>
      </c>
      <c r="O72" s="1117">
        <f t="shared" ref="O72:O75" si="40">-N72*$O$4</f>
        <v>0</v>
      </c>
      <c r="P72" s="992">
        <f t="shared" ref="P72:P75" si="41">SUM(N72:O72)</f>
        <v>0</v>
      </c>
      <c r="Q72" s="992"/>
      <c r="R72" s="992">
        <f t="shared" ref="R72:R75" si="42">SUM(P72:Q72)</f>
        <v>0</v>
      </c>
      <c r="S72" s="992">
        <f t="shared" ref="S72:S75" si="43">ROUND(R72/12,0)</f>
        <v>0</v>
      </c>
      <c r="T72" s="993">
        <f t="shared" ref="T72:T75" si="44">K72+R72</f>
        <v>0</v>
      </c>
      <c r="U72" s="993">
        <f t="shared" si="34"/>
        <v>0</v>
      </c>
    </row>
    <row r="73" spans="1:21">
      <c r="A73" s="994">
        <v>67</v>
      </c>
      <c r="B73" s="995" t="s">
        <v>32</v>
      </c>
      <c r="C73" s="1002">
        <f>'[2]ALL-Reformatted'!K72</f>
        <v>0</v>
      </c>
      <c r="D73" s="1003">
        <f>'Table 3 Levels 1&amp;2'!BN75+'Table 3 Levels 1&amp;2'!BV75</f>
        <v>4984.1100297034172</v>
      </c>
      <c r="E73" s="1102">
        <f t="shared" si="31"/>
        <v>0</v>
      </c>
      <c r="F73" s="1102">
        <f t="shared" si="35"/>
        <v>0</v>
      </c>
      <c r="G73" s="1059">
        <f t="shared" si="32"/>
        <v>0</v>
      </c>
      <c r="H73" s="1112">
        <f t="shared" si="36"/>
        <v>0</v>
      </c>
      <c r="I73" s="1059">
        <f t="shared" si="37"/>
        <v>0</v>
      </c>
      <c r="J73" s="1059"/>
      <c r="K73" s="1059">
        <f t="shared" si="38"/>
        <v>0</v>
      </c>
      <c r="L73" s="1059">
        <f t="shared" si="39"/>
        <v>0</v>
      </c>
      <c r="M73" s="1051">
        <f>'[18]FY2012-13 Final'!K74</f>
        <v>5052</v>
      </c>
      <c r="N73" s="1053">
        <f t="shared" si="33"/>
        <v>0</v>
      </c>
      <c r="O73" s="1118">
        <f t="shared" si="40"/>
        <v>0</v>
      </c>
      <c r="P73" s="1053">
        <f t="shared" si="41"/>
        <v>0</v>
      </c>
      <c r="Q73" s="1053"/>
      <c r="R73" s="1053">
        <f t="shared" si="42"/>
        <v>0</v>
      </c>
      <c r="S73" s="1053">
        <f t="shared" si="43"/>
        <v>0</v>
      </c>
      <c r="T73" s="1054">
        <f t="shared" si="44"/>
        <v>0</v>
      </c>
      <c r="U73" s="1054">
        <f t="shared" si="34"/>
        <v>0</v>
      </c>
    </row>
    <row r="74" spans="1:21">
      <c r="A74" s="994">
        <v>68</v>
      </c>
      <c r="B74" s="995" t="s">
        <v>30</v>
      </c>
      <c r="C74" s="1002">
        <f>'[2]ALL-Reformatted'!K73</f>
        <v>0</v>
      </c>
      <c r="D74" s="1003">
        <f>'Table 3 Levels 1&amp;2'!BN76+'Table 3 Levels 1&amp;2'!BV76</f>
        <v>6012.7854305239725</v>
      </c>
      <c r="E74" s="1102">
        <f t="shared" si="31"/>
        <v>0</v>
      </c>
      <c r="F74" s="1102">
        <f t="shared" si="35"/>
        <v>0</v>
      </c>
      <c r="G74" s="1059">
        <f t="shared" si="32"/>
        <v>0</v>
      </c>
      <c r="H74" s="1112">
        <f t="shared" si="36"/>
        <v>0</v>
      </c>
      <c r="I74" s="1059">
        <f t="shared" si="37"/>
        <v>0</v>
      </c>
      <c r="J74" s="1059"/>
      <c r="K74" s="1059">
        <f t="shared" si="38"/>
        <v>0</v>
      </c>
      <c r="L74" s="1059">
        <f t="shared" si="39"/>
        <v>0</v>
      </c>
      <c r="M74" s="1051">
        <f>'[18]FY2012-13 Final'!K75</f>
        <v>2763</v>
      </c>
      <c r="N74" s="1053">
        <f t="shared" si="33"/>
        <v>0</v>
      </c>
      <c r="O74" s="1118">
        <f t="shared" si="40"/>
        <v>0</v>
      </c>
      <c r="P74" s="1053">
        <f t="shared" si="41"/>
        <v>0</v>
      </c>
      <c r="Q74" s="1053"/>
      <c r="R74" s="1053">
        <f t="shared" si="42"/>
        <v>0</v>
      </c>
      <c r="S74" s="1053">
        <f t="shared" si="43"/>
        <v>0</v>
      </c>
      <c r="T74" s="1054">
        <f t="shared" si="44"/>
        <v>0</v>
      </c>
      <c r="U74" s="1054">
        <f t="shared" si="34"/>
        <v>0</v>
      </c>
    </row>
    <row r="75" spans="1:21">
      <c r="A75" s="1008">
        <v>69</v>
      </c>
      <c r="B75" s="1009" t="s">
        <v>213</v>
      </c>
      <c r="C75" s="1010">
        <f>'[2]ALL-Reformatted'!K74</f>
        <v>0</v>
      </c>
      <c r="D75" s="1011">
        <f>'Table 3 Levels 1&amp;2'!BN77+'Table 3 Levels 1&amp;2'!BV77</f>
        <v>5559.7139008686299</v>
      </c>
      <c r="E75" s="1105">
        <f t="shared" si="31"/>
        <v>0</v>
      </c>
      <c r="F75" s="1105">
        <f t="shared" si="35"/>
        <v>0</v>
      </c>
      <c r="G75" s="1062">
        <f t="shared" si="32"/>
        <v>0</v>
      </c>
      <c r="H75" s="1115">
        <f t="shared" si="36"/>
        <v>0</v>
      </c>
      <c r="I75" s="1062">
        <f t="shared" si="37"/>
        <v>0</v>
      </c>
      <c r="J75" s="1062"/>
      <c r="K75" s="1062">
        <f t="shared" si="38"/>
        <v>0</v>
      </c>
      <c r="L75" s="1062">
        <f t="shared" si="39"/>
        <v>0</v>
      </c>
      <c r="M75" s="1051">
        <f>'[18]FY2012-13 Final'!K76</f>
        <v>3327</v>
      </c>
      <c r="N75" s="1063">
        <f t="shared" si="33"/>
        <v>0</v>
      </c>
      <c r="O75" s="1120">
        <f t="shared" si="40"/>
        <v>0</v>
      </c>
      <c r="P75" s="1063">
        <f t="shared" si="41"/>
        <v>0</v>
      </c>
      <c r="Q75" s="1063"/>
      <c r="R75" s="1063">
        <f t="shared" si="42"/>
        <v>0</v>
      </c>
      <c r="S75" s="1063">
        <f t="shared" si="43"/>
        <v>0</v>
      </c>
      <c r="T75" s="1064">
        <f t="shared" si="44"/>
        <v>0</v>
      </c>
      <c r="U75" s="1064">
        <f t="shared" si="34"/>
        <v>0</v>
      </c>
    </row>
    <row r="76" spans="1:21" s="1019" customFormat="1" ht="13.5" thickBot="1">
      <c r="A76" s="1012"/>
      <c r="B76" s="1013" t="s">
        <v>160</v>
      </c>
      <c r="C76" s="1014">
        <f>SUM(C7:C75)</f>
        <v>675</v>
      </c>
      <c r="D76" s="1015"/>
      <c r="E76" s="1106">
        <f>SUM(E7:E75)</f>
        <v>3540781.549885279</v>
      </c>
      <c r="F76" s="1106">
        <f>SUM(F7:F75)</f>
        <v>355740.89229553455</v>
      </c>
      <c r="G76" s="1016">
        <f>SUM(G7:G75)</f>
        <v>3896522.4421808138</v>
      </c>
      <c r="H76" s="1116">
        <f t="shared" ref="H76:J76" si="45">SUM(H7:H75)</f>
        <v>-9741.3061054520367</v>
      </c>
      <c r="I76" s="1016">
        <f t="shared" si="45"/>
        <v>3886781.1360753616</v>
      </c>
      <c r="J76" s="1016">
        <f t="shared" si="45"/>
        <v>70894.889460474515</v>
      </c>
      <c r="K76" s="1016">
        <f>SUM(K7:K75)</f>
        <v>3957676.0255358364</v>
      </c>
      <c r="L76" s="1016">
        <f>SUM(L7:L75)</f>
        <v>329806</v>
      </c>
      <c r="M76" s="1065"/>
      <c r="N76" s="1017">
        <f>SUM(N7:N75)</f>
        <v>1705185</v>
      </c>
      <c r="O76" s="1121">
        <f t="shared" ref="O76" si="46">SUM(O7:O75)</f>
        <v>-4262.9624999999996</v>
      </c>
      <c r="P76" s="1017">
        <f t="shared" ref="P76:U76" si="47">SUM(P7:P75)</f>
        <v>1700922.0375000001</v>
      </c>
      <c r="Q76" s="1017">
        <f t="shared" si="47"/>
        <v>-24631</v>
      </c>
      <c r="R76" s="1017">
        <f t="shared" si="47"/>
        <v>1676291.0375000001</v>
      </c>
      <c r="S76" s="1017">
        <f t="shared" si="47"/>
        <v>139692</v>
      </c>
      <c r="T76" s="1018">
        <f t="shared" si="47"/>
        <v>5633967.0630358374</v>
      </c>
      <c r="U76" s="1018">
        <f t="shared" si="47"/>
        <v>469498</v>
      </c>
    </row>
    <row r="77" spans="1:21" s="1019" customFormat="1" ht="13.5" thickTop="1">
      <c r="A77" s="1020"/>
      <c r="B77" s="1020"/>
      <c r="C77" s="1021"/>
      <c r="D77" s="1021"/>
      <c r="M77" s="1023"/>
      <c r="N77" s="1023"/>
      <c r="O77" s="1023"/>
      <c r="P77" s="1023"/>
      <c r="Q77" s="1023"/>
      <c r="R77" s="1023"/>
      <c r="S77" s="1023"/>
    </row>
    <row r="78" spans="1:21" ht="12.75" customHeight="1">
      <c r="A78" s="1025"/>
      <c r="C78" s="1026"/>
    </row>
    <row r="79" spans="1:21" ht="12.75" hidden="1" customHeight="1"/>
    <row r="80" spans="1:21" hidden="1"/>
    <row r="81" spans="3:12" hidden="1"/>
    <row r="82" spans="3:12" hidden="1"/>
    <row r="83" spans="3:12" hidden="1">
      <c r="E83" s="1027" t="s">
        <v>373</v>
      </c>
      <c r="F83" s="1027"/>
      <c r="G83" s="1027"/>
      <c r="H83" s="1027"/>
      <c r="I83" s="1027"/>
      <c r="J83" s="1027"/>
      <c r="K83" s="1027"/>
      <c r="L83" s="1027"/>
    </row>
    <row r="84" spans="3:12" ht="10.5" hidden="1" customHeight="1"/>
    <row r="85" spans="3:12" hidden="1"/>
    <row r="86" spans="3:12" hidden="1">
      <c r="C86" s="1029">
        <v>85661</v>
      </c>
      <c r="D86" s="1030" t="s">
        <v>374</v>
      </c>
    </row>
    <row r="87" spans="3:12" hidden="1">
      <c r="C87" s="1029">
        <v>650290</v>
      </c>
      <c r="D87" s="1030" t="s">
        <v>375</v>
      </c>
    </row>
    <row r="88" spans="3:12" hidden="1">
      <c r="C88" s="1031">
        <f>C86/C87</f>
        <v>0.13172738316750987</v>
      </c>
      <c r="D88" s="1030" t="s">
        <v>376</v>
      </c>
    </row>
    <row r="89" spans="3:12" hidden="1">
      <c r="C89" s="1029"/>
      <c r="D89" s="1030"/>
    </row>
    <row r="90" spans="3:12" hidden="1">
      <c r="C90" s="1029">
        <v>128510</v>
      </c>
      <c r="D90" s="1030" t="s">
        <v>377</v>
      </c>
    </row>
    <row r="91" spans="3:12" hidden="1">
      <c r="C91" s="1029">
        <v>911320</v>
      </c>
      <c r="D91" s="1030" t="s">
        <v>378</v>
      </c>
    </row>
    <row r="92" spans="3:12" hidden="1">
      <c r="C92" s="1031">
        <f>C90/C91</f>
        <v>0.14101523065443533</v>
      </c>
      <c r="D92" s="1030" t="s">
        <v>379</v>
      </c>
    </row>
    <row r="93" spans="3:12" hidden="1">
      <c r="C93" s="1029"/>
      <c r="D93" s="1030"/>
    </row>
    <row r="94" spans="3:12" hidden="1">
      <c r="C94" s="1032">
        <v>2663489616</v>
      </c>
      <c r="D94" s="1033" t="s">
        <v>380</v>
      </c>
    </row>
    <row r="95" spans="3:12" hidden="1">
      <c r="C95" s="1034">
        <f>C92</f>
        <v>0.14101523065443533</v>
      </c>
      <c r="D95" s="1033"/>
    </row>
    <row r="96" spans="3:12" hidden="1">
      <c r="C96" s="1035">
        <f>C94*C95</f>
        <v>375592602.54593337</v>
      </c>
      <c r="D96" s="1030" t="s">
        <v>381</v>
      </c>
    </row>
    <row r="97" spans="3:4" hidden="1">
      <c r="C97" s="1036">
        <f>50%/C92</f>
        <v>3.5457162866702978</v>
      </c>
      <c r="D97" s="1033" t="s">
        <v>382</v>
      </c>
    </row>
    <row r="98" spans="3:4" hidden="1">
      <c r="C98" s="1035">
        <f>C96*C97</f>
        <v>1331744808</v>
      </c>
      <c r="D98" s="1037" t="s">
        <v>383</v>
      </c>
    </row>
    <row r="99" spans="3:4" hidden="1">
      <c r="C99" s="1038">
        <f>C87</f>
        <v>650290</v>
      </c>
      <c r="D99" s="1033" t="s">
        <v>384</v>
      </c>
    </row>
    <row r="100" spans="3:4" hidden="1">
      <c r="C100" s="1035">
        <f>C98/C99</f>
        <v>2047.9244767719017</v>
      </c>
      <c r="D100" s="1033" t="s">
        <v>385</v>
      </c>
    </row>
    <row r="101" spans="3:4" hidden="1">
      <c r="C101" s="1039">
        <f>(C96/C99)*-1</f>
        <v>-577.57708490970697</v>
      </c>
      <c r="D101" s="1033" t="s">
        <v>386</v>
      </c>
    </row>
    <row r="102" spans="3:4" hidden="1">
      <c r="C102" s="1040">
        <f>SUM(C100:C101)</f>
        <v>1470.3473918621949</v>
      </c>
      <c r="D102" s="1033" t="s">
        <v>387</v>
      </c>
    </row>
    <row r="103" spans="3:4" hidden="1">
      <c r="C103" s="1040"/>
      <c r="D103" s="1033"/>
    </row>
    <row r="104" spans="3:4" hidden="1">
      <c r="C104" s="1040"/>
      <c r="D104" s="1033"/>
    </row>
    <row r="105" spans="3:4" hidden="1">
      <c r="D105" s="1033"/>
    </row>
    <row r="106" spans="3:4" hidden="1"/>
  </sheetData>
  <mergeCells count="18">
    <mergeCell ref="A2:B4"/>
    <mergeCell ref="C2:L2"/>
    <mergeCell ref="M2:S2"/>
    <mergeCell ref="T2:T4"/>
    <mergeCell ref="G3:G4"/>
    <mergeCell ref="N3:N4"/>
    <mergeCell ref="S3:S4"/>
    <mergeCell ref="I3:I4"/>
    <mergeCell ref="U2:U4"/>
    <mergeCell ref="C3:C4"/>
    <mergeCell ref="D3:D4"/>
    <mergeCell ref="E3:E4"/>
    <mergeCell ref="L3:L4"/>
    <mergeCell ref="M3:M4"/>
    <mergeCell ref="J3:J4"/>
    <mergeCell ref="K3:K4"/>
    <mergeCell ref="Q3:Q4"/>
    <mergeCell ref="R3:R4"/>
  </mergeCells>
  <printOptions horizontalCentered="1"/>
  <pageMargins left="0.27" right="0.25" top="0.87" bottom="0.2" header="0.25" footer="0.2"/>
  <pageSetup paperSize="5" scale="61" firstPageNumber="105" fitToWidth="3" orientation="portrait" useFirstPageNumber="1" r:id="rId1"/>
  <headerFooter alignWithMargins="0">
    <oddHeader xml:space="preserve">&amp;L&amp;"Arial,Bold"&amp;16Table 5D-5:  FY2013-14 MFP Budget Letter (Projection)&amp;"Arial,Regular"&amp;10
&amp;"Arial,Bold"&amp;14Legacy Type 2 Charters &amp;R&amp;"Arial,Bold"&amp;12&amp;KFF0000
</oddHeader>
    <oddFooter>&amp;R&amp;P</oddFooter>
  </headerFooter>
  <colBreaks count="1" manualBreakCount="1">
    <brk id="12" min="1" max="78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U106"/>
  <sheetViews>
    <sheetView view="pageBreakPreview" zoomScaleNormal="85" zoomScaleSheetLayoutView="100" workbookViewId="0">
      <pane xSplit="2" ySplit="6" topLeftCell="C7" activePane="bottomRight" state="frozen"/>
      <selection activeCell="A2" sqref="A2:B4"/>
      <selection pane="topRight" activeCell="A2" sqref="A2:B4"/>
      <selection pane="bottomLeft" activeCell="A2" sqref="A2:B4"/>
      <selection pane="bottomRight" activeCell="A2" sqref="A2:B4"/>
    </sheetView>
  </sheetViews>
  <sheetFormatPr defaultColWidth="12.5703125" defaultRowHeight="12.75"/>
  <cols>
    <col min="1" max="1" width="3.85546875" style="971" customWidth="1"/>
    <col min="2" max="2" width="23.7109375" style="971" customWidth="1"/>
    <col min="3" max="3" width="11.85546875" style="974" customWidth="1"/>
    <col min="4" max="4" width="15.28515625" style="974" customWidth="1"/>
    <col min="5" max="5" width="11" style="974" customWidth="1"/>
    <col min="6" max="6" width="12.5703125" style="974" bestFit="1" customWidth="1"/>
    <col min="7" max="7" width="11.85546875" style="974" customWidth="1"/>
    <col min="8" max="8" width="11" style="974" customWidth="1"/>
    <col min="9" max="9" width="11.7109375" style="974" customWidth="1"/>
    <col min="10" max="10" width="14.28515625" style="974" customWidth="1"/>
    <col min="11" max="11" width="11.7109375" style="974" customWidth="1"/>
    <col min="12" max="12" width="9.42578125" style="974" bestFit="1" customWidth="1"/>
    <col min="13" max="13" width="17.7109375" style="1049" customWidth="1"/>
    <col min="14" max="14" width="13.7109375" style="974" bestFit="1" customWidth="1"/>
    <col min="15" max="18" width="13.7109375" style="974" customWidth="1"/>
    <col min="19" max="19" width="10.85546875" style="974" bestFit="1" customWidth="1"/>
    <col min="20" max="21" width="12.5703125" style="971" customWidth="1"/>
    <col min="22" max="16384" width="12.5703125" style="971"/>
  </cols>
  <sheetData>
    <row r="1" spans="1:21" ht="9" customHeight="1">
      <c r="B1" s="972"/>
      <c r="C1" s="973"/>
      <c r="D1" s="973"/>
    </row>
    <row r="2" spans="1:21" s="976" customFormat="1" ht="37.5" customHeight="1">
      <c r="A2" s="2000" t="s">
        <v>490</v>
      </c>
      <c r="B2" s="2001"/>
      <c r="C2" s="2065" t="s">
        <v>483</v>
      </c>
      <c r="D2" s="2017"/>
      <c r="E2" s="2017"/>
      <c r="F2" s="2017"/>
      <c r="G2" s="2017"/>
      <c r="H2" s="2017"/>
      <c r="I2" s="2017"/>
      <c r="J2" s="2017"/>
      <c r="K2" s="2017"/>
      <c r="L2" s="2018"/>
      <c r="M2" s="1992" t="s">
        <v>1357</v>
      </c>
      <c r="N2" s="1993"/>
      <c r="O2" s="1993"/>
      <c r="P2" s="1993"/>
      <c r="Q2" s="1993"/>
      <c r="R2" s="1993"/>
      <c r="S2" s="1994"/>
      <c r="T2" s="1995" t="s">
        <v>1412</v>
      </c>
      <c r="U2" s="1995" t="s">
        <v>1355</v>
      </c>
    </row>
    <row r="3" spans="1:21" ht="108" customHeight="1">
      <c r="A3" s="2002"/>
      <c r="B3" s="2003"/>
      <c r="C3" s="2109" t="s">
        <v>1178</v>
      </c>
      <c r="D3" s="2008" t="s">
        <v>1393</v>
      </c>
      <c r="E3" s="2008" t="s">
        <v>1377</v>
      </c>
      <c r="F3" s="977" t="s">
        <v>492</v>
      </c>
      <c r="G3" s="2006" t="s">
        <v>1378</v>
      </c>
      <c r="H3" s="1096" t="s">
        <v>510</v>
      </c>
      <c r="I3" s="2006" t="s">
        <v>1379</v>
      </c>
      <c r="J3" s="2006" t="s">
        <v>1230</v>
      </c>
      <c r="K3" s="2006" t="s">
        <v>1380</v>
      </c>
      <c r="L3" s="2008" t="s">
        <v>1356</v>
      </c>
      <c r="M3" s="2009" t="s">
        <v>692</v>
      </c>
      <c r="N3" s="2019" t="s">
        <v>1382</v>
      </c>
      <c r="O3" s="1098" t="s">
        <v>512</v>
      </c>
      <c r="P3" s="1743" t="s">
        <v>1383</v>
      </c>
      <c r="Q3" s="2019" t="s">
        <v>1230</v>
      </c>
      <c r="R3" s="2019" t="s">
        <v>1384</v>
      </c>
      <c r="S3" s="2019" t="s">
        <v>1385</v>
      </c>
      <c r="T3" s="1996"/>
      <c r="U3" s="1996"/>
    </row>
    <row r="4" spans="1:21" ht="34.5" customHeight="1">
      <c r="A4" s="2004"/>
      <c r="B4" s="2005"/>
      <c r="C4" s="2110"/>
      <c r="D4" s="2008"/>
      <c r="E4" s="2008"/>
      <c r="F4" s="1067">
        <v>705.7643831168831</v>
      </c>
      <c r="G4" s="2007"/>
      <c r="H4" s="1107">
        <v>2.5000000000000001E-3</v>
      </c>
      <c r="I4" s="2007"/>
      <c r="J4" s="2007"/>
      <c r="K4" s="2007"/>
      <c r="L4" s="2008"/>
      <c r="M4" s="2010"/>
      <c r="N4" s="1999"/>
      <c r="O4" s="1108">
        <v>2.5000000000000001E-3</v>
      </c>
      <c r="P4" s="1097"/>
      <c r="Q4" s="1999"/>
      <c r="R4" s="1999"/>
      <c r="S4" s="1999"/>
      <c r="T4" s="1997"/>
      <c r="U4" s="1997"/>
    </row>
    <row r="5" spans="1:21" s="981" customFormat="1" ht="14.25" customHeight="1">
      <c r="A5" s="978"/>
      <c r="B5" s="979"/>
      <c r="C5" s="980">
        <v>1</v>
      </c>
      <c r="D5" s="980">
        <f t="shared" ref="D5:N5" si="0">C5+1</f>
        <v>2</v>
      </c>
      <c r="E5" s="980">
        <f>D5+1</f>
        <v>3</v>
      </c>
      <c r="F5" s="980">
        <f t="shared" ref="F5:G5" si="1">E5+1</f>
        <v>4</v>
      </c>
      <c r="G5" s="980">
        <f t="shared" si="1"/>
        <v>5</v>
      </c>
      <c r="H5" s="980">
        <f t="shared" ref="H5" si="2">G5+1</f>
        <v>6</v>
      </c>
      <c r="I5" s="980">
        <f t="shared" ref="I5" si="3">H5+1</f>
        <v>7</v>
      </c>
      <c r="J5" s="980">
        <f t="shared" ref="J5" si="4">I5+1</f>
        <v>8</v>
      </c>
      <c r="K5" s="980">
        <f t="shared" ref="K5" si="5">J5+1</f>
        <v>9</v>
      </c>
      <c r="L5" s="980">
        <f t="shared" ref="L5" si="6">K5+1</f>
        <v>10</v>
      </c>
      <c r="M5" s="980">
        <f t="shared" si="0"/>
        <v>11</v>
      </c>
      <c r="N5" s="980">
        <f t="shared" si="0"/>
        <v>12</v>
      </c>
      <c r="O5" s="980">
        <f t="shared" ref="O5" si="7">N5+1</f>
        <v>13</v>
      </c>
      <c r="P5" s="980">
        <f t="shared" ref="P5" si="8">O5+1</f>
        <v>14</v>
      </c>
      <c r="Q5" s="980">
        <f t="shared" ref="Q5" si="9">P5+1</f>
        <v>15</v>
      </c>
      <c r="R5" s="980">
        <f t="shared" ref="R5" si="10">Q5+1</f>
        <v>16</v>
      </c>
      <c r="S5" s="980">
        <f t="shared" ref="S5" si="11">R5+1</f>
        <v>17</v>
      </c>
      <c r="T5" s="980">
        <f t="shared" ref="T5" si="12">S5+1</f>
        <v>18</v>
      </c>
      <c r="U5" s="980">
        <f t="shared" ref="U5" si="13">T5+1</f>
        <v>19</v>
      </c>
    </row>
    <row r="6" spans="1:21" s="986" customFormat="1" ht="27" customHeight="1">
      <c r="A6" s="982"/>
      <c r="B6" s="983"/>
      <c r="C6" s="984" t="s">
        <v>441</v>
      </c>
      <c r="D6" s="985" t="s">
        <v>363</v>
      </c>
      <c r="E6" s="984" t="s">
        <v>532</v>
      </c>
      <c r="F6" s="985" t="s">
        <v>494</v>
      </c>
      <c r="G6" s="984" t="s">
        <v>493</v>
      </c>
      <c r="H6" s="984" t="s">
        <v>511</v>
      </c>
      <c r="I6" s="984" t="s">
        <v>513</v>
      </c>
      <c r="J6" s="984"/>
      <c r="K6" s="984" t="s">
        <v>642</v>
      </c>
      <c r="L6" s="984" t="s">
        <v>537</v>
      </c>
      <c r="M6" s="1050" t="s">
        <v>363</v>
      </c>
      <c r="N6" s="1044" t="s">
        <v>538</v>
      </c>
      <c r="O6" s="1044" t="s">
        <v>643</v>
      </c>
      <c r="P6" s="1044" t="s">
        <v>640</v>
      </c>
      <c r="Q6" s="985"/>
      <c r="R6" s="1044" t="s">
        <v>641</v>
      </c>
      <c r="S6" s="1044" t="s">
        <v>540</v>
      </c>
      <c r="T6" s="1044" t="s">
        <v>541</v>
      </c>
      <c r="U6" s="1044" t="s">
        <v>542</v>
      </c>
    </row>
    <row r="7" spans="1:21">
      <c r="A7" s="987">
        <v>1</v>
      </c>
      <c r="B7" s="988" t="s">
        <v>95</v>
      </c>
      <c r="C7" s="989">
        <f>'[2]ALL-Reformatted'!M6</f>
        <v>0</v>
      </c>
      <c r="D7" s="990">
        <f>'Table 3 Levels 1&amp;2'!BN9+'Table 3 Levels 1&amp;2'!BV9</f>
        <v>4565.2108060165392</v>
      </c>
      <c r="E7" s="1099">
        <f t="shared" ref="E7:E38" si="14">D7*C7</f>
        <v>0</v>
      </c>
      <c r="F7" s="1099">
        <f>C7*$F$4</f>
        <v>0</v>
      </c>
      <c r="G7" s="991">
        <f t="shared" ref="G7:G38" si="15">E7+F7</f>
        <v>0</v>
      </c>
      <c r="H7" s="1109">
        <f>-G7*$H$4</f>
        <v>0</v>
      </c>
      <c r="I7" s="991">
        <f>SUM(G7:H7)</f>
        <v>0</v>
      </c>
      <c r="J7" s="991"/>
      <c r="K7" s="991">
        <f>SUM(I7:J7)</f>
        <v>0</v>
      </c>
      <c r="L7" s="991">
        <f>ROUND(K7/12,0)</f>
        <v>0</v>
      </c>
      <c r="M7" s="1051">
        <f>'[18]FY2012-13 Final'!K8</f>
        <v>2112</v>
      </c>
      <c r="N7" s="992">
        <f t="shared" ref="N7:N38" si="16">M7*C7</f>
        <v>0</v>
      </c>
      <c r="O7" s="1117">
        <f>-N7*$O$4</f>
        <v>0</v>
      </c>
      <c r="P7" s="992">
        <f>SUM(N7:O7)</f>
        <v>0</v>
      </c>
      <c r="Q7" s="992"/>
      <c r="R7" s="992">
        <f>SUM(P7:Q7)</f>
        <v>0</v>
      </c>
      <c r="S7" s="992">
        <f>ROUND(R7/12,0)</f>
        <v>0</v>
      </c>
      <c r="T7" s="993">
        <f>K7+R7</f>
        <v>0</v>
      </c>
      <c r="U7" s="993">
        <f>L7+S7</f>
        <v>0</v>
      </c>
    </row>
    <row r="8" spans="1:21">
      <c r="A8" s="994">
        <v>2</v>
      </c>
      <c r="B8" s="995" t="s">
        <v>96</v>
      </c>
      <c r="C8" s="996">
        <f>'[2]ALL-Reformatted'!M7</f>
        <v>0</v>
      </c>
      <c r="D8" s="997">
        <f>'Table 3 Levels 1&amp;2'!BN10+'Table 3 Levels 1&amp;2'!BV10</f>
        <v>6132.0480322513831</v>
      </c>
      <c r="E8" s="1100">
        <f t="shared" si="14"/>
        <v>0</v>
      </c>
      <c r="F8" s="1100">
        <f t="shared" ref="F8:F71" si="17">C8*$F$4</f>
        <v>0</v>
      </c>
      <c r="G8" s="1052">
        <f t="shared" si="15"/>
        <v>0</v>
      </c>
      <c r="H8" s="1110">
        <f t="shared" ref="H8:H71" si="18">-G8*$H$4</f>
        <v>0</v>
      </c>
      <c r="I8" s="1052">
        <f t="shared" ref="I8:I71" si="19">SUM(G8:H8)</f>
        <v>0</v>
      </c>
      <c r="J8" s="1052"/>
      <c r="K8" s="1052">
        <f t="shared" ref="K8:K71" si="20">SUM(I8:J8)</f>
        <v>0</v>
      </c>
      <c r="L8" s="1052">
        <f t="shared" ref="L8:L71" si="21">ROUND(K8/12,0)</f>
        <v>0</v>
      </c>
      <c r="M8" s="1051">
        <f>'[18]FY2012-13 Final'!K9</f>
        <v>2584</v>
      </c>
      <c r="N8" s="1053">
        <f t="shared" si="16"/>
        <v>0</v>
      </c>
      <c r="O8" s="1118">
        <f t="shared" ref="O8:O71" si="22">-N8*$O$4</f>
        <v>0</v>
      </c>
      <c r="P8" s="1053">
        <f t="shared" ref="P8:P71" si="23">SUM(N8:O8)</f>
        <v>0</v>
      </c>
      <c r="Q8" s="1053"/>
      <c r="R8" s="1053">
        <f t="shared" ref="R8:R71" si="24">SUM(P8:Q8)</f>
        <v>0</v>
      </c>
      <c r="S8" s="1053">
        <f t="shared" ref="S8:S71" si="25">ROUND(R8/12,0)</f>
        <v>0</v>
      </c>
      <c r="T8" s="1054">
        <f t="shared" ref="T8:T71" si="26">K8+R8</f>
        <v>0</v>
      </c>
      <c r="U8" s="1054">
        <f t="shared" ref="U8:U70" si="27">L8+S8</f>
        <v>0</v>
      </c>
    </row>
    <row r="9" spans="1:21" ht="12.75" customHeight="1">
      <c r="A9" s="994">
        <v>3</v>
      </c>
      <c r="B9" s="995" t="s">
        <v>97</v>
      </c>
      <c r="C9" s="996">
        <f>'[2]ALL-Reformatted'!M8</f>
        <v>0</v>
      </c>
      <c r="D9" s="997">
        <f>'Table 3 Levels 1&amp;2'!BN11+'Table 3 Levels 1&amp;2'!BV11</f>
        <v>4186.9626187036429</v>
      </c>
      <c r="E9" s="1100">
        <f t="shared" si="14"/>
        <v>0</v>
      </c>
      <c r="F9" s="1100">
        <f t="shared" si="17"/>
        <v>0</v>
      </c>
      <c r="G9" s="1052">
        <f t="shared" si="15"/>
        <v>0</v>
      </c>
      <c r="H9" s="1110">
        <f t="shared" si="18"/>
        <v>0</v>
      </c>
      <c r="I9" s="1052">
        <f t="shared" si="19"/>
        <v>0</v>
      </c>
      <c r="J9" s="1052"/>
      <c r="K9" s="1052">
        <f t="shared" si="20"/>
        <v>0</v>
      </c>
      <c r="L9" s="1052">
        <f t="shared" si="21"/>
        <v>0</v>
      </c>
      <c r="M9" s="1051">
        <f>'[18]FY2012-13 Final'!K10</f>
        <v>4966</v>
      </c>
      <c r="N9" s="1053">
        <f t="shared" si="16"/>
        <v>0</v>
      </c>
      <c r="O9" s="1118">
        <f t="shared" si="22"/>
        <v>0</v>
      </c>
      <c r="P9" s="1053">
        <f t="shared" si="23"/>
        <v>0</v>
      </c>
      <c r="Q9" s="1053"/>
      <c r="R9" s="1053">
        <f t="shared" si="24"/>
        <v>0</v>
      </c>
      <c r="S9" s="1053">
        <f t="shared" si="25"/>
        <v>0</v>
      </c>
      <c r="T9" s="1054">
        <f t="shared" si="26"/>
        <v>0</v>
      </c>
      <c r="U9" s="1054">
        <f t="shared" si="27"/>
        <v>0</v>
      </c>
    </row>
    <row r="10" spans="1:21" ht="12.75" customHeight="1">
      <c r="A10" s="994">
        <v>4</v>
      </c>
      <c r="B10" s="995" t="s">
        <v>98</v>
      </c>
      <c r="C10" s="996">
        <f>'[2]ALL-Reformatted'!M9</f>
        <v>0</v>
      </c>
      <c r="D10" s="997">
        <f>'Table 3 Levels 1&amp;2'!BN12+'Table 3 Levels 1&amp;2'!BV12</f>
        <v>5918.8798759182582</v>
      </c>
      <c r="E10" s="1100">
        <f t="shared" si="14"/>
        <v>0</v>
      </c>
      <c r="F10" s="1100">
        <f t="shared" si="17"/>
        <v>0</v>
      </c>
      <c r="G10" s="1052">
        <f t="shared" si="15"/>
        <v>0</v>
      </c>
      <c r="H10" s="1110">
        <f t="shared" si="18"/>
        <v>0</v>
      </c>
      <c r="I10" s="1052">
        <f t="shared" si="19"/>
        <v>0</v>
      </c>
      <c r="J10" s="1052"/>
      <c r="K10" s="1052">
        <f t="shared" si="20"/>
        <v>0</v>
      </c>
      <c r="L10" s="1052">
        <f t="shared" si="21"/>
        <v>0</v>
      </c>
      <c r="M10" s="1051">
        <f>'[18]FY2012-13 Final'!K11</f>
        <v>3445</v>
      </c>
      <c r="N10" s="1053">
        <f t="shared" si="16"/>
        <v>0</v>
      </c>
      <c r="O10" s="1118">
        <f t="shared" si="22"/>
        <v>0</v>
      </c>
      <c r="P10" s="1053">
        <f t="shared" si="23"/>
        <v>0</v>
      </c>
      <c r="Q10" s="1053"/>
      <c r="R10" s="1053">
        <f t="shared" si="24"/>
        <v>0</v>
      </c>
      <c r="S10" s="1053">
        <f t="shared" si="25"/>
        <v>0</v>
      </c>
      <c r="T10" s="1054">
        <f t="shared" si="26"/>
        <v>0</v>
      </c>
      <c r="U10" s="1054">
        <f t="shared" si="27"/>
        <v>0</v>
      </c>
    </row>
    <row r="11" spans="1:21">
      <c r="A11" s="998">
        <v>5</v>
      </c>
      <c r="B11" s="999" t="s">
        <v>99</v>
      </c>
      <c r="C11" s="1000">
        <f>'[2]ALL-Reformatted'!M10</f>
        <v>0</v>
      </c>
      <c r="D11" s="1001">
        <f>'Table 3 Levels 1&amp;2'!BN13+'Table 3 Levels 1&amp;2'!BV13</f>
        <v>4880.3484353147733</v>
      </c>
      <c r="E11" s="1101">
        <f t="shared" si="14"/>
        <v>0</v>
      </c>
      <c r="F11" s="1101">
        <f t="shared" si="17"/>
        <v>0</v>
      </c>
      <c r="G11" s="1055">
        <f t="shared" si="15"/>
        <v>0</v>
      </c>
      <c r="H11" s="1111">
        <f t="shared" si="18"/>
        <v>0</v>
      </c>
      <c r="I11" s="1055">
        <f t="shared" si="19"/>
        <v>0</v>
      </c>
      <c r="J11" s="1055"/>
      <c r="K11" s="1055">
        <f t="shared" si="20"/>
        <v>0</v>
      </c>
      <c r="L11" s="1055">
        <f t="shared" si="21"/>
        <v>0</v>
      </c>
      <c r="M11" s="1056">
        <f>'[18]FY2012-13 Final'!K12</f>
        <v>1353</v>
      </c>
      <c r="N11" s="1057">
        <f t="shared" si="16"/>
        <v>0</v>
      </c>
      <c r="O11" s="1119">
        <f t="shared" si="22"/>
        <v>0</v>
      </c>
      <c r="P11" s="1057">
        <f t="shared" si="23"/>
        <v>0</v>
      </c>
      <c r="Q11" s="1057"/>
      <c r="R11" s="1057">
        <f t="shared" si="24"/>
        <v>0</v>
      </c>
      <c r="S11" s="1057">
        <f t="shared" si="25"/>
        <v>0</v>
      </c>
      <c r="T11" s="1058">
        <f t="shared" si="26"/>
        <v>0</v>
      </c>
      <c r="U11" s="1058">
        <f t="shared" si="27"/>
        <v>0</v>
      </c>
    </row>
    <row r="12" spans="1:21" ht="12.75" customHeight="1">
      <c r="A12" s="987">
        <v>6</v>
      </c>
      <c r="B12" s="988" t="s">
        <v>100</v>
      </c>
      <c r="C12" s="989">
        <f>'[2]ALL-Reformatted'!M11</f>
        <v>0</v>
      </c>
      <c r="D12" s="990">
        <f>'Table 3 Levels 1&amp;2'!BN14+'Table 3 Levels 1&amp;2'!BV14</f>
        <v>5379.7759718479856</v>
      </c>
      <c r="E12" s="1099">
        <f t="shared" si="14"/>
        <v>0</v>
      </c>
      <c r="F12" s="1099">
        <f t="shared" si="17"/>
        <v>0</v>
      </c>
      <c r="G12" s="991">
        <f t="shared" si="15"/>
        <v>0</v>
      </c>
      <c r="H12" s="1109">
        <f t="shared" si="18"/>
        <v>0</v>
      </c>
      <c r="I12" s="991">
        <f t="shared" si="19"/>
        <v>0</v>
      </c>
      <c r="J12" s="991"/>
      <c r="K12" s="991">
        <f t="shared" si="20"/>
        <v>0</v>
      </c>
      <c r="L12" s="991">
        <f t="shared" si="21"/>
        <v>0</v>
      </c>
      <c r="M12" s="1051">
        <f>'[18]FY2012-13 Final'!K13</f>
        <v>3576</v>
      </c>
      <c r="N12" s="992">
        <f t="shared" si="16"/>
        <v>0</v>
      </c>
      <c r="O12" s="1117">
        <f t="shared" si="22"/>
        <v>0</v>
      </c>
      <c r="P12" s="992">
        <f t="shared" si="23"/>
        <v>0</v>
      </c>
      <c r="Q12" s="992"/>
      <c r="R12" s="992">
        <f t="shared" si="24"/>
        <v>0</v>
      </c>
      <c r="S12" s="992">
        <f t="shared" si="25"/>
        <v>0</v>
      </c>
      <c r="T12" s="993">
        <f t="shared" si="26"/>
        <v>0</v>
      </c>
      <c r="U12" s="993">
        <f t="shared" si="27"/>
        <v>0</v>
      </c>
    </row>
    <row r="13" spans="1:21">
      <c r="A13" s="994">
        <v>7</v>
      </c>
      <c r="B13" s="995" t="s">
        <v>101</v>
      </c>
      <c r="C13" s="996">
        <f>'[2]ALL-Reformatted'!M12</f>
        <v>0</v>
      </c>
      <c r="D13" s="997">
        <f>'Table 3 Levels 1&amp;2'!BN15+'Table 3 Levels 1&amp;2'!BV15</f>
        <v>1698.1351763907733</v>
      </c>
      <c r="E13" s="1100">
        <f t="shared" si="14"/>
        <v>0</v>
      </c>
      <c r="F13" s="1100">
        <f t="shared" si="17"/>
        <v>0</v>
      </c>
      <c r="G13" s="1052">
        <f t="shared" si="15"/>
        <v>0</v>
      </c>
      <c r="H13" s="1110">
        <f t="shared" si="18"/>
        <v>0</v>
      </c>
      <c r="I13" s="1052">
        <f t="shared" si="19"/>
        <v>0</v>
      </c>
      <c r="J13" s="1052"/>
      <c r="K13" s="1052">
        <f t="shared" si="20"/>
        <v>0</v>
      </c>
      <c r="L13" s="1052">
        <f t="shared" si="21"/>
        <v>0</v>
      </c>
      <c r="M13" s="1051">
        <f>'[18]FY2012-13 Final'!K14</f>
        <v>12465</v>
      </c>
      <c r="N13" s="1053">
        <f t="shared" si="16"/>
        <v>0</v>
      </c>
      <c r="O13" s="1118">
        <f t="shared" si="22"/>
        <v>0</v>
      </c>
      <c r="P13" s="1053">
        <f t="shared" si="23"/>
        <v>0</v>
      </c>
      <c r="Q13" s="1053"/>
      <c r="R13" s="1053">
        <f t="shared" si="24"/>
        <v>0</v>
      </c>
      <c r="S13" s="1053">
        <f t="shared" si="25"/>
        <v>0</v>
      </c>
      <c r="T13" s="1054">
        <f t="shared" si="26"/>
        <v>0</v>
      </c>
      <c r="U13" s="1054">
        <f t="shared" si="27"/>
        <v>0</v>
      </c>
    </row>
    <row r="14" spans="1:21">
      <c r="A14" s="994">
        <v>8</v>
      </c>
      <c r="B14" s="995" t="s">
        <v>102</v>
      </c>
      <c r="C14" s="996">
        <f>'[2]ALL-Reformatted'!M13</f>
        <v>0</v>
      </c>
      <c r="D14" s="997">
        <f>'Table 3 Levels 1&amp;2'!BN16+'Table 3 Levels 1&amp;2'!BV16</f>
        <v>4239.8578920718974</v>
      </c>
      <c r="E14" s="1100">
        <f t="shared" si="14"/>
        <v>0</v>
      </c>
      <c r="F14" s="1100">
        <f t="shared" si="17"/>
        <v>0</v>
      </c>
      <c r="G14" s="1052">
        <f t="shared" si="15"/>
        <v>0</v>
      </c>
      <c r="H14" s="1110">
        <f t="shared" si="18"/>
        <v>0</v>
      </c>
      <c r="I14" s="1052">
        <f t="shared" si="19"/>
        <v>0</v>
      </c>
      <c r="J14" s="1052"/>
      <c r="K14" s="1052">
        <f t="shared" si="20"/>
        <v>0</v>
      </c>
      <c r="L14" s="1052">
        <f t="shared" si="21"/>
        <v>0</v>
      </c>
      <c r="M14" s="1051">
        <f>'[18]FY2012-13 Final'!K15</f>
        <v>4184</v>
      </c>
      <c r="N14" s="1053">
        <f t="shared" si="16"/>
        <v>0</v>
      </c>
      <c r="O14" s="1118">
        <f t="shared" si="22"/>
        <v>0</v>
      </c>
      <c r="P14" s="1053">
        <f t="shared" si="23"/>
        <v>0</v>
      </c>
      <c r="Q14" s="1053"/>
      <c r="R14" s="1053">
        <f t="shared" si="24"/>
        <v>0</v>
      </c>
      <c r="S14" s="1053">
        <f t="shared" si="25"/>
        <v>0</v>
      </c>
      <c r="T14" s="1054">
        <f t="shared" si="26"/>
        <v>0</v>
      </c>
      <c r="U14" s="1054">
        <f t="shared" si="27"/>
        <v>0</v>
      </c>
    </row>
    <row r="15" spans="1:21">
      <c r="A15" s="994">
        <v>9</v>
      </c>
      <c r="B15" s="995" t="s">
        <v>103</v>
      </c>
      <c r="C15" s="996">
        <f>'[2]ALL-Reformatted'!M14</f>
        <v>0</v>
      </c>
      <c r="D15" s="997">
        <f>'Table 3 Levels 1&amp;2'!BN17+'Table 3 Levels 1&amp;2'!BV17</f>
        <v>4361.2752875373017</v>
      </c>
      <c r="E15" s="1100">
        <f t="shared" si="14"/>
        <v>0</v>
      </c>
      <c r="F15" s="1100">
        <f t="shared" si="17"/>
        <v>0</v>
      </c>
      <c r="G15" s="1052">
        <f t="shared" si="15"/>
        <v>0</v>
      </c>
      <c r="H15" s="1110">
        <f t="shared" si="18"/>
        <v>0</v>
      </c>
      <c r="I15" s="1052">
        <f t="shared" si="19"/>
        <v>0</v>
      </c>
      <c r="J15" s="1052"/>
      <c r="K15" s="1052">
        <f t="shared" si="20"/>
        <v>0</v>
      </c>
      <c r="L15" s="1052">
        <f t="shared" si="21"/>
        <v>0</v>
      </c>
      <c r="M15" s="1051">
        <f>'[18]FY2012-13 Final'!K16</f>
        <v>4640</v>
      </c>
      <c r="N15" s="1053">
        <f t="shared" si="16"/>
        <v>0</v>
      </c>
      <c r="O15" s="1118">
        <f t="shared" si="22"/>
        <v>0</v>
      </c>
      <c r="P15" s="1053">
        <f t="shared" si="23"/>
        <v>0</v>
      </c>
      <c r="Q15" s="1053"/>
      <c r="R15" s="1053">
        <f t="shared" si="24"/>
        <v>0</v>
      </c>
      <c r="S15" s="1053">
        <f t="shared" si="25"/>
        <v>0</v>
      </c>
      <c r="T15" s="1054">
        <f t="shared" si="26"/>
        <v>0</v>
      </c>
      <c r="U15" s="1054">
        <f t="shared" si="27"/>
        <v>0</v>
      </c>
    </row>
    <row r="16" spans="1:21">
      <c r="A16" s="998">
        <v>10</v>
      </c>
      <c r="B16" s="999" t="s">
        <v>104</v>
      </c>
      <c r="C16" s="1000">
        <f>'[2]ALL-Reformatted'!M15</f>
        <v>0</v>
      </c>
      <c r="D16" s="1001">
        <f>'Table 3 Levels 1&amp;2'!BN18+'Table 3 Levels 1&amp;2'!BV18</f>
        <v>4179.4641652904756</v>
      </c>
      <c r="E16" s="1101">
        <f t="shared" si="14"/>
        <v>0</v>
      </c>
      <c r="F16" s="1101">
        <f t="shared" si="17"/>
        <v>0</v>
      </c>
      <c r="G16" s="1055">
        <f t="shared" si="15"/>
        <v>0</v>
      </c>
      <c r="H16" s="1111">
        <f t="shared" si="18"/>
        <v>0</v>
      </c>
      <c r="I16" s="1055">
        <f t="shared" si="19"/>
        <v>0</v>
      </c>
      <c r="J16" s="1055"/>
      <c r="K16" s="1055">
        <f t="shared" si="20"/>
        <v>0</v>
      </c>
      <c r="L16" s="1055">
        <f t="shared" si="21"/>
        <v>0</v>
      </c>
      <c r="M16" s="1056">
        <f>'[18]FY2012-13 Final'!K17</f>
        <v>4391</v>
      </c>
      <c r="N16" s="1057">
        <f t="shared" si="16"/>
        <v>0</v>
      </c>
      <c r="O16" s="1119">
        <f t="shared" si="22"/>
        <v>0</v>
      </c>
      <c r="P16" s="1057">
        <f t="shared" si="23"/>
        <v>0</v>
      </c>
      <c r="Q16" s="1057"/>
      <c r="R16" s="1057">
        <f t="shared" si="24"/>
        <v>0</v>
      </c>
      <c r="S16" s="1057">
        <f t="shared" si="25"/>
        <v>0</v>
      </c>
      <c r="T16" s="1058">
        <f t="shared" si="26"/>
        <v>0</v>
      </c>
      <c r="U16" s="1058">
        <f t="shared" si="27"/>
        <v>0</v>
      </c>
    </row>
    <row r="17" spans="1:21">
      <c r="A17" s="987">
        <v>11</v>
      </c>
      <c r="B17" s="988" t="s">
        <v>105</v>
      </c>
      <c r="C17" s="989">
        <f>'[2]ALL-Reformatted'!M16</f>
        <v>0</v>
      </c>
      <c r="D17" s="990">
        <f>'Table 3 Levels 1&amp;2'!BN19+'Table 3 Levels 1&amp;2'!BV19</f>
        <v>6825.0221851487568</v>
      </c>
      <c r="E17" s="1099">
        <f t="shared" si="14"/>
        <v>0</v>
      </c>
      <c r="F17" s="1099">
        <f t="shared" si="17"/>
        <v>0</v>
      </c>
      <c r="G17" s="991">
        <f t="shared" si="15"/>
        <v>0</v>
      </c>
      <c r="H17" s="1109">
        <f t="shared" si="18"/>
        <v>0</v>
      </c>
      <c r="I17" s="991">
        <f t="shared" si="19"/>
        <v>0</v>
      </c>
      <c r="J17" s="991"/>
      <c r="K17" s="991">
        <f t="shared" si="20"/>
        <v>0</v>
      </c>
      <c r="L17" s="991">
        <f t="shared" si="21"/>
        <v>0</v>
      </c>
      <c r="M17" s="1051">
        <f>'[18]FY2012-13 Final'!K18</f>
        <v>3430</v>
      </c>
      <c r="N17" s="992">
        <f t="shared" si="16"/>
        <v>0</v>
      </c>
      <c r="O17" s="1117">
        <f t="shared" si="22"/>
        <v>0</v>
      </c>
      <c r="P17" s="992">
        <f t="shared" si="23"/>
        <v>0</v>
      </c>
      <c r="Q17" s="992"/>
      <c r="R17" s="992">
        <f t="shared" si="24"/>
        <v>0</v>
      </c>
      <c r="S17" s="992">
        <f t="shared" si="25"/>
        <v>0</v>
      </c>
      <c r="T17" s="993">
        <f t="shared" si="26"/>
        <v>0</v>
      </c>
      <c r="U17" s="993">
        <f t="shared" si="27"/>
        <v>0</v>
      </c>
    </row>
    <row r="18" spans="1:21">
      <c r="A18" s="994">
        <v>12</v>
      </c>
      <c r="B18" s="995" t="s">
        <v>106</v>
      </c>
      <c r="C18" s="996">
        <f>'[2]ALL-Reformatted'!M17</f>
        <v>0</v>
      </c>
      <c r="D18" s="997">
        <f>'Table 3 Levels 1&amp;2'!BN20+'Table 3 Levels 1&amp;2'!BV20</f>
        <v>1688.0492586490939</v>
      </c>
      <c r="E18" s="1100">
        <f t="shared" si="14"/>
        <v>0</v>
      </c>
      <c r="F18" s="1100">
        <f t="shared" si="17"/>
        <v>0</v>
      </c>
      <c r="G18" s="1052">
        <f t="shared" si="15"/>
        <v>0</v>
      </c>
      <c r="H18" s="1110">
        <f t="shared" si="18"/>
        <v>0</v>
      </c>
      <c r="I18" s="1052">
        <f t="shared" si="19"/>
        <v>0</v>
      </c>
      <c r="J18" s="1052"/>
      <c r="K18" s="1052">
        <f t="shared" si="20"/>
        <v>0</v>
      </c>
      <c r="L18" s="1052">
        <f t="shared" si="21"/>
        <v>0</v>
      </c>
      <c r="M18" s="1051">
        <f>'[18]FY2012-13 Final'!K19</f>
        <v>12558</v>
      </c>
      <c r="N18" s="1053">
        <f t="shared" si="16"/>
        <v>0</v>
      </c>
      <c r="O18" s="1118">
        <f t="shared" si="22"/>
        <v>0</v>
      </c>
      <c r="P18" s="1053">
        <f t="shared" si="23"/>
        <v>0</v>
      </c>
      <c r="Q18" s="1053"/>
      <c r="R18" s="1053">
        <f t="shared" si="24"/>
        <v>0</v>
      </c>
      <c r="S18" s="1053">
        <f t="shared" si="25"/>
        <v>0</v>
      </c>
      <c r="T18" s="1054">
        <f t="shared" si="26"/>
        <v>0</v>
      </c>
      <c r="U18" s="1054">
        <f t="shared" si="27"/>
        <v>0</v>
      </c>
    </row>
    <row r="19" spans="1:21">
      <c r="A19" s="994">
        <v>13</v>
      </c>
      <c r="B19" s="995" t="s">
        <v>107</v>
      </c>
      <c r="C19" s="996">
        <f>'[2]ALL-Reformatted'!M18</f>
        <v>0</v>
      </c>
      <c r="D19" s="997">
        <f>'Table 3 Levels 1&amp;2'!BN21+'Table 3 Levels 1&amp;2'!BV21</f>
        <v>6187.1651272387344</v>
      </c>
      <c r="E19" s="1100">
        <f t="shared" si="14"/>
        <v>0</v>
      </c>
      <c r="F19" s="1100">
        <f t="shared" si="17"/>
        <v>0</v>
      </c>
      <c r="G19" s="1052">
        <f t="shared" si="15"/>
        <v>0</v>
      </c>
      <c r="H19" s="1110">
        <f t="shared" si="18"/>
        <v>0</v>
      </c>
      <c r="I19" s="1052">
        <f t="shared" si="19"/>
        <v>0</v>
      </c>
      <c r="J19" s="1052"/>
      <c r="K19" s="1052">
        <f t="shared" si="20"/>
        <v>0</v>
      </c>
      <c r="L19" s="1052">
        <f t="shared" si="21"/>
        <v>0</v>
      </c>
      <c r="M19" s="1051">
        <f>'[18]FY2012-13 Final'!K20</f>
        <v>2536</v>
      </c>
      <c r="N19" s="1053">
        <f t="shared" si="16"/>
        <v>0</v>
      </c>
      <c r="O19" s="1118">
        <f t="shared" si="22"/>
        <v>0</v>
      </c>
      <c r="P19" s="1053">
        <f t="shared" si="23"/>
        <v>0</v>
      </c>
      <c r="Q19" s="1053"/>
      <c r="R19" s="1053">
        <f t="shared" si="24"/>
        <v>0</v>
      </c>
      <c r="S19" s="1053">
        <f t="shared" si="25"/>
        <v>0</v>
      </c>
      <c r="T19" s="1054">
        <f t="shared" si="26"/>
        <v>0</v>
      </c>
      <c r="U19" s="1054">
        <f t="shared" si="27"/>
        <v>0</v>
      </c>
    </row>
    <row r="20" spans="1:21" ht="12.75" customHeight="1">
      <c r="A20" s="994">
        <v>14</v>
      </c>
      <c r="B20" s="995" t="s">
        <v>108</v>
      </c>
      <c r="C20" s="996">
        <f>'[2]ALL-Reformatted'!M19</f>
        <v>0</v>
      </c>
      <c r="D20" s="997">
        <f>'Table 3 Levels 1&amp;2'!BN22+'Table 3 Levels 1&amp;2'!BV22</f>
        <v>5339.1887414618923</v>
      </c>
      <c r="E20" s="1100">
        <f t="shared" si="14"/>
        <v>0</v>
      </c>
      <c r="F20" s="1100">
        <f t="shared" si="17"/>
        <v>0</v>
      </c>
      <c r="G20" s="1052">
        <f t="shared" si="15"/>
        <v>0</v>
      </c>
      <c r="H20" s="1110">
        <f t="shared" si="18"/>
        <v>0</v>
      </c>
      <c r="I20" s="1052">
        <f t="shared" si="19"/>
        <v>0</v>
      </c>
      <c r="J20" s="1052"/>
      <c r="K20" s="1052">
        <f t="shared" si="20"/>
        <v>0</v>
      </c>
      <c r="L20" s="1052">
        <f t="shared" si="21"/>
        <v>0</v>
      </c>
      <c r="M20" s="1051">
        <f>'[18]FY2012-13 Final'!K21</f>
        <v>3888</v>
      </c>
      <c r="N20" s="1053">
        <f t="shared" si="16"/>
        <v>0</v>
      </c>
      <c r="O20" s="1118">
        <f t="shared" si="22"/>
        <v>0</v>
      </c>
      <c r="P20" s="1053">
        <f t="shared" si="23"/>
        <v>0</v>
      </c>
      <c r="Q20" s="1053"/>
      <c r="R20" s="1053">
        <f t="shared" si="24"/>
        <v>0</v>
      </c>
      <c r="S20" s="1053">
        <f t="shared" si="25"/>
        <v>0</v>
      </c>
      <c r="T20" s="1054">
        <f t="shared" si="26"/>
        <v>0</v>
      </c>
      <c r="U20" s="1054">
        <f t="shared" si="27"/>
        <v>0</v>
      </c>
    </row>
    <row r="21" spans="1:21">
      <c r="A21" s="998">
        <v>15</v>
      </c>
      <c r="B21" s="999" t="s">
        <v>109</v>
      </c>
      <c r="C21" s="1000">
        <f>'[2]ALL-Reformatted'!M20</f>
        <v>0</v>
      </c>
      <c r="D21" s="1001">
        <f>'Table 3 Levels 1&amp;2'!BN23+'Table 3 Levels 1&amp;2'!BV23</f>
        <v>5492.5789412344011</v>
      </c>
      <c r="E21" s="1101">
        <f t="shared" si="14"/>
        <v>0</v>
      </c>
      <c r="F21" s="1101">
        <f t="shared" si="17"/>
        <v>0</v>
      </c>
      <c r="G21" s="1055">
        <f t="shared" si="15"/>
        <v>0</v>
      </c>
      <c r="H21" s="1111">
        <f t="shared" si="18"/>
        <v>0</v>
      </c>
      <c r="I21" s="1055">
        <f t="shared" si="19"/>
        <v>0</v>
      </c>
      <c r="J21" s="1055"/>
      <c r="K21" s="1055">
        <f t="shared" si="20"/>
        <v>0</v>
      </c>
      <c r="L21" s="1055">
        <f t="shared" si="21"/>
        <v>0</v>
      </c>
      <c r="M21" s="1056">
        <f>'[18]FY2012-13 Final'!K22</f>
        <v>2752</v>
      </c>
      <c r="N21" s="1057">
        <f t="shared" si="16"/>
        <v>0</v>
      </c>
      <c r="O21" s="1119">
        <f t="shared" si="22"/>
        <v>0</v>
      </c>
      <c r="P21" s="1057">
        <f t="shared" si="23"/>
        <v>0</v>
      </c>
      <c r="Q21" s="1057"/>
      <c r="R21" s="1057">
        <f t="shared" si="24"/>
        <v>0</v>
      </c>
      <c r="S21" s="1057">
        <f t="shared" si="25"/>
        <v>0</v>
      </c>
      <c r="T21" s="1058">
        <f t="shared" si="26"/>
        <v>0</v>
      </c>
      <c r="U21" s="1058">
        <f t="shared" si="27"/>
        <v>0</v>
      </c>
    </row>
    <row r="22" spans="1:21">
      <c r="A22" s="987">
        <v>16</v>
      </c>
      <c r="B22" s="988" t="s">
        <v>110</v>
      </c>
      <c r="C22" s="989">
        <f>'[2]ALL-Reformatted'!M21</f>
        <v>0</v>
      </c>
      <c r="D22" s="990">
        <f>'Table 3 Levels 1&amp;2'!BN24+'Table 3 Levels 1&amp;2'!BV24</f>
        <v>1506.1153407945151</v>
      </c>
      <c r="E22" s="1099">
        <f t="shared" si="14"/>
        <v>0</v>
      </c>
      <c r="F22" s="1099">
        <f t="shared" si="17"/>
        <v>0</v>
      </c>
      <c r="G22" s="991">
        <f t="shared" si="15"/>
        <v>0</v>
      </c>
      <c r="H22" s="1109">
        <f t="shared" si="18"/>
        <v>0</v>
      </c>
      <c r="I22" s="991">
        <f t="shared" si="19"/>
        <v>0</v>
      </c>
      <c r="J22" s="991"/>
      <c r="K22" s="991">
        <f t="shared" si="20"/>
        <v>0</v>
      </c>
      <c r="L22" s="991">
        <f t="shared" si="21"/>
        <v>0</v>
      </c>
      <c r="M22" s="1051">
        <f>'[18]FY2012-13 Final'!K23</f>
        <v>15092</v>
      </c>
      <c r="N22" s="992">
        <f t="shared" si="16"/>
        <v>0</v>
      </c>
      <c r="O22" s="1117">
        <f t="shared" si="22"/>
        <v>0</v>
      </c>
      <c r="P22" s="992">
        <f t="shared" si="23"/>
        <v>0</v>
      </c>
      <c r="Q22" s="992"/>
      <c r="R22" s="992">
        <f t="shared" si="24"/>
        <v>0</v>
      </c>
      <c r="S22" s="992">
        <f t="shared" si="25"/>
        <v>0</v>
      </c>
      <c r="T22" s="993">
        <f t="shared" si="26"/>
        <v>0</v>
      </c>
      <c r="U22" s="993">
        <f t="shared" si="27"/>
        <v>0</v>
      </c>
    </row>
    <row r="23" spans="1:21">
      <c r="A23" s="994">
        <v>17</v>
      </c>
      <c r="B23" s="995" t="s">
        <v>111</v>
      </c>
      <c r="C23" s="996">
        <f>'[2]ALL-Reformatted'!M22</f>
        <v>0</v>
      </c>
      <c r="D23" s="997">
        <f>'Table 3 Levels 1&amp;2'!BN25+'Table 3 Levels 1&amp;2'!BV25</f>
        <v>3311.610845996096</v>
      </c>
      <c r="E23" s="1100">
        <f t="shared" si="14"/>
        <v>0</v>
      </c>
      <c r="F23" s="1100">
        <f t="shared" si="17"/>
        <v>0</v>
      </c>
      <c r="G23" s="1052">
        <f t="shared" si="15"/>
        <v>0</v>
      </c>
      <c r="H23" s="1110">
        <f t="shared" si="18"/>
        <v>0</v>
      </c>
      <c r="I23" s="1052">
        <f t="shared" si="19"/>
        <v>0</v>
      </c>
      <c r="J23" s="1052"/>
      <c r="K23" s="1052">
        <f t="shared" si="20"/>
        <v>0</v>
      </c>
      <c r="L23" s="1052">
        <f t="shared" si="21"/>
        <v>0</v>
      </c>
      <c r="M23" s="1051">
        <f>'[18]FY2012-13 Final'!K24</f>
        <v>6551</v>
      </c>
      <c r="N23" s="1053">
        <f t="shared" si="16"/>
        <v>0</v>
      </c>
      <c r="O23" s="1118">
        <f t="shared" si="22"/>
        <v>0</v>
      </c>
      <c r="P23" s="1053">
        <f t="shared" si="23"/>
        <v>0</v>
      </c>
      <c r="Q23" s="1053"/>
      <c r="R23" s="1053">
        <f t="shared" si="24"/>
        <v>0</v>
      </c>
      <c r="S23" s="1053">
        <f t="shared" si="25"/>
        <v>0</v>
      </c>
      <c r="T23" s="1054">
        <f t="shared" si="26"/>
        <v>0</v>
      </c>
      <c r="U23" s="1054">
        <f t="shared" si="27"/>
        <v>0</v>
      </c>
    </row>
    <row r="24" spans="1:21">
      <c r="A24" s="994">
        <v>18</v>
      </c>
      <c r="B24" s="995" t="s">
        <v>112</v>
      </c>
      <c r="C24" s="996">
        <f>'[2]ALL-Reformatted'!M23</f>
        <v>0</v>
      </c>
      <c r="D24" s="997">
        <f>'Table 3 Levels 1&amp;2'!BN26+'Table 3 Levels 1&amp;2'!BV26</f>
        <v>5964.3490202032081</v>
      </c>
      <c r="E24" s="1100">
        <f t="shared" si="14"/>
        <v>0</v>
      </c>
      <c r="F24" s="1100">
        <f t="shared" si="17"/>
        <v>0</v>
      </c>
      <c r="G24" s="1052">
        <f t="shared" si="15"/>
        <v>0</v>
      </c>
      <c r="H24" s="1110">
        <f t="shared" si="18"/>
        <v>0</v>
      </c>
      <c r="I24" s="1052">
        <f t="shared" si="19"/>
        <v>0</v>
      </c>
      <c r="J24" s="1052"/>
      <c r="K24" s="1052">
        <f t="shared" si="20"/>
        <v>0</v>
      </c>
      <c r="L24" s="1052">
        <f t="shared" si="21"/>
        <v>0</v>
      </c>
      <c r="M24" s="1051">
        <f>'[18]FY2012-13 Final'!K25</f>
        <v>2165</v>
      </c>
      <c r="N24" s="1053">
        <f t="shared" si="16"/>
        <v>0</v>
      </c>
      <c r="O24" s="1118">
        <f t="shared" si="22"/>
        <v>0</v>
      </c>
      <c r="P24" s="1053">
        <f t="shared" si="23"/>
        <v>0</v>
      </c>
      <c r="Q24" s="1053"/>
      <c r="R24" s="1053">
        <f t="shared" si="24"/>
        <v>0</v>
      </c>
      <c r="S24" s="1053">
        <f t="shared" si="25"/>
        <v>0</v>
      </c>
      <c r="T24" s="1054">
        <f t="shared" si="26"/>
        <v>0</v>
      </c>
      <c r="U24" s="1054">
        <f t="shared" si="27"/>
        <v>0</v>
      </c>
    </row>
    <row r="25" spans="1:21">
      <c r="A25" s="994">
        <v>19</v>
      </c>
      <c r="B25" s="995" t="s">
        <v>113</v>
      </c>
      <c r="C25" s="996">
        <f>'[2]ALL-Reformatted'!M24</f>
        <v>0</v>
      </c>
      <c r="D25" s="997">
        <f>'Table 3 Levels 1&amp;2'!BN27+'Table 3 Levels 1&amp;2'!BV27</f>
        <v>5283.1088158476596</v>
      </c>
      <c r="E25" s="1100">
        <f t="shared" si="14"/>
        <v>0</v>
      </c>
      <c r="F25" s="1100">
        <f t="shared" si="17"/>
        <v>0</v>
      </c>
      <c r="G25" s="1052">
        <f t="shared" si="15"/>
        <v>0</v>
      </c>
      <c r="H25" s="1110">
        <f t="shared" si="18"/>
        <v>0</v>
      </c>
      <c r="I25" s="1052">
        <f t="shared" si="19"/>
        <v>0</v>
      </c>
      <c r="J25" s="1052"/>
      <c r="K25" s="1052">
        <f t="shared" si="20"/>
        <v>0</v>
      </c>
      <c r="L25" s="1052">
        <f t="shared" si="21"/>
        <v>0</v>
      </c>
      <c r="M25" s="1051">
        <f>'[18]FY2012-13 Final'!K26</f>
        <v>2729</v>
      </c>
      <c r="N25" s="1053">
        <f t="shared" si="16"/>
        <v>0</v>
      </c>
      <c r="O25" s="1118">
        <f t="shared" si="22"/>
        <v>0</v>
      </c>
      <c r="P25" s="1053">
        <f t="shared" si="23"/>
        <v>0</v>
      </c>
      <c r="Q25" s="1053"/>
      <c r="R25" s="1053">
        <f t="shared" si="24"/>
        <v>0</v>
      </c>
      <c r="S25" s="1053">
        <f t="shared" si="25"/>
        <v>0</v>
      </c>
      <c r="T25" s="1054">
        <f t="shared" si="26"/>
        <v>0</v>
      </c>
      <c r="U25" s="1054">
        <f t="shared" si="27"/>
        <v>0</v>
      </c>
    </row>
    <row r="26" spans="1:21">
      <c r="A26" s="998">
        <v>20</v>
      </c>
      <c r="B26" s="999" t="s">
        <v>114</v>
      </c>
      <c r="C26" s="1000">
        <f>'[2]ALL-Reformatted'!M25</f>
        <v>0</v>
      </c>
      <c r="D26" s="1001">
        <f>'Table 3 Levels 1&amp;2'!BN28+'Table 3 Levels 1&amp;2'!BV28</f>
        <v>5389.6047094824808</v>
      </c>
      <c r="E26" s="1101">
        <f t="shared" si="14"/>
        <v>0</v>
      </c>
      <c r="F26" s="1101">
        <f t="shared" si="17"/>
        <v>0</v>
      </c>
      <c r="G26" s="1055">
        <f t="shared" si="15"/>
        <v>0</v>
      </c>
      <c r="H26" s="1111">
        <f t="shared" si="18"/>
        <v>0</v>
      </c>
      <c r="I26" s="1055">
        <f t="shared" si="19"/>
        <v>0</v>
      </c>
      <c r="J26" s="1055"/>
      <c r="K26" s="1055">
        <f t="shared" si="20"/>
        <v>0</v>
      </c>
      <c r="L26" s="1055">
        <f t="shared" si="21"/>
        <v>0</v>
      </c>
      <c r="M26" s="1056">
        <f>'[18]FY2012-13 Final'!K27</f>
        <v>2334</v>
      </c>
      <c r="N26" s="1057">
        <f t="shared" si="16"/>
        <v>0</v>
      </c>
      <c r="O26" s="1119">
        <f t="shared" si="22"/>
        <v>0</v>
      </c>
      <c r="P26" s="1057">
        <f t="shared" si="23"/>
        <v>0</v>
      </c>
      <c r="Q26" s="1057"/>
      <c r="R26" s="1057">
        <f t="shared" si="24"/>
        <v>0</v>
      </c>
      <c r="S26" s="1057">
        <f t="shared" si="25"/>
        <v>0</v>
      </c>
      <c r="T26" s="1058">
        <f t="shared" si="26"/>
        <v>0</v>
      </c>
      <c r="U26" s="1058">
        <f t="shared" si="27"/>
        <v>0</v>
      </c>
    </row>
    <row r="27" spans="1:21">
      <c r="A27" s="987">
        <v>21</v>
      </c>
      <c r="B27" s="988" t="s">
        <v>115</v>
      </c>
      <c r="C27" s="989">
        <f>'[2]ALL-Reformatted'!M26</f>
        <v>0</v>
      </c>
      <c r="D27" s="990">
        <f>'Table 3 Levels 1&amp;2'!BN29+'Table 3 Levels 1&amp;2'!BV29</f>
        <v>5659.8229810652783</v>
      </c>
      <c r="E27" s="1099">
        <f t="shared" si="14"/>
        <v>0</v>
      </c>
      <c r="F27" s="1099">
        <f t="shared" si="17"/>
        <v>0</v>
      </c>
      <c r="G27" s="991">
        <f t="shared" si="15"/>
        <v>0</v>
      </c>
      <c r="H27" s="1109">
        <f t="shared" si="18"/>
        <v>0</v>
      </c>
      <c r="I27" s="991">
        <f t="shared" si="19"/>
        <v>0</v>
      </c>
      <c r="J27" s="991"/>
      <c r="K27" s="991">
        <f t="shared" si="20"/>
        <v>0</v>
      </c>
      <c r="L27" s="991">
        <f t="shared" si="21"/>
        <v>0</v>
      </c>
      <c r="M27" s="1051">
        <f>'[18]FY2012-13 Final'!K28</f>
        <v>2233</v>
      </c>
      <c r="N27" s="992">
        <f t="shared" si="16"/>
        <v>0</v>
      </c>
      <c r="O27" s="1117">
        <f t="shared" si="22"/>
        <v>0</v>
      </c>
      <c r="P27" s="992">
        <f t="shared" si="23"/>
        <v>0</v>
      </c>
      <c r="Q27" s="992"/>
      <c r="R27" s="992">
        <f t="shared" si="24"/>
        <v>0</v>
      </c>
      <c r="S27" s="992">
        <f t="shared" si="25"/>
        <v>0</v>
      </c>
      <c r="T27" s="993">
        <f t="shared" si="26"/>
        <v>0</v>
      </c>
      <c r="U27" s="993">
        <f t="shared" si="27"/>
        <v>0</v>
      </c>
    </row>
    <row r="28" spans="1:21">
      <c r="A28" s="994">
        <v>22</v>
      </c>
      <c r="B28" s="995" t="s">
        <v>116</v>
      </c>
      <c r="C28" s="996">
        <f>'[2]ALL-Reformatted'!M27</f>
        <v>0</v>
      </c>
      <c r="D28" s="997">
        <f>'Table 3 Levels 1&amp;2'!BN30+'Table 3 Levels 1&amp;2'!BV30</f>
        <v>6191.1997628958306</v>
      </c>
      <c r="E28" s="1100">
        <f t="shared" si="14"/>
        <v>0</v>
      </c>
      <c r="F28" s="1100">
        <f t="shared" si="17"/>
        <v>0</v>
      </c>
      <c r="G28" s="1052">
        <f t="shared" si="15"/>
        <v>0</v>
      </c>
      <c r="H28" s="1110">
        <f t="shared" si="18"/>
        <v>0</v>
      </c>
      <c r="I28" s="1052">
        <f t="shared" si="19"/>
        <v>0</v>
      </c>
      <c r="J28" s="1052"/>
      <c r="K28" s="1052">
        <f t="shared" si="20"/>
        <v>0</v>
      </c>
      <c r="L28" s="1052">
        <f t="shared" si="21"/>
        <v>0</v>
      </c>
      <c r="M28" s="1051">
        <f>'[18]FY2012-13 Final'!K29</f>
        <v>1410</v>
      </c>
      <c r="N28" s="1053">
        <f t="shared" si="16"/>
        <v>0</v>
      </c>
      <c r="O28" s="1118">
        <f t="shared" si="22"/>
        <v>0</v>
      </c>
      <c r="P28" s="1053">
        <f t="shared" si="23"/>
        <v>0</v>
      </c>
      <c r="Q28" s="1053"/>
      <c r="R28" s="1053">
        <f t="shared" si="24"/>
        <v>0</v>
      </c>
      <c r="S28" s="1053">
        <f t="shared" si="25"/>
        <v>0</v>
      </c>
      <c r="T28" s="1054">
        <f t="shared" si="26"/>
        <v>0</v>
      </c>
      <c r="U28" s="1054">
        <f t="shared" si="27"/>
        <v>0</v>
      </c>
    </row>
    <row r="29" spans="1:21">
      <c r="A29" s="994">
        <v>23</v>
      </c>
      <c r="B29" s="995" t="s">
        <v>117</v>
      </c>
      <c r="C29" s="996">
        <f>'[2]ALL-Reformatted'!M28</f>
        <v>0</v>
      </c>
      <c r="D29" s="997">
        <f>'Table 3 Levels 1&amp;2'!BN31+'Table 3 Levels 1&amp;2'!BV31</f>
        <v>4788.2881021645453</v>
      </c>
      <c r="E29" s="1100">
        <f t="shared" si="14"/>
        <v>0</v>
      </c>
      <c r="F29" s="1100">
        <f t="shared" si="17"/>
        <v>0</v>
      </c>
      <c r="G29" s="1052">
        <f t="shared" si="15"/>
        <v>0</v>
      </c>
      <c r="H29" s="1110">
        <f t="shared" si="18"/>
        <v>0</v>
      </c>
      <c r="I29" s="1052">
        <f t="shared" si="19"/>
        <v>0</v>
      </c>
      <c r="J29" s="1052"/>
      <c r="K29" s="1052">
        <f t="shared" si="20"/>
        <v>0</v>
      </c>
      <c r="L29" s="1052">
        <f t="shared" si="21"/>
        <v>0</v>
      </c>
      <c r="M29" s="1051">
        <f>'[18]FY2012-13 Final'!K30</f>
        <v>3258</v>
      </c>
      <c r="N29" s="1053">
        <f t="shared" si="16"/>
        <v>0</v>
      </c>
      <c r="O29" s="1118">
        <f t="shared" si="22"/>
        <v>0</v>
      </c>
      <c r="P29" s="1053">
        <f t="shared" si="23"/>
        <v>0</v>
      </c>
      <c r="Q29" s="1053"/>
      <c r="R29" s="1053">
        <f t="shared" si="24"/>
        <v>0</v>
      </c>
      <c r="S29" s="1053">
        <f t="shared" si="25"/>
        <v>0</v>
      </c>
      <c r="T29" s="1054">
        <f t="shared" si="26"/>
        <v>0</v>
      </c>
      <c r="U29" s="1054">
        <f t="shared" si="27"/>
        <v>0</v>
      </c>
    </row>
    <row r="30" spans="1:21">
      <c r="A30" s="994">
        <v>24</v>
      </c>
      <c r="B30" s="995" t="s">
        <v>118</v>
      </c>
      <c r="C30" s="996">
        <f>'[2]ALL-Reformatted'!M29</f>
        <v>0</v>
      </c>
      <c r="D30" s="997">
        <f>'Table 3 Levels 1&amp;2'!BN32+'Table 3 Levels 1&amp;2'!BV32</f>
        <v>2743.328175824176</v>
      </c>
      <c r="E30" s="1100">
        <f t="shared" si="14"/>
        <v>0</v>
      </c>
      <c r="F30" s="1100">
        <f t="shared" si="17"/>
        <v>0</v>
      </c>
      <c r="G30" s="1052">
        <f t="shared" si="15"/>
        <v>0</v>
      </c>
      <c r="H30" s="1110">
        <f t="shared" si="18"/>
        <v>0</v>
      </c>
      <c r="I30" s="1052">
        <f t="shared" si="19"/>
        <v>0</v>
      </c>
      <c r="J30" s="1052"/>
      <c r="K30" s="1052">
        <f t="shared" si="20"/>
        <v>0</v>
      </c>
      <c r="L30" s="1052">
        <f t="shared" si="21"/>
        <v>0</v>
      </c>
      <c r="M30" s="1051">
        <f>'[18]FY2012-13 Final'!K31</f>
        <v>9280</v>
      </c>
      <c r="N30" s="1053">
        <f t="shared" si="16"/>
        <v>0</v>
      </c>
      <c r="O30" s="1118">
        <f t="shared" si="22"/>
        <v>0</v>
      </c>
      <c r="P30" s="1053">
        <f t="shared" si="23"/>
        <v>0</v>
      </c>
      <c r="Q30" s="1053"/>
      <c r="R30" s="1053">
        <f t="shared" si="24"/>
        <v>0</v>
      </c>
      <c r="S30" s="1053">
        <f t="shared" si="25"/>
        <v>0</v>
      </c>
      <c r="T30" s="1054">
        <f t="shared" si="26"/>
        <v>0</v>
      </c>
      <c r="U30" s="1054">
        <f t="shared" si="27"/>
        <v>0</v>
      </c>
    </row>
    <row r="31" spans="1:21">
      <c r="A31" s="998">
        <v>25</v>
      </c>
      <c r="B31" s="999" t="s">
        <v>119</v>
      </c>
      <c r="C31" s="1000">
        <f>'[2]ALL-Reformatted'!M30</f>
        <v>0</v>
      </c>
      <c r="D31" s="1001">
        <f>'Table 3 Levels 1&amp;2'!BN33+'Table 3 Levels 1&amp;2'!BV33</f>
        <v>3799.3890273447178</v>
      </c>
      <c r="E31" s="1101">
        <f t="shared" si="14"/>
        <v>0</v>
      </c>
      <c r="F31" s="1101">
        <f t="shared" si="17"/>
        <v>0</v>
      </c>
      <c r="G31" s="1055">
        <f t="shared" si="15"/>
        <v>0</v>
      </c>
      <c r="H31" s="1111">
        <f t="shared" si="18"/>
        <v>0</v>
      </c>
      <c r="I31" s="1055">
        <f t="shared" si="19"/>
        <v>0</v>
      </c>
      <c r="J31" s="1055"/>
      <c r="K31" s="1055">
        <f t="shared" si="20"/>
        <v>0</v>
      </c>
      <c r="L31" s="1055">
        <f t="shared" si="21"/>
        <v>0</v>
      </c>
      <c r="M31" s="1056">
        <f>'[18]FY2012-13 Final'!K32</f>
        <v>5351</v>
      </c>
      <c r="N31" s="1057">
        <f t="shared" si="16"/>
        <v>0</v>
      </c>
      <c r="O31" s="1119">
        <f t="shared" si="22"/>
        <v>0</v>
      </c>
      <c r="P31" s="1057">
        <f t="shared" si="23"/>
        <v>0</v>
      </c>
      <c r="Q31" s="1057"/>
      <c r="R31" s="1057">
        <f t="shared" si="24"/>
        <v>0</v>
      </c>
      <c r="S31" s="1057">
        <f t="shared" si="25"/>
        <v>0</v>
      </c>
      <c r="T31" s="1058">
        <f t="shared" si="26"/>
        <v>0</v>
      </c>
      <c r="U31" s="1058">
        <f t="shared" si="27"/>
        <v>0</v>
      </c>
    </row>
    <row r="32" spans="1:21">
      <c r="A32" s="987">
        <v>26</v>
      </c>
      <c r="B32" s="988" t="s">
        <v>120</v>
      </c>
      <c r="C32" s="989">
        <f>'[2]ALL-Reformatted'!M31</f>
        <v>117</v>
      </c>
      <c r="D32" s="990">
        <f>'Table 3 Levels 1&amp;2'!BN34+'Table 3 Levels 1&amp;2'!BV34</f>
        <v>3320.7842100822745</v>
      </c>
      <c r="E32" s="1099">
        <f t="shared" si="14"/>
        <v>388531.7525796261</v>
      </c>
      <c r="F32" s="1099">
        <f t="shared" si="17"/>
        <v>82574.432824675328</v>
      </c>
      <c r="G32" s="991">
        <f t="shared" si="15"/>
        <v>471106.18540430145</v>
      </c>
      <c r="H32" s="1109">
        <f t="shared" si="18"/>
        <v>-1177.7654635107535</v>
      </c>
      <c r="I32" s="991">
        <f t="shared" si="19"/>
        <v>469928.41994079069</v>
      </c>
      <c r="J32" s="991"/>
      <c r="K32" s="991">
        <f t="shared" si="20"/>
        <v>469928.41994079069</v>
      </c>
      <c r="L32" s="991">
        <f t="shared" si="21"/>
        <v>39161</v>
      </c>
      <c r="M32" s="1051">
        <f>'[18]FY2012-13 Final'!K33</f>
        <v>5100</v>
      </c>
      <c r="N32" s="992">
        <f t="shared" si="16"/>
        <v>596700</v>
      </c>
      <c r="O32" s="1117">
        <f t="shared" si="22"/>
        <v>-1491.75</v>
      </c>
      <c r="P32" s="992">
        <f t="shared" si="23"/>
        <v>595208.25</v>
      </c>
      <c r="Q32" s="992"/>
      <c r="R32" s="992">
        <f t="shared" si="24"/>
        <v>595208.25</v>
      </c>
      <c r="S32" s="992">
        <f t="shared" si="25"/>
        <v>49601</v>
      </c>
      <c r="T32" s="993">
        <f t="shared" si="26"/>
        <v>1065136.6699407906</v>
      </c>
      <c r="U32" s="993">
        <f t="shared" si="27"/>
        <v>88762</v>
      </c>
    </row>
    <row r="33" spans="1:21">
      <c r="A33" s="994">
        <v>27</v>
      </c>
      <c r="B33" s="995" t="s">
        <v>121</v>
      </c>
      <c r="C33" s="1002">
        <f>'[2]ALL-Reformatted'!M32</f>
        <v>0</v>
      </c>
      <c r="D33" s="1003">
        <f>'Table 3 Levels 1&amp;2'!BN35+'Table 3 Levels 1&amp;2'!BV35</f>
        <v>5636.5919457972805</v>
      </c>
      <c r="E33" s="1102">
        <f t="shared" si="14"/>
        <v>0</v>
      </c>
      <c r="F33" s="1102">
        <f t="shared" si="17"/>
        <v>0</v>
      </c>
      <c r="G33" s="1059">
        <f t="shared" si="15"/>
        <v>0</v>
      </c>
      <c r="H33" s="1112">
        <f t="shared" si="18"/>
        <v>0</v>
      </c>
      <c r="I33" s="1059">
        <f t="shared" si="19"/>
        <v>0</v>
      </c>
      <c r="J33" s="1059"/>
      <c r="K33" s="1059">
        <f t="shared" si="20"/>
        <v>0</v>
      </c>
      <c r="L33" s="1059">
        <f t="shared" si="21"/>
        <v>0</v>
      </c>
      <c r="M33" s="1051">
        <f>'[18]FY2012-13 Final'!K34</f>
        <v>3091</v>
      </c>
      <c r="N33" s="1053">
        <f t="shared" si="16"/>
        <v>0</v>
      </c>
      <c r="O33" s="1118">
        <f t="shared" si="22"/>
        <v>0</v>
      </c>
      <c r="P33" s="1053">
        <f t="shared" si="23"/>
        <v>0</v>
      </c>
      <c r="Q33" s="1053"/>
      <c r="R33" s="1053">
        <f t="shared" si="24"/>
        <v>0</v>
      </c>
      <c r="S33" s="1053">
        <f t="shared" si="25"/>
        <v>0</v>
      </c>
      <c r="T33" s="1054">
        <f t="shared" si="26"/>
        <v>0</v>
      </c>
      <c r="U33" s="1054">
        <f t="shared" si="27"/>
        <v>0</v>
      </c>
    </row>
    <row r="34" spans="1:21">
      <c r="A34" s="994">
        <v>28</v>
      </c>
      <c r="B34" s="995" t="s">
        <v>122</v>
      </c>
      <c r="C34" s="1002">
        <f>'[2]ALL-Reformatted'!M33</f>
        <v>0</v>
      </c>
      <c r="D34" s="1003">
        <f>'Table 3 Levels 1&amp;2'!BN36+'Table 3 Levels 1&amp;2'!BV36</f>
        <v>3106.8056522508969</v>
      </c>
      <c r="E34" s="1102">
        <f t="shared" si="14"/>
        <v>0</v>
      </c>
      <c r="F34" s="1102">
        <f t="shared" si="17"/>
        <v>0</v>
      </c>
      <c r="G34" s="1059">
        <f t="shared" si="15"/>
        <v>0</v>
      </c>
      <c r="H34" s="1112">
        <f t="shared" si="18"/>
        <v>0</v>
      </c>
      <c r="I34" s="1059">
        <f t="shared" si="19"/>
        <v>0</v>
      </c>
      <c r="J34" s="1059"/>
      <c r="K34" s="1059">
        <f t="shared" si="20"/>
        <v>0</v>
      </c>
      <c r="L34" s="1059">
        <f t="shared" si="21"/>
        <v>0</v>
      </c>
      <c r="M34" s="1051">
        <f>'[18]FY2012-13 Final'!K35</f>
        <v>5323</v>
      </c>
      <c r="N34" s="1053">
        <f t="shared" si="16"/>
        <v>0</v>
      </c>
      <c r="O34" s="1118">
        <f t="shared" si="22"/>
        <v>0</v>
      </c>
      <c r="P34" s="1053">
        <f t="shared" si="23"/>
        <v>0</v>
      </c>
      <c r="Q34" s="1053"/>
      <c r="R34" s="1053">
        <f t="shared" si="24"/>
        <v>0</v>
      </c>
      <c r="S34" s="1053">
        <f t="shared" si="25"/>
        <v>0</v>
      </c>
      <c r="T34" s="1054">
        <f t="shared" si="26"/>
        <v>0</v>
      </c>
      <c r="U34" s="1054">
        <f t="shared" si="27"/>
        <v>0</v>
      </c>
    </row>
    <row r="35" spans="1:21">
      <c r="A35" s="994">
        <v>29</v>
      </c>
      <c r="B35" s="995" t="s">
        <v>123</v>
      </c>
      <c r="C35" s="1002">
        <f>'[2]ALL-Reformatted'!M34</f>
        <v>0</v>
      </c>
      <c r="D35" s="1003">
        <f>'Table 3 Levels 1&amp;2'!BN37+'Table 3 Levels 1&amp;2'!BV37</f>
        <v>3912.1846976122315</v>
      </c>
      <c r="E35" s="1102">
        <f t="shared" si="14"/>
        <v>0</v>
      </c>
      <c r="F35" s="1102">
        <f t="shared" si="17"/>
        <v>0</v>
      </c>
      <c r="G35" s="1059">
        <f t="shared" si="15"/>
        <v>0</v>
      </c>
      <c r="H35" s="1112">
        <f t="shared" si="18"/>
        <v>0</v>
      </c>
      <c r="I35" s="1059">
        <f t="shared" si="19"/>
        <v>0</v>
      </c>
      <c r="J35" s="1059"/>
      <c r="K35" s="1059">
        <f t="shared" si="20"/>
        <v>0</v>
      </c>
      <c r="L35" s="1059">
        <f t="shared" si="21"/>
        <v>0</v>
      </c>
      <c r="M35" s="1051">
        <f>'[18]FY2012-13 Final'!K36</f>
        <v>4388</v>
      </c>
      <c r="N35" s="1053">
        <f t="shared" si="16"/>
        <v>0</v>
      </c>
      <c r="O35" s="1118">
        <f t="shared" si="22"/>
        <v>0</v>
      </c>
      <c r="P35" s="1053">
        <f t="shared" si="23"/>
        <v>0</v>
      </c>
      <c r="Q35" s="1053"/>
      <c r="R35" s="1053">
        <f t="shared" si="24"/>
        <v>0</v>
      </c>
      <c r="S35" s="1053">
        <f t="shared" si="25"/>
        <v>0</v>
      </c>
      <c r="T35" s="1054">
        <f t="shared" si="26"/>
        <v>0</v>
      </c>
      <c r="U35" s="1054">
        <f t="shared" si="27"/>
        <v>0</v>
      </c>
    </row>
    <row r="36" spans="1:21">
      <c r="A36" s="998">
        <v>30</v>
      </c>
      <c r="B36" s="999" t="s">
        <v>124</v>
      </c>
      <c r="C36" s="1004">
        <f>'[2]ALL-Reformatted'!M35</f>
        <v>0</v>
      </c>
      <c r="D36" s="1005">
        <f>'Table 3 Levels 1&amp;2'!BN38+'Table 3 Levels 1&amp;2'!BV38</f>
        <v>5594.0091640611508</v>
      </c>
      <c r="E36" s="1103">
        <f t="shared" si="14"/>
        <v>0</v>
      </c>
      <c r="F36" s="1103">
        <f t="shared" si="17"/>
        <v>0</v>
      </c>
      <c r="G36" s="1060">
        <f t="shared" si="15"/>
        <v>0</v>
      </c>
      <c r="H36" s="1113">
        <f t="shared" si="18"/>
        <v>0</v>
      </c>
      <c r="I36" s="1060">
        <f t="shared" si="19"/>
        <v>0</v>
      </c>
      <c r="J36" s="1060"/>
      <c r="K36" s="1060">
        <f t="shared" si="20"/>
        <v>0</v>
      </c>
      <c r="L36" s="1060">
        <f t="shared" si="21"/>
        <v>0</v>
      </c>
      <c r="M36" s="1056">
        <f>'[18]FY2012-13 Final'!K37</f>
        <v>3702</v>
      </c>
      <c r="N36" s="1057">
        <f t="shared" si="16"/>
        <v>0</v>
      </c>
      <c r="O36" s="1119">
        <f t="shared" si="22"/>
        <v>0</v>
      </c>
      <c r="P36" s="1057">
        <f t="shared" si="23"/>
        <v>0</v>
      </c>
      <c r="Q36" s="1057"/>
      <c r="R36" s="1057">
        <f t="shared" si="24"/>
        <v>0</v>
      </c>
      <c r="S36" s="1057">
        <f t="shared" si="25"/>
        <v>0</v>
      </c>
      <c r="T36" s="1058">
        <f t="shared" si="26"/>
        <v>0</v>
      </c>
      <c r="U36" s="1058">
        <f t="shared" si="27"/>
        <v>0</v>
      </c>
    </row>
    <row r="37" spans="1:21">
      <c r="A37" s="987">
        <v>31</v>
      </c>
      <c r="B37" s="988" t="s">
        <v>125</v>
      </c>
      <c r="C37" s="1006">
        <f>'[2]ALL-Reformatted'!M36</f>
        <v>0</v>
      </c>
      <c r="D37" s="1007">
        <f>'Table 3 Levels 1&amp;2'!BN39+'Table 3 Levels 1&amp;2'!BV39</f>
        <v>4320.114188911979</v>
      </c>
      <c r="E37" s="1104">
        <f t="shared" si="14"/>
        <v>0</v>
      </c>
      <c r="F37" s="1104">
        <f t="shared" si="17"/>
        <v>0</v>
      </c>
      <c r="G37" s="1061">
        <f t="shared" si="15"/>
        <v>0</v>
      </c>
      <c r="H37" s="1114">
        <f t="shared" si="18"/>
        <v>0</v>
      </c>
      <c r="I37" s="1061">
        <f t="shared" si="19"/>
        <v>0</v>
      </c>
      <c r="J37" s="1061"/>
      <c r="K37" s="1061">
        <f t="shared" si="20"/>
        <v>0</v>
      </c>
      <c r="L37" s="1061">
        <f t="shared" si="21"/>
        <v>0</v>
      </c>
      <c r="M37" s="1051">
        <f>'[18]FY2012-13 Final'!K38</f>
        <v>4669</v>
      </c>
      <c r="N37" s="992">
        <f t="shared" si="16"/>
        <v>0</v>
      </c>
      <c r="O37" s="1117">
        <f t="shared" si="22"/>
        <v>0</v>
      </c>
      <c r="P37" s="992">
        <f t="shared" si="23"/>
        <v>0</v>
      </c>
      <c r="Q37" s="992"/>
      <c r="R37" s="992">
        <f t="shared" si="24"/>
        <v>0</v>
      </c>
      <c r="S37" s="992">
        <f t="shared" si="25"/>
        <v>0</v>
      </c>
      <c r="T37" s="993">
        <f t="shared" si="26"/>
        <v>0</v>
      </c>
      <c r="U37" s="993">
        <f t="shared" si="27"/>
        <v>0</v>
      </c>
    </row>
    <row r="38" spans="1:21">
      <c r="A38" s="994">
        <v>32</v>
      </c>
      <c r="B38" s="995" t="s">
        <v>126</v>
      </c>
      <c r="C38" s="1002">
        <f>'[2]ALL-Reformatted'!M37</f>
        <v>0</v>
      </c>
      <c r="D38" s="1003">
        <f>'Table 3 Levels 1&amp;2'!BN40+'Table 3 Levels 1&amp;2'!BV40</f>
        <v>5504.4479209353676</v>
      </c>
      <c r="E38" s="1102">
        <f t="shared" si="14"/>
        <v>0</v>
      </c>
      <c r="F38" s="1102">
        <f t="shared" si="17"/>
        <v>0</v>
      </c>
      <c r="G38" s="1059">
        <f t="shared" si="15"/>
        <v>0</v>
      </c>
      <c r="H38" s="1112">
        <f t="shared" si="18"/>
        <v>0</v>
      </c>
      <c r="I38" s="1059">
        <f t="shared" si="19"/>
        <v>0</v>
      </c>
      <c r="J38" s="1059"/>
      <c r="K38" s="1059">
        <f t="shared" si="20"/>
        <v>0</v>
      </c>
      <c r="L38" s="1059">
        <f t="shared" si="21"/>
        <v>0</v>
      </c>
      <c r="M38" s="1051">
        <f>'[18]FY2012-13 Final'!K39</f>
        <v>1965</v>
      </c>
      <c r="N38" s="1053">
        <f t="shared" si="16"/>
        <v>0</v>
      </c>
      <c r="O38" s="1118">
        <f t="shared" si="22"/>
        <v>0</v>
      </c>
      <c r="P38" s="1053">
        <f t="shared" si="23"/>
        <v>0</v>
      </c>
      <c r="Q38" s="1053"/>
      <c r="R38" s="1053">
        <f t="shared" si="24"/>
        <v>0</v>
      </c>
      <c r="S38" s="1053">
        <f t="shared" si="25"/>
        <v>0</v>
      </c>
      <c r="T38" s="1054">
        <f t="shared" si="26"/>
        <v>0</v>
      </c>
      <c r="U38" s="1054">
        <f t="shared" si="27"/>
        <v>0</v>
      </c>
    </row>
    <row r="39" spans="1:21">
      <c r="A39" s="994">
        <v>33</v>
      </c>
      <c r="B39" s="995" t="s">
        <v>127</v>
      </c>
      <c r="C39" s="1002">
        <f>'[2]ALL-Reformatted'!M38</f>
        <v>0</v>
      </c>
      <c r="D39" s="1003">
        <f>'Table 3 Levels 1&amp;2'!BN41+'Table 3 Levels 1&amp;2'!BV41</f>
        <v>5322.07272511876</v>
      </c>
      <c r="E39" s="1102">
        <f t="shared" ref="E39:E70" si="28">D39*C39</f>
        <v>0</v>
      </c>
      <c r="F39" s="1102">
        <f t="shared" si="17"/>
        <v>0</v>
      </c>
      <c r="G39" s="1059">
        <f t="shared" ref="G39:G70" si="29">E39+F39</f>
        <v>0</v>
      </c>
      <c r="H39" s="1112">
        <f t="shared" si="18"/>
        <v>0</v>
      </c>
      <c r="I39" s="1059">
        <f t="shared" si="19"/>
        <v>0</v>
      </c>
      <c r="J39" s="1059"/>
      <c r="K39" s="1059">
        <f t="shared" si="20"/>
        <v>0</v>
      </c>
      <c r="L39" s="1059">
        <f t="shared" si="21"/>
        <v>0</v>
      </c>
      <c r="M39" s="1051">
        <f>'[18]FY2012-13 Final'!K40</f>
        <v>2771</v>
      </c>
      <c r="N39" s="1053">
        <f t="shared" ref="N39:N70" si="30">M39*C39</f>
        <v>0</v>
      </c>
      <c r="O39" s="1118">
        <f t="shared" si="22"/>
        <v>0</v>
      </c>
      <c r="P39" s="1053">
        <f t="shared" si="23"/>
        <v>0</v>
      </c>
      <c r="Q39" s="1053"/>
      <c r="R39" s="1053">
        <f t="shared" si="24"/>
        <v>0</v>
      </c>
      <c r="S39" s="1053">
        <f t="shared" si="25"/>
        <v>0</v>
      </c>
      <c r="T39" s="1054">
        <f t="shared" si="26"/>
        <v>0</v>
      </c>
      <c r="U39" s="1054">
        <f t="shared" si="27"/>
        <v>0</v>
      </c>
    </row>
    <row r="40" spans="1:21">
      <c r="A40" s="994">
        <v>34</v>
      </c>
      <c r="B40" s="995" t="s">
        <v>128</v>
      </c>
      <c r="C40" s="1002">
        <f>'[2]ALL-Reformatted'!M39</f>
        <v>0</v>
      </c>
      <c r="D40" s="1003">
        <f>'Table 3 Levels 1&amp;2'!BN42+'Table 3 Levels 1&amp;2'!BV42</f>
        <v>5959.062840731639</v>
      </c>
      <c r="E40" s="1102">
        <f t="shared" si="28"/>
        <v>0</v>
      </c>
      <c r="F40" s="1102">
        <f t="shared" si="17"/>
        <v>0</v>
      </c>
      <c r="G40" s="1059">
        <f t="shared" si="29"/>
        <v>0</v>
      </c>
      <c r="H40" s="1112">
        <f t="shared" si="18"/>
        <v>0</v>
      </c>
      <c r="I40" s="1059">
        <f t="shared" si="19"/>
        <v>0</v>
      </c>
      <c r="J40" s="1059"/>
      <c r="K40" s="1059">
        <f t="shared" si="20"/>
        <v>0</v>
      </c>
      <c r="L40" s="1059">
        <f t="shared" si="21"/>
        <v>0</v>
      </c>
      <c r="M40" s="1051">
        <f>'[18]FY2012-13 Final'!K41</f>
        <v>2758</v>
      </c>
      <c r="N40" s="1053">
        <f t="shared" si="30"/>
        <v>0</v>
      </c>
      <c r="O40" s="1118">
        <f t="shared" si="22"/>
        <v>0</v>
      </c>
      <c r="P40" s="1053">
        <f t="shared" si="23"/>
        <v>0</v>
      </c>
      <c r="Q40" s="1053"/>
      <c r="R40" s="1053">
        <f t="shared" si="24"/>
        <v>0</v>
      </c>
      <c r="S40" s="1053">
        <f t="shared" si="25"/>
        <v>0</v>
      </c>
      <c r="T40" s="1054">
        <f t="shared" si="26"/>
        <v>0</v>
      </c>
      <c r="U40" s="1054">
        <f t="shared" si="27"/>
        <v>0</v>
      </c>
    </row>
    <row r="41" spans="1:21">
      <c r="A41" s="998">
        <v>35</v>
      </c>
      <c r="B41" s="999" t="s">
        <v>129</v>
      </c>
      <c r="C41" s="1004">
        <f>'[2]ALL-Reformatted'!M40</f>
        <v>0</v>
      </c>
      <c r="D41" s="1005">
        <f>'Table 3 Levels 1&amp;2'!BN43+'Table 3 Levels 1&amp;2'!BV43</f>
        <v>4571.947611490059</v>
      </c>
      <c r="E41" s="1103">
        <f t="shared" si="28"/>
        <v>0</v>
      </c>
      <c r="F41" s="1103">
        <f t="shared" si="17"/>
        <v>0</v>
      </c>
      <c r="G41" s="1060">
        <f t="shared" si="29"/>
        <v>0</v>
      </c>
      <c r="H41" s="1113">
        <f t="shared" si="18"/>
        <v>0</v>
      </c>
      <c r="I41" s="1060">
        <f t="shared" si="19"/>
        <v>0</v>
      </c>
      <c r="J41" s="1060"/>
      <c r="K41" s="1060">
        <f t="shared" si="20"/>
        <v>0</v>
      </c>
      <c r="L41" s="1060">
        <f t="shared" si="21"/>
        <v>0</v>
      </c>
      <c r="M41" s="1056">
        <f>'[18]FY2012-13 Final'!K42</f>
        <v>3603</v>
      </c>
      <c r="N41" s="1057">
        <f t="shared" si="30"/>
        <v>0</v>
      </c>
      <c r="O41" s="1119">
        <f t="shared" si="22"/>
        <v>0</v>
      </c>
      <c r="P41" s="1057">
        <f t="shared" si="23"/>
        <v>0</v>
      </c>
      <c r="Q41" s="1057"/>
      <c r="R41" s="1057">
        <f t="shared" si="24"/>
        <v>0</v>
      </c>
      <c r="S41" s="1057">
        <f t="shared" si="25"/>
        <v>0</v>
      </c>
      <c r="T41" s="1058">
        <f t="shared" si="26"/>
        <v>0</v>
      </c>
      <c r="U41" s="1058">
        <f t="shared" si="27"/>
        <v>0</v>
      </c>
    </row>
    <row r="42" spans="1:21">
      <c r="A42" s="987">
        <v>36</v>
      </c>
      <c r="B42" s="988" t="s">
        <v>130</v>
      </c>
      <c r="C42" s="1006">
        <f>'[2]ALL-Reformatted'!M41</f>
        <v>340</v>
      </c>
      <c r="D42" s="1007">
        <f>'Table 3 Levels 1&amp;2'!BN44+'Table 3 Levels 1&amp;2'!BV44</f>
        <v>3666.4136012725312</v>
      </c>
      <c r="E42" s="1104">
        <f t="shared" si="28"/>
        <v>1246580.6244326606</v>
      </c>
      <c r="F42" s="1104">
        <f t="shared" si="17"/>
        <v>239959.89025974026</v>
      </c>
      <c r="G42" s="1061">
        <f t="shared" si="29"/>
        <v>1486540.5146924008</v>
      </c>
      <c r="H42" s="1114">
        <f t="shared" si="18"/>
        <v>-3716.3512867310019</v>
      </c>
      <c r="I42" s="1061">
        <f t="shared" si="19"/>
        <v>1482824.1634056699</v>
      </c>
      <c r="J42" s="1061"/>
      <c r="K42" s="1061">
        <f t="shared" si="20"/>
        <v>1482824.1634056699</v>
      </c>
      <c r="L42" s="1061">
        <f t="shared" si="21"/>
        <v>123569</v>
      </c>
      <c r="M42" s="1051">
        <f>'[18]FY2012-13 Final'!K43</f>
        <v>4601</v>
      </c>
      <c r="N42" s="992">
        <f t="shared" si="30"/>
        <v>1564340</v>
      </c>
      <c r="O42" s="1117">
        <f t="shared" si="22"/>
        <v>-3910.85</v>
      </c>
      <c r="P42" s="992">
        <f t="shared" si="23"/>
        <v>1560429.15</v>
      </c>
      <c r="Q42" s="992"/>
      <c r="R42" s="992">
        <f t="shared" si="24"/>
        <v>1560429.15</v>
      </c>
      <c r="S42" s="992">
        <f t="shared" si="25"/>
        <v>130036</v>
      </c>
      <c r="T42" s="993">
        <f t="shared" si="26"/>
        <v>3043253.3134056698</v>
      </c>
      <c r="U42" s="993">
        <f t="shared" si="27"/>
        <v>253605</v>
      </c>
    </row>
    <row r="43" spans="1:21">
      <c r="A43" s="994">
        <v>37</v>
      </c>
      <c r="B43" s="995" t="s">
        <v>131</v>
      </c>
      <c r="C43" s="1002">
        <f>'[2]ALL-Reformatted'!M42</f>
        <v>0</v>
      </c>
      <c r="D43" s="1003">
        <f>'Table 3 Levels 1&amp;2'!BN45+'Table 3 Levels 1&amp;2'!BV45</f>
        <v>5484.8089042263191</v>
      </c>
      <c r="E43" s="1102">
        <f t="shared" si="28"/>
        <v>0</v>
      </c>
      <c r="F43" s="1102">
        <f t="shared" si="17"/>
        <v>0</v>
      </c>
      <c r="G43" s="1059">
        <f t="shared" si="29"/>
        <v>0</v>
      </c>
      <c r="H43" s="1112">
        <f t="shared" si="18"/>
        <v>0</v>
      </c>
      <c r="I43" s="1059">
        <f t="shared" si="19"/>
        <v>0</v>
      </c>
      <c r="J43" s="1059"/>
      <c r="K43" s="1059">
        <f t="shared" si="20"/>
        <v>0</v>
      </c>
      <c r="L43" s="1059">
        <f t="shared" si="21"/>
        <v>0</v>
      </c>
      <c r="M43" s="1051">
        <f>'[18]FY2012-13 Final'!K44</f>
        <v>3099</v>
      </c>
      <c r="N43" s="1053">
        <f t="shared" si="30"/>
        <v>0</v>
      </c>
      <c r="O43" s="1118">
        <f t="shared" si="22"/>
        <v>0</v>
      </c>
      <c r="P43" s="1053">
        <f t="shared" si="23"/>
        <v>0</v>
      </c>
      <c r="Q43" s="1053"/>
      <c r="R43" s="1053">
        <f t="shared" si="24"/>
        <v>0</v>
      </c>
      <c r="S43" s="1053">
        <f t="shared" si="25"/>
        <v>0</v>
      </c>
      <c r="T43" s="1054">
        <f t="shared" si="26"/>
        <v>0</v>
      </c>
      <c r="U43" s="1054">
        <f t="shared" si="27"/>
        <v>0</v>
      </c>
    </row>
    <row r="44" spans="1:21">
      <c r="A44" s="994">
        <v>38</v>
      </c>
      <c r="B44" s="995" t="s">
        <v>132</v>
      </c>
      <c r="C44" s="1002">
        <f>'[2]ALL-Reformatted'!M43</f>
        <v>0</v>
      </c>
      <c r="D44" s="1003">
        <f>'Table 3 Levels 1&amp;2'!BN46+'Table 3 Levels 1&amp;2'!BV46</f>
        <v>2078.5917829727841</v>
      </c>
      <c r="E44" s="1102">
        <f t="shared" si="28"/>
        <v>0</v>
      </c>
      <c r="F44" s="1102">
        <f t="shared" si="17"/>
        <v>0</v>
      </c>
      <c r="G44" s="1059">
        <f t="shared" si="29"/>
        <v>0</v>
      </c>
      <c r="H44" s="1112">
        <f t="shared" si="18"/>
        <v>0</v>
      </c>
      <c r="I44" s="1059">
        <f t="shared" si="19"/>
        <v>0</v>
      </c>
      <c r="J44" s="1059"/>
      <c r="K44" s="1059">
        <f t="shared" si="20"/>
        <v>0</v>
      </c>
      <c r="L44" s="1059">
        <f t="shared" si="21"/>
        <v>0</v>
      </c>
      <c r="M44" s="1051">
        <f>'[18]FY2012-13 Final'!K45</f>
        <v>9674</v>
      </c>
      <c r="N44" s="1053">
        <f t="shared" si="30"/>
        <v>0</v>
      </c>
      <c r="O44" s="1118">
        <f t="shared" si="22"/>
        <v>0</v>
      </c>
      <c r="P44" s="1053">
        <f t="shared" si="23"/>
        <v>0</v>
      </c>
      <c r="Q44" s="1053"/>
      <c r="R44" s="1053">
        <f t="shared" si="24"/>
        <v>0</v>
      </c>
      <c r="S44" s="1053">
        <f t="shared" si="25"/>
        <v>0</v>
      </c>
      <c r="T44" s="1054">
        <f t="shared" si="26"/>
        <v>0</v>
      </c>
      <c r="U44" s="1054">
        <f t="shared" si="27"/>
        <v>0</v>
      </c>
    </row>
    <row r="45" spans="1:21">
      <c r="A45" s="994">
        <v>39</v>
      </c>
      <c r="B45" s="995" t="s">
        <v>133</v>
      </c>
      <c r="C45" s="1002">
        <f>'[2]ALL-Reformatted'!M44</f>
        <v>0</v>
      </c>
      <c r="D45" s="1003">
        <f>'Table 3 Levels 1&amp;2'!BN47+'Table 3 Levels 1&amp;2'!BV47</f>
        <v>3622.4878999042335</v>
      </c>
      <c r="E45" s="1102">
        <f t="shared" si="28"/>
        <v>0</v>
      </c>
      <c r="F45" s="1102">
        <f t="shared" si="17"/>
        <v>0</v>
      </c>
      <c r="G45" s="1059">
        <f t="shared" si="29"/>
        <v>0</v>
      </c>
      <c r="H45" s="1112">
        <f t="shared" si="18"/>
        <v>0</v>
      </c>
      <c r="I45" s="1059">
        <f t="shared" si="19"/>
        <v>0</v>
      </c>
      <c r="J45" s="1059"/>
      <c r="K45" s="1059">
        <f t="shared" si="20"/>
        <v>0</v>
      </c>
      <c r="L45" s="1059">
        <f t="shared" si="21"/>
        <v>0</v>
      </c>
      <c r="M45" s="1051">
        <f>'[18]FY2012-13 Final'!K46</f>
        <v>4277</v>
      </c>
      <c r="N45" s="1053">
        <f t="shared" si="30"/>
        <v>0</v>
      </c>
      <c r="O45" s="1118">
        <f t="shared" si="22"/>
        <v>0</v>
      </c>
      <c r="P45" s="1053">
        <f t="shared" si="23"/>
        <v>0</v>
      </c>
      <c r="Q45" s="1053"/>
      <c r="R45" s="1053">
        <f t="shared" si="24"/>
        <v>0</v>
      </c>
      <c r="S45" s="1053">
        <f t="shared" si="25"/>
        <v>0</v>
      </c>
      <c r="T45" s="1054">
        <f t="shared" si="26"/>
        <v>0</v>
      </c>
      <c r="U45" s="1054">
        <f t="shared" si="27"/>
        <v>0</v>
      </c>
    </row>
    <row r="46" spans="1:21">
      <c r="A46" s="998">
        <v>40</v>
      </c>
      <c r="B46" s="999" t="s">
        <v>134</v>
      </c>
      <c r="C46" s="1004">
        <f>'[2]ALL-Reformatted'!M45</f>
        <v>0</v>
      </c>
      <c r="D46" s="1005">
        <f>'Table 3 Levels 1&amp;2'!BN48+'Table 3 Levels 1&amp;2'!BV48</f>
        <v>4885.6387343180086</v>
      </c>
      <c r="E46" s="1103">
        <f t="shared" si="28"/>
        <v>0</v>
      </c>
      <c r="F46" s="1103">
        <f t="shared" si="17"/>
        <v>0</v>
      </c>
      <c r="G46" s="1060">
        <f t="shared" si="29"/>
        <v>0</v>
      </c>
      <c r="H46" s="1113">
        <f t="shared" si="18"/>
        <v>0</v>
      </c>
      <c r="I46" s="1060">
        <f t="shared" si="19"/>
        <v>0</v>
      </c>
      <c r="J46" s="1060"/>
      <c r="K46" s="1060">
        <f t="shared" si="20"/>
        <v>0</v>
      </c>
      <c r="L46" s="1060">
        <f t="shared" si="21"/>
        <v>0</v>
      </c>
      <c r="M46" s="1056">
        <f>'[18]FY2012-13 Final'!K47</f>
        <v>2921</v>
      </c>
      <c r="N46" s="1057">
        <f t="shared" si="30"/>
        <v>0</v>
      </c>
      <c r="O46" s="1119">
        <f t="shared" si="22"/>
        <v>0</v>
      </c>
      <c r="P46" s="1057">
        <f t="shared" si="23"/>
        <v>0</v>
      </c>
      <c r="Q46" s="1057"/>
      <c r="R46" s="1057">
        <f t="shared" si="24"/>
        <v>0</v>
      </c>
      <c r="S46" s="1057">
        <f t="shared" si="25"/>
        <v>0</v>
      </c>
      <c r="T46" s="1058">
        <f t="shared" si="26"/>
        <v>0</v>
      </c>
      <c r="U46" s="1058">
        <f t="shared" si="27"/>
        <v>0</v>
      </c>
    </row>
    <row r="47" spans="1:21">
      <c r="A47" s="987">
        <v>41</v>
      </c>
      <c r="B47" s="988" t="s">
        <v>135</v>
      </c>
      <c r="C47" s="1006">
        <f>'[2]ALL-Reformatted'!M46</f>
        <v>0</v>
      </c>
      <c r="D47" s="1007">
        <f>'Table 3 Levels 1&amp;2'!BN49+'Table 3 Levels 1&amp;2'!BV49</f>
        <v>1602.0398121899364</v>
      </c>
      <c r="E47" s="1104">
        <f t="shared" si="28"/>
        <v>0</v>
      </c>
      <c r="F47" s="1104">
        <f t="shared" si="17"/>
        <v>0</v>
      </c>
      <c r="G47" s="1061">
        <f t="shared" si="29"/>
        <v>0</v>
      </c>
      <c r="H47" s="1114">
        <f t="shared" si="18"/>
        <v>0</v>
      </c>
      <c r="I47" s="1061">
        <f t="shared" si="19"/>
        <v>0</v>
      </c>
      <c r="J47" s="1061"/>
      <c r="K47" s="1061">
        <f t="shared" si="20"/>
        <v>0</v>
      </c>
      <c r="L47" s="1061">
        <f t="shared" si="21"/>
        <v>0</v>
      </c>
      <c r="M47" s="1051">
        <f>'[18]FY2012-13 Final'!K48</f>
        <v>12026</v>
      </c>
      <c r="N47" s="992">
        <f t="shared" si="30"/>
        <v>0</v>
      </c>
      <c r="O47" s="1117">
        <f t="shared" si="22"/>
        <v>0</v>
      </c>
      <c r="P47" s="992">
        <f t="shared" si="23"/>
        <v>0</v>
      </c>
      <c r="Q47" s="992"/>
      <c r="R47" s="992">
        <f t="shared" si="24"/>
        <v>0</v>
      </c>
      <c r="S47" s="992">
        <f t="shared" si="25"/>
        <v>0</v>
      </c>
      <c r="T47" s="993">
        <f t="shared" si="26"/>
        <v>0</v>
      </c>
      <c r="U47" s="993">
        <f t="shared" si="27"/>
        <v>0</v>
      </c>
    </row>
    <row r="48" spans="1:21">
      <c r="A48" s="994">
        <v>42</v>
      </c>
      <c r="B48" s="995" t="s">
        <v>136</v>
      </c>
      <c r="C48" s="1002">
        <f>'[2]ALL-Reformatted'!M47</f>
        <v>0</v>
      </c>
      <c r="D48" s="1003">
        <f>'Table 3 Levels 1&amp;2'!BN50+'Table 3 Levels 1&amp;2'!BV50</f>
        <v>5098.6172346404755</v>
      </c>
      <c r="E48" s="1102">
        <f t="shared" si="28"/>
        <v>0</v>
      </c>
      <c r="F48" s="1102">
        <f t="shared" si="17"/>
        <v>0</v>
      </c>
      <c r="G48" s="1059">
        <f t="shared" si="29"/>
        <v>0</v>
      </c>
      <c r="H48" s="1112">
        <f t="shared" si="18"/>
        <v>0</v>
      </c>
      <c r="I48" s="1059">
        <f t="shared" si="19"/>
        <v>0</v>
      </c>
      <c r="J48" s="1059"/>
      <c r="K48" s="1059">
        <f t="shared" si="20"/>
        <v>0</v>
      </c>
      <c r="L48" s="1059">
        <f t="shared" si="21"/>
        <v>0</v>
      </c>
      <c r="M48" s="1051">
        <f>'[18]FY2012-13 Final'!K49</f>
        <v>2554</v>
      </c>
      <c r="N48" s="1053">
        <f t="shared" si="30"/>
        <v>0</v>
      </c>
      <c r="O48" s="1118">
        <f t="shared" si="22"/>
        <v>0</v>
      </c>
      <c r="P48" s="1053">
        <f t="shared" si="23"/>
        <v>0</v>
      </c>
      <c r="Q48" s="1053"/>
      <c r="R48" s="1053">
        <f t="shared" si="24"/>
        <v>0</v>
      </c>
      <c r="S48" s="1053">
        <f t="shared" si="25"/>
        <v>0</v>
      </c>
      <c r="T48" s="1054">
        <f t="shared" si="26"/>
        <v>0</v>
      </c>
      <c r="U48" s="1054">
        <f t="shared" si="27"/>
        <v>0</v>
      </c>
    </row>
    <row r="49" spans="1:21">
      <c r="A49" s="994">
        <v>43</v>
      </c>
      <c r="B49" s="995" t="s">
        <v>137</v>
      </c>
      <c r="C49" s="1002">
        <f>'[2]ALL-Reformatted'!M48</f>
        <v>0</v>
      </c>
      <c r="D49" s="1003">
        <f>'Table 3 Levels 1&amp;2'!BN51+'Table 3 Levels 1&amp;2'!BV51</f>
        <v>4701.3362575004667</v>
      </c>
      <c r="E49" s="1102">
        <f t="shared" si="28"/>
        <v>0</v>
      </c>
      <c r="F49" s="1102">
        <f t="shared" si="17"/>
        <v>0</v>
      </c>
      <c r="G49" s="1059">
        <f t="shared" si="29"/>
        <v>0</v>
      </c>
      <c r="H49" s="1112">
        <f t="shared" si="18"/>
        <v>0</v>
      </c>
      <c r="I49" s="1059">
        <f t="shared" si="19"/>
        <v>0</v>
      </c>
      <c r="J49" s="1059"/>
      <c r="K49" s="1059">
        <f t="shared" si="20"/>
        <v>0</v>
      </c>
      <c r="L49" s="1059">
        <f t="shared" si="21"/>
        <v>0</v>
      </c>
      <c r="M49" s="1051">
        <f>'[18]FY2012-13 Final'!K50</f>
        <v>5265</v>
      </c>
      <c r="N49" s="1053">
        <f t="shared" si="30"/>
        <v>0</v>
      </c>
      <c r="O49" s="1118">
        <f t="shared" si="22"/>
        <v>0</v>
      </c>
      <c r="P49" s="1053">
        <f t="shared" si="23"/>
        <v>0</v>
      </c>
      <c r="Q49" s="1053"/>
      <c r="R49" s="1053">
        <f t="shared" si="24"/>
        <v>0</v>
      </c>
      <c r="S49" s="1053">
        <f t="shared" si="25"/>
        <v>0</v>
      </c>
      <c r="T49" s="1054">
        <f t="shared" si="26"/>
        <v>0</v>
      </c>
      <c r="U49" s="1054">
        <f t="shared" si="27"/>
        <v>0</v>
      </c>
    </row>
    <row r="50" spans="1:21">
      <c r="A50" s="994">
        <v>44</v>
      </c>
      <c r="B50" s="995" t="s">
        <v>138</v>
      </c>
      <c r="C50" s="1002">
        <f>'[2]ALL-Reformatted'!M49</f>
        <v>1</v>
      </c>
      <c r="D50" s="1003">
        <f>'Table 3 Levels 1&amp;2'!BN52+'Table 3 Levels 1&amp;2'!BV52</f>
        <v>4649.5559521248724</v>
      </c>
      <c r="E50" s="1102">
        <f t="shared" si="28"/>
        <v>4649.5559521248724</v>
      </c>
      <c r="F50" s="1102">
        <f t="shared" si="17"/>
        <v>705.7643831168831</v>
      </c>
      <c r="G50" s="1059">
        <f t="shared" si="29"/>
        <v>5355.3203352417559</v>
      </c>
      <c r="H50" s="1112">
        <f t="shared" si="18"/>
        <v>-13.38830083810439</v>
      </c>
      <c r="I50" s="1059">
        <f t="shared" si="19"/>
        <v>5341.9320344036514</v>
      </c>
      <c r="J50" s="1059"/>
      <c r="K50" s="1059">
        <f t="shared" si="20"/>
        <v>5341.9320344036514</v>
      </c>
      <c r="L50" s="1059">
        <f t="shared" si="21"/>
        <v>445</v>
      </c>
      <c r="M50" s="1051">
        <f>'[18]FY2012-13 Final'!K51</f>
        <v>4109</v>
      </c>
      <c r="N50" s="1053">
        <f t="shared" si="30"/>
        <v>4109</v>
      </c>
      <c r="O50" s="1118">
        <f t="shared" si="22"/>
        <v>-10.272500000000001</v>
      </c>
      <c r="P50" s="1053">
        <f t="shared" si="23"/>
        <v>4098.7275</v>
      </c>
      <c r="Q50" s="1053"/>
      <c r="R50" s="1053">
        <f t="shared" si="24"/>
        <v>4098.7275</v>
      </c>
      <c r="S50" s="1053">
        <f t="shared" si="25"/>
        <v>342</v>
      </c>
      <c r="T50" s="1054">
        <f t="shared" si="26"/>
        <v>9440.6595344036505</v>
      </c>
      <c r="U50" s="1054">
        <f t="shared" si="27"/>
        <v>787</v>
      </c>
    </row>
    <row r="51" spans="1:21">
      <c r="A51" s="998">
        <v>45</v>
      </c>
      <c r="B51" s="999" t="s">
        <v>139</v>
      </c>
      <c r="C51" s="1004">
        <f>'[2]ALL-Reformatted'!M50</f>
        <v>0</v>
      </c>
      <c r="D51" s="1005">
        <f>'Table 3 Levels 1&amp;2'!BN53+'Table 3 Levels 1&amp;2'!BV53</f>
        <v>2159.257884231537</v>
      </c>
      <c r="E51" s="1103">
        <f t="shared" si="28"/>
        <v>0</v>
      </c>
      <c r="F51" s="1103">
        <f t="shared" si="17"/>
        <v>0</v>
      </c>
      <c r="G51" s="1060">
        <f t="shared" si="29"/>
        <v>0</v>
      </c>
      <c r="H51" s="1113">
        <f t="shared" si="18"/>
        <v>0</v>
      </c>
      <c r="I51" s="1060">
        <f t="shared" si="19"/>
        <v>0</v>
      </c>
      <c r="J51" s="1060"/>
      <c r="K51" s="1060">
        <f t="shared" si="20"/>
        <v>0</v>
      </c>
      <c r="L51" s="1060">
        <f t="shared" si="21"/>
        <v>0</v>
      </c>
      <c r="M51" s="1056">
        <f>'[18]FY2012-13 Final'!K52</f>
        <v>12427</v>
      </c>
      <c r="N51" s="1057">
        <f t="shared" si="30"/>
        <v>0</v>
      </c>
      <c r="O51" s="1119">
        <f t="shared" si="22"/>
        <v>0</v>
      </c>
      <c r="P51" s="1057">
        <f t="shared" si="23"/>
        <v>0</v>
      </c>
      <c r="Q51" s="1057"/>
      <c r="R51" s="1057">
        <f t="shared" si="24"/>
        <v>0</v>
      </c>
      <c r="S51" s="1057">
        <f t="shared" si="25"/>
        <v>0</v>
      </c>
      <c r="T51" s="1058">
        <f t="shared" si="26"/>
        <v>0</v>
      </c>
      <c r="U51" s="1058">
        <f t="shared" si="27"/>
        <v>0</v>
      </c>
    </row>
    <row r="52" spans="1:21">
      <c r="A52" s="987">
        <v>46</v>
      </c>
      <c r="B52" s="988" t="s">
        <v>140</v>
      </c>
      <c r="C52" s="1006">
        <f>'[2]ALL-Reformatted'!M51</f>
        <v>0</v>
      </c>
      <c r="D52" s="1007">
        <f>'Table 3 Levels 1&amp;2'!BN54+'Table 3 Levels 1&amp;2'!BV54</f>
        <v>5578.7258135108641</v>
      </c>
      <c r="E52" s="1104">
        <f t="shared" si="28"/>
        <v>0</v>
      </c>
      <c r="F52" s="1104">
        <f t="shared" si="17"/>
        <v>0</v>
      </c>
      <c r="G52" s="1061">
        <f t="shared" si="29"/>
        <v>0</v>
      </c>
      <c r="H52" s="1114">
        <f t="shared" si="18"/>
        <v>0</v>
      </c>
      <c r="I52" s="1061">
        <f t="shared" si="19"/>
        <v>0</v>
      </c>
      <c r="J52" s="1061"/>
      <c r="K52" s="1061">
        <f t="shared" si="20"/>
        <v>0</v>
      </c>
      <c r="L52" s="1061">
        <f t="shared" si="21"/>
        <v>0</v>
      </c>
      <c r="M52" s="1051">
        <f>'[18]FY2012-13 Final'!K53</f>
        <v>1968</v>
      </c>
      <c r="N52" s="992">
        <f t="shared" si="30"/>
        <v>0</v>
      </c>
      <c r="O52" s="1117">
        <f t="shared" si="22"/>
        <v>0</v>
      </c>
      <c r="P52" s="992">
        <f t="shared" si="23"/>
        <v>0</v>
      </c>
      <c r="Q52" s="992"/>
      <c r="R52" s="992">
        <f t="shared" si="24"/>
        <v>0</v>
      </c>
      <c r="S52" s="992">
        <f t="shared" si="25"/>
        <v>0</v>
      </c>
      <c r="T52" s="993">
        <f t="shared" si="26"/>
        <v>0</v>
      </c>
      <c r="U52" s="993">
        <f t="shared" si="27"/>
        <v>0</v>
      </c>
    </row>
    <row r="53" spans="1:21">
      <c r="A53" s="994">
        <v>47</v>
      </c>
      <c r="B53" s="995" t="s">
        <v>141</v>
      </c>
      <c r="C53" s="1002">
        <f>'[2]ALL-Reformatted'!M52</f>
        <v>0</v>
      </c>
      <c r="D53" s="1003">
        <f>'Table 3 Levels 1&amp;2'!BN55+'Table 3 Levels 1&amp;2'!BV55</f>
        <v>2709.058014721415</v>
      </c>
      <c r="E53" s="1102">
        <f t="shared" si="28"/>
        <v>0</v>
      </c>
      <c r="F53" s="1102">
        <f t="shared" si="17"/>
        <v>0</v>
      </c>
      <c r="G53" s="1059">
        <f t="shared" si="29"/>
        <v>0</v>
      </c>
      <c r="H53" s="1112">
        <f t="shared" si="18"/>
        <v>0</v>
      </c>
      <c r="I53" s="1059">
        <f t="shared" si="19"/>
        <v>0</v>
      </c>
      <c r="J53" s="1059"/>
      <c r="K53" s="1059">
        <f t="shared" si="20"/>
        <v>0</v>
      </c>
      <c r="L53" s="1059">
        <f t="shared" si="21"/>
        <v>0</v>
      </c>
      <c r="M53" s="1051">
        <f>'[18]FY2012-13 Final'!K54</f>
        <v>10049</v>
      </c>
      <c r="N53" s="1053">
        <f t="shared" si="30"/>
        <v>0</v>
      </c>
      <c r="O53" s="1118">
        <f t="shared" si="22"/>
        <v>0</v>
      </c>
      <c r="P53" s="1053">
        <f t="shared" si="23"/>
        <v>0</v>
      </c>
      <c r="Q53" s="1053"/>
      <c r="R53" s="1053">
        <f t="shared" si="24"/>
        <v>0</v>
      </c>
      <c r="S53" s="1053">
        <f t="shared" si="25"/>
        <v>0</v>
      </c>
      <c r="T53" s="1054">
        <f t="shared" si="26"/>
        <v>0</v>
      </c>
      <c r="U53" s="1054">
        <f t="shared" si="27"/>
        <v>0</v>
      </c>
    </row>
    <row r="54" spans="1:21">
      <c r="A54" s="994">
        <v>48</v>
      </c>
      <c r="B54" s="995" t="s">
        <v>202</v>
      </c>
      <c r="C54" s="1002">
        <f>'[2]ALL-Reformatted'!M53</f>
        <v>0</v>
      </c>
      <c r="D54" s="1003">
        <f>'Table 3 Levels 1&amp;2'!BN56+'Table 3 Levels 1&amp;2'!BV56</f>
        <v>4259.4136153508553</v>
      </c>
      <c r="E54" s="1102">
        <f t="shared" si="28"/>
        <v>0</v>
      </c>
      <c r="F54" s="1102">
        <f t="shared" si="17"/>
        <v>0</v>
      </c>
      <c r="G54" s="1059">
        <f t="shared" si="29"/>
        <v>0</v>
      </c>
      <c r="H54" s="1112">
        <f t="shared" si="18"/>
        <v>0</v>
      </c>
      <c r="I54" s="1059">
        <f t="shared" si="19"/>
        <v>0</v>
      </c>
      <c r="J54" s="1059"/>
      <c r="K54" s="1059">
        <f t="shared" si="20"/>
        <v>0</v>
      </c>
      <c r="L54" s="1059">
        <f t="shared" si="21"/>
        <v>0</v>
      </c>
      <c r="M54" s="1051">
        <f>'[18]FY2012-13 Final'!K55</f>
        <v>5755</v>
      </c>
      <c r="N54" s="1053">
        <f t="shared" si="30"/>
        <v>0</v>
      </c>
      <c r="O54" s="1118">
        <f t="shared" si="22"/>
        <v>0</v>
      </c>
      <c r="P54" s="1053">
        <f t="shared" si="23"/>
        <v>0</v>
      </c>
      <c r="Q54" s="1053"/>
      <c r="R54" s="1053">
        <f t="shared" si="24"/>
        <v>0</v>
      </c>
      <c r="S54" s="1053">
        <f t="shared" si="25"/>
        <v>0</v>
      </c>
      <c r="T54" s="1054">
        <f t="shared" si="26"/>
        <v>0</v>
      </c>
      <c r="U54" s="1054">
        <f t="shared" si="27"/>
        <v>0</v>
      </c>
    </row>
    <row r="55" spans="1:21">
      <c r="A55" s="994">
        <v>49</v>
      </c>
      <c r="B55" s="995" t="s">
        <v>142</v>
      </c>
      <c r="C55" s="1002">
        <f>'[2]ALL-Reformatted'!M54</f>
        <v>0</v>
      </c>
      <c r="D55" s="1003">
        <f>'Table 3 Levels 1&amp;2'!BN57+'Table 3 Levels 1&amp;2'!BV57</f>
        <v>4790.0513947378495</v>
      </c>
      <c r="E55" s="1102">
        <f t="shared" si="28"/>
        <v>0</v>
      </c>
      <c r="F55" s="1102">
        <f t="shared" si="17"/>
        <v>0</v>
      </c>
      <c r="G55" s="1059">
        <f t="shared" si="29"/>
        <v>0</v>
      </c>
      <c r="H55" s="1112">
        <f t="shared" si="18"/>
        <v>0</v>
      </c>
      <c r="I55" s="1059">
        <f t="shared" si="19"/>
        <v>0</v>
      </c>
      <c r="J55" s="1059"/>
      <c r="K55" s="1059">
        <f t="shared" si="20"/>
        <v>0</v>
      </c>
      <c r="L55" s="1059">
        <f t="shared" si="21"/>
        <v>0</v>
      </c>
      <c r="M55" s="1051">
        <f>'[18]FY2012-13 Final'!K56</f>
        <v>2335</v>
      </c>
      <c r="N55" s="1053">
        <f t="shared" si="30"/>
        <v>0</v>
      </c>
      <c r="O55" s="1118">
        <f t="shared" si="22"/>
        <v>0</v>
      </c>
      <c r="P55" s="1053">
        <f t="shared" si="23"/>
        <v>0</v>
      </c>
      <c r="Q55" s="1053"/>
      <c r="R55" s="1053">
        <f t="shared" si="24"/>
        <v>0</v>
      </c>
      <c r="S55" s="1053">
        <f t="shared" si="25"/>
        <v>0</v>
      </c>
      <c r="T55" s="1054">
        <f t="shared" si="26"/>
        <v>0</v>
      </c>
      <c r="U55" s="1054">
        <f t="shared" si="27"/>
        <v>0</v>
      </c>
    </row>
    <row r="56" spans="1:21">
      <c r="A56" s="998">
        <v>50</v>
      </c>
      <c r="B56" s="999" t="s">
        <v>143</v>
      </c>
      <c r="C56" s="1004">
        <f>'[2]ALL-Reformatted'!M55</f>
        <v>0</v>
      </c>
      <c r="D56" s="1005">
        <f>'Table 3 Levels 1&amp;2'!BN58+'Table 3 Levels 1&amp;2'!BV58</f>
        <v>4954.3375045905796</v>
      </c>
      <c r="E56" s="1103">
        <f t="shared" si="28"/>
        <v>0</v>
      </c>
      <c r="F56" s="1103">
        <f t="shared" si="17"/>
        <v>0</v>
      </c>
      <c r="G56" s="1060">
        <f t="shared" si="29"/>
        <v>0</v>
      </c>
      <c r="H56" s="1113">
        <f t="shared" si="18"/>
        <v>0</v>
      </c>
      <c r="I56" s="1060">
        <f t="shared" si="19"/>
        <v>0</v>
      </c>
      <c r="J56" s="1060"/>
      <c r="K56" s="1060">
        <f t="shared" si="20"/>
        <v>0</v>
      </c>
      <c r="L56" s="1060">
        <f t="shared" si="21"/>
        <v>0</v>
      </c>
      <c r="M56" s="1056">
        <f>'[18]FY2012-13 Final'!K57</f>
        <v>2801</v>
      </c>
      <c r="N56" s="1057">
        <f t="shared" si="30"/>
        <v>0</v>
      </c>
      <c r="O56" s="1119">
        <f t="shared" si="22"/>
        <v>0</v>
      </c>
      <c r="P56" s="1057">
        <f t="shared" si="23"/>
        <v>0</v>
      </c>
      <c r="Q56" s="1057"/>
      <c r="R56" s="1057">
        <f t="shared" si="24"/>
        <v>0</v>
      </c>
      <c r="S56" s="1057">
        <f t="shared" si="25"/>
        <v>0</v>
      </c>
      <c r="T56" s="1058">
        <f t="shared" si="26"/>
        <v>0</v>
      </c>
      <c r="U56" s="1058">
        <f t="shared" si="27"/>
        <v>0</v>
      </c>
    </row>
    <row r="57" spans="1:21">
      <c r="A57" s="987">
        <v>51</v>
      </c>
      <c r="B57" s="988" t="s">
        <v>144</v>
      </c>
      <c r="C57" s="1006">
        <f>'[2]ALL-Reformatted'!M56</f>
        <v>0</v>
      </c>
      <c r="D57" s="1007">
        <f>'Table 3 Levels 1&amp;2'!BN59+'Table 3 Levels 1&amp;2'!BV59</f>
        <v>4290.3461727150461</v>
      </c>
      <c r="E57" s="1104">
        <f t="shared" si="28"/>
        <v>0</v>
      </c>
      <c r="F57" s="1104">
        <f t="shared" si="17"/>
        <v>0</v>
      </c>
      <c r="G57" s="1061">
        <f t="shared" si="29"/>
        <v>0</v>
      </c>
      <c r="H57" s="1114">
        <f t="shared" si="18"/>
        <v>0</v>
      </c>
      <c r="I57" s="1061">
        <f t="shared" si="19"/>
        <v>0</v>
      </c>
      <c r="J57" s="1061"/>
      <c r="K57" s="1061">
        <f t="shared" si="20"/>
        <v>0</v>
      </c>
      <c r="L57" s="1061">
        <f t="shared" si="21"/>
        <v>0</v>
      </c>
      <c r="M57" s="1051">
        <f>'[18]FY2012-13 Final'!K58</f>
        <v>4053</v>
      </c>
      <c r="N57" s="992">
        <f t="shared" si="30"/>
        <v>0</v>
      </c>
      <c r="O57" s="1117">
        <f t="shared" si="22"/>
        <v>0</v>
      </c>
      <c r="P57" s="992">
        <f t="shared" si="23"/>
        <v>0</v>
      </c>
      <c r="Q57" s="992"/>
      <c r="R57" s="992">
        <f t="shared" si="24"/>
        <v>0</v>
      </c>
      <c r="S57" s="992">
        <f t="shared" si="25"/>
        <v>0</v>
      </c>
      <c r="T57" s="993">
        <f t="shared" si="26"/>
        <v>0</v>
      </c>
      <c r="U57" s="993">
        <f t="shared" si="27"/>
        <v>0</v>
      </c>
    </row>
    <row r="58" spans="1:21">
      <c r="A58" s="994">
        <v>52</v>
      </c>
      <c r="B58" s="995" t="s">
        <v>145</v>
      </c>
      <c r="C58" s="1002">
        <f>'[2]ALL-Reformatted'!M57</f>
        <v>0</v>
      </c>
      <c r="D58" s="1003">
        <f>'Table 3 Levels 1&amp;2'!BN60+'Table 3 Levels 1&amp;2'!BV60</f>
        <v>4988.6415961118701</v>
      </c>
      <c r="E58" s="1102">
        <f t="shared" si="28"/>
        <v>0</v>
      </c>
      <c r="F58" s="1102">
        <f t="shared" si="17"/>
        <v>0</v>
      </c>
      <c r="G58" s="1059">
        <f t="shared" si="29"/>
        <v>0</v>
      </c>
      <c r="H58" s="1112">
        <f t="shared" si="18"/>
        <v>0</v>
      </c>
      <c r="I58" s="1059">
        <f t="shared" si="19"/>
        <v>0</v>
      </c>
      <c r="J58" s="1059"/>
      <c r="K58" s="1059">
        <f t="shared" si="20"/>
        <v>0</v>
      </c>
      <c r="L58" s="1059">
        <f t="shared" si="21"/>
        <v>0</v>
      </c>
      <c r="M58" s="1051">
        <f>'[18]FY2012-13 Final'!K59</f>
        <v>4886</v>
      </c>
      <c r="N58" s="1053">
        <f t="shared" si="30"/>
        <v>0</v>
      </c>
      <c r="O58" s="1118">
        <f t="shared" si="22"/>
        <v>0</v>
      </c>
      <c r="P58" s="1053">
        <f t="shared" si="23"/>
        <v>0</v>
      </c>
      <c r="Q58" s="1053"/>
      <c r="R58" s="1053">
        <f t="shared" si="24"/>
        <v>0</v>
      </c>
      <c r="S58" s="1053">
        <f t="shared" si="25"/>
        <v>0</v>
      </c>
      <c r="T58" s="1054">
        <f t="shared" si="26"/>
        <v>0</v>
      </c>
      <c r="U58" s="1054">
        <f t="shared" si="27"/>
        <v>0</v>
      </c>
    </row>
    <row r="59" spans="1:21">
      <c r="A59" s="994">
        <v>53</v>
      </c>
      <c r="B59" s="995" t="s">
        <v>146</v>
      </c>
      <c r="C59" s="1002">
        <f>'[2]ALL-Reformatted'!M58</f>
        <v>0</v>
      </c>
      <c r="D59" s="1003">
        <f>'Table 3 Levels 1&amp;2'!BN61+'Table 3 Levels 1&amp;2'!BV61</f>
        <v>4739.7077057162423</v>
      </c>
      <c r="E59" s="1102">
        <f t="shared" si="28"/>
        <v>0</v>
      </c>
      <c r="F59" s="1102">
        <f t="shared" si="17"/>
        <v>0</v>
      </c>
      <c r="G59" s="1059">
        <f t="shared" si="29"/>
        <v>0</v>
      </c>
      <c r="H59" s="1112">
        <f t="shared" si="18"/>
        <v>0</v>
      </c>
      <c r="I59" s="1059">
        <f t="shared" si="19"/>
        <v>0</v>
      </c>
      <c r="J59" s="1059"/>
      <c r="K59" s="1059">
        <f t="shared" si="20"/>
        <v>0</v>
      </c>
      <c r="L59" s="1059">
        <f t="shared" si="21"/>
        <v>0</v>
      </c>
      <c r="M59" s="1051">
        <f>'[18]FY2012-13 Final'!K60</f>
        <v>1929</v>
      </c>
      <c r="N59" s="1053">
        <f t="shared" si="30"/>
        <v>0</v>
      </c>
      <c r="O59" s="1118">
        <f t="shared" si="22"/>
        <v>0</v>
      </c>
      <c r="P59" s="1053">
        <f t="shared" si="23"/>
        <v>0</v>
      </c>
      <c r="Q59" s="1053"/>
      <c r="R59" s="1053">
        <f t="shared" si="24"/>
        <v>0</v>
      </c>
      <c r="S59" s="1053">
        <f t="shared" si="25"/>
        <v>0</v>
      </c>
      <c r="T59" s="1054">
        <f t="shared" si="26"/>
        <v>0</v>
      </c>
      <c r="U59" s="1054">
        <f t="shared" si="27"/>
        <v>0</v>
      </c>
    </row>
    <row r="60" spans="1:21">
      <c r="A60" s="994">
        <v>54</v>
      </c>
      <c r="B60" s="995" t="s">
        <v>147</v>
      </c>
      <c r="C60" s="1002">
        <f>'[2]ALL-Reformatted'!M59</f>
        <v>0</v>
      </c>
      <c r="D60" s="1003">
        <f>'Table 3 Levels 1&amp;2'!BN62+'Table 3 Levels 1&amp;2'!BV62</f>
        <v>5907.1276437932838</v>
      </c>
      <c r="E60" s="1102">
        <f t="shared" si="28"/>
        <v>0</v>
      </c>
      <c r="F60" s="1102">
        <f t="shared" si="17"/>
        <v>0</v>
      </c>
      <c r="G60" s="1059">
        <f t="shared" si="29"/>
        <v>0</v>
      </c>
      <c r="H60" s="1112">
        <f t="shared" si="18"/>
        <v>0</v>
      </c>
      <c r="I60" s="1059">
        <f t="shared" si="19"/>
        <v>0</v>
      </c>
      <c r="J60" s="1059"/>
      <c r="K60" s="1059">
        <f t="shared" si="20"/>
        <v>0</v>
      </c>
      <c r="L60" s="1059">
        <f t="shared" si="21"/>
        <v>0</v>
      </c>
      <c r="M60" s="1051">
        <f>'[18]FY2012-13 Final'!K61</f>
        <v>3382</v>
      </c>
      <c r="N60" s="1053">
        <f t="shared" si="30"/>
        <v>0</v>
      </c>
      <c r="O60" s="1118">
        <f t="shared" si="22"/>
        <v>0</v>
      </c>
      <c r="P60" s="1053">
        <f t="shared" si="23"/>
        <v>0</v>
      </c>
      <c r="Q60" s="1053"/>
      <c r="R60" s="1053">
        <f t="shared" si="24"/>
        <v>0</v>
      </c>
      <c r="S60" s="1053">
        <f t="shared" si="25"/>
        <v>0</v>
      </c>
      <c r="T60" s="1054">
        <f t="shared" si="26"/>
        <v>0</v>
      </c>
      <c r="U60" s="1054">
        <f t="shared" si="27"/>
        <v>0</v>
      </c>
    </row>
    <row r="61" spans="1:21">
      <c r="A61" s="998">
        <v>55</v>
      </c>
      <c r="B61" s="999" t="s">
        <v>148</v>
      </c>
      <c r="C61" s="1004">
        <f>'[2]ALL-Reformatted'!M60</f>
        <v>0</v>
      </c>
      <c r="D61" s="1005">
        <f>'Table 3 Levels 1&amp;2'!BN63+'Table 3 Levels 1&amp;2'!BV63</f>
        <v>4115.0954812679902</v>
      </c>
      <c r="E61" s="1103">
        <f t="shared" si="28"/>
        <v>0</v>
      </c>
      <c r="F61" s="1103">
        <f t="shared" si="17"/>
        <v>0</v>
      </c>
      <c r="G61" s="1060">
        <f t="shared" si="29"/>
        <v>0</v>
      </c>
      <c r="H61" s="1113">
        <f t="shared" si="18"/>
        <v>0</v>
      </c>
      <c r="I61" s="1060">
        <f t="shared" si="19"/>
        <v>0</v>
      </c>
      <c r="J61" s="1060"/>
      <c r="K61" s="1060">
        <f t="shared" si="20"/>
        <v>0</v>
      </c>
      <c r="L61" s="1060">
        <f t="shared" si="21"/>
        <v>0</v>
      </c>
      <c r="M61" s="1056">
        <f>'[18]FY2012-13 Final'!K62</f>
        <v>3127</v>
      </c>
      <c r="N61" s="1057">
        <f t="shared" si="30"/>
        <v>0</v>
      </c>
      <c r="O61" s="1119">
        <f t="shared" si="22"/>
        <v>0</v>
      </c>
      <c r="P61" s="1057">
        <f t="shared" si="23"/>
        <v>0</v>
      </c>
      <c r="Q61" s="1057"/>
      <c r="R61" s="1057">
        <f t="shared" si="24"/>
        <v>0</v>
      </c>
      <c r="S61" s="1057">
        <f t="shared" si="25"/>
        <v>0</v>
      </c>
      <c r="T61" s="1058">
        <f t="shared" si="26"/>
        <v>0</v>
      </c>
      <c r="U61" s="1058">
        <f t="shared" si="27"/>
        <v>0</v>
      </c>
    </row>
    <row r="62" spans="1:21">
      <c r="A62" s="987">
        <v>56</v>
      </c>
      <c r="B62" s="988" t="s">
        <v>149</v>
      </c>
      <c r="C62" s="1006">
        <f>'[2]ALL-Reformatted'!M61</f>
        <v>0</v>
      </c>
      <c r="D62" s="1007">
        <f>'Table 3 Levels 1&amp;2'!BN64+'Table 3 Levels 1&amp;2'!BV64</f>
        <v>4924.9032059941637</v>
      </c>
      <c r="E62" s="1104">
        <f t="shared" si="28"/>
        <v>0</v>
      </c>
      <c r="F62" s="1104">
        <f t="shared" si="17"/>
        <v>0</v>
      </c>
      <c r="G62" s="1061">
        <f t="shared" si="29"/>
        <v>0</v>
      </c>
      <c r="H62" s="1114">
        <f t="shared" si="18"/>
        <v>0</v>
      </c>
      <c r="I62" s="1061">
        <f t="shared" si="19"/>
        <v>0</v>
      </c>
      <c r="J62" s="1061"/>
      <c r="K62" s="1061">
        <f t="shared" si="20"/>
        <v>0</v>
      </c>
      <c r="L62" s="1061">
        <f t="shared" si="21"/>
        <v>0</v>
      </c>
      <c r="M62" s="1051">
        <f>'[18]FY2012-13 Final'!K63</f>
        <v>2768</v>
      </c>
      <c r="N62" s="992">
        <f t="shared" si="30"/>
        <v>0</v>
      </c>
      <c r="O62" s="1117">
        <f t="shared" si="22"/>
        <v>0</v>
      </c>
      <c r="P62" s="992">
        <f t="shared" si="23"/>
        <v>0</v>
      </c>
      <c r="Q62" s="992"/>
      <c r="R62" s="992">
        <f t="shared" si="24"/>
        <v>0</v>
      </c>
      <c r="S62" s="992">
        <f t="shared" si="25"/>
        <v>0</v>
      </c>
      <c r="T62" s="993">
        <f t="shared" si="26"/>
        <v>0</v>
      </c>
      <c r="U62" s="993">
        <f t="shared" si="27"/>
        <v>0</v>
      </c>
    </row>
    <row r="63" spans="1:21">
      <c r="A63" s="994">
        <v>57</v>
      </c>
      <c r="B63" s="995" t="s">
        <v>150</v>
      </c>
      <c r="C63" s="1002">
        <f>'[2]ALL-Reformatted'!M62</f>
        <v>0</v>
      </c>
      <c r="D63" s="1003">
        <f>'Table 3 Levels 1&amp;2'!BN65+'Table 3 Levels 1&amp;2'!BV65</f>
        <v>4434.5516744018987</v>
      </c>
      <c r="E63" s="1102">
        <f t="shared" si="28"/>
        <v>0</v>
      </c>
      <c r="F63" s="1102">
        <f t="shared" si="17"/>
        <v>0</v>
      </c>
      <c r="G63" s="1059">
        <f t="shared" si="29"/>
        <v>0</v>
      </c>
      <c r="H63" s="1112">
        <f t="shared" si="18"/>
        <v>0</v>
      </c>
      <c r="I63" s="1059">
        <f t="shared" si="19"/>
        <v>0</v>
      </c>
      <c r="J63" s="1059"/>
      <c r="K63" s="1059">
        <f t="shared" si="20"/>
        <v>0</v>
      </c>
      <c r="L63" s="1059">
        <f t="shared" si="21"/>
        <v>0</v>
      </c>
      <c r="M63" s="1051">
        <f>'[18]FY2012-13 Final'!K64</f>
        <v>2987</v>
      </c>
      <c r="N63" s="1053">
        <f t="shared" si="30"/>
        <v>0</v>
      </c>
      <c r="O63" s="1118">
        <f t="shared" si="22"/>
        <v>0</v>
      </c>
      <c r="P63" s="1053">
        <f t="shared" si="23"/>
        <v>0</v>
      </c>
      <c r="Q63" s="1053"/>
      <c r="R63" s="1053">
        <f t="shared" si="24"/>
        <v>0</v>
      </c>
      <c r="S63" s="1053">
        <f t="shared" si="25"/>
        <v>0</v>
      </c>
      <c r="T63" s="1054">
        <f t="shared" si="26"/>
        <v>0</v>
      </c>
      <c r="U63" s="1054">
        <f t="shared" si="27"/>
        <v>0</v>
      </c>
    </row>
    <row r="64" spans="1:21">
      <c r="A64" s="994">
        <v>58</v>
      </c>
      <c r="B64" s="995" t="s">
        <v>151</v>
      </c>
      <c r="C64" s="1002">
        <f>'[2]ALL-Reformatted'!M63</f>
        <v>0</v>
      </c>
      <c r="D64" s="1003">
        <f>'Table 3 Levels 1&amp;2'!BN66+'Table 3 Levels 1&amp;2'!BV66</f>
        <v>5434.7170435013286</v>
      </c>
      <c r="E64" s="1102">
        <f t="shared" si="28"/>
        <v>0</v>
      </c>
      <c r="F64" s="1102">
        <f t="shared" si="17"/>
        <v>0</v>
      </c>
      <c r="G64" s="1059">
        <f t="shared" si="29"/>
        <v>0</v>
      </c>
      <c r="H64" s="1112">
        <f t="shared" si="18"/>
        <v>0</v>
      </c>
      <c r="I64" s="1059">
        <f t="shared" si="19"/>
        <v>0</v>
      </c>
      <c r="J64" s="1059"/>
      <c r="K64" s="1059">
        <f t="shared" si="20"/>
        <v>0</v>
      </c>
      <c r="L64" s="1059">
        <f t="shared" si="21"/>
        <v>0</v>
      </c>
      <c r="M64" s="1051">
        <f>'[18]FY2012-13 Final'!K65</f>
        <v>2055</v>
      </c>
      <c r="N64" s="1053">
        <f t="shared" si="30"/>
        <v>0</v>
      </c>
      <c r="O64" s="1118">
        <f t="shared" si="22"/>
        <v>0</v>
      </c>
      <c r="P64" s="1053">
        <f t="shared" si="23"/>
        <v>0</v>
      </c>
      <c r="Q64" s="1053"/>
      <c r="R64" s="1053">
        <f t="shared" si="24"/>
        <v>0</v>
      </c>
      <c r="S64" s="1053">
        <f t="shared" si="25"/>
        <v>0</v>
      </c>
      <c r="T64" s="1054">
        <f t="shared" si="26"/>
        <v>0</v>
      </c>
      <c r="U64" s="1054">
        <f t="shared" si="27"/>
        <v>0</v>
      </c>
    </row>
    <row r="65" spans="1:21">
      <c r="A65" s="994">
        <v>59</v>
      </c>
      <c r="B65" s="995" t="s">
        <v>152</v>
      </c>
      <c r="C65" s="1002">
        <f>'[2]ALL-Reformatted'!M64</f>
        <v>0</v>
      </c>
      <c r="D65" s="1003">
        <f>'Table 3 Levels 1&amp;2'!BN67+'Table 3 Levels 1&amp;2'!BV67</f>
        <v>6252.2385330184643</v>
      </c>
      <c r="E65" s="1102">
        <f t="shared" si="28"/>
        <v>0</v>
      </c>
      <c r="F65" s="1102">
        <f t="shared" si="17"/>
        <v>0</v>
      </c>
      <c r="G65" s="1059">
        <f t="shared" si="29"/>
        <v>0</v>
      </c>
      <c r="H65" s="1112">
        <f t="shared" si="18"/>
        <v>0</v>
      </c>
      <c r="I65" s="1059">
        <f t="shared" si="19"/>
        <v>0</v>
      </c>
      <c r="J65" s="1059"/>
      <c r="K65" s="1059">
        <f t="shared" si="20"/>
        <v>0</v>
      </c>
      <c r="L65" s="1059">
        <f t="shared" si="21"/>
        <v>0</v>
      </c>
      <c r="M65" s="1051">
        <f>'[18]FY2012-13 Final'!K66</f>
        <v>1528</v>
      </c>
      <c r="N65" s="1053">
        <f t="shared" si="30"/>
        <v>0</v>
      </c>
      <c r="O65" s="1118">
        <f t="shared" si="22"/>
        <v>0</v>
      </c>
      <c r="P65" s="1053">
        <f t="shared" si="23"/>
        <v>0</v>
      </c>
      <c r="Q65" s="1053"/>
      <c r="R65" s="1053">
        <f t="shared" si="24"/>
        <v>0</v>
      </c>
      <c r="S65" s="1053">
        <f t="shared" si="25"/>
        <v>0</v>
      </c>
      <c r="T65" s="1054">
        <f t="shared" si="26"/>
        <v>0</v>
      </c>
      <c r="U65" s="1054">
        <f t="shared" si="27"/>
        <v>0</v>
      </c>
    </row>
    <row r="66" spans="1:21">
      <c r="A66" s="998">
        <v>60</v>
      </c>
      <c r="B66" s="999" t="s">
        <v>153</v>
      </c>
      <c r="C66" s="1004">
        <f>'[2]ALL-Reformatted'!M65</f>
        <v>0</v>
      </c>
      <c r="D66" s="1005">
        <f>'Table 3 Levels 1&amp;2'!BN68+'Table 3 Levels 1&amp;2'!BV68</f>
        <v>4902.6575100268701</v>
      </c>
      <c r="E66" s="1103">
        <f t="shared" si="28"/>
        <v>0</v>
      </c>
      <c r="F66" s="1103">
        <f t="shared" si="17"/>
        <v>0</v>
      </c>
      <c r="G66" s="1060">
        <f t="shared" si="29"/>
        <v>0</v>
      </c>
      <c r="H66" s="1113">
        <f t="shared" si="18"/>
        <v>0</v>
      </c>
      <c r="I66" s="1060">
        <f t="shared" si="19"/>
        <v>0</v>
      </c>
      <c r="J66" s="1060"/>
      <c r="K66" s="1060">
        <f t="shared" si="20"/>
        <v>0</v>
      </c>
      <c r="L66" s="1060">
        <f t="shared" si="21"/>
        <v>0</v>
      </c>
      <c r="M66" s="1056">
        <f>'[18]FY2012-13 Final'!K67</f>
        <v>3918</v>
      </c>
      <c r="N66" s="1057">
        <f t="shared" si="30"/>
        <v>0</v>
      </c>
      <c r="O66" s="1119">
        <f t="shared" si="22"/>
        <v>0</v>
      </c>
      <c r="P66" s="1057">
        <f t="shared" si="23"/>
        <v>0</v>
      </c>
      <c r="Q66" s="1057"/>
      <c r="R66" s="1057">
        <f t="shared" si="24"/>
        <v>0</v>
      </c>
      <c r="S66" s="1057">
        <f t="shared" si="25"/>
        <v>0</v>
      </c>
      <c r="T66" s="1058">
        <f t="shared" si="26"/>
        <v>0</v>
      </c>
      <c r="U66" s="1058">
        <f t="shared" si="27"/>
        <v>0</v>
      </c>
    </row>
    <row r="67" spans="1:21">
      <c r="A67" s="987">
        <v>61</v>
      </c>
      <c r="B67" s="988" t="s">
        <v>154</v>
      </c>
      <c r="C67" s="1006">
        <f>'[2]ALL-Reformatted'!M66</f>
        <v>0</v>
      </c>
      <c r="D67" s="1007">
        <f>'Table 3 Levels 1&amp;2'!BN69+'Table 3 Levels 1&amp;2'!BV69</f>
        <v>2872.7719101339244</v>
      </c>
      <c r="E67" s="1104">
        <f t="shared" si="28"/>
        <v>0</v>
      </c>
      <c r="F67" s="1104">
        <f t="shared" si="17"/>
        <v>0</v>
      </c>
      <c r="G67" s="1061">
        <f t="shared" si="29"/>
        <v>0</v>
      </c>
      <c r="H67" s="1114">
        <f t="shared" si="18"/>
        <v>0</v>
      </c>
      <c r="I67" s="1061">
        <f t="shared" si="19"/>
        <v>0</v>
      </c>
      <c r="J67" s="1061"/>
      <c r="K67" s="1061">
        <f t="shared" si="20"/>
        <v>0</v>
      </c>
      <c r="L67" s="1061">
        <f t="shared" si="21"/>
        <v>0</v>
      </c>
      <c r="M67" s="1051">
        <f>'[18]FY2012-13 Final'!K68</f>
        <v>6680</v>
      </c>
      <c r="N67" s="992">
        <f t="shared" si="30"/>
        <v>0</v>
      </c>
      <c r="O67" s="1117">
        <f t="shared" si="22"/>
        <v>0</v>
      </c>
      <c r="P67" s="992">
        <f t="shared" si="23"/>
        <v>0</v>
      </c>
      <c r="Q67" s="992"/>
      <c r="R67" s="992">
        <f t="shared" si="24"/>
        <v>0</v>
      </c>
      <c r="S67" s="992">
        <f t="shared" si="25"/>
        <v>0</v>
      </c>
      <c r="T67" s="993">
        <f t="shared" si="26"/>
        <v>0</v>
      </c>
      <c r="U67" s="993">
        <f t="shared" si="27"/>
        <v>0</v>
      </c>
    </row>
    <row r="68" spans="1:21">
      <c r="A68" s="994">
        <v>62</v>
      </c>
      <c r="B68" s="995" t="s">
        <v>155</v>
      </c>
      <c r="C68" s="1002">
        <f>'[2]ALL-Reformatted'!M67</f>
        <v>0</v>
      </c>
      <c r="D68" s="1003">
        <f>'Table 3 Levels 1&amp;2'!BN70+'Table 3 Levels 1&amp;2'!BV70</f>
        <v>5594.25143978908</v>
      </c>
      <c r="E68" s="1102">
        <f t="shared" si="28"/>
        <v>0</v>
      </c>
      <c r="F68" s="1102">
        <f t="shared" si="17"/>
        <v>0</v>
      </c>
      <c r="G68" s="1059">
        <f t="shared" si="29"/>
        <v>0</v>
      </c>
      <c r="H68" s="1112">
        <f t="shared" si="18"/>
        <v>0</v>
      </c>
      <c r="I68" s="1059">
        <f t="shared" si="19"/>
        <v>0</v>
      </c>
      <c r="J68" s="1059"/>
      <c r="K68" s="1059">
        <f t="shared" si="20"/>
        <v>0</v>
      </c>
      <c r="L68" s="1059">
        <f t="shared" si="21"/>
        <v>0</v>
      </c>
      <c r="M68" s="1051">
        <f>'[18]FY2012-13 Final'!K69</f>
        <v>1754</v>
      </c>
      <c r="N68" s="1053">
        <f t="shared" si="30"/>
        <v>0</v>
      </c>
      <c r="O68" s="1118">
        <f t="shared" si="22"/>
        <v>0</v>
      </c>
      <c r="P68" s="1053">
        <f t="shared" si="23"/>
        <v>0</v>
      </c>
      <c r="Q68" s="1053"/>
      <c r="R68" s="1053">
        <f t="shared" si="24"/>
        <v>0</v>
      </c>
      <c r="S68" s="1053">
        <f t="shared" si="25"/>
        <v>0</v>
      </c>
      <c r="T68" s="1054">
        <f t="shared" si="26"/>
        <v>0</v>
      </c>
      <c r="U68" s="1054">
        <f t="shared" si="27"/>
        <v>0</v>
      </c>
    </row>
    <row r="69" spans="1:21">
      <c r="A69" s="994">
        <v>63</v>
      </c>
      <c r="B69" s="995" t="s">
        <v>156</v>
      </c>
      <c r="C69" s="1002">
        <f>'[2]ALL-Reformatted'!M68</f>
        <v>0</v>
      </c>
      <c r="D69" s="1003">
        <f>'Table 3 Levels 1&amp;2'!BN71+'Table 3 Levels 1&amp;2'!BV71</f>
        <v>4318.8609300898834</v>
      </c>
      <c r="E69" s="1102">
        <f t="shared" si="28"/>
        <v>0</v>
      </c>
      <c r="F69" s="1102">
        <f t="shared" si="17"/>
        <v>0</v>
      </c>
      <c r="G69" s="1059">
        <f t="shared" si="29"/>
        <v>0</v>
      </c>
      <c r="H69" s="1112">
        <f t="shared" si="18"/>
        <v>0</v>
      </c>
      <c r="I69" s="1059">
        <f t="shared" si="19"/>
        <v>0</v>
      </c>
      <c r="J69" s="1059"/>
      <c r="K69" s="1059">
        <f t="shared" si="20"/>
        <v>0</v>
      </c>
      <c r="L69" s="1059">
        <f t="shared" si="21"/>
        <v>0</v>
      </c>
      <c r="M69" s="1051">
        <f>'[18]FY2012-13 Final'!K70</f>
        <v>7182</v>
      </c>
      <c r="N69" s="1053">
        <f t="shared" si="30"/>
        <v>0</v>
      </c>
      <c r="O69" s="1118">
        <f t="shared" si="22"/>
        <v>0</v>
      </c>
      <c r="P69" s="1053">
        <f t="shared" si="23"/>
        <v>0</v>
      </c>
      <c r="Q69" s="1053"/>
      <c r="R69" s="1053">
        <f t="shared" si="24"/>
        <v>0</v>
      </c>
      <c r="S69" s="1053">
        <f t="shared" si="25"/>
        <v>0</v>
      </c>
      <c r="T69" s="1054">
        <f t="shared" si="26"/>
        <v>0</v>
      </c>
      <c r="U69" s="1054">
        <f t="shared" si="27"/>
        <v>0</v>
      </c>
    </row>
    <row r="70" spans="1:21">
      <c r="A70" s="994">
        <v>64</v>
      </c>
      <c r="B70" s="995" t="s">
        <v>157</v>
      </c>
      <c r="C70" s="1002">
        <f>'[2]ALL-Reformatted'!M69</f>
        <v>0</v>
      </c>
      <c r="D70" s="1003">
        <f>'Table 3 Levels 1&amp;2'!BN72+'Table 3 Levels 1&amp;2'!BV72</f>
        <v>5921.7418933384488</v>
      </c>
      <c r="E70" s="1102">
        <f t="shared" si="28"/>
        <v>0</v>
      </c>
      <c r="F70" s="1102">
        <f t="shared" si="17"/>
        <v>0</v>
      </c>
      <c r="G70" s="1059">
        <f t="shared" si="29"/>
        <v>0</v>
      </c>
      <c r="H70" s="1112">
        <f t="shared" si="18"/>
        <v>0</v>
      </c>
      <c r="I70" s="1059">
        <f t="shared" si="19"/>
        <v>0</v>
      </c>
      <c r="J70" s="1059"/>
      <c r="K70" s="1059">
        <f t="shared" si="20"/>
        <v>0</v>
      </c>
      <c r="L70" s="1059">
        <f t="shared" si="21"/>
        <v>0</v>
      </c>
      <c r="M70" s="1051">
        <f>'[18]FY2012-13 Final'!K71</f>
        <v>2701</v>
      </c>
      <c r="N70" s="1053">
        <f t="shared" si="30"/>
        <v>0</v>
      </c>
      <c r="O70" s="1118">
        <f t="shared" si="22"/>
        <v>0</v>
      </c>
      <c r="P70" s="1053">
        <f t="shared" si="23"/>
        <v>0</v>
      </c>
      <c r="Q70" s="1053"/>
      <c r="R70" s="1053">
        <f t="shared" si="24"/>
        <v>0</v>
      </c>
      <c r="S70" s="1053">
        <f t="shared" si="25"/>
        <v>0</v>
      </c>
      <c r="T70" s="1054">
        <f t="shared" si="26"/>
        <v>0</v>
      </c>
      <c r="U70" s="1054">
        <f t="shared" si="27"/>
        <v>0</v>
      </c>
    </row>
    <row r="71" spans="1:21">
      <c r="A71" s="998">
        <v>65</v>
      </c>
      <c r="B71" s="999" t="s">
        <v>158</v>
      </c>
      <c r="C71" s="1004">
        <f>'[2]ALL-Reformatted'!M70</f>
        <v>0</v>
      </c>
      <c r="D71" s="1005">
        <f>'Table 3 Levels 1&amp;2'!BN73+'Table 3 Levels 1&amp;2'!BV73</f>
        <v>4578.9201269671275</v>
      </c>
      <c r="E71" s="1103">
        <f t="shared" ref="E71:E75" si="31">D71*C71</f>
        <v>0</v>
      </c>
      <c r="F71" s="1103">
        <f t="shared" si="17"/>
        <v>0</v>
      </c>
      <c r="G71" s="1060">
        <f t="shared" ref="G71:G75" si="32">E71+F71</f>
        <v>0</v>
      </c>
      <c r="H71" s="1113">
        <f t="shared" si="18"/>
        <v>0</v>
      </c>
      <c r="I71" s="1060">
        <f t="shared" si="19"/>
        <v>0</v>
      </c>
      <c r="J71" s="1060"/>
      <c r="K71" s="1060">
        <f t="shared" si="20"/>
        <v>0</v>
      </c>
      <c r="L71" s="1060">
        <f t="shared" si="21"/>
        <v>0</v>
      </c>
      <c r="M71" s="1056">
        <f>'[18]FY2012-13 Final'!K72</f>
        <v>4813</v>
      </c>
      <c r="N71" s="1057">
        <f t="shared" ref="N71:N75" si="33">M71*C71</f>
        <v>0</v>
      </c>
      <c r="O71" s="1119">
        <f t="shared" si="22"/>
        <v>0</v>
      </c>
      <c r="P71" s="1057">
        <f t="shared" si="23"/>
        <v>0</v>
      </c>
      <c r="Q71" s="1057"/>
      <c r="R71" s="1057">
        <f t="shared" si="24"/>
        <v>0</v>
      </c>
      <c r="S71" s="1057">
        <f t="shared" si="25"/>
        <v>0</v>
      </c>
      <c r="T71" s="1058">
        <f t="shared" si="26"/>
        <v>0</v>
      </c>
      <c r="U71" s="1058">
        <f t="shared" ref="U71:U75" si="34">L71+S71</f>
        <v>0</v>
      </c>
    </row>
    <row r="72" spans="1:21">
      <c r="A72" s="987">
        <v>66</v>
      </c>
      <c r="B72" s="988" t="s">
        <v>159</v>
      </c>
      <c r="C72" s="1006">
        <f>'[2]ALL-Reformatted'!M71</f>
        <v>0</v>
      </c>
      <c r="D72" s="1007">
        <f>'Table 3 Levels 1&amp;2'!BN74+'Table 3 Levels 1&amp;2'!BV74</f>
        <v>6340.8763293271122</v>
      </c>
      <c r="E72" s="1104">
        <f t="shared" si="31"/>
        <v>0</v>
      </c>
      <c r="F72" s="1104">
        <f t="shared" ref="F72:F75" si="35">C72*$F$4</f>
        <v>0</v>
      </c>
      <c r="G72" s="1061">
        <f t="shared" si="32"/>
        <v>0</v>
      </c>
      <c r="H72" s="1114">
        <f t="shared" ref="H72:H75" si="36">-G72*$H$4</f>
        <v>0</v>
      </c>
      <c r="I72" s="1061">
        <f t="shared" ref="I72:I75" si="37">SUM(G72:H72)</f>
        <v>0</v>
      </c>
      <c r="J72" s="1061"/>
      <c r="K72" s="1061">
        <f t="shared" ref="K72:K75" si="38">SUM(I72:J72)</f>
        <v>0</v>
      </c>
      <c r="L72" s="1061">
        <f t="shared" ref="L72:L75" si="39">ROUND(K72/12,0)</f>
        <v>0</v>
      </c>
      <c r="M72" s="1051">
        <f>'[18]FY2012-13 Final'!K73</f>
        <v>3516</v>
      </c>
      <c r="N72" s="992">
        <f t="shared" si="33"/>
        <v>0</v>
      </c>
      <c r="O72" s="1117">
        <f t="shared" ref="O72:O75" si="40">-N72*$O$4</f>
        <v>0</v>
      </c>
      <c r="P72" s="992">
        <f t="shared" ref="P72:P75" si="41">SUM(N72:O72)</f>
        <v>0</v>
      </c>
      <c r="Q72" s="992"/>
      <c r="R72" s="992">
        <f t="shared" ref="R72:R75" si="42">SUM(P72:Q72)</f>
        <v>0</v>
      </c>
      <c r="S72" s="992">
        <f t="shared" ref="S72:S75" si="43">ROUND(R72/12,0)</f>
        <v>0</v>
      </c>
      <c r="T72" s="993">
        <f t="shared" ref="T72:T75" si="44">K72+R72</f>
        <v>0</v>
      </c>
      <c r="U72" s="993">
        <f t="shared" si="34"/>
        <v>0</v>
      </c>
    </row>
    <row r="73" spans="1:21">
      <c r="A73" s="994">
        <v>67</v>
      </c>
      <c r="B73" s="995" t="s">
        <v>32</v>
      </c>
      <c r="C73" s="1002">
        <f>'[2]ALL-Reformatted'!M72</f>
        <v>0</v>
      </c>
      <c r="D73" s="1003">
        <f>'Table 3 Levels 1&amp;2'!BN75+'Table 3 Levels 1&amp;2'!BV75</f>
        <v>4984.1100297034172</v>
      </c>
      <c r="E73" s="1102">
        <f t="shared" si="31"/>
        <v>0</v>
      </c>
      <c r="F73" s="1102">
        <f t="shared" si="35"/>
        <v>0</v>
      </c>
      <c r="G73" s="1059">
        <f t="shared" si="32"/>
        <v>0</v>
      </c>
      <c r="H73" s="1112">
        <f t="shared" si="36"/>
        <v>0</v>
      </c>
      <c r="I73" s="1059">
        <f t="shared" si="37"/>
        <v>0</v>
      </c>
      <c r="J73" s="1059"/>
      <c r="K73" s="1059">
        <f t="shared" si="38"/>
        <v>0</v>
      </c>
      <c r="L73" s="1059">
        <f t="shared" si="39"/>
        <v>0</v>
      </c>
      <c r="M73" s="1051">
        <f>'[18]FY2012-13 Final'!K74</f>
        <v>5052</v>
      </c>
      <c r="N73" s="1053">
        <f t="shared" si="33"/>
        <v>0</v>
      </c>
      <c r="O73" s="1118">
        <f t="shared" si="40"/>
        <v>0</v>
      </c>
      <c r="P73" s="1053">
        <f t="shared" si="41"/>
        <v>0</v>
      </c>
      <c r="Q73" s="1053"/>
      <c r="R73" s="1053">
        <f t="shared" si="42"/>
        <v>0</v>
      </c>
      <c r="S73" s="1053">
        <f t="shared" si="43"/>
        <v>0</v>
      </c>
      <c r="T73" s="1054">
        <f t="shared" si="44"/>
        <v>0</v>
      </c>
      <c r="U73" s="1054">
        <f t="shared" si="34"/>
        <v>0</v>
      </c>
    </row>
    <row r="74" spans="1:21">
      <c r="A74" s="994">
        <v>68</v>
      </c>
      <c r="B74" s="995" t="s">
        <v>30</v>
      </c>
      <c r="C74" s="1002">
        <f>'[2]ALL-Reformatted'!M73</f>
        <v>0</v>
      </c>
      <c r="D74" s="1003">
        <f>'Table 3 Levels 1&amp;2'!BN76+'Table 3 Levels 1&amp;2'!BV76</f>
        <v>6012.7854305239725</v>
      </c>
      <c r="E74" s="1102">
        <f t="shared" si="31"/>
        <v>0</v>
      </c>
      <c r="F74" s="1102">
        <f t="shared" si="35"/>
        <v>0</v>
      </c>
      <c r="G74" s="1059">
        <f t="shared" si="32"/>
        <v>0</v>
      </c>
      <c r="H74" s="1112">
        <f t="shared" si="36"/>
        <v>0</v>
      </c>
      <c r="I74" s="1059">
        <f t="shared" si="37"/>
        <v>0</v>
      </c>
      <c r="J74" s="1059"/>
      <c r="K74" s="1059">
        <f t="shared" si="38"/>
        <v>0</v>
      </c>
      <c r="L74" s="1059">
        <f t="shared" si="39"/>
        <v>0</v>
      </c>
      <c r="M74" s="1051">
        <f>'[18]FY2012-13 Final'!K75</f>
        <v>2763</v>
      </c>
      <c r="N74" s="1053">
        <f t="shared" si="33"/>
        <v>0</v>
      </c>
      <c r="O74" s="1118">
        <f t="shared" si="40"/>
        <v>0</v>
      </c>
      <c r="P74" s="1053">
        <f t="shared" si="41"/>
        <v>0</v>
      </c>
      <c r="Q74" s="1053"/>
      <c r="R74" s="1053">
        <f t="shared" si="42"/>
        <v>0</v>
      </c>
      <c r="S74" s="1053">
        <f t="shared" si="43"/>
        <v>0</v>
      </c>
      <c r="T74" s="1054">
        <f t="shared" si="44"/>
        <v>0</v>
      </c>
      <c r="U74" s="1054">
        <f t="shared" si="34"/>
        <v>0</v>
      </c>
    </row>
    <row r="75" spans="1:21">
      <c r="A75" s="1008">
        <v>69</v>
      </c>
      <c r="B75" s="1009" t="s">
        <v>213</v>
      </c>
      <c r="C75" s="1010">
        <f>'[2]ALL-Reformatted'!M74</f>
        <v>0</v>
      </c>
      <c r="D75" s="1011">
        <f>'Table 3 Levels 1&amp;2'!BN77+'Table 3 Levels 1&amp;2'!BV77</f>
        <v>5559.7139008686299</v>
      </c>
      <c r="E75" s="1105">
        <f t="shared" si="31"/>
        <v>0</v>
      </c>
      <c r="F75" s="1105">
        <f t="shared" si="35"/>
        <v>0</v>
      </c>
      <c r="G75" s="1062">
        <f t="shared" si="32"/>
        <v>0</v>
      </c>
      <c r="H75" s="1115">
        <f t="shared" si="36"/>
        <v>0</v>
      </c>
      <c r="I75" s="1062">
        <f t="shared" si="37"/>
        <v>0</v>
      </c>
      <c r="J75" s="1062"/>
      <c r="K75" s="1062">
        <f t="shared" si="38"/>
        <v>0</v>
      </c>
      <c r="L75" s="1062">
        <f t="shared" si="39"/>
        <v>0</v>
      </c>
      <c r="M75" s="1051">
        <f>'[18]FY2012-13 Final'!K76</f>
        <v>3327</v>
      </c>
      <c r="N75" s="1063">
        <f t="shared" si="33"/>
        <v>0</v>
      </c>
      <c r="O75" s="1120">
        <f t="shared" si="40"/>
        <v>0</v>
      </c>
      <c r="P75" s="1063">
        <f t="shared" si="41"/>
        <v>0</v>
      </c>
      <c r="Q75" s="1063"/>
      <c r="R75" s="1063">
        <f t="shared" si="42"/>
        <v>0</v>
      </c>
      <c r="S75" s="1063">
        <f t="shared" si="43"/>
        <v>0</v>
      </c>
      <c r="T75" s="1064">
        <f t="shared" si="44"/>
        <v>0</v>
      </c>
      <c r="U75" s="1064">
        <f t="shared" si="34"/>
        <v>0</v>
      </c>
    </row>
    <row r="76" spans="1:21" s="1019" customFormat="1" ht="13.5" thickBot="1">
      <c r="A76" s="1012"/>
      <c r="B76" s="1013" t="s">
        <v>160</v>
      </c>
      <c r="C76" s="1014">
        <f>SUM(C7:C75)</f>
        <v>458</v>
      </c>
      <c r="D76" s="1015"/>
      <c r="E76" s="1106">
        <f>SUM(E7:E75)</f>
        <v>1639761.9329644116</v>
      </c>
      <c r="F76" s="1106">
        <f>SUM(F7:F75)</f>
        <v>323240.08746753249</v>
      </c>
      <c r="G76" s="1016">
        <f>SUM(G7:G75)</f>
        <v>1963002.0204319439</v>
      </c>
      <c r="H76" s="1116">
        <f t="shared" ref="H76:J76" si="45">SUM(H7:H75)</f>
        <v>-4907.5050510798601</v>
      </c>
      <c r="I76" s="1016">
        <f t="shared" si="45"/>
        <v>1958094.515380864</v>
      </c>
      <c r="J76" s="1016">
        <f t="shared" si="45"/>
        <v>0</v>
      </c>
      <c r="K76" s="1016">
        <f>SUM(K7:K75)</f>
        <v>1958094.515380864</v>
      </c>
      <c r="L76" s="1016">
        <f>SUM(L7:L75)</f>
        <v>163175</v>
      </c>
      <c r="M76" s="1065"/>
      <c r="N76" s="1017">
        <f>SUM(N7:N75)</f>
        <v>2165149</v>
      </c>
      <c r="O76" s="1121">
        <f t="shared" ref="O76" si="46">SUM(O7:O75)</f>
        <v>-5412.8725000000004</v>
      </c>
      <c r="P76" s="1017">
        <f t="shared" ref="P76:U76" si="47">SUM(P7:P75)</f>
        <v>2159736.1274999999</v>
      </c>
      <c r="Q76" s="1017">
        <f t="shared" si="47"/>
        <v>0</v>
      </c>
      <c r="R76" s="1017">
        <f t="shared" si="47"/>
        <v>2159736.1274999999</v>
      </c>
      <c r="S76" s="1017">
        <f t="shared" si="47"/>
        <v>179979</v>
      </c>
      <c r="T76" s="1018">
        <f t="shared" si="47"/>
        <v>4117830.642880864</v>
      </c>
      <c r="U76" s="1018">
        <f t="shared" si="47"/>
        <v>343154</v>
      </c>
    </row>
    <row r="77" spans="1:21" s="1019" customFormat="1" ht="13.5" thickTop="1">
      <c r="A77" s="1020"/>
      <c r="B77" s="1020"/>
      <c r="C77" s="1021"/>
      <c r="D77" s="1021"/>
      <c r="M77" s="1023"/>
      <c r="N77" s="1023"/>
      <c r="O77" s="1023"/>
      <c r="P77" s="1023"/>
      <c r="Q77" s="1023"/>
      <c r="R77" s="1023"/>
      <c r="S77" s="1023"/>
    </row>
    <row r="78" spans="1:21" ht="12.75" customHeight="1">
      <c r="A78" s="1025"/>
      <c r="C78" s="1026"/>
    </row>
    <row r="79" spans="1:21" ht="12.75" hidden="1" customHeight="1"/>
    <row r="80" spans="1:21" hidden="1"/>
    <row r="81" spans="3:12" hidden="1"/>
    <row r="82" spans="3:12" hidden="1"/>
    <row r="83" spans="3:12" hidden="1">
      <c r="E83" s="1027" t="s">
        <v>373</v>
      </c>
      <c r="F83" s="1027"/>
      <c r="G83" s="1027"/>
      <c r="H83" s="1027"/>
      <c r="I83" s="1027"/>
      <c r="J83" s="1027"/>
      <c r="K83" s="1027"/>
      <c r="L83" s="1027"/>
    </row>
    <row r="84" spans="3:12" ht="10.5" hidden="1" customHeight="1"/>
    <row r="85" spans="3:12" hidden="1"/>
    <row r="86" spans="3:12" hidden="1">
      <c r="C86" s="1029">
        <v>85661</v>
      </c>
      <c r="D86" s="1030" t="s">
        <v>374</v>
      </c>
    </row>
    <row r="87" spans="3:12" hidden="1">
      <c r="C87" s="1029">
        <v>650290</v>
      </c>
      <c r="D87" s="1030" t="s">
        <v>375</v>
      </c>
    </row>
    <row r="88" spans="3:12" hidden="1">
      <c r="C88" s="1031">
        <f>C86/C87</f>
        <v>0.13172738316750987</v>
      </c>
      <c r="D88" s="1030" t="s">
        <v>376</v>
      </c>
    </row>
    <row r="89" spans="3:12" hidden="1">
      <c r="C89" s="1029"/>
      <c r="D89" s="1030"/>
    </row>
    <row r="90" spans="3:12" hidden="1">
      <c r="C90" s="1029">
        <v>128510</v>
      </c>
      <c r="D90" s="1030" t="s">
        <v>377</v>
      </c>
    </row>
    <row r="91" spans="3:12" hidden="1">
      <c r="C91" s="1029">
        <v>911320</v>
      </c>
      <c r="D91" s="1030" t="s">
        <v>378</v>
      </c>
    </row>
    <row r="92" spans="3:12" hidden="1">
      <c r="C92" s="1031">
        <f>C90/C91</f>
        <v>0.14101523065443533</v>
      </c>
      <c r="D92" s="1030" t="s">
        <v>379</v>
      </c>
    </row>
    <row r="93" spans="3:12" hidden="1">
      <c r="C93" s="1029"/>
      <c r="D93" s="1030"/>
    </row>
    <row r="94" spans="3:12" hidden="1">
      <c r="C94" s="1032">
        <v>2663489616</v>
      </c>
      <c r="D94" s="1033" t="s">
        <v>380</v>
      </c>
    </row>
    <row r="95" spans="3:12" hidden="1">
      <c r="C95" s="1034">
        <f>C92</f>
        <v>0.14101523065443533</v>
      </c>
      <c r="D95" s="1033"/>
    </row>
    <row r="96" spans="3:12" hidden="1">
      <c r="C96" s="1035">
        <f>C94*C95</f>
        <v>375592602.54593337</v>
      </c>
      <c r="D96" s="1030" t="s">
        <v>381</v>
      </c>
    </row>
    <row r="97" spans="3:4" hidden="1">
      <c r="C97" s="1036">
        <f>50%/C92</f>
        <v>3.5457162866702978</v>
      </c>
      <c r="D97" s="1033" t="s">
        <v>382</v>
      </c>
    </row>
    <row r="98" spans="3:4" hidden="1">
      <c r="C98" s="1035">
        <f>C96*C97</f>
        <v>1331744808</v>
      </c>
      <c r="D98" s="1037" t="s">
        <v>383</v>
      </c>
    </row>
    <row r="99" spans="3:4" hidden="1">
      <c r="C99" s="1038">
        <f>C87</f>
        <v>650290</v>
      </c>
      <c r="D99" s="1033" t="s">
        <v>384</v>
      </c>
    </row>
    <row r="100" spans="3:4" hidden="1">
      <c r="C100" s="1035">
        <f>C98/C99</f>
        <v>2047.9244767719017</v>
      </c>
      <c r="D100" s="1033" t="s">
        <v>385</v>
      </c>
    </row>
    <row r="101" spans="3:4" hidden="1">
      <c r="C101" s="1039">
        <f>(C96/C99)*-1</f>
        <v>-577.57708490970697</v>
      </c>
      <c r="D101" s="1033" t="s">
        <v>386</v>
      </c>
    </row>
    <row r="102" spans="3:4" hidden="1">
      <c r="C102" s="1040">
        <f>SUM(C100:C101)</f>
        <v>1470.3473918621949</v>
      </c>
      <c r="D102" s="1033" t="s">
        <v>387</v>
      </c>
    </row>
    <row r="103" spans="3:4" hidden="1">
      <c r="C103" s="1040"/>
      <c r="D103" s="1033"/>
    </row>
    <row r="104" spans="3:4" hidden="1">
      <c r="C104" s="1040"/>
      <c r="D104" s="1033"/>
    </row>
    <row r="105" spans="3:4" hidden="1">
      <c r="D105" s="1033"/>
    </row>
    <row r="106" spans="3:4" hidden="1"/>
  </sheetData>
  <mergeCells count="18">
    <mergeCell ref="A2:B4"/>
    <mergeCell ref="C2:L2"/>
    <mergeCell ref="M2:S2"/>
    <mergeCell ref="T2:T4"/>
    <mergeCell ref="G3:G4"/>
    <mergeCell ref="N3:N4"/>
    <mergeCell ref="S3:S4"/>
    <mergeCell ref="I3:I4"/>
    <mergeCell ref="U2:U4"/>
    <mergeCell ref="C3:C4"/>
    <mergeCell ref="D3:D4"/>
    <mergeCell ref="E3:E4"/>
    <mergeCell ref="L3:L4"/>
    <mergeCell ref="M3:M4"/>
    <mergeCell ref="J3:J4"/>
    <mergeCell ref="K3:K4"/>
    <mergeCell ref="Q3:Q4"/>
    <mergeCell ref="R3:R4"/>
  </mergeCells>
  <printOptions horizontalCentered="1"/>
  <pageMargins left="0.27" right="0.25" top="0.87" bottom="0.2" header="0.25" footer="0.2"/>
  <pageSetup paperSize="5" scale="61" firstPageNumber="107" fitToWidth="3" orientation="portrait" useFirstPageNumber="1" r:id="rId1"/>
  <headerFooter alignWithMargins="0">
    <oddHeader xml:space="preserve">&amp;L&amp;"Arial,Bold"&amp;16Table 5D-6:  FY2013-14 MFP Budget Letter (Projection)&amp;"Arial,Regular"&amp;10
&amp;"Arial,Bold"&amp;14Legacy Type 2 Charters &amp;R&amp;"Arial,Bold"&amp;12&amp;KFF0000
</oddHeader>
    <oddFooter>&amp;R&amp;P</oddFooter>
  </headerFooter>
  <colBreaks count="1" manualBreakCount="1">
    <brk id="12" min="1" max="78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U107"/>
  <sheetViews>
    <sheetView view="pageBreakPreview" zoomScaleNormal="85" zoomScaleSheetLayoutView="100" workbookViewId="0">
      <pane xSplit="2" ySplit="6" topLeftCell="C7" activePane="bottomRight" state="frozen"/>
      <selection activeCell="A2" sqref="A2:B4"/>
      <selection pane="topRight" activeCell="A2" sqref="A2:B4"/>
      <selection pane="bottomLeft" activeCell="A2" sqref="A2:B4"/>
      <selection pane="bottomRight" activeCell="A2" sqref="A2:B4"/>
    </sheetView>
  </sheetViews>
  <sheetFormatPr defaultColWidth="12.5703125" defaultRowHeight="12.75"/>
  <cols>
    <col min="1" max="1" width="3.85546875" style="971" customWidth="1"/>
    <col min="2" max="2" width="23.7109375" style="971" customWidth="1"/>
    <col min="3" max="3" width="11.85546875" style="974" customWidth="1"/>
    <col min="4" max="4" width="15.28515625" style="974" customWidth="1"/>
    <col min="5" max="5" width="11" style="974" customWidth="1"/>
    <col min="6" max="6" width="12.5703125" style="974" bestFit="1" customWidth="1"/>
    <col min="7" max="7" width="11.85546875" style="974" customWidth="1"/>
    <col min="8" max="8" width="11" style="974" customWidth="1"/>
    <col min="9" max="9" width="11.7109375" style="974" customWidth="1"/>
    <col min="10" max="10" width="13.5703125" style="974" customWidth="1"/>
    <col min="11" max="11" width="11.7109375" style="974" customWidth="1"/>
    <col min="12" max="12" width="9.42578125" style="974" bestFit="1" customWidth="1"/>
    <col min="13" max="13" width="17.7109375" style="1049" customWidth="1"/>
    <col min="14" max="14" width="13.7109375" style="974" bestFit="1" customWidth="1"/>
    <col min="15" max="16" width="13.7109375" style="974" customWidth="1"/>
    <col min="17" max="17" width="13.7109375" style="974" bestFit="1" customWidth="1"/>
    <col min="18" max="18" width="13.7109375" style="974" customWidth="1"/>
    <col min="19" max="19" width="10.85546875" style="974" bestFit="1" customWidth="1"/>
    <col min="20" max="21" width="12.5703125" style="971" customWidth="1"/>
    <col min="22" max="16384" width="12.5703125" style="971"/>
  </cols>
  <sheetData>
    <row r="1" spans="1:21" ht="9" customHeight="1">
      <c r="B1" s="972"/>
      <c r="C1" s="973"/>
      <c r="D1" s="973"/>
    </row>
    <row r="2" spans="1:21" s="976" customFormat="1" ht="37.5" customHeight="1">
      <c r="A2" s="2000" t="s">
        <v>491</v>
      </c>
      <c r="B2" s="2001"/>
      <c r="C2" s="2065" t="s">
        <v>483</v>
      </c>
      <c r="D2" s="2017"/>
      <c r="E2" s="2017"/>
      <c r="F2" s="2017"/>
      <c r="G2" s="2017"/>
      <c r="H2" s="2017"/>
      <c r="I2" s="2017"/>
      <c r="J2" s="2017"/>
      <c r="K2" s="2017"/>
      <c r="L2" s="2018"/>
      <c r="M2" s="1992" t="s">
        <v>1357</v>
      </c>
      <c r="N2" s="1993"/>
      <c r="O2" s="1993"/>
      <c r="P2" s="1993"/>
      <c r="Q2" s="1993"/>
      <c r="R2" s="1993"/>
      <c r="S2" s="1994"/>
      <c r="T2" s="1995" t="s">
        <v>1412</v>
      </c>
      <c r="U2" s="1995" t="s">
        <v>1355</v>
      </c>
    </row>
    <row r="3" spans="1:21" ht="99.75" customHeight="1">
      <c r="A3" s="2002"/>
      <c r="B3" s="2003"/>
      <c r="C3" s="2109" t="s">
        <v>1178</v>
      </c>
      <c r="D3" s="2008" t="s">
        <v>1393</v>
      </c>
      <c r="E3" s="2008" t="s">
        <v>1377</v>
      </c>
      <c r="F3" s="977" t="s">
        <v>492</v>
      </c>
      <c r="G3" s="2006" t="s">
        <v>1378</v>
      </c>
      <c r="H3" s="1096" t="s">
        <v>510</v>
      </c>
      <c r="I3" s="2006" t="s">
        <v>1379</v>
      </c>
      <c r="J3" s="2006" t="s">
        <v>1230</v>
      </c>
      <c r="K3" s="2006" t="s">
        <v>1380</v>
      </c>
      <c r="L3" s="2008" t="s">
        <v>1356</v>
      </c>
      <c r="M3" s="2009" t="s">
        <v>692</v>
      </c>
      <c r="N3" s="2019" t="s">
        <v>1382</v>
      </c>
      <c r="O3" s="1098" t="s">
        <v>512</v>
      </c>
      <c r="P3" s="1743" t="s">
        <v>1383</v>
      </c>
      <c r="Q3" s="2019" t="s">
        <v>1230</v>
      </c>
      <c r="R3" s="2019" t="s">
        <v>1384</v>
      </c>
      <c r="S3" s="2019" t="s">
        <v>1385</v>
      </c>
      <c r="T3" s="1996"/>
      <c r="U3" s="1996"/>
    </row>
    <row r="4" spans="1:21" ht="38.25" customHeight="1">
      <c r="A4" s="2004"/>
      <c r="B4" s="2005"/>
      <c r="C4" s="2110"/>
      <c r="D4" s="2008"/>
      <c r="E4" s="2008"/>
      <c r="F4" s="1067">
        <v>659.21180998497243</v>
      </c>
      <c r="G4" s="2007"/>
      <c r="H4" s="1107">
        <v>2.5000000000000001E-3</v>
      </c>
      <c r="I4" s="2007"/>
      <c r="J4" s="2007"/>
      <c r="K4" s="2007"/>
      <c r="L4" s="2008"/>
      <c r="M4" s="2010"/>
      <c r="N4" s="1999"/>
      <c r="O4" s="1108">
        <v>2.5000000000000001E-3</v>
      </c>
      <c r="P4" s="1097"/>
      <c r="Q4" s="1999"/>
      <c r="R4" s="1999"/>
      <c r="S4" s="1999"/>
      <c r="T4" s="1997"/>
      <c r="U4" s="1997"/>
    </row>
    <row r="5" spans="1:21" s="981" customFormat="1" ht="14.25" customHeight="1">
      <c r="A5" s="978"/>
      <c r="B5" s="979"/>
      <c r="C5" s="980">
        <v>1</v>
      </c>
      <c r="D5" s="980">
        <f t="shared" ref="D5:N5" si="0">C5+1</f>
        <v>2</v>
      </c>
      <c r="E5" s="980">
        <f>D5+1</f>
        <v>3</v>
      </c>
      <c r="F5" s="980">
        <f t="shared" ref="F5:G5" si="1">E5+1</f>
        <v>4</v>
      </c>
      <c r="G5" s="980">
        <f t="shared" si="1"/>
        <v>5</v>
      </c>
      <c r="H5" s="980">
        <f t="shared" ref="H5" si="2">G5+1</f>
        <v>6</v>
      </c>
      <c r="I5" s="980">
        <f t="shared" ref="I5" si="3">H5+1</f>
        <v>7</v>
      </c>
      <c r="J5" s="980">
        <f t="shared" ref="J5" si="4">I5+1</f>
        <v>8</v>
      </c>
      <c r="K5" s="980">
        <f t="shared" ref="K5" si="5">J5+1</f>
        <v>9</v>
      </c>
      <c r="L5" s="980">
        <f t="shared" ref="L5" si="6">K5+1</f>
        <v>10</v>
      </c>
      <c r="M5" s="980">
        <f t="shared" si="0"/>
        <v>11</v>
      </c>
      <c r="N5" s="980">
        <f t="shared" si="0"/>
        <v>12</v>
      </c>
      <c r="O5" s="980">
        <f t="shared" ref="O5" si="7">N5+1</f>
        <v>13</v>
      </c>
      <c r="P5" s="980">
        <f t="shared" ref="P5" si="8">O5+1</f>
        <v>14</v>
      </c>
      <c r="Q5" s="980">
        <f t="shared" ref="Q5" si="9">P5+1</f>
        <v>15</v>
      </c>
      <c r="R5" s="980">
        <f t="shared" ref="R5" si="10">Q5+1</f>
        <v>16</v>
      </c>
      <c r="S5" s="980">
        <f t="shared" ref="S5" si="11">R5+1</f>
        <v>17</v>
      </c>
      <c r="T5" s="980">
        <f t="shared" ref="T5" si="12">S5+1</f>
        <v>18</v>
      </c>
      <c r="U5" s="980">
        <f t="shared" ref="U5" si="13">T5+1</f>
        <v>19</v>
      </c>
    </row>
    <row r="6" spans="1:21" s="986" customFormat="1" ht="27" customHeight="1">
      <c r="A6" s="982"/>
      <c r="B6" s="983"/>
      <c r="C6" s="984" t="s">
        <v>441</v>
      </c>
      <c r="D6" s="985" t="s">
        <v>363</v>
      </c>
      <c r="E6" s="984" t="s">
        <v>532</v>
      </c>
      <c r="F6" s="985" t="s">
        <v>494</v>
      </c>
      <c r="G6" s="984" t="s">
        <v>493</v>
      </c>
      <c r="H6" s="984" t="s">
        <v>511</v>
      </c>
      <c r="I6" s="984" t="s">
        <v>513</v>
      </c>
      <c r="J6" s="984"/>
      <c r="K6" s="984" t="s">
        <v>642</v>
      </c>
      <c r="L6" s="984" t="s">
        <v>537</v>
      </c>
      <c r="M6" s="1050" t="s">
        <v>363</v>
      </c>
      <c r="N6" s="1044" t="s">
        <v>538</v>
      </c>
      <c r="O6" s="1044" t="s">
        <v>643</v>
      </c>
      <c r="P6" s="1044" t="s">
        <v>640</v>
      </c>
      <c r="Q6" s="985"/>
      <c r="R6" s="1044" t="s">
        <v>641</v>
      </c>
      <c r="S6" s="1044" t="s">
        <v>540</v>
      </c>
      <c r="T6" s="1044" t="s">
        <v>541</v>
      </c>
      <c r="U6" s="1044" t="s">
        <v>542</v>
      </c>
    </row>
    <row r="7" spans="1:21">
      <c r="A7" s="987">
        <v>1</v>
      </c>
      <c r="B7" s="988" t="s">
        <v>95</v>
      </c>
      <c r="C7" s="989">
        <f>'[2]ALL-Reformatted'!N6</f>
        <v>0</v>
      </c>
      <c r="D7" s="990">
        <f>'Table 3 Levels 1&amp;2'!BN9+'Table 3 Levels 1&amp;2'!BV9</f>
        <v>4565.2108060165392</v>
      </c>
      <c r="E7" s="1099">
        <f t="shared" ref="E7:E38" si="14">D7*C7</f>
        <v>0</v>
      </c>
      <c r="F7" s="1099">
        <f>C7*$F$4</f>
        <v>0</v>
      </c>
      <c r="G7" s="991">
        <f t="shared" ref="G7:G38" si="15">E7+F7</f>
        <v>0</v>
      </c>
      <c r="H7" s="1109">
        <f>-G7*$H$4</f>
        <v>0</v>
      </c>
      <c r="I7" s="991">
        <f>SUM(G7:H7)</f>
        <v>0</v>
      </c>
      <c r="J7" s="991"/>
      <c r="K7" s="991">
        <f>SUM(I7:J7)</f>
        <v>0</v>
      </c>
      <c r="L7" s="991">
        <f>ROUND(K7/12,0)</f>
        <v>0</v>
      </c>
      <c r="M7" s="1051">
        <f>'[18]FY2012-13 Final'!K8</f>
        <v>2112</v>
      </c>
      <c r="N7" s="992">
        <f t="shared" ref="N7:N38" si="16">M7*C7</f>
        <v>0</v>
      </c>
      <c r="O7" s="1117">
        <f>-N7*$O$4</f>
        <v>0</v>
      </c>
      <c r="P7" s="992">
        <f>SUM(N7:O7)</f>
        <v>0</v>
      </c>
      <c r="Q7" s="992"/>
      <c r="R7" s="992">
        <f>SUM(P7:Q7)</f>
        <v>0</v>
      </c>
      <c r="S7" s="992">
        <f>ROUND(R7/12,0)</f>
        <v>0</v>
      </c>
      <c r="T7" s="993">
        <f>K7+R7</f>
        <v>0</v>
      </c>
      <c r="U7" s="993">
        <f>L7+S7</f>
        <v>0</v>
      </c>
    </row>
    <row r="8" spans="1:21">
      <c r="A8" s="994">
        <v>2</v>
      </c>
      <c r="B8" s="995" t="s">
        <v>96</v>
      </c>
      <c r="C8" s="996">
        <f>'[2]ALL-Reformatted'!N7</f>
        <v>0</v>
      </c>
      <c r="D8" s="997">
        <f>'Table 3 Levels 1&amp;2'!BN10+'Table 3 Levels 1&amp;2'!BV10</f>
        <v>6132.0480322513831</v>
      </c>
      <c r="E8" s="1100">
        <f t="shared" si="14"/>
        <v>0</v>
      </c>
      <c r="F8" s="1100">
        <f t="shared" ref="F8:F71" si="17">C8*$F$4</f>
        <v>0</v>
      </c>
      <c r="G8" s="1052">
        <f t="shared" si="15"/>
        <v>0</v>
      </c>
      <c r="H8" s="1110">
        <f t="shared" ref="H8:H71" si="18">-G8*$H$4</f>
        <v>0</v>
      </c>
      <c r="I8" s="1052">
        <f t="shared" ref="I8:I71" si="19">SUM(G8:H8)</f>
        <v>0</v>
      </c>
      <c r="J8" s="1052"/>
      <c r="K8" s="1052">
        <f t="shared" ref="K8:K71" si="20">SUM(I8:J8)</f>
        <v>0</v>
      </c>
      <c r="L8" s="1052">
        <f t="shared" ref="L8:L71" si="21">ROUND(K8/12,0)</f>
        <v>0</v>
      </c>
      <c r="M8" s="1051">
        <f>'[18]FY2012-13 Final'!K9</f>
        <v>2584</v>
      </c>
      <c r="N8" s="1053">
        <f t="shared" si="16"/>
        <v>0</v>
      </c>
      <c r="O8" s="1118">
        <f t="shared" ref="O8:O71" si="22">-N8*$O$4</f>
        <v>0</v>
      </c>
      <c r="P8" s="1053">
        <f t="shared" ref="P8:P71" si="23">SUM(N8:O8)</f>
        <v>0</v>
      </c>
      <c r="Q8" s="1053"/>
      <c r="R8" s="1053">
        <f t="shared" ref="R8:R71" si="24">SUM(P8:Q8)</f>
        <v>0</v>
      </c>
      <c r="S8" s="1053">
        <f t="shared" ref="S8:S71" si="25">ROUND(R8/12,0)</f>
        <v>0</v>
      </c>
      <c r="T8" s="1054">
        <f t="shared" ref="T8:T71" si="26">K8+R8</f>
        <v>0</v>
      </c>
      <c r="U8" s="1054">
        <f t="shared" ref="U8:U70" si="27">L8+S8</f>
        <v>0</v>
      </c>
    </row>
    <row r="9" spans="1:21" ht="12.75" customHeight="1">
      <c r="A9" s="994">
        <v>3</v>
      </c>
      <c r="B9" s="995" t="s">
        <v>97</v>
      </c>
      <c r="C9" s="996">
        <f>'[2]ALL-Reformatted'!N8</f>
        <v>1</v>
      </c>
      <c r="D9" s="997">
        <f>'Table 3 Levels 1&amp;2'!BN11+'Table 3 Levels 1&amp;2'!BV11</f>
        <v>4186.9626187036429</v>
      </c>
      <c r="E9" s="1100">
        <f t="shared" si="14"/>
        <v>4186.9626187036429</v>
      </c>
      <c r="F9" s="1100">
        <f t="shared" si="17"/>
        <v>659.21180998497243</v>
      </c>
      <c r="G9" s="1052">
        <f t="shared" si="15"/>
        <v>4846.1744286886151</v>
      </c>
      <c r="H9" s="1110">
        <f t="shared" si="18"/>
        <v>-12.115436071721538</v>
      </c>
      <c r="I9" s="1052">
        <f t="shared" si="19"/>
        <v>4834.0589926168932</v>
      </c>
      <c r="J9" s="1052"/>
      <c r="K9" s="1052">
        <f t="shared" si="20"/>
        <v>4834.0589926168932</v>
      </c>
      <c r="L9" s="1052">
        <f t="shared" si="21"/>
        <v>403</v>
      </c>
      <c r="M9" s="1051">
        <f>'[18]FY2012-13 Final'!K10</f>
        <v>4966</v>
      </c>
      <c r="N9" s="1053">
        <f t="shared" si="16"/>
        <v>4966</v>
      </c>
      <c r="O9" s="1118">
        <f t="shared" si="22"/>
        <v>-12.415000000000001</v>
      </c>
      <c r="P9" s="1053">
        <f t="shared" si="23"/>
        <v>4953.585</v>
      </c>
      <c r="Q9" s="1053"/>
      <c r="R9" s="1053">
        <f t="shared" si="24"/>
        <v>4953.585</v>
      </c>
      <c r="S9" s="1053">
        <f t="shared" si="25"/>
        <v>413</v>
      </c>
      <c r="T9" s="1054">
        <f t="shared" si="26"/>
        <v>9787.6439926168932</v>
      </c>
      <c r="U9" s="1054">
        <f t="shared" si="27"/>
        <v>816</v>
      </c>
    </row>
    <row r="10" spans="1:21" ht="12.75" customHeight="1">
      <c r="A10" s="994">
        <v>4</v>
      </c>
      <c r="B10" s="995" t="s">
        <v>98</v>
      </c>
      <c r="C10" s="996">
        <f>'[2]ALL-Reformatted'!N9</f>
        <v>2</v>
      </c>
      <c r="D10" s="997">
        <f>'Table 3 Levels 1&amp;2'!BN12+'Table 3 Levels 1&amp;2'!BV12</f>
        <v>5918.8798759182582</v>
      </c>
      <c r="E10" s="1100">
        <f t="shared" si="14"/>
        <v>11837.759751836516</v>
      </c>
      <c r="F10" s="1100">
        <f t="shared" si="17"/>
        <v>1318.4236199699449</v>
      </c>
      <c r="G10" s="1052">
        <f t="shared" si="15"/>
        <v>13156.183371806461</v>
      </c>
      <c r="H10" s="1110">
        <f t="shared" si="18"/>
        <v>-32.890458429516151</v>
      </c>
      <c r="I10" s="1052">
        <f t="shared" si="19"/>
        <v>13123.292913376945</v>
      </c>
      <c r="J10" s="1052"/>
      <c r="K10" s="1052">
        <f t="shared" si="20"/>
        <v>13123.292913376945</v>
      </c>
      <c r="L10" s="1052">
        <f t="shared" si="21"/>
        <v>1094</v>
      </c>
      <c r="M10" s="1051">
        <f>'[18]FY2012-13 Final'!K11</f>
        <v>3445</v>
      </c>
      <c r="N10" s="1053">
        <f t="shared" si="16"/>
        <v>6890</v>
      </c>
      <c r="O10" s="1118">
        <f t="shared" si="22"/>
        <v>-17.225000000000001</v>
      </c>
      <c r="P10" s="1053">
        <f t="shared" si="23"/>
        <v>6872.7749999999996</v>
      </c>
      <c r="Q10" s="1053"/>
      <c r="R10" s="1053">
        <f t="shared" si="24"/>
        <v>6872.7749999999996</v>
      </c>
      <c r="S10" s="1053">
        <f t="shared" si="25"/>
        <v>573</v>
      </c>
      <c r="T10" s="1054">
        <f t="shared" si="26"/>
        <v>19996.067913376944</v>
      </c>
      <c r="U10" s="1054">
        <f t="shared" si="27"/>
        <v>1667</v>
      </c>
    </row>
    <row r="11" spans="1:21">
      <c r="A11" s="998">
        <v>5</v>
      </c>
      <c r="B11" s="999" t="s">
        <v>99</v>
      </c>
      <c r="C11" s="1000">
        <f>'[2]ALL-Reformatted'!N10</f>
        <v>0</v>
      </c>
      <c r="D11" s="1001">
        <f>'Table 3 Levels 1&amp;2'!BN13+'Table 3 Levels 1&amp;2'!BV13</f>
        <v>4880.3484353147733</v>
      </c>
      <c r="E11" s="1101">
        <f t="shared" si="14"/>
        <v>0</v>
      </c>
      <c r="F11" s="1101">
        <f t="shared" si="17"/>
        <v>0</v>
      </c>
      <c r="G11" s="1055">
        <f t="shared" si="15"/>
        <v>0</v>
      </c>
      <c r="H11" s="1111">
        <f t="shared" si="18"/>
        <v>0</v>
      </c>
      <c r="I11" s="1055">
        <f t="shared" si="19"/>
        <v>0</v>
      </c>
      <c r="J11" s="1055"/>
      <c r="K11" s="1055">
        <f t="shared" si="20"/>
        <v>0</v>
      </c>
      <c r="L11" s="1055">
        <f t="shared" si="21"/>
        <v>0</v>
      </c>
      <c r="M11" s="1056">
        <f>'[18]FY2012-13 Final'!K12</f>
        <v>1353</v>
      </c>
      <c r="N11" s="1057">
        <f t="shared" si="16"/>
        <v>0</v>
      </c>
      <c r="O11" s="1119">
        <f t="shared" si="22"/>
        <v>0</v>
      </c>
      <c r="P11" s="1057">
        <f t="shared" si="23"/>
        <v>0</v>
      </c>
      <c r="Q11" s="1057"/>
      <c r="R11" s="1057">
        <f t="shared" si="24"/>
        <v>0</v>
      </c>
      <c r="S11" s="1057">
        <f t="shared" si="25"/>
        <v>0</v>
      </c>
      <c r="T11" s="1058">
        <f t="shared" si="26"/>
        <v>0</v>
      </c>
      <c r="U11" s="1058">
        <f t="shared" si="27"/>
        <v>0</v>
      </c>
    </row>
    <row r="12" spans="1:21" ht="12.75" customHeight="1">
      <c r="A12" s="987">
        <v>6</v>
      </c>
      <c r="B12" s="988" t="s">
        <v>100</v>
      </c>
      <c r="C12" s="989">
        <f>'[2]ALL-Reformatted'!N11</f>
        <v>0</v>
      </c>
      <c r="D12" s="990">
        <f>'Table 3 Levels 1&amp;2'!BN14+'Table 3 Levels 1&amp;2'!BV14</f>
        <v>5379.7759718479856</v>
      </c>
      <c r="E12" s="1099">
        <f t="shared" si="14"/>
        <v>0</v>
      </c>
      <c r="F12" s="1099">
        <f t="shared" si="17"/>
        <v>0</v>
      </c>
      <c r="G12" s="991">
        <f t="shared" si="15"/>
        <v>0</v>
      </c>
      <c r="H12" s="1109">
        <f t="shared" si="18"/>
        <v>0</v>
      </c>
      <c r="I12" s="991">
        <f t="shared" si="19"/>
        <v>0</v>
      </c>
      <c r="J12" s="991"/>
      <c r="K12" s="991">
        <f t="shared" si="20"/>
        <v>0</v>
      </c>
      <c r="L12" s="991">
        <f t="shared" si="21"/>
        <v>0</v>
      </c>
      <c r="M12" s="1051">
        <f>'[18]FY2012-13 Final'!K13</f>
        <v>3576</v>
      </c>
      <c r="N12" s="992">
        <f t="shared" si="16"/>
        <v>0</v>
      </c>
      <c r="O12" s="1117">
        <f t="shared" si="22"/>
        <v>0</v>
      </c>
      <c r="P12" s="992">
        <f t="shared" si="23"/>
        <v>0</v>
      </c>
      <c r="Q12" s="992"/>
      <c r="R12" s="992">
        <f t="shared" si="24"/>
        <v>0</v>
      </c>
      <c r="S12" s="992">
        <f t="shared" si="25"/>
        <v>0</v>
      </c>
      <c r="T12" s="993">
        <f t="shared" si="26"/>
        <v>0</v>
      </c>
      <c r="U12" s="993">
        <f t="shared" si="27"/>
        <v>0</v>
      </c>
    </row>
    <row r="13" spans="1:21">
      <c r="A13" s="994">
        <v>7</v>
      </c>
      <c r="B13" s="995" t="s">
        <v>101</v>
      </c>
      <c r="C13" s="996">
        <f>'[2]ALL-Reformatted'!N12</f>
        <v>0</v>
      </c>
      <c r="D13" s="997">
        <f>'Table 3 Levels 1&amp;2'!BN15+'Table 3 Levels 1&amp;2'!BV15</f>
        <v>1698.1351763907733</v>
      </c>
      <c r="E13" s="1100">
        <f t="shared" si="14"/>
        <v>0</v>
      </c>
      <c r="F13" s="1100">
        <f t="shared" si="17"/>
        <v>0</v>
      </c>
      <c r="G13" s="1052">
        <f t="shared" si="15"/>
        <v>0</v>
      </c>
      <c r="H13" s="1110">
        <f t="shared" si="18"/>
        <v>0</v>
      </c>
      <c r="I13" s="1052">
        <f t="shared" si="19"/>
        <v>0</v>
      </c>
      <c r="J13" s="1052"/>
      <c r="K13" s="1052">
        <f t="shared" si="20"/>
        <v>0</v>
      </c>
      <c r="L13" s="1052">
        <f t="shared" si="21"/>
        <v>0</v>
      </c>
      <c r="M13" s="1051">
        <f>'[18]FY2012-13 Final'!K14</f>
        <v>12465</v>
      </c>
      <c r="N13" s="1053">
        <f t="shared" si="16"/>
        <v>0</v>
      </c>
      <c r="O13" s="1118">
        <f t="shared" si="22"/>
        <v>0</v>
      </c>
      <c r="P13" s="1053">
        <f t="shared" si="23"/>
        <v>0</v>
      </c>
      <c r="Q13" s="1053"/>
      <c r="R13" s="1053">
        <f t="shared" si="24"/>
        <v>0</v>
      </c>
      <c r="S13" s="1053">
        <f t="shared" si="25"/>
        <v>0</v>
      </c>
      <c r="T13" s="1054">
        <f t="shared" si="26"/>
        <v>0</v>
      </c>
      <c r="U13" s="1054">
        <f t="shared" si="27"/>
        <v>0</v>
      </c>
    </row>
    <row r="14" spans="1:21">
      <c r="A14" s="994">
        <v>8</v>
      </c>
      <c r="B14" s="995" t="s">
        <v>102</v>
      </c>
      <c r="C14" s="996">
        <f>'[2]ALL-Reformatted'!N13</f>
        <v>0</v>
      </c>
      <c r="D14" s="997">
        <f>'Table 3 Levels 1&amp;2'!BN16+'Table 3 Levels 1&amp;2'!BV16</f>
        <v>4239.8578920718974</v>
      </c>
      <c r="E14" s="1100">
        <f t="shared" si="14"/>
        <v>0</v>
      </c>
      <c r="F14" s="1100">
        <f t="shared" si="17"/>
        <v>0</v>
      </c>
      <c r="G14" s="1052">
        <f t="shared" si="15"/>
        <v>0</v>
      </c>
      <c r="H14" s="1110">
        <f t="shared" si="18"/>
        <v>0</v>
      </c>
      <c r="I14" s="1052">
        <f t="shared" si="19"/>
        <v>0</v>
      </c>
      <c r="J14" s="1052"/>
      <c r="K14" s="1052">
        <f t="shared" si="20"/>
        <v>0</v>
      </c>
      <c r="L14" s="1052">
        <f t="shared" si="21"/>
        <v>0</v>
      </c>
      <c r="M14" s="1051">
        <f>'[18]FY2012-13 Final'!K15</f>
        <v>4184</v>
      </c>
      <c r="N14" s="1053">
        <f t="shared" si="16"/>
        <v>0</v>
      </c>
      <c r="O14" s="1118">
        <f t="shared" si="22"/>
        <v>0</v>
      </c>
      <c r="P14" s="1053">
        <f t="shared" si="23"/>
        <v>0</v>
      </c>
      <c r="Q14" s="1053"/>
      <c r="R14" s="1053">
        <f t="shared" si="24"/>
        <v>0</v>
      </c>
      <c r="S14" s="1053">
        <f t="shared" si="25"/>
        <v>0</v>
      </c>
      <c r="T14" s="1054">
        <f t="shared" si="26"/>
        <v>0</v>
      </c>
      <c r="U14" s="1054">
        <f t="shared" si="27"/>
        <v>0</v>
      </c>
    </row>
    <row r="15" spans="1:21">
      <c r="A15" s="994">
        <v>9</v>
      </c>
      <c r="B15" s="995" t="s">
        <v>103</v>
      </c>
      <c r="C15" s="996">
        <f>'[2]ALL-Reformatted'!N14</f>
        <v>0</v>
      </c>
      <c r="D15" s="997">
        <f>'Table 3 Levels 1&amp;2'!BN17+'Table 3 Levels 1&amp;2'!BV17</f>
        <v>4361.2752875373017</v>
      </c>
      <c r="E15" s="1100">
        <f t="shared" si="14"/>
        <v>0</v>
      </c>
      <c r="F15" s="1100">
        <f t="shared" si="17"/>
        <v>0</v>
      </c>
      <c r="G15" s="1052">
        <f t="shared" si="15"/>
        <v>0</v>
      </c>
      <c r="H15" s="1110">
        <f t="shared" si="18"/>
        <v>0</v>
      </c>
      <c r="I15" s="1052">
        <f t="shared" si="19"/>
        <v>0</v>
      </c>
      <c r="J15" s="1052"/>
      <c r="K15" s="1052">
        <f t="shared" si="20"/>
        <v>0</v>
      </c>
      <c r="L15" s="1052">
        <f t="shared" si="21"/>
        <v>0</v>
      </c>
      <c r="M15" s="1051">
        <f>'[18]FY2012-13 Final'!K16</f>
        <v>4640</v>
      </c>
      <c r="N15" s="1053">
        <f t="shared" si="16"/>
        <v>0</v>
      </c>
      <c r="O15" s="1118">
        <f t="shared" si="22"/>
        <v>0</v>
      </c>
      <c r="P15" s="1053">
        <f t="shared" si="23"/>
        <v>0</v>
      </c>
      <c r="Q15" s="1053"/>
      <c r="R15" s="1053">
        <f t="shared" si="24"/>
        <v>0</v>
      </c>
      <c r="S15" s="1053">
        <f t="shared" si="25"/>
        <v>0</v>
      </c>
      <c r="T15" s="1054">
        <f t="shared" si="26"/>
        <v>0</v>
      </c>
      <c r="U15" s="1054">
        <f t="shared" si="27"/>
        <v>0</v>
      </c>
    </row>
    <row r="16" spans="1:21">
      <c r="A16" s="998">
        <v>10</v>
      </c>
      <c r="B16" s="999" t="s">
        <v>104</v>
      </c>
      <c r="C16" s="1000">
        <f>'[2]ALL-Reformatted'!N15</f>
        <v>0</v>
      </c>
      <c r="D16" s="1001">
        <f>'Table 3 Levels 1&amp;2'!BN18+'Table 3 Levels 1&amp;2'!BV18</f>
        <v>4179.4641652904756</v>
      </c>
      <c r="E16" s="1101">
        <f t="shared" si="14"/>
        <v>0</v>
      </c>
      <c r="F16" s="1101">
        <f t="shared" si="17"/>
        <v>0</v>
      </c>
      <c r="G16" s="1055">
        <f t="shared" si="15"/>
        <v>0</v>
      </c>
      <c r="H16" s="1111">
        <f t="shared" si="18"/>
        <v>0</v>
      </c>
      <c r="I16" s="1055">
        <f t="shared" si="19"/>
        <v>0</v>
      </c>
      <c r="J16" s="1055"/>
      <c r="K16" s="1055">
        <f t="shared" si="20"/>
        <v>0</v>
      </c>
      <c r="L16" s="1055">
        <f t="shared" si="21"/>
        <v>0</v>
      </c>
      <c r="M16" s="1056">
        <f>'[18]FY2012-13 Final'!K17</f>
        <v>4391</v>
      </c>
      <c r="N16" s="1057">
        <f t="shared" si="16"/>
        <v>0</v>
      </c>
      <c r="O16" s="1119">
        <f t="shared" si="22"/>
        <v>0</v>
      </c>
      <c r="P16" s="1057">
        <f t="shared" si="23"/>
        <v>0</v>
      </c>
      <c r="Q16" s="1057"/>
      <c r="R16" s="1057">
        <f t="shared" si="24"/>
        <v>0</v>
      </c>
      <c r="S16" s="1057">
        <f t="shared" si="25"/>
        <v>0</v>
      </c>
      <c r="T16" s="1058">
        <f t="shared" si="26"/>
        <v>0</v>
      </c>
      <c r="U16" s="1058">
        <f t="shared" si="27"/>
        <v>0</v>
      </c>
    </row>
    <row r="17" spans="1:21">
      <c r="A17" s="987">
        <v>11</v>
      </c>
      <c r="B17" s="988" t="s">
        <v>105</v>
      </c>
      <c r="C17" s="989">
        <f>'[2]ALL-Reformatted'!N16</f>
        <v>0</v>
      </c>
      <c r="D17" s="990">
        <f>'Table 3 Levels 1&amp;2'!BN19+'Table 3 Levels 1&amp;2'!BV19</f>
        <v>6825.0221851487568</v>
      </c>
      <c r="E17" s="1099">
        <f t="shared" si="14"/>
        <v>0</v>
      </c>
      <c r="F17" s="1099">
        <f t="shared" si="17"/>
        <v>0</v>
      </c>
      <c r="G17" s="991">
        <f t="shared" si="15"/>
        <v>0</v>
      </c>
      <c r="H17" s="1109">
        <f t="shared" si="18"/>
        <v>0</v>
      </c>
      <c r="I17" s="991">
        <f t="shared" si="19"/>
        <v>0</v>
      </c>
      <c r="J17" s="991"/>
      <c r="K17" s="991">
        <f t="shared" si="20"/>
        <v>0</v>
      </c>
      <c r="L17" s="991">
        <f t="shared" si="21"/>
        <v>0</v>
      </c>
      <c r="M17" s="1051">
        <f>'[18]FY2012-13 Final'!K18</f>
        <v>3430</v>
      </c>
      <c r="N17" s="992">
        <f t="shared" si="16"/>
        <v>0</v>
      </c>
      <c r="O17" s="1117">
        <f t="shared" si="22"/>
        <v>0</v>
      </c>
      <c r="P17" s="992">
        <f t="shared" si="23"/>
        <v>0</v>
      </c>
      <c r="Q17" s="992"/>
      <c r="R17" s="992">
        <f t="shared" si="24"/>
        <v>0</v>
      </c>
      <c r="S17" s="992">
        <f t="shared" si="25"/>
        <v>0</v>
      </c>
      <c r="T17" s="993">
        <f t="shared" si="26"/>
        <v>0</v>
      </c>
      <c r="U17" s="993">
        <f t="shared" si="27"/>
        <v>0</v>
      </c>
    </row>
    <row r="18" spans="1:21">
      <c r="A18" s="994">
        <v>12</v>
      </c>
      <c r="B18" s="995" t="s">
        <v>106</v>
      </c>
      <c r="C18" s="996">
        <f>'[2]ALL-Reformatted'!N17</f>
        <v>0</v>
      </c>
      <c r="D18" s="997">
        <f>'Table 3 Levels 1&amp;2'!BN20+'Table 3 Levels 1&amp;2'!BV20</f>
        <v>1688.0492586490939</v>
      </c>
      <c r="E18" s="1100">
        <f t="shared" si="14"/>
        <v>0</v>
      </c>
      <c r="F18" s="1100">
        <f t="shared" si="17"/>
        <v>0</v>
      </c>
      <c r="G18" s="1052">
        <f t="shared" si="15"/>
        <v>0</v>
      </c>
      <c r="H18" s="1110">
        <f t="shared" si="18"/>
        <v>0</v>
      </c>
      <c r="I18" s="1052">
        <f t="shared" si="19"/>
        <v>0</v>
      </c>
      <c r="J18" s="1052"/>
      <c r="K18" s="1052">
        <f t="shared" si="20"/>
        <v>0</v>
      </c>
      <c r="L18" s="1052">
        <f t="shared" si="21"/>
        <v>0</v>
      </c>
      <c r="M18" s="1051">
        <f>'[18]FY2012-13 Final'!K19</f>
        <v>12558</v>
      </c>
      <c r="N18" s="1053">
        <f t="shared" si="16"/>
        <v>0</v>
      </c>
      <c r="O18" s="1118">
        <f t="shared" si="22"/>
        <v>0</v>
      </c>
      <c r="P18" s="1053">
        <f t="shared" si="23"/>
        <v>0</v>
      </c>
      <c r="Q18" s="1053"/>
      <c r="R18" s="1053">
        <f t="shared" si="24"/>
        <v>0</v>
      </c>
      <c r="S18" s="1053">
        <f t="shared" si="25"/>
        <v>0</v>
      </c>
      <c r="T18" s="1054">
        <f t="shared" si="26"/>
        <v>0</v>
      </c>
      <c r="U18" s="1054">
        <f t="shared" si="27"/>
        <v>0</v>
      </c>
    </row>
    <row r="19" spans="1:21">
      <c r="A19" s="994">
        <v>13</v>
      </c>
      <c r="B19" s="995" t="s">
        <v>107</v>
      </c>
      <c r="C19" s="996">
        <f>'[2]ALL-Reformatted'!N18</f>
        <v>0</v>
      </c>
      <c r="D19" s="997">
        <f>'Table 3 Levels 1&amp;2'!BN21+'Table 3 Levels 1&amp;2'!BV21</f>
        <v>6187.1651272387344</v>
      </c>
      <c r="E19" s="1100">
        <f t="shared" si="14"/>
        <v>0</v>
      </c>
      <c r="F19" s="1100">
        <f t="shared" si="17"/>
        <v>0</v>
      </c>
      <c r="G19" s="1052">
        <f t="shared" si="15"/>
        <v>0</v>
      </c>
      <c r="H19" s="1110">
        <f t="shared" si="18"/>
        <v>0</v>
      </c>
      <c r="I19" s="1052">
        <f t="shared" si="19"/>
        <v>0</v>
      </c>
      <c r="J19" s="1052"/>
      <c r="K19" s="1052">
        <f t="shared" si="20"/>
        <v>0</v>
      </c>
      <c r="L19" s="1052">
        <f t="shared" si="21"/>
        <v>0</v>
      </c>
      <c r="M19" s="1051">
        <f>'[18]FY2012-13 Final'!K20</f>
        <v>2536</v>
      </c>
      <c r="N19" s="1053">
        <f t="shared" si="16"/>
        <v>0</v>
      </c>
      <c r="O19" s="1118">
        <f t="shared" si="22"/>
        <v>0</v>
      </c>
      <c r="P19" s="1053">
        <f t="shared" si="23"/>
        <v>0</v>
      </c>
      <c r="Q19" s="1053"/>
      <c r="R19" s="1053">
        <f t="shared" si="24"/>
        <v>0</v>
      </c>
      <c r="S19" s="1053">
        <f t="shared" si="25"/>
        <v>0</v>
      </c>
      <c r="T19" s="1054">
        <f t="shared" si="26"/>
        <v>0</v>
      </c>
      <c r="U19" s="1054">
        <f t="shared" si="27"/>
        <v>0</v>
      </c>
    </row>
    <row r="20" spans="1:21" ht="12.75" customHeight="1">
      <c r="A20" s="994">
        <v>14</v>
      </c>
      <c r="B20" s="995" t="s">
        <v>108</v>
      </c>
      <c r="C20" s="996">
        <f>'[2]ALL-Reformatted'!N19</f>
        <v>0</v>
      </c>
      <c r="D20" s="997">
        <f>'Table 3 Levels 1&amp;2'!BN22+'Table 3 Levels 1&amp;2'!BV22</f>
        <v>5339.1887414618923</v>
      </c>
      <c r="E20" s="1100">
        <f t="shared" si="14"/>
        <v>0</v>
      </c>
      <c r="F20" s="1100">
        <f t="shared" si="17"/>
        <v>0</v>
      </c>
      <c r="G20" s="1052">
        <f t="shared" si="15"/>
        <v>0</v>
      </c>
      <c r="H20" s="1110">
        <f t="shared" si="18"/>
        <v>0</v>
      </c>
      <c r="I20" s="1052">
        <f t="shared" si="19"/>
        <v>0</v>
      </c>
      <c r="J20" s="1052"/>
      <c r="K20" s="1052">
        <f t="shared" si="20"/>
        <v>0</v>
      </c>
      <c r="L20" s="1052">
        <f t="shared" si="21"/>
        <v>0</v>
      </c>
      <c r="M20" s="1051">
        <f>'[18]FY2012-13 Final'!K21</f>
        <v>3888</v>
      </c>
      <c r="N20" s="1053">
        <f t="shared" si="16"/>
        <v>0</v>
      </c>
      <c r="O20" s="1118">
        <f t="shared" si="22"/>
        <v>0</v>
      </c>
      <c r="P20" s="1053">
        <f t="shared" si="23"/>
        <v>0</v>
      </c>
      <c r="Q20" s="1053"/>
      <c r="R20" s="1053">
        <f t="shared" si="24"/>
        <v>0</v>
      </c>
      <c r="S20" s="1053">
        <f t="shared" si="25"/>
        <v>0</v>
      </c>
      <c r="T20" s="1054">
        <f t="shared" si="26"/>
        <v>0</v>
      </c>
      <c r="U20" s="1054">
        <f t="shared" si="27"/>
        <v>0</v>
      </c>
    </row>
    <row r="21" spans="1:21">
      <c r="A21" s="998">
        <v>15</v>
      </c>
      <c r="B21" s="999" t="s">
        <v>109</v>
      </c>
      <c r="C21" s="1000">
        <f>'[2]ALL-Reformatted'!N20</f>
        <v>0</v>
      </c>
      <c r="D21" s="1001">
        <f>'Table 3 Levels 1&amp;2'!BN23+'Table 3 Levels 1&amp;2'!BV23</f>
        <v>5492.5789412344011</v>
      </c>
      <c r="E21" s="1101">
        <f t="shared" si="14"/>
        <v>0</v>
      </c>
      <c r="F21" s="1101">
        <f t="shared" si="17"/>
        <v>0</v>
      </c>
      <c r="G21" s="1055">
        <f t="shared" si="15"/>
        <v>0</v>
      </c>
      <c r="H21" s="1111">
        <f t="shared" si="18"/>
        <v>0</v>
      </c>
      <c r="I21" s="1055">
        <f t="shared" si="19"/>
        <v>0</v>
      </c>
      <c r="J21" s="1055"/>
      <c r="K21" s="1055">
        <f t="shared" si="20"/>
        <v>0</v>
      </c>
      <c r="L21" s="1055">
        <f t="shared" si="21"/>
        <v>0</v>
      </c>
      <c r="M21" s="1056">
        <f>'[18]FY2012-13 Final'!K22</f>
        <v>2752</v>
      </c>
      <c r="N21" s="1057">
        <f t="shared" si="16"/>
        <v>0</v>
      </c>
      <c r="O21" s="1119">
        <f t="shared" si="22"/>
        <v>0</v>
      </c>
      <c r="P21" s="1057">
        <f t="shared" si="23"/>
        <v>0</v>
      </c>
      <c r="Q21" s="1057"/>
      <c r="R21" s="1057">
        <f t="shared" si="24"/>
        <v>0</v>
      </c>
      <c r="S21" s="1057">
        <f t="shared" si="25"/>
        <v>0</v>
      </c>
      <c r="T21" s="1058">
        <f t="shared" si="26"/>
        <v>0</v>
      </c>
      <c r="U21" s="1058">
        <f t="shared" si="27"/>
        <v>0</v>
      </c>
    </row>
    <row r="22" spans="1:21">
      <c r="A22" s="987">
        <v>16</v>
      </c>
      <c r="B22" s="988" t="s">
        <v>110</v>
      </c>
      <c r="C22" s="989">
        <f>'[2]ALL-Reformatted'!N21</f>
        <v>0</v>
      </c>
      <c r="D22" s="990">
        <f>'Table 3 Levels 1&amp;2'!BN24+'Table 3 Levels 1&amp;2'!BV24</f>
        <v>1506.1153407945151</v>
      </c>
      <c r="E22" s="1099">
        <f t="shared" si="14"/>
        <v>0</v>
      </c>
      <c r="F22" s="1099">
        <f t="shared" si="17"/>
        <v>0</v>
      </c>
      <c r="G22" s="991">
        <f t="shared" si="15"/>
        <v>0</v>
      </c>
      <c r="H22" s="1109">
        <f t="shared" si="18"/>
        <v>0</v>
      </c>
      <c r="I22" s="991">
        <f t="shared" si="19"/>
        <v>0</v>
      </c>
      <c r="J22" s="991"/>
      <c r="K22" s="991">
        <f t="shared" si="20"/>
        <v>0</v>
      </c>
      <c r="L22" s="991">
        <f t="shared" si="21"/>
        <v>0</v>
      </c>
      <c r="M22" s="1051">
        <f>'[18]FY2012-13 Final'!K23</f>
        <v>15092</v>
      </c>
      <c r="N22" s="992">
        <f t="shared" si="16"/>
        <v>0</v>
      </c>
      <c r="O22" s="1117">
        <f t="shared" si="22"/>
        <v>0</v>
      </c>
      <c r="P22" s="992">
        <f t="shared" si="23"/>
        <v>0</v>
      </c>
      <c r="Q22" s="992"/>
      <c r="R22" s="992">
        <f t="shared" si="24"/>
        <v>0</v>
      </c>
      <c r="S22" s="992">
        <f t="shared" si="25"/>
        <v>0</v>
      </c>
      <c r="T22" s="993">
        <f t="shared" si="26"/>
        <v>0</v>
      </c>
      <c r="U22" s="993">
        <f t="shared" si="27"/>
        <v>0</v>
      </c>
    </row>
    <row r="23" spans="1:21">
      <c r="A23" s="994">
        <v>17</v>
      </c>
      <c r="B23" s="995" t="s">
        <v>111</v>
      </c>
      <c r="C23" s="996">
        <f>'[2]ALL-Reformatted'!N22</f>
        <v>0</v>
      </c>
      <c r="D23" s="997">
        <f>'Table 3 Levels 1&amp;2'!BN25+'Table 3 Levels 1&amp;2'!BV25</f>
        <v>3311.610845996096</v>
      </c>
      <c r="E23" s="1100">
        <f t="shared" si="14"/>
        <v>0</v>
      </c>
      <c r="F23" s="1100">
        <f t="shared" si="17"/>
        <v>0</v>
      </c>
      <c r="G23" s="1052">
        <f t="shared" si="15"/>
        <v>0</v>
      </c>
      <c r="H23" s="1110">
        <f t="shared" si="18"/>
        <v>0</v>
      </c>
      <c r="I23" s="1052">
        <f t="shared" si="19"/>
        <v>0</v>
      </c>
      <c r="J23" s="1052"/>
      <c r="K23" s="1052">
        <f t="shared" si="20"/>
        <v>0</v>
      </c>
      <c r="L23" s="1052">
        <f t="shared" si="21"/>
        <v>0</v>
      </c>
      <c r="M23" s="1051">
        <f>'[18]FY2012-13 Final'!K24</f>
        <v>6551</v>
      </c>
      <c r="N23" s="1053">
        <f t="shared" si="16"/>
        <v>0</v>
      </c>
      <c r="O23" s="1118">
        <f t="shared" si="22"/>
        <v>0</v>
      </c>
      <c r="P23" s="1053">
        <f t="shared" si="23"/>
        <v>0</v>
      </c>
      <c r="Q23" s="1053"/>
      <c r="R23" s="1053">
        <f t="shared" si="24"/>
        <v>0</v>
      </c>
      <c r="S23" s="1053">
        <f t="shared" si="25"/>
        <v>0</v>
      </c>
      <c r="T23" s="1054">
        <f t="shared" si="26"/>
        <v>0</v>
      </c>
      <c r="U23" s="1054">
        <f t="shared" si="27"/>
        <v>0</v>
      </c>
    </row>
    <row r="24" spans="1:21">
      <c r="A24" s="994">
        <v>18</v>
      </c>
      <c r="B24" s="995" t="s">
        <v>112</v>
      </c>
      <c r="C24" s="996">
        <f>'[2]ALL-Reformatted'!N23</f>
        <v>0</v>
      </c>
      <c r="D24" s="997">
        <f>'Table 3 Levels 1&amp;2'!BN26+'Table 3 Levels 1&amp;2'!BV26</f>
        <v>5964.3490202032081</v>
      </c>
      <c r="E24" s="1100">
        <f t="shared" si="14"/>
        <v>0</v>
      </c>
      <c r="F24" s="1100">
        <f t="shared" si="17"/>
        <v>0</v>
      </c>
      <c r="G24" s="1052">
        <f t="shared" si="15"/>
        <v>0</v>
      </c>
      <c r="H24" s="1110">
        <f t="shared" si="18"/>
        <v>0</v>
      </c>
      <c r="I24" s="1052">
        <f t="shared" si="19"/>
        <v>0</v>
      </c>
      <c r="J24" s="1052"/>
      <c r="K24" s="1052">
        <f t="shared" si="20"/>
        <v>0</v>
      </c>
      <c r="L24" s="1052">
        <f t="shared" si="21"/>
        <v>0</v>
      </c>
      <c r="M24" s="1051">
        <f>'[18]FY2012-13 Final'!K25</f>
        <v>2165</v>
      </c>
      <c r="N24" s="1053">
        <f t="shared" si="16"/>
        <v>0</v>
      </c>
      <c r="O24" s="1118">
        <f t="shared" si="22"/>
        <v>0</v>
      </c>
      <c r="P24" s="1053">
        <f t="shared" si="23"/>
        <v>0</v>
      </c>
      <c r="Q24" s="1053"/>
      <c r="R24" s="1053">
        <f t="shared" si="24"/>
        <v>0</v>
      </c>
      <c r="S24" s="1053">
        <f t="shared" si="25"/>
        <v>0</v>
      </c>
      <c r="T24" s="1054">
        <f t="shared" si="26"/>
        <v>0</v>
      </c>
      <c r="U24" s="1054">
        <f t="shared" si="27"/>
        <v>0</v>
      </c>
    </row>
    <row r="25" spans="1:21">
      <c r="A25" s="994">
        <v>19</v>
      </c>
      <c r="B25" s="995" t="s">
        <v>113</v>
      </c>
      <c r="C25" s="996">
        <f>'[2]ALL-Reformatted'!N24</f>
        <v>0</v>
      </c>
      <c r="D25" s="997">
        <f>'Table 3 Levels 1&amp;2'!BN27+'Table 3 Levels 1&amp;2'!BV27</f>
        <v>5283.1088158476596</v>
      </c>
      <c r="E25" s="1100">
        <f t="shared" si="14"/>
        <v>0</v>
      </c>
      <c r="F25" s="1100">
        <f t="shared" si="17"/>
        <v>0</v>
      </c>
      <c r="G25" s="1052">
        <f t="shared" si="15"/>
        <v>0</v>
      </c>
      <c r="H25" s="1110">
        <f t="shared" si="18"/>
        <v>0</v>
      </c>
      <c r="I25" s="1052">
        <f t="shared" si="19"/>
        <v>0</v>
      </c>
      <c r="J25" s="1052"/>
      <c r="K25" s="1052">
        <f t="shared" si="20"/>
        <v>0</v>
      </c>
      <c r="L25" s="1052">
        <f t="shared" si="21"/>
        <v>0</v>
      </c>
      <c r="M25" s="1051">
        <f>'[18]FY2012-13 Final'!K26</f>
        <v>2729</v>
      </c>
      <c r="N25" s="1053">
        <f t="shared" si="16"/>
        <v>0</v>
      </c>
      <c r="O25" s="1118">
        <f t="shared" si="22"/>
        <v>0</v>
      </c>
      <c r="P25" s="1053">
        <f t="shared" si="23"/>
        <v>0</v>
      </c>
      <c r="Q25" s="1053"/>
      <c r="R25" s="1053">
        <f t="shared" si="24"/>
        <v>0</v>
      </c>
      <c r="S25" s="1053">
        <f t="shared" si="25"/>
        <v>0</v>
      </c>
      <c r="T25" s="1054">
        <f t="shared" si="26"/>
        <v>0</v>
      </c>
      <c r="U25" s="1054">
        <f t="shared" si="27"/>
        <v>0</v>
      </c>
    </row>
    <row r="26" spans="1:21">
      <c r="A26" s="998">
        <v>20</v>
      </c>
      <c r="B26" s="999" t="s">
        <v>114</v>
      </c>
      <c r="C26" s="1000">
        <f>'[2]ALL-Reformatted'!N25</f>
        <v>0</v>
      </c>
      <c r="D26" s="1001">
        <f>'Table 3 Levels 1&amp;2'!BN28+'Table 3 Levels 1&amp;2'!BV28</f>
        <v>5389.6047094824808</v>
      </c>
      <c r="E26" s="1101">
        <f t="shared" si="14"/>
        <v>0</v>
      </c>
      <c r="F26" s="1101">
        <f t="shared" si="17"/>
        <v>0</v>
      </c>
      <c r="G26" s="1055">
        <f t="shared" si="15"/>
        <v>0</v>
      </c>
      <c r="H26" s="1111">
        <f t="shared" si="18"/>
        <v>0</v>
      </c>
      <c r="I26" s="1055">
        <f t="shared" si="19"/>
        <v>0</v>
      </c>
      <c r="J26" s="1055"/>
      <c r="K26" s="1055">
        <f t="shared" si="20"/>
        <v>0</v>
      </c>
      <c r="L26" s="1055">
        <f t="shared" si="21"/>
        <v>0</v>
      </c>
      <c r="M26" s="1056">
        <f>'[18]FY2012-13 Final'!K27</f>
        <v>2334</v>
      </c>
      <c r="N26" s="1057">
        <f t="shared" si="16"/>
        <v>0</v>
      </c>
      <c r="O26" s="1119">
        <f t="shared" si="22"/>
        <v>0</v>
      </c>
      <c r="P26" s="1057">
        <f t="shared" si="23"/>
        <v>0</v>
      </c>
      <c r="Q26" s="1057"/>
      <c r="R26" s="1057">
        <f t="shared" si="24"/>
        <v>0</v>
      </c>
      <c r="S26" s="1057">
        <f t="shared" si="25"/>
        <v>0</v>
      </c>
      <c r="T26" s="1058">
        <f t="shared" si="26"/>
        <v>0</v>
      </c>
      <c r="U26" s="1058">
        <f t="shared" si="27"/>
        <v>0</v>
      </c>
    </row>
    <row r="27" spans="1:21">
      <c r="A27" s="987">
        <v>21</v>
      </c>
      <c r="B27" s="988" t="s">
        <v>115</v>
      </c>
      <c r="C27" s="989">
        <f>'[2]ALL-Reformatted'!N26</f>
        <v>0</v>
      </c>
      <c r="D27" s="990">
        <f>'Table 3 Levels 1&amp;2'!BN29+'Table 3 Levels 1&amp;2'!BV29</f>
        <v>5659.8229810652783</v>
      </c>
      <c r="E27" s="1099">
        <f t="shared" si="14"/>
        <v>0</v>
      </c>
      <c r="F27" s="1099">
        <f t="shared" si="17"/>
        <v>0</v>
      </c>
      <c r="G27" s="991">
        <f t="shared" si="15"/>
        <v>0</v>
      </c>
      <c r="H27" s="1109">
        <f t="shared" si="18"/>
        <v>0</v>
      </c>
      <c r="I27" s="991">
        <f t="shared" si="19"/>
        <v>0</v>
      </c>
      <c r="J27" s="991"/>
      <c r="K27" s="991">
        <f t="shared" si="20"/>
        <v>0</v>
      </c>
      <c r="L27" s="991">
        <f t="shared" si="21"/>
        <v>0</v>
      </c>
      <c r="M27" s="1051">
        <f>'[18]FY2012-13 Final'!K28</f>
        <v>2233</v>
      </c>
      <c r="N27" s="992">
        <f t="shared" si="16"/>
        <v>0</v>
      </c>
      <c r="O27" s="1117">
        <f t="shared" si="22"/>
        <v>0</v>
      </c>
      <c r="P27" s="992">
        <f t="shared" si="23"/>
        <v>0</v>
      </c>
      <c r="Q27" s="992"/>
      <c r="R27" s="992">
        <f t="shared" si="24"/>
        <v>0</v>
      </c>
      <c r="S27" s="992">
        <f t="shared" si="25"/>
        <v>0</v>
      </c>
      <c r="T27" s="993">
        <f t="shared" si="26"/>
        <v>0</v>
      </c>
      <c r="U27" s="993">
        <f t="shared" si="27"/>
        <v>0</v>
      </c>
    </row>
    <row r="28" spans="1:21">
      <c r="A28" s="994">
        <v>22</v>
      </c>
      <c r="B28" s="995" t="s">
        <v>116</v>
      </c>
      <c r="C28" s="996">
        <f>'[2]ALL-Reformatted'!N27</f>
        <v>0</v>
      </c>
      <c r="D28" s="997">
        <f>'Table 3 Levels 1&amp;2'!BN30+'Table 3 Levels 1&amp;2'!BV30</f>
        <v>6191.1997628958306</v>
      </c>
      <c r="E28" s="1100">
        <f t="shared" si="14"/>
        <v>0</v>
      </c>
      <c r="F28" s="1100">
        <f t="shared" si="17"/>
        <v>0</v>
      </c>
      <c r="G28" s="1052">
        <f t="shared" si="15"/>
        <v>0</v>
      </c>
      <c r="H28" s="1110">
        <f t="shared" si="18"/>
        <v>0</v>
      </c>
      <c r="I28" s="1052">
        <f t="shared" si="19"/>
        <v>0</v>
      </c>
      <c r="J28" s="1052"/>
      <c r="K28" s="1052">
        <f t="shared" si="20"/>
        <v>0</v>
      </c>
      <c r="L28" s="1052">
        <f t="shared" si="21"/>
        <v>0</v>
      </c>
      <c r="M28" s="1051">
        <f>'[18]FY2012-13 Final'!K29</f>
        <v>1410</v>
      </c>
      <c r="N28" s="1053">
        <f t="shared" si="16"/>
        <v>0</v>
      </c>
      <c r="O28" s="1118">
        <f t="shared" si="22"/>
        <v>0</v>
      </c>
      <c r="P28" s="1053">
        <f t="shared" si="23"/>
        <v>0</v>
      </c>
      <c r="Q28" s="1053"/>
      <c r="R28" s="1053">
        <f t="shared" si="24"/>
        <v>0</v>
      </c>
      <c r="S28" s="1053">
        <f t="shared" si="25"/>
        <v>0</v>
      </c>
      <c r="T28" s="1054">
        <f t="shared" si="26"/>
        <v>0</v>
      </c>
      <c r="U28" s="1054">
        <f t="shared" si="27"/>
        <v>0</v>
      </c>
    </row>
    <row r="29" spans="1:21">
      <c r="A29" s="994">
        <v>23</v>
      </c>
      <c r="B29" s="995" t="s">
        <v>117</v>
      </c>
      <c r="C29" s="996">
        <f>'[2]ALL-Reformatted'!N28</f>
        <v>0</v>
      </c>
      <c r="D29" s="997">
        <f>'Table 3 Levels 1&amp;2'!BN31+'Table 3 Levels 1&amp;2'!BV31</f>
        <v>4788.2881021645453</v>
      </c>
      <c r="E29" s="1100">
        <f t="shared" si="14"/>
        <v>0</v>
      </c>
      <c r="F29" s="1100">
        <f t="shared" si="17"/>
        <v>0</v>
      </c>
      <c r="G29" s="1052">
        <f t="shared" si="15"/>
        <v>0</v>
      </c>
      <c r="H29" s="1110">
        <f t="shared" si="18"/>
        <v>0</v>
      </c>
      <c r="I29" s="1052">
        <f t="shared" si="19"/>
        <v>0</v>
      </c>
      <c r="J29" s="1052"/>
      <c r="K29" s="1052">
        <f t="shared" si="20"/>
        <v>0</v>
      </c>
      <c r="L29" s="1052">
        <f t="shared" si="21"/>
        <v>0</v>
      </c>
      <c r="M29" s="1051">
        <f>'[18]FY2012-13 Final'!K30</f>
        <v>3258</v>
      </c>
      <c r="N29" s="1053">
        <f t="shared" si="16"/>
        <v>0</v>
      </c>
      <c r="O29" s="1118">
        <f t="shared" si="22"/>
        <v>0</v>
      </c>
      <c r="P29" s="1053">
        <f t="shared" si="23"/>
        <v>0</v>
      </c>
      <c r="Q29" s="1053"/>
      <c r="R29" s="1053">
        <f t="shared" si="24"/>
        <v>0</v>
      </c>
      <c r="S29" s="1053">
        <f t="shared" si="25"/>
        <v>0</v>
      </c>
      <c r="T29" s="1054">
        <f t="shared" si="26"/>
        <v>0</v>
      </c>
      <c r="U29" s="1054">
        <f t="shared" si="27"/>
        <v>0</v>
      </c>
    </row>
    <row r="30" spans="1:21">
      <c r="A30" s="994">
        <v>24</v>
      </c>
      <c r="B30" s="995" t="s">
        <v>118</v>
      </c>
      <c r="C30" s="996">
        <f>'[2]ALL-Reformatted'!N29</f>
        <v>0</v>
      </c>
      <c r="D30" s="997">
        <f>'Table 3 Levels 1&amp;2'!BN32+'Table 3 Levels 1&amp;2'!BV32</f>
        <v>2743.328175824176</v>
      </c>
      <c r="E30" s="1100">
        <f t="shared" si="14"/>
        <v>0</v>
      </c>
      <c r="F30" s="1100">
        <f t="shared" si="17"/>
        <v>0</v>
      </c>
      <c r="G30" s="1052">
        <f t="shared" si="15"/>
        <v>0</v>
      </c>
      <c r="H30" s="1110">
        <f t="shared" si="18"/>
        <v>0</v>
      </c>
      <c r="I30" s="1052">
        <f t="shared" si="19"/>
        <v>0</v>
      </c>
      <c r="J30" s="1052"/>
      <c r="K30" s="1052">
        <f t="shared" si="20"/>
        <v>0</v>
      </c>
      <c r="L30" s="1052">
        <f t="shared" si="21"/>
        <v>0</v>
      </c>
      <c r="M30" s="1051">
        <f>'[18]FY2012-13 Final'!K31</f>
        <v>9280</v>
      </c>
      <c r="N30" s="1053">
        <f t="shared" si="16"/>
        <v>0</v>
      </c>
      <c r="O30" s="1118">
        <f t="shared" si="22"/>
        <v>0</v>
      </c>
      <c r="P30" s="1053">
        <f t="shared" si="23"/>
        <v>0</v>
      </c>
      <c r="Q30" s="1053"/>
      <c r="R30" s="1053">
        <f t="shared" si="24"/>
        <v>0</v>
      </c>
      <c r="S30" s="1053">
        <f t="shared" si="25"/>
        <v>0</v>
      </c>
      <c r="T30" s="1054">
        <f t="shared" si="26"/>
        <v>0</v>
      </c>
      <c r="U30" s="1054">
        <f t="shared" si="27"/>
        <v>0</v>
      </c>
    </row>
    <row r="31" spans="1:21">
      <c r="A31" s="998">
        <v>25</v>
      </c>
      <c r="B31" s="999" t="s">
        <v>119</v>
      </c>
      <c r="C31" s="1000">
        <f>'[2]ALL-Reformatted'!N30</f>
        <v>0</v>
      </c>
      <c r="D31" s="1001">
        <f>'Table 3 Levels 1&amp;2'!BN33+'Table 3 Levels 1&amp;2'!BV33</f>
        <v>3799.3890273447178</v>
      </c>
      <c r="E31" s="1101">
        <f t="shared" si="14"/>
        <v>0</v>
      </c>
      <c r="F31" s="1101">
        <f t="shared" si="17"/>
        <v>0</v>
      </c>
      <c r="G31" s="1055">
        <f t="shared" si="15"/>
        <v>0</v>
      </c>
      <c r="H31" s="1111">
        <f t="shared" si="18"/>
        <v>0</v>
      </c>
      <c r="I31" s="1055">
        <f t="shared" si="19"/>
        <v>0</v>
      </c>
      <c r="J31" s="1055"/>
      <c r="K31" s="1055">
        <f t="shared" si="20"/>
        <v>0</v>
      </c>
      <c r="L31" s="1055">
        <f t="shared" si="21"/>
        <v>0</v>
      </c>
      <c r="M31" s="1056">
        <f>'[18]FY2012-13 Final'!K32</f>
        <v>5351</v>
      </c>
      <c r="N31" s="1057">
        <f t="shared" si="16"/>
        <v>0</v>
      </c>
      <c r="O31" s="1119">
        <f t="shared" si="22"/>
        <v>0</v>
      </c>
      <c r="P31" s="1057">
        <f t="shared" si="23"/>
        <v>0</v>
      </c>
      <c r="Q31" s="1057"/>
      <c r="R31" s="1057">
        <f t="shared" si="24"/>
        <v>0</v>
      </c>
      <c r="S31" s="1057">
        <f t="shared" si="25"/>
        <v>0</v>
      </c>
      <c r="T31" s="1058">
        <f t="shared" si="26"/>
        <v>0</v>
      </c>
      <c r="U31" s="1058">
        <f t="shared" si="27"/>
        <v>0</v>
      </c>
    </row>
    <row r="32" spans="1:21">
      <c r="A32" s="987">
        <v>26</v>
      </c>
      <c r="B32" s="988" t="s">
        <v>120</v>
      </c>
      <c r="C32" s="989">
        <f>'[2]ALL-Reformatted'!N31</f>
        <v>0</v>
      </c>
      <c r="D32" s="990">
        <f>'Table 3 Levels 1&amp;2'!BN34+'Table 3 Levels 1&amp;2'!BV34</f>
        <v>3320.7842100822745</v>
      </c>
      <c r="E32" s="1099">
        <f t="shared" si="14"/>
        <v>0</v>
      </c>
      <c r="F32" s="1099">
        <f t="shared" si="17"/>
        <v>0</v>
      </c>
      <c r="G32" s="991">
        <f t="shared" si="15"/>
        <v>0</v>
      </c>
      <c r="H32" s="1109">
        <f t="shared" si="18"/>
        <v>0</v>
      </c>
      <c r="I32" s="991">
        <f t="shared" si="19"/>
        <v>0</v>
      </c>
      <c r="J32" s="991"/>
      <c r="K32" s="991">
        <f t="shared" si="20"/>
        <v>0</v>
      </c>
      <c r="L32" s="991">
        <f t="shared" si="21"/>
        <v>0</v>
      </c>
      <c r="M32" s="1051">
        <f>'[18]FY2012-13 Final'!K33</f>
        <v>5100</v>
      </c>
      <c r="N32" s="992">
        <f t="shared" si="16"/>
        <v>0</v>
      </c>
      <c r="O32" s="1117">
        <f t="shared" si="22"/>
        <v>0</v>
      </c>
      <c r="P32" s="992">
        <f t="shared" si="23"/>
        <v>0</v>
      </c>
      <c r="Q32" s="992"/>
      <c r="R32" s="992">
        <f t="shared" si="24"/>
        <v>0</v>
      </c>
      <c r="S32" s="992">
        <f t="shared" si="25"/>
        <v>0</v>
      </c>
      <c r="T32" s="993">
        <f t="shared" si="26"/>
        <v>0</v>
      </c>
      <c r="U32" s="993">
        <f t="shared" si="27"/>
        <v>0</v>
      </c>
    </row>
    <row r="33" spans="1:21">
      <c r="A33" s="994">
        <v>27</v>
      </c>
      <c r="B33" s="995" t="s">
        <v>121</v>
      </c>
      <c r="C33" s="1002">
        <f>'[2]ALL-Reformatted'!N32</f>
        <v>0</v>
      </c>
      <c r="D33" s="1003">
        <f>'Table 3 Levels 1&amp;2'!BN35+'Table 3 Levels 1&amp;2'!BV35</f>
        <v>5636.5919457972805</v>
      </c>
      <c r="E33" s="1102">
        <f t="shared" si="14"/>
        <v>0</v>
      </c>
      <c r="F33" s="1102">
        <f t="shared" si="17"/>
        <v>0</v>
      </c>
      <c r="G33" s="1059">
        <f t="shared" si="15"/>
        <v>0</v>
      </c>
      <c r="H33" s="1112">
        <f t="shared" si="18"/>
        <v>0</v>
      </c>
      <c r="I33" s="1059">
        <f t="shared" si="19"/>
        <v>0</v>
      </c>
      <c r="J33" s="1059"/>
      <c r="K33" s="1059">
        <f t="shared" si="20"/>
        <v>0</v>
      </c>
      <c r="L33" s="1059">
        <f t="shared" si="21"/>
        <v>0</v>
      </c>
      <c r="M33" s="1051">
        <f>'[18]FY2012-13 Final'!K34</f>
        <v>3091</v>
      </c>
      <c r="N33" s="1053">
        <f t="shared" si="16"/>
        <v>0</v>
      </c>
      <c r="O33" s="1118">
        <f t="shared" si="22"/>
        <v>0</v>
      </c>
      <c r="P33" s="1053">
        <f t="shared" si="23"/>
        <v>0</v>
      </c>
      <c r="Q33" s="1053"/>
      <c r="R33" s="1053">
        <f t="shared" si="24"/>
        <v>0</v>
      </c>
      <c r="S33" s="1053">
        <f t="shared" si="25"/>
        <v>0</v>
      </c>
      <c r="T33" s="1054">
        <f t="shared" si="26"/>
        <v>0</v>
      </c>
      <c r="U33" s="1054">
        <f t="shared" si="27"/>
        <v>0</v>
      </c>
    </row>
    <row r="34" spans="1:21">
      <c r="A34" s="994">
        <v>28</v>
      </c>
      <c r="B34" s="995" t="s">
        <v>122</v>
      </c>
      <c r="C34" s="1002">
        <f>'[2]ALL-Reformatted'!N33</f>
        <v>0</v>
      </c>
      <c r="D34" s="1003">
        <f>'Table 3 Levels 1&amp;2'!BN36+'Table 3 Levels 1&amp;2'!BV36</f>
        <v>3106.8056522508969</v>
      </c>
      <c r="E34" s="1102">
        <f t="shared" si="14"/>
        <v>0</v>
      </c>
      <c r="F34" s="1102">
        <f t="shared" si="17"/>
        <v>0</v>
      </c>
      <c r="G34" s="1059">
        <f t="shared" si="15"/>
        <v>0</v>
      </c>
      <c r="H34" s="1112">
        <f t="shared" si="18"/>
        <v>0</v>
      </c>
      <c r="I34" s="1059">
        <f t="shared" si="19"/>
        <v>0</v>
      </c>
      <c r="J34" s="1059"/>
      <c r="K34" s="1059">
        <f t="shared" si="20"/>
        <v>0</v>
      </c>
      <c r="L34" s="1059">
        <f t="shared" si="21"/>
        <v>0</v>
      </c>
      <c r="M34" s="1051">
        <f>'[18]FY2012-13 Final'!K35</f>
        <v>5323</v>
      </c>
      <c r="N34" s="1053">
        <f t="shared" si="16"/>
        <v>0</v>
      </c>
      <c r="O34" s="1118">
        <f t="shared" si="22"/>
        <v>0</v>
      </c>
      <c r="P34" s="1053">
        <f t="shared" si="23"/>
        <v>0</v>
      </c>
      <c r="Q34" s="1053"/>
      <c r="R34" s="1053">
        <f t="shared" si="24"/>
        <v>0</v>
      </c>
      <c r="S34" s="1053">
        <f t="shared" si="25"/>
        <v>0</v>
      </c>
      <c r="T34" s="1054">
        <f t="shared" si="26"/>
        <v>0</v>
      </c>
      <c r="U34" s="1054">
        <f t="shared" si="27"/>
        <v>0</v>
      </c>
    </row>
    <row r="35" spans="1:21">
      <c r="A35" s="994">
        <v>29</v>
      </c>
      <c r="B35" s="995" t="s">
        <v>123</v>
      </c>
      <c r="C35" s="1002">
        <f>'[2]ALL-Reformatted'!N34</f>
        <v>59</v>
      </c>
      <c r="D35" s="1003">
        <f>'Table 3 Levels 1&amp;2'!BN37+'Table 3 Levels 1&amp;2'!BV37</f>
        <v>3912.1846976122315</v>
      </c>
      <c r="E35" s="1102">
        <f t="shared" si="14"/>
        <v>230818.89715912167</v>
      </c>
      <c r="F35" s="1102">
        <f t="shared" si="17"/>
        <v>38893.496789113371</v>
      </c>
      <c r="G35" s="1059">
        <f t="shared" si="15"/>
        <v>269712.39394823503</v>
      </c>
      <c r="H35" s="1112">
        <f t="shared" si="18"/>
        <v>-674.28098487058753</v>
      </c>
      <c r="I35" s="1059">
        <f t="shared" si="19"/>
        <v>269038.11296336446</v>
      </c>
      <c r="J35" s="1059"/>
      <c r="K35" s="1059">
        <f t="shared" si="20"/>
        <v>269038.11296336446</v>
      </c>
      <c r="L35" s="1059">
        <f t="shared" si="21"/>
        <v>22420</v>
      </c>
      <c r="M35" s="1051">
        <f>'[18]FY2012-13 Final'!K36</f>
        <v>4388</v>
      </c>
      <c r="N35" s="1053">
        <f t="shared" si="16"/>
        <v>258892</v>
      </c>
      <c r="O35" s="1118">
        <f t="shared" si="22"/>
        <v>-647.23</v>
      </c>
      <c r="P35" s="1053">
        <f t="shared" si="23"/>
        <v>258244.77</v>
      </c>
      <c r="Q35" s="1053"/>
      <c r="R35" s="1053">
        <f t="shared" si="24"/>
        <v>258244.77</v>
      </c>
      <c r="S35" s="1053">
        <f t="shared" si="25"/>
        <v>21520</v>
      </c>
      <c r="T35" s="1054">
        <f t="shared" si="26"/>
        <v>527282.88296336448</v>
      </c>
      <c r="U35" s="1054">
        <f t="shared" si="27"/>
        <v>43940</v>
      </c>
    </row>
    <row r="36" spans="1:21">
      <c r="A36" s="998">
        <v>30</v>
      </c>
      <c r="B36" s="999" t="s">
        <v>124</v>
      </c>
      <c r="C36" s="1004">
        <f>'[2]ALL-Reformatted'!N35</f>
        <v>0</v>
      </c>
      <c r="D36" s="1005">
        <f>'Table 3 Levels 1&amp;2'!BN38+'Table 3 Levels 1&amp;2'!BV38</f>
        <v>5594.0091640611508</v>
      </c>
      <c r="E36" s="1103">
        <f t="shared" si="14"/>
        <v>0</v>
      </c>
      <c r="F36" s="1103">
        <f t="shared" si="17"/>
        <v>0</v>
      </c>
      <c r="G36" s="1060">
        <f t="shared" si="15"/>
        <v>0</v>
      </c>
      <c r="H36" s="1113">
        <f t="shared" si="18"/>
        <v>0</v>
      </c>
      <c r="I36" s="1060">
        <f t="shared" si="19"/>
        <v>0</v>
      </c>
      <c r="J36" s="1060"/>
      <c r="K36" s="1060">
        <f t="shared" si="20"/>
        <v>0</v>
      </c>
      <c r="L36" s="1060">
        <f t="shared" si="21"/>
        <v>0</v>
      </c>
      <c r="M36" s="1056">
        <f>'[18]FY2012-13 Final'!K37</f>
        <v>3702</v>
      </c>
      <c r="N36" s="1057">
        <f t="shared" si="16"/>
        <v>0</v>
      </c>
      <c r="O36" s="1119">
        <f t="shared" si="22"/>
        <v>0</v>
      </c>
      <c r="P36" s="1057">
        <f t="shared" si="23"/>
        <v>0</v>
      </c>
      <c r="Q36" s="1057"/>
      <c r="R36" s="1057">
        <f t="shared" si="24"/>
        <v>0</v>
      </c>
      <c r="S36" s="1057">
        <f t="shared" si="25"/>
        <v>0</v>
      </c>
      <c r="T36" s="1058">
        <f t="shared" si="26"/>
        <v>0</v>
      </c>
      <c r="U36" s="1058">
        <f t="shared" si="27"/>
        <v>0</v>
      </c>
    </row>
    <row r="37" spans="1:21">
      <c r="A37" s="987">
        <v>31</v>
      </c>
      <c r="B37" s="988" t="s">
        <v>125</v>
      </c>
      <c r="C37" s="1006">
        <f>'[2]ALL-Reformatted'!N36</f>
        <v>0</v>
      </c>
      <c r="D37" s="1007">
        <f>'Table 3 Levels 1&amp;2'!BN39+'Table 3 Levels 1&amp;2'!BV39</f>
        <v>4320.114188911979</v>
      </c>
      <c r="E37" s="1104">
        <f t="shared" si="14"/>
        <v>0</v>
      </c>
      <c r="F37" s="1104">
        <f t="shared" si="17"/>
        <v>0</v>
      </c>
      <c r="G37" s="1061">
        <f t="shared" si="15"/>
        <v>0</v>
      </c>
      <c r="H37" s="1114">
        <f t="shared" si="18"/>
        <v>0</v>
      </c>
      <c r="I37" s="1061">
        <f t="shared" si="19"/>
        <v>0</v>
      </c>
      <c r="J37" s="1061"/>
      <c r="K37" s="1061">
        <f t="shared" si="20"/>
        <v>0</v>
      </c>
      <c r="L37" s="1061">
        <f t="shared" si="21"/>
        <v>0</v>
      </c>
      <c r="M37" s="1051">
        <f>'[18]FY2012-13 Final'!K38</f>
        <v>4669</v>
      </c>
      <c r="N37" s="992">
        <f t="shared" si="16"/>
        <v>0</v>
      </c>
      <c r="O37" s="1117">
        <f t="shared" si="22"/>
        <v>0</v>
      </c>
      <c r="P37" s="992">
        <f t="shared" si="23"/>
        <v>0</v>
      </c>
      <c r="Q37" s="992"/>
      <c r="R37" s="992">
        <f t="shared" si="24"/>
        <v>0</v>
      </c>
      <c r="S37" s="992">
        <f t="shared" si="25"/>
        <v>0</v>
      </c>
      <c r="T37" s="993">
        <f t="shared" si="26"/>
        <v>0</v>
      </c>
      <c r="U37" s="993">
        <f t="shared" si="27"/>
        <v>0</v>
      </c>
    </row>
    <row r="38" spans="1:21">
      <c r="A38" s="994">
        <v>32</v>
      </c>
      <c r="B38" s="995" t="s">
        <v>126</v>
      </c>
      <c r="C38" s="1002">
        <f>'[2]ALL-Reformatted'!N37</f>
        <v>1</v>
      </c>
      <c r="D38" s="1003">
        <f>'Table 3 Levels 1&amp;2'!BN40+'Table 3 Levels 1&amp;2'!BV40</f>
        <v>5504.4479209353676</v>
      </c>
      <c r="E38" s="1102">
        <f t="shared" si="14"/>
        <v>5504.4479209353676</v>
      </c>
      <c r="F38" s="1102">
        <f t="shared" si="17"/>
        <v>659.21180998497243</v>
      </c>
      <c r="G38" s="1059">
        <f t="shared" si="15"/>
        <v>6163.6597309203398</v>
      </c>
      <c r="H38" s="1112">
        <f t="shared" si="18"/>
        <v>-15.409149327300851</v>
      </c>
      <c r="I38" s="1059">
        <f t="shared" si="19"/>
        <v>6148.250581593039</v>
      </c>
      <c r="J38" s="1059"/>
      <c r="K38" s="1059">
        <f t="shared" si="20"/>
        <v>6148.250581593039</v>
      </c>
      <c r="L38" s="1059">
        <f t="shared" si="21"/>
        <v>512</v>
      </c>
      <c r="M38" s="1051">
        <f>'[18]FY2012-13 Final'!K39</f>
        <v>1965</v>
      </c>
      <c r="N38" s="1053">
        <f t="shared" si="16"/>
        <v>1965</v>
      </c>
      <c r="O38" s="1118">
        <f t="shared" si="22"/>
        <v>-4.9125000000000005</v>
      </c>
      <c r="P38" s="1053">
        <f t="shared" si="23"/>
        <v>1960.0875000000001</v>
      </c>
      <c r="Q38" s="1053"/>
      <c r="R38" s="1053">
        <f t="shared" si="24"/>
        <v>1960.0875000000001</v>
      </c>
      <c r="S38" s="1053">
        <f t="shared" si="25"/>
        <v>163</v>
      </c>
      <c r="T38" s="1054">
        <f t="shared" si="26"/>
        <v>8108.3380815930395</v>
      </c>
      <c r="U38" s="1054">
        <f t="shared" si="27"/>
        <v>675</v>
      </c>
    </row>
    <row r="39" spans="1:21">
      <c r="A39" s="994">
        <v>33</v>
      </c>
      <c r="B39" s="995" t="s">
        <v>127</v>
      </c>
      <c r="C39" s="1002">
        <f>'[2]ALL-Reformatted'!N38</f>
        <v>0</v>
      </c>
      <c r="D39" s="1003">
        <f>'Table 3 Levels 1&amp;2'!BN41+'Table 3 Levels 1&amp;2'!BV41</f>
        <v>5322.07272511876</v>
      </c>
      <c r="E39" s="1102">
        <f t="shared" ref="E39:E70" si="28">D39*C39</f>
        <v>0</v>
      </c>
      <c r="F39" s="1102">
        <f t="shared" si="17"/>
        <v>0</v>
      </c>
      <c r="G39" s="1059">
        <f t="shared" ref="G39:G70" si="29">E39+F39</f>
        <v>0</v>
      </c>
      <c r="H39" s="1112">
        <f t="shared" si="18"/>
        <v>0</v>
      </c>
      <c r="I39" s="1059">
        <f t="shared" si="19"/>
        <v>0</v>
      </c>
      <c r="J39" s="1059"/>
      <c r="K39" s="1059">
        <f t="shared" si="20"/>
        <v>0</v>
      </c>
      <c r="L39" s="1059">
        <f t="shared" si="21"/>
        <v>0</v>
      </c>
      <c r="M39" s="1051">
        <f>'[18]FY2012-13 Final'!K40</f>
        <v>2771</v>
      </c>
      <c r="N39" s="1053">
        <f t="shared" ref="N39:N70" si="30">M39*C39</f>
        <v>0</v>
      </c>
      <c r="O39" s="1118">
        <f t="shared" si="22"/>
        <v>0</v>
      </c>
      <c r="P39" s="1053">
        <f t="shared" si="23"/>
        <v>0</v>
      </c>
      <c r="Q39" s="1053"/>
      <c r="R39" s="1053">
        <f t="shared" si="24"/>
        <v>0</v>
      </c>
      <c r="S39" s="1053">
        <f t="shared" si="25"/>
        <v>0</v>
      </c>
      <c r="T39" s="1054">
        <f t="shared" si="26"/>
        <v>0</v>
      </c>
      <c r="U39" s="1054">
        <f t="shared" si="27"/>
        <v>0</v>
      </c>
    </row>
    <row r="40" spans="1:21">
      <c r="A40" s="994">
        <v>34</v>
      </c>
      <c r="B40" s="995" t="s">
        <v>128</v>
      </c>
      <c r="C40" s="1002">
        <f>'[2]ALL-Reformatted'!N39</f>
        <v>0</v>
      </c>
      <c r="D40" s="1003">
        <f>'Table 3 Levels 1&amp;2'!BN42+'Table 3 Levels 1&amp;2'!BV42</f>
        <v>5959.062840731639</v>
      </c>
      <c r="E40" s="1102">
        <f t="shared" si="28"/>
        <v>0</v>
      </c>
      <c r="F40" s="1102">
        <f t="shared" si="17"/>
        <v>0</v>
      </c>
      <c r="G40" s="1059">
        <f t="shared" si="29"/>
        <v>0</v>
      </c>
      <c r="H40" s="1112">
        <f t="shared" si="18"/>
        <v>0</v>
      </c>
      <c r="I40" s="1059">
        <f t="shared" si="19"/>
        <v>0</v>
      </c>
      <c r="J40" s="1059"/>
      <c r="K40" s="1059">
        <f t="shared" si="20"/>
        <v>0</v>
      </c>
      <c r="L40" s="1059">
        <f t="shared" si="21"/>
        <v>0</v>
      </c>
      <c r="M40" s="1051">
        <f>'[18]FY2012-13 Final'!K41</f>
        <v>2758</v>
      </c>
      <c r="N40" s="1053">
        <f t="shared" si="30"/>
        <v>0</v>
      </c>
      <c r="O40" s="1118">
        <f t="shared" si="22"/>
        <v>0</v>
      </c>
      <c r="P40" s="1053">
        <f t="shared" si="23"/>
        <v>0</v>
      </c>
      <c r="Q40" s="1053"/>
      <c r="R40" s="1053">
        <f t="shared" si="24"/>
        <v>0</v>
      </c>
      <c r="S40" s="1053">
        <f t="shared" si="25"/>
        <v>0</v>
      </c>
      <c r="T40" s="1054">
        <f t="shared" si="26"/>
        <v>0</v>
      </c>
      <c r="U40" s="1054">
        <f t="shared" si="27"/>
        <v>0</v>
      </c>
    </row>
    <row r="41" spans="1:21">
      <c r="A41" s="998">
        <v>35</v>
      </c>
      <c r="B41" s="999" t="s">
        <v>129</v>
      </c>
      <c r="C41" s="1004">
        <f>'[2]ALL-Reformatted'!N40</f>
        <v>0</v>
      </c>
      <c r="D41" s="1005">
        <f>'Table 3 Levels 1&amp;2'!BN43+'Table 3 Levels 1&amp;2'!BV43</f>
        <v>4571.947611490059</v>
      </c>
      <c r="E41" s="1103">
        <f t="shared" si="28"/>
        <v>0</v>
      </c>
      <c r="F41" s="1103">
        <f t="shared" si="17"/>
        <v>0</v>
      </c>
      <c r="G41" s="1060">
        <f t="shared" si="29"/>
        <v>0</v>
      </c>
      <c r="H41" s="1113">
        <f t="shared" si="18"/>
        <v>0</v>
      </c>
      <c r="I41" s="1060">
        <f t="shared" si="19"/>
        <v>0</v>
      </c>
      <c r="J41" s="1060"/>
      <c r="K41" s="1060">
        <f t="shared" si="20"/>
        <v>0</v>
      </c>
      <c r="L41" s="1060">
        <f t="shared" si="21"/>
        <v>0</v>
      </c>
      <c r="M41" s="1056">
        <f>'[18]FY2012-13 Final'!K42</f>
        <v>3603</v>
      </c>
      <c r="N41" s="1057">
        <f t="shared" si="30"/>
        <v>0</v>
      </c>
      <c r="O41" s="1119">
        <f t="shared" si="22"/>
        <v>0</v>
      </c>
      <c r="P41" s="1057">
        <f t="shared" si="23"/>
        <v>0</v>
      </c>
      <c r="Q41" s="1057"/>
      <c r="R41" s="1057">
        <f t="shared" si="24"/>
        <v>0</v>
      </c>
      <c r="S41" s="1057">
        <f t="shared" si="25"/>
        <v>0</v>
      </c>
      <c r="T41" s="1058">
        <f t="shared" si="26"/>
        <v>0</v>
      </c>
      <c r="U41" s="1058">
        <f t="shared" si="27"/>
        <v>0</v>
      </c>
    </row>
    <row r="42" spans="1:21">
      <c r="A42" s="987">
        <v>36</v>
      </c>
      <c r="B42" s="988" t="s">
        <v>130</v>
      </c>
      <c r="C42" s="1006">
        <f>'[2]ALL-Reformatted'!N41</f>
        <v>0</v>
      </c>
      <c r="D42" s="1007">
        <f>'Table 3 Levels 1&amp;2'!BN44+'Table 3 Levels 1&amp;2'!BV44</f>
        <v>3666.4136012725312</v>
      </c>
      <c r="E42" s="1104">
        <f t="shared" si="28"/>
        <v>0</v>
      </c>
      <c r="F42" s="1104">
        <f t="shared" si="17"/>
        <v>0</v>
      </c>
      <c r="G42" s="1061">
        <f t="shared" si="29"/>
        <v>0</v>
      </c>
      <c r="H42" s="1114">
        <f t="shared" si="18"/>
        <v>0</v>
      </c>
      <c r="I42" s="1061">
        <f t="shared" si="19"/>
        <v>0</v>
      </c>
      <c r="J42" s="1061"/>
      <c r="K42" s="1061">
        <f t="shared" si="20"/>
        <v>0</v>
      </c>
      <c r="L42" s="1061">
        <f t="shared" si="21"/>
        <v>0</v>
      </c>
      <c r="M42" s="1051">
        <f>'[18]FY2012-13 Final'!K43</f>
        <v>4601</v>
      </c>
      <c r="N42" s="992">
        <f t="shared" si="30"/>
        <v>0</v>
      </c>
      <c r="O42" s="1117">
        <f t="shared" si="22"/>
        <v>0</v>
      </c>
      <c r="P42" s="992">
        <f t="shared" si="23"/>
        <v>0</v>
      </c>
      <c r="Q42" s="992"/>
      <c r="R42" s="992">
        <f t="shared" si="24"/>
        <v>0</v>
      </c>
      <c r="S42" s="992">
        <f t="shared" si="25"/>
        <v>0</v>
      </c>
      <c r="T42" s="993">
        <f t="shared" si="26"/>
        <v>0</v>
      </c>
      <c r="U42" s="993">
        <f t="shared" si="27"/>
        <v>0</v>
      </c>
    </row>
    <row r="43" spans="1:21">
      <c r="A43" s="994">
        <v>37</v>
      </c>
      <c r="B43" s="995" t="s">
        <v>131</v>
      </c>
      <c r="C43" s="1002">
        <f>'[2]ALL-Reformatted'!N42</f>
        <v>0</v>
      </c>
      <c r="D43" s="1003">
        <f>'Table 3 Levels 1&amp;2'!BN45+'Table 3 Levels 1&amp;2'!BV45</f>
        <v>5484.8089042263191</v>
      </c>
      <c r="E43" s="1102">
        <f t="shared" si="28"/>
        <v>0</v>
      </c>
      <c r="F43" s="1102">
        <f t="shared" si="17"/>
        <v>0</v>
      </c>
      <c r="G43" s="1059">
        <f t="shared" si="29"/>
        <v>0</v>
      </c>
      <c r="H43" s="1112">
        <f t="shared" si="18"/>
        <v>0</v>
      </c>
      <c r="I43" s="1059">
        <f t="shared" si="19"/>
        <v>0</v>
      </c>
      <c r="J43" s="1059"/>
      <c r="K43" s="1059">
        <f t="shared" si="20"/>
        <v>0</v>
      </c>
      <c r="L43" s="1059">
        <f t="shared" si="21"/>
        <v>0</v>
      </c>
      <c r="M43" s="1051">
        <f>'[18]FY2012-13 Final'!K44</f>
        <v>3099</v>
      </c>
      <c r="N43" s="1053">
        <f t="shared" si="30"/>
        <v>0</v>
      </c>
      <c r="O43" s="1118">
        <f t="shared" si="22"/>
        <v>0</v>
      </c>
      <c r="P43" s="1053">
        <f t="shared" si="23"/>
        <v>0</v>
      </c>
      <c r="Q43" s="1053"/>
      <c r="R43" s="1053">
        <f t="shared" si="24"/>
        <v>0</v>
      </c>
      <c r="S43" s="1053">
        <f t="shared" si="25"/>
        <v>0</v>
      </c>
      <c r="T43" s="1054">
        <f t="shared" si="26"/>
        <v>0</v>
      </c>
      <c r="U43" s="1054">
        <f t="shared" si="27"/>
        <v>0</v>
      </c>
    </row>
    <row r="44" spans="1:21">
      <c r="A44" s="994">
        <v>38</v>
      </c>
      <c r="B44" s="995" t="s">
        <v>132</v>
      </c>
      <c r="C44" s="1002">
        <f>'[2]ALL-Reformatted'!N43</f>
        <v>0</v>
      </c>
      <c r="D44" s="1003">
        <f>'Table 3 Levels 1&amp;2'!BN46+'Table 3 Levels 1&amp;2'!BV46</f>
        <v>2078.5917829727841</v>
      </c>
      <c r="E44" s="1102">
        <f t="shared" si="28"/>
        <v>0</v>
      </c>
      <c r="F44" s="1102">
        <f t="shared" si="17"/>
        <v>0</v>
      </c>
      <c r="G44" s="1059">
        <f t="shared" si="29"/>
        <v>0</v>
      </c>
      <c r="H44" s="1112">
        <f t="shared" si="18"/>
        <v>0</v>
      </c>
      <c r="I44" s="1059">
        <f t="shared" si="19"/>
        <v>0</v>
      </c>
      <c r="J44" s="1059"/>
      <c r="K44" s="1059">
        <f t="shared" si="20"/>
        <v>0</v>
      </c>
      <c r="L44" s="1059">
        <f t="shared" si="21"/>
        <v>0</v>
      </c>
      <c r="M44" s="1051">
        <f>'[18]FY2012-13 Final'!K45</f>
        <v>9674</v>
      </c>
      <c r="N44" s="1053">
        <f t="shared" si="30"/>
        <v>0</v>
      </c>
      <c r="O44" s="1118">
        <f t="shared" si="22"/>
        <v>0</v>
      </c>
      <c r="P44" s="1053">
        <f t="shared" si="23"/>
        <v>0</v>
      </c>
      <c r="Q44" s="1053"/>
      <c r="R44" s="1053">
        <f t="shared" si="24"/>
        <v>0</v>
      </c>
      <c r="S44" s="1053">
        <f t="shared" si="25"/>
        <v>0</v>
      </c>
      <c r="T44" s="1054">
        <f t="shared" si="26"/>
        <v>0</v>
      </c>
      <c r="U44" s="1054">
        <f t="shared" si="27"/>
        <v>0</v>
      </c>
    </row>
    <row r="45" spans="1:21">
      <c r="A45" s="994">
        <v>39</v>
      </c>
      <c r="B45" s="995" t="s">
        <v>133</v>
      </c>
      <c r="C45" s="1002">
        <f>'[2]ALL-Reformatted'!N44</f>
        <v>0</v>
      </c>
      <c r="D45" s="1003">
        <f>'Table 3 Levels 1&amp;2'!BN47+'Table 3 Levels 1&amp;2'!BV47</f>
        <v>3622.4878999042335</v>
      </c>
      <c r="E45" s="1102">
        <f t="shared" si="28"/>
        <v>0</v>
      </c>
      <c r="F45" s="1102">
        <f t="shared" si="17"/>
        <v>0</v>
      </c>
      <c r="G45" s="1059">
        <f t="shared" si="29"/>
        <v>0</v>
      </c>
      <c r="H45" s="1112">
        <f t="shared" si="18"/>
        <v>0</v>
      </c>
      <c r="I45" s="1059">
        <f t="shared" si="19"/>
        <v>0</v>
      </c>
      <c r="J45" s="1059"/>
      <c r="K45" s="1059">
        <f t="shared" si="20"/>
        <v>0</v>
      </c>
      <c r="L45" s="1059">
        <f t="shared" si="21"/>
        <v>0</v>
      </c>
      <c r="M45" s="1051">
        <f>'[18]FY2012-13 Final'!K46</f>
        <v>4277</v>
      </c>
      <c r="N45" s="1053">
        <f t="shared" si="30"/>
        <v>0</v>
      </c>
      <c r="O45" s="1118">
        <f t="shared" si="22"/>
        <v>0</v>
      </c>
      <c r="P45" s="1053">
        <f t="shared" si="23"/>
        <v>0</v>
      </c>
      <c r="Q45" s="1053"/>
      <c r="R45" s="1053">
        <f t="shared" si="24"/>
        <v>0</v>
      </c>
      <c r="S45" s="1053">
        <f t="shared" si="25"/>
        <v>0</v>
      </c>
      <c r="T45" s="1054">
        <f t="shared" si="26"/>
        <v>0</v>
      </c>
      <c r="U45" s="1054">
        <f t="shared" si="27"/>
        <v>0</v>
      </c>
    </row>
    <row r="46" spans="1:21">
      <c r="A46" s="998">
        <v>40</v>
      </c>
      <c r="B46" s="999" t="s">
        <v>134</v>
      </c>
      <c r="C46" s="1004">
        <f>'[2]ALL-Reformatted'!N45</f>
        <v>0</v>
      </c>
      <c r="D46" s="1005">
        <f>'Table 3 Levels 1&amp;2'!BN48+'Table 3 Levels 1&amp;2'!BV48</f>
        <v>4885.6387343180086</v>
      </c>
      <c r="E46" s="1103">
        <f t="shared" si="28"/>
        <v>0</v>
      </c>
      <c r="F46" s="1103">
        <f t="shared" si="17"/>
        <v>0</v>
      </c>
      <c r="G46" s="1060">
        <f t="shared" si="29"/>
        <v>0</v>
      </c>
      <c r="H46" s="1113">
        <f t="shared" si="18"/>
        <v>0</v>
      </c>
      <c r="I46" s="1060">
        <f t="shared" si="19"/>
        <v>0</v>
      </c>
      <c r="J46" s="1060"/>
      <c r="K46" s="1060">
        <f t="shared" si="20"/>
        <v>0</v>
      </c>
      <c r="L46" s="1060">
        <f t="shared" si="21"/>
        <v>0</v>
      </c>
      <c r="M46" s="1056">
        <f>'[18]FY2012-13 Final'!K47</f>
        <v>2921</v>
      </c>
      <c r="N46" s="1057">
        <f t="shared" si="30"/>
        <v>0</v>
      </c>
      <c r="O46" s="1119">
        <f t="shared" si="22"/>
        <v>0</v>
      </c>
      <c r="P46" s="1057">
        <f t="shared" si="23"/>
        <v>0</v>
      </c>
      <c r="Q46" s="1057"/>
      <c r="R46" s="1057">
        <f t="shared" si="24"/>
        <v>0</v>
      </c>
      <c r="S46" s="1057">
        <f t="shared" si="25"/>
        <v>0</v>
      </c>
      <c r="T46" s="1058">
        <f t="shared" si="26"/>
        <v>0</v>
      </c>
      <c r="U46" s="1058">
        <f t="shared" si="27"/>
        <v>0</v>
      </c>
    </row>
    <row r="47" spans="1:21">
      <c r="A47" s="987">
        <v>41</v>
      </c>
      <c r="B47" s="988" t="s">
        <v>135</v>
      </c>
      <c r="C47" s="1006">
        <f>'[2]ALL-Reformatted'!N46</f>
        <v>0</v>
      </c>
      <c r="D47" s="1007">
        <f>'Table 3 Levels 1&amp;2'!BN49+'Table 3 Levels 1&amp;2'!BV49</f>
        <v>1602.0398121899364</v>
      </c>
      <c r="E47" s="1104">
        <f t="shared" si="28"/>
        <v>0</v>
      </c>
      <c r="F47" s="1104">
        <f t="shared" si="17"/>
        <v>0</v>
      </c>
      <c r="G47" s="1061">
        <f t="shared" si="29"/>
        <v>0</v>
      </c>
      <c r="H47" s="1114">
        <f t="shared" si="18"/>
        <v>0</v>
      </c>
      <c r="I47" s="1061">
        <f t="shared" si="19"/>
        <v>0</v>
      </c>
      <c r="J47" s="1061"/>
      <c r="K47" s="1061">
        <f t="shared" si="20"/>
        <v>0</v>
      </c>
      <c r="L47" s="1061">
        <f t="shared" si="21"/>
        <v>0</v>
      </c>
      <c r="M47" s="1051">
        <f>'[18]FY2012-13 Final'!K48</f>
        <v>12026</v>
      </c>
      <c r="N47" s="992">
        <f t="shared" si="30"/>
        <v>0</v>
      </c>
      <c r="O47" s="1117">
        <f t="shared" si="22"/>
        <v>0</v>
      </c>
      <c r="P47" s="992">
        <f t="shared" si="23"/>
        <v>0</v>
      </c>
      <c r="Q47" s="992"/>
      <c r="R47" s="992">
        <f t="shared" si="24"/>
        <v>0</v>
      </c>
      <c r="S47" s="992">
        <f t="shared" si="25"/>
        <v>0</v>
      </c>
      <c r="T47" s="993">
        <f t="shared" si="26"/>
        <v>0</v>
      </c>
      <c r="U47" s="993">
        <f t="shared" si="27"/>
        <v>0</v>
      </c>
    </row>
    <row r="48" spans="1:21">
      <c r="A48" s="994">
        <v>42</v>
      </c>
      <c r="B48" s="995" t="s">
        <v>136</v>
      </c>
      <c r="C48" s="1002">
        <f>'[2]ALL-Reformatted'!N47</f>
        <v>0</v>
      </c>
      <c r="D48" s="1003">
        <f>'Table 3 Levels 1&amp;2'!BN50+'Table 3 Levels 1&amp;2'!BV50</f>
        <v>5098.6172346404755</v>
      </c>
      <c r="E48" s="1102">
        <f t="shared" si="28"/>
        <v>0</v>
      </c>
      <c r="F48" s="1102">
        <f t="shared" si="17"/>
        <v>0</v>
      </c>
      <c r="G48" s="1059">
        <f t="shared" si="29"/>
        <v>0</v>
      </c>
      <c r="H48" s="1112">
        <f t="shared" si="18"/>
        <v>0</v>
      </c>
      <c r="I48" s="1059">
        <f t="shared" si="19"/>
        <v>0</v>
      </c>
      <c r="J48" s="1059"/>
      <c r="K48" s="1059">
        <f t="shared" si="20"/>
        <v>0</v>
      </c>
      <c r="L48" s="1059">
        <f t="shared" si="21"/>
        <v>0</v>
      </c>
      <c r="M48" s="1051">
        <f>'[18]FY2012-13 Final'!K49</f>
        <v>2554</v>
      </c>
      <c r="N48" s="1053">
        <f t="shared" si="30"/>
        <v>0</v>
      </c>
      <c r="O48" s="1118">
        <f t="shared" si="22"/>
        <v>0</v>
      </c>
      <c r="P48" s="1053">
        <f t="shared" si="23"/>
        <v>0</v>
      </c>
      <c r="Q48" s="1053"/>
      <c r="R48" s="1053">
        <f t="shared" si="24"/>
        <v>0</v>
      </c>
      <c r="S48" s="1053">
        <f t="shared" si="25"/>
        <v>0</v>
      </c>
      <c r="T48" s="1054">
        <f t="shared" si="26"/>
        <v>0</v>
      </c>
      <c r="U48" s="1054">
        <f t="shared" si="27"/>
        <v>0</v>
      </c>
    </row>
    <row r="49" spans="1:21">
      <c r="A49" s="994">
        <v>43</v>
      </c>
      <c r="B49" s="995" t="s">
        <v>137</v>
      </c>
      <c r="C49" s="1002">
        <f>'[2]ALL-Reformatted'!N48</f>
        <v>0</v>
      </c>
      <c r="D49" s="1003">
        <f>'Table 3 Levels 1&amp;2'!BN51+'Table 3 Levels 1&amp;2'!BV51</f>
        <v>4701.3362575004667</v>
      </c>
      <c r="E49" s="1102">
        <f t="shared" si="28"/>
        <v>0</v>
      </c>
      <c r="F49" s="1102">
        <f t="shared" si="17"/>
        <v>0</v>
      </c>
      <c r="G49" s="1059">
        <f t="shared" si="29"/>
        <v>0</v>
      </c>
      <c r="H49" s="1112">
        <f t="shared" si="18"/>
        <v>0</v>
      </c>
      <c r="I49" s="1059">
        <f t="shared" si="19"/>
        <v>0</v>
      </c>
      <c r="J49" s="1059"/>
      <c r="K49" s="1059">
        <f t="shared" si="20"/>
        <v>0</v>
      </c>
      <c r="L49" s="1059">
        <f t="shared" si="21"/>
        <v>0</v>
      </c>
      <c r="M49" s="1051">
        <f>'[18]FY2012-13 Final'!K50</f>
        <v>5265</v>
      </c>
      <c r="N49" s="1053">
        <f t="shared" si="30"/>
        <v>0</v>
      </c>
      <c r="O49" s="1118">
        <f t="shared" si="22"/>
        <v>0</v>
      </c>
      <c r="P49" s="1053">
        <f t="shared" si="23"/>
        <v>0</v>
      </c>
      <c r="Q49" s="1053"/>
      <c r="R49" s="1053">
        <f t="shared" si="24"/>
        <v>0</v>
      </c>
      <c r="S49" s="1053">
        <f t="shared" si="25"/>
        <v>0</v>
      </c>
      <c r="T49" s="1054">
        <f t="shared" si="26"/>
        <v>0</v>
      </c>
      <c r="U49" s="1054">
        <f t="shared" si="27"/>
        <v>0</v>
      </c>
    </row>
    <row r="50" spans="1:21">
      <c r="A50" s="994">
        <v>44</v>
      </c>
      <c r="B50" s="995" t="s">
        <v>138</v>
      </c>
      <c r="C50" s="1002">
        <f>'[2]ALL-Reformatted'!N49</f>
        <v>0</v>
      </c>
      <c r="D50" s="1003">
        <f>'Table 3 Levels 1&amp;2'!BN52+'Table 3 Levels 1&amp;2'!BV52</f>
        <v>4649.5559521248724</v>
      </c>
      <c r="E50" s="1102">
        <f t="shared" si="28"/>
        <v>0</v>
      </c>
      <c r="F50" s="1102">
        <f t="shared" si="17"/>
        <v>0</v>
      </c>
      <c r="G50" s="1059">
        <f t="shared" si="29"/>
        <v>0</v>
      </c>
      <c r="H50" s="1112">
        <f t="shared" si="18"/>
        <v>0</v>
      </c>
      <c r="I50" s="1059">
        <f t="shared" si="19"/>
        <v>0</v>
      </c>
      <c r="J50" s="1059"/>
      <c r="K50" s="1059">
        <f t="shared" si="20"/>
        <v>0</v>
      </c>
      <c r="L50" s="1059">
        <f t="shared" si="21"/>
        <v>0</v>
      </c>
      <c r="M50" s="1051">
        <f>'[18]FY2012-13 Final'!K51</f>
        <v>4109</v>
      </c>
      <c r="N50" s="1053">
        <f t="shared" si="30"/>
        <v>0</v>
      </c>
      <c r="O50" s="1118">
        <f t="shared" si="22"/>
        <v>0</v>
      </c>
      <c r="P50" s="1053">
        <f t="shared" si="23"/>
        <v>0</v>
      </c>
      <c r="Q50" s="1053"/>
      <c r="R50" s="1053">
        <f t="shared" si="24"/>
        <v>0</v>
      </c>
      <c r="S50" s="1053">
        <f t="shared" si="25"/>
        <v>0</v>
      </c>
      <c r="T50" s="1054">
        <f t="shared" si="26"/>
        <v>0</v>
      </c>
      <c r="U50" s="1054">
        <f t="shared" si="27"/>
        <v>0</v>
      </c>
    </row>
    <row r="51" spans="1:21">
      <c r="A51" s="998">
        <v>45</v>
      </c>
      <c r="B51" s="999" t="s">
        <v>139</v>
      </c>
      <c r="C51" s="1004">
        <f>'[2]ALL-Reformatted'!N50</f>
        <v>2</v>
      </c>
      <c r="D51" s="1005">
        <f>'Table 3 Levels 1&amp;2'!BN53+'Table 3 Levels 1&amp;2'!BV53</f>
        <v>2159.257884231537</v>
      </c>
      <c r="E51" s="1103">
        <f t="shared" si="28"/>
        <v>4318.515768463074</v>
      </c>
      <c r="F51" s="1103">
        <f t="shared" si="17"/>
        <v>1318.4236199699449</v>
      </c>
      <c r="G51" s="1060">
        <f t="shared" si="29"/>
        <v>5636.9393884330184</v>
      </c>
      <c r="H51" s="1113">
        <f t="shared" si="18"/>
        <v>-14.092348471082547</v>
      </c>
      <c r="I51" s="1060">
        <f t="shared" si="19"/>
        <v>5622.8470399619355</v>
      </c>
      <c r="J51" s="1060"/>
      <c r="K51" s="1060">
        <f t="shared" si="20"/>
        <v>5622.8470399619355</v>
      </c>
      <c r="L51" s="1060">
        <f t="shared" si="21"/>
        <v>469</v>
      </c>
      <c r="M51" s="1056">
        <f>'[18]FY2012-13 Final'!K52</f>
        <v>12427</v>
      </c>
      <c r="N51" s="1057">
        <f t="shared" si="30"/>
        <v>24854</v>
      </c>
      <c r="O51" s="1119">
        <f t="shared" si="22"/>
        <v>-62.134999999999998</v>
      </c>
      <c r="P51" s="1057">
        <f t="shared" si="23"/>
        <v>24791.865000000002</v>
      </c>
      <c r="Q51" s="1057"/>
      <c r="R51" s="1057">
        <f t="shared" si="24"/>
        <v>24791.865000000002</v>
      </c>
      <c r="S51" s="1057">
        <f t="shared" si="25"/>
        <v>2066</v>
      </c>
      <c r="T51" s="1058">
        <f t="shared" si="26"/>
        <v>30414.712039961938</v>
      </c>
      <c r="U51" s="1058">
        <f t="shared" si="27"/>
        <v>2535</v>
      </c>
    </row>
    <row r="52" spans="1:21">
      <c r="A52" s="987">
        <v>46</v>
      </c>
      <c r="B52" s="988" t="s">
        <v>140</v>
      </c>
      <c r="C52" s="1006">
        <f>'[2]ALL-Reformatted'!N51</f>
        <v>0</v>
      </c>
      <c r="D52" s="1007">
        <f>'Table 3 Levels 1&amp;2'!BN54+'Table 3 Levels 1&amp;2'!BV54</f>
        <v>5578.7258135108641</v>
      </c>
      <c r="E52" s="1104">
        <f t="shared" si="28"/>
        <v>0</v>
      </c>
      <c r="F52" s="1104">
        <f t="shared" si="17"/>
        <v>0</v>
      </c>
      <c r="G52" s="1061">
        <f t="shared" si="29"/>
        <v>0</v>
      </c>
      <c r="H52" s="1114">
        <f t="shared" si="18"/>
        <v>0</v>
      </c>
      <c r="I52" s="1061">
        <f t="shared" si="19"/>
        <v>0</v>
      </c>
      <c r="J52" s="1061"/>
      <c r="K52" s="1061">
        <f t="shared" si="20"/>
        <v>0</v>
      </c>
      <c r="L52" s="1061">
        <f t="shared" si="21"/>
        <v>0</v>
      </c>
      <c r="M52" s="1051">
        <f>'[18]FY2012-13 Final'!K53</f>
        <v>1968</v>
      </c>
      <c r="N52" s="992">
        <f t="shared" si="30"/>
        <v>0</v>
      </c>
      <c r="O52" s="1117">
        <f t="shared" si="22"/>
        <v>0</v>
      </c>
      <c r="P52" s="992">
        <f t="shared" si="23"/>
        <v>0</v>
      </c>
      <c r="Q52" s="992"/>
      <c r="R52" s="992">
        <f t="shared" si="24"/>
        <v>0</v>
      </c>
      <c r="S52" s="992">
        <f t="shared" si="25"/>
        <v>0</v>
      </c>
      <c r="T52" s="993">
        <f t="shared" si="26"/>
        <v>0</v>
      </c>
      <c r="U52" s="993">
        <f t="shared" si="27"/>
        <v>0</v>
      </c>
    </row>
    <row r="53" spans="1:21">
      <c r="A53" s="994">
        <v>47</v>
      </c>
      <c r="B53" s="995" t="s">
        <v>141</v>
      </c>
      <c r="C53" s="1002">
        <f>'[2]ALL-Reformatted'!N52</f>
        <v>3</v>
      </c>
      <c r="D53" s="1003">
        <f>'Table 3 Levels 1&amp;2'!BN55+'Table 3 Levels 1&amp;2'!BV55</f>
        <v>2709.058014721415</v>
      </c>
      <c r="E53" s="1102">
        <f t="shared" si="28"/>
        <v>8127.1740441642451</v>
      </c>
      <c r="F53" s="1102">
        <f t="shared" si="17"/>
        <v>1977.6354299549173</v>
      </c>
      <c r="G53" s="1059">
        <f t="shared" si="29"/>
        <v>10104.809474119162</v>
      </c>
      <c r="H53" s="1112">
        <f t="shared" si="18"/>
        <v>-25.262023685297905</v>
      </c>
      <c r="I53" s="1059">
        <f t="shared" si="19"/>
        <v>10079.547450433864</v>
      </c>
      <c r="J53" s="1059"/>
      <c r="K53" s="1059">
        <f t="shared" si="20"/>
        <v>10079.547450433864</v>
      </c>
      <c r="L53" s="1059">
        <f t="shared" si="21"/>
        <v>840</v>
      </c>
      <c r="M53" s="1051">
        <f>'[18]FY2012-13 Final'!K54</f>
        <v>10049</v>
      </c>
      <c r="N53" s="1053">
        <f t="shared" si="30"/>
        <v>30147</v>
      </c>
      <c r="O53" s="1118">
        <f t="shared" si="22"/>
        <v>-75.367500000000007</v>
      </c>
      <c r="P53" s="1053">
        <f t="shared" si="23"/>
        <v>30071.6325</v>
      </c>
      <c r="Q53" s="1053"/>
      <c r="R53" s="1053">
        <f t="shared" si="24"/>
        <v>30071.6325</v>
      </c>
      <c r="S53" s="1053">
        <f t="shared" si="25"/>
        <v>2506</v>
      </c>
      <c r="T53" s="1054">
        <f t="shared" si="26"/>
        <v>40151.179950433863</v>
      </c>
      <c r="U53" s="1054">
        <f t="shared" si="27"/>
        <v>3346</v>
      </c>
    </row>
    <row r="54" spans="1:21">
      <c r="A54" s="994">
        <v>48</v>
      </c>
      <c r="B54" s="995" t="s">
        <v>202</v>
      </c>
      <c r="C54" s="1002">
        <f>'[2]ALL-Reformatted'!N53</f>
        <v>0</v>
      </c>
      <c r="D54" s="1003">
        <f>'Table 3 Levels 1&amp;2'!BN56+'Table 3 Levels 1&amp;2'!BV56</f>
        <v>4259.4136153508553</v>
      </c>
      <c r="E54" s="1102">
        <f t="shared" si="28"/>
        <v>0</v>
      </c>
      <c r="F54" s="1102">
        <f t="shared" si="17"/>
        <v>0</v>
      </c>
      <c r="G54" s="1059">
        <f t="shared" si="29"/>
        <v>0</v>
      </c>
      <c r="H54" s="1112">
        <f t="shared" si="18"/>
        <v>0</v>
      </c>
      <c r="I54" s="1059">
        <f t="shared" si="19"/>
        <v>0</v>
      </c>
      <c r="J54" s="1059"/>
      <c r="K54" s="1059">
        <f t="shared" si="20"/>
        <v>0</v>
      </c>
      <c r="L54" s="1059">
        <f t="shared" si="21"/>
        <v>0</v>
      </c>
      <c r="M54" s="1051">
        <f>'[18]FY2012-13 Final'!K55</f>
        <v>5755</v>
      </c>
      <c r="N54" s="1053">
        <f t="shared" si="30"/>
        <v>0</v>
      </c>
      <c r="O54" s="1118">
        <f t="shared" si="22"/>
        <v>0</v>
      </c>
      <c r="P54" s="1053">
        <f t="shared" si="23"/>
        <v>0</v>
      </c>
      <c r="Q54" s="1053"/>
      <c r="R54" s="1053">
        <f t="shared" si="24"/>
        <v>0</v>
      </c>
      <c r="S54" s="1053">
        <f t="shared" si="25"/>
        <v>0</v>
      </c>
      <c r="T54" s="1054">
        <f t="shared" si="26"/>
        <v>0</v>
      </c>
      <c r="U54" s="1054">
        <f t="shared" si="27"/>
        <v>0</v>
      </c>
    </row>
    <row r="55" spans="1:21">
      <c r="A55" s="994">
        <v>49</v>
      </c>
      <c r="B55" s="995" t="s">
        <v>142</v>
      </c>
      <c r="C55" s="1002">
        <f>'[2]ALL-Reformatted'!N54</f>
        <v>0</v>
      </c>
      <c r="D55" s="1003">
        <f>'Table 3 Levels 1&amp;2'!BN57+'Table 3 Levels 1&amp;2'!BV57</f>
        <v>4790.0513947378495</v>
      </c>
      <c r="E55" s="1102">
        <f t="shared" si="28"/>
        <v>0</v>
      </c>
      <c r="F55" s="1102">
        <f t="shared" si="17"/>
        <v>0</v>
      </c>
      <c r="G55" s="1059">
        <f t="shared" si="29"/>
        <v>0</v>
      </c>
      <c r="H55" s="1112">
        <f t="shared" si="18"/>
        <v>0</v>
      </c>
      <c r="I55" s="1059">
        <f t="shared" si="19"/>
        <v>0</v>
      </c>
      <c r="J55" s="1059"/>
      <c r="K55" s="1059">
        <f t="shared" si="20"/>
        <v>0</v>
      </c>
      <c r="L55" s="1059">
        <f t="shared" si="21"/>
        <v>0</v>
      </c>
      <c r="M55" s="1051">
        <f>'[18]FY2012-13 Final'!K56</f>
        <v>2335</v>
      </c>
      <c r="N55" s="1053">
        <f t="shared" si="30"/>
        <v>0</v>
      </c>
      <c r="O55" s="1118">
        <f t="shared" si="22"/>
        <v>0</v>
      </c>
      <c r="P55" s="1053">
        <f t="shared" si="23"/>
        <v>0</v>
      </c>
      <c r="Q55" s="1053"/>
      <c r="R55" s="1053">
        <f t="shared" si="24"/>
        <v>0</v>
      </c>
      <c r="S55" s="1053">
        <f t="shared" si="25"/>
        <v>0</v>
      </c>
      <c r="T55" s="1054">
        <f t="shared" si="26"/>
        <v>0</v>
      </c>
      <c r="U55" s="1054">
        <f t="shared" si="27"/>
        <v>0</v>
      </c>
    </row>
    <row r="56" spans="1:21">
      <c r="A56" s="998">
        <v>50</v>
      </c>
      <c r="B56" s="999" t="s">
        <v>143</v>
      </c>
      <c r="C56" s="1004">
        <f>'[2]ALL-Reformatted'!N55</f>
        <v>0</v>
      </c>
      <c r="D56" s="1005">
        <f>'Table 3 Levels 1&amp;2'!BN58+'Table 3 Levels 1&amp;2'!BV58</f>
        <v>4954.3375045905796</v>
      </c>
      <c r="E56" s="1103">
        <f t="shared" si="28"/>
        <v>0</v>
      </c>
      <c r="F56" s="1103">
        <f t="shared" si="17"/>
        <v>0</v>
      </c>
      <c r="G56" s="1060">
        <f t="shared" si="29"/>
        <v>0</v>
      </c>
      <c r="H56" s="1113">
        <f t="shared" si="18"/>
        <v>0</v>
      </c>
      <c r="I56" s="1060">
        <f t="shared" si="19"/>
        <v>0</v>
      </c>
      <c r="J56" s="1060"/>
      <c r="K56" s="1060">
        <f t="shared" si="20"/>
        <v>0</v>
      </c>
      <c r="L56" s="1060">
        <f t="shared" si="21"/>
        <v>0</v>
      </c>
      <c r="M56" s="1056">
        <f>'[18]FY2012-13 Final'!K57</f>
        <v>2801</v>
      </c>
      <c r="N56" s="1057">
        <f t="shared" si="30"/>
        <v>0</v>
      </c>
      <c r="O56" s="1119">
        <f t="shared" si="22"/>
        <v>0</v>
      </c>
      <c r="P56" s="1057">
        <f t="shared" si="23"/>
        <v>0</v>
      </c>
      <c r="Q56" s="1057"/>
      <c r="R56" s="1057">
        <f t="shared" si="24"/>
        <v>0</v>
      </c>
      <c r="S56" s="1057">
        <f t="shared" si="25"/>
        <v>0</v>
      </c>
      <c r="T56" s="1058">
        <f t="shared" si="26"/>
        <v>0</v>
      </c>
      <c r="U56" s="1058">
        <f t="shared" si="27"/>
        <v>0</v>
      </c>
    </row>
    <row r="57" spans="1:21">
      <c r="A57" s="987">
        <v>51</v>
      </c>
      <c r="B57" s="988" t="s">
        <v>144</v>
      </c>
      <c r="C57" s="1006">
        <f>'[2]ALL-Reformatted'!N56</f>
        <v>2</v>
      </c>
      <c r="D57" s="1007">
        <f>'Table 3 Levels 1&amp;2'!BN59+'Table 3 Levels 1&amp;2'!BV59</f>
        <v>4290.3461727150461</v>
      </c>
      <c r="E57" s="1104">
        <f t="shared" si="28"/>
        <v>8580.6923454300922</v>
      </c>
      <c r="F57" s="1104">
        <f t="shared" si="17"/>
        <v>1318.4236199699449</v>
      </c>
      <c r="G57" s="1061">
        <f t="shared" si="29"/>
        <v>9899.1159654000367</v>
      </c>
      <c r="H57" s="1114">
        <f t="shared" si="18"/>
        <v>-24.747789913500092</v>
      </c>
      <c r="I57" s="1061">
        <f t="shared" si="19"/>
        <v>9874.3681754865374</v>
      </c>
      <c r="J57" s="1061"/>
      <c r="K57" s="1061">
        <f t="shared" si="20"/>
        <v>9874.3681754865374</v>
      </c>
      <c r="L57" s="1061">
        <f t="shared" si="21"/>
        <v>823</v>
      </c>
      <c r="M57" s="1051">
        <f>'[18]FY2012-13 Final'!K58</f>
        <v>4053</v>
      </c>
      <c r="N57" s="992">
        <f t="shared" si="30"/>
        <v>8106</v>
      </c>
      <c r="O57" s="1117">
        <f t="shared" si="22"/>
        <v>-20.265000000000001</v>
      </c>
      <c r="P57" s="992">
        <f t="shared" si="23"/>
        <v>8085.7349999999997</v>
      </c>
      <c r="Q57" s="992"/>
      <c r="R57" s="992">
        <f t="shared" si="24"/>
        <v>8085.7349999999997</v>
      </c>
      <c r="S57" s="992">
        <f t="shared" si="25"/>
        <v>674</v>
      </c>
      <c r="T57" s="993">
        <f t="shared" si="26"/>
        <v>17960.103175486536</v>
      </c>
      <c r="U57" s="993">
        <f t="shared" si="27"/>
        <v>1497</v>
      </c>
    </row>
    <row r="58" spans="1:21">
      <c r="A58" s="994">
        <v>52</v>
      </c>
      <c r="B58" s="995" t="s">
        <v>145</v>
      </c>
      <c r="C58" s="1002">
        <f>'[2]ALL-Reformatted'!N57</f>
        <v>0</v>
      </c>
      <c r="D58" s="1003">
        <f>'Table 3 Levels 1&amp;2'!BN60+'Table 3 Levels 1&amp;2'!BV60</f>
        <v>4988.6415961118701</v>
      </c>
      <c r="E58" s="1102">
        <f t="shared" si="28"/>
        <v>0</v>
      </c>
      <c r="F58" s="1102">
        <f t="shared" si="17"/>
        <v>0</v>
      </c>
      <c r="G58" s="1059">
        <f t="shared" si="29"/>
        <v>0</v>
      </c>
      <c r="H58" s="1112">
        <f t="shared" si="18"/>
        <v>0</v>
      </c>
      <c r="I58" s="1059">
        <f t="shared" si="19"/>
        <v>0</v>
      </c>
      <c r="J58" s="1059"/>
      <c r="K58" s="1059">
        <f t="shared" si="20"/>
        <v>0</v>
      </c>
      <c r="L58" s="1059">
        <f t="shared" si="21"/>
        <v>0</v>
      </c>
      <c r="M58" s="1051">
        <f>'[18]FY2012-13 Final'!K59</f>
        <v>4886</v>
      </c>
      <c r="N58" s="1053">
        <f t="shared" si="30"/>
        <v>0</v>
      </c>
      <c r="O58" s="1118">
        <f t="shared" si="22"/>
        <v>0</v>
      </c>
      <c r="P58" s="1053">
        <f t="shared" si="23"/>
        <v>0</v>
      </c>
      <c r="Q58" s="1053"/>
      <c r="R58" s="1053">
        <f t="shared" si="24"/>
        <v>0</v>
      </c>
      <c r="S58" s="1053">
        <f t="shared" si="25"/>
        <v>0</v>
      </c>
      <c r="T58" s="1054">
        <f t="shared" si="26"/>
        <v>0</v>
      </c>
      <c r="U58" s="1054">
        <f t="shared" si="27"/>
        <v>0</v>
      </c>
    </row>
    <row r="59" spans="1:21">
      <c r="A59" s="994">
        <v>53</v>
      </c>
      <c r="B59" s="995" t="s">
        <v>146</v>
      </c>
      <c r="C59" s="1002">
        <f>'[2]ALL-Reformatted'!N58</f>
        <v>0</v>
      </c>
      <c r="D59" s="1003">
        <f>'Table 3 Levels 1&amp;2'!BN61+'Table 3 Levels 1&amp;2'!BV61</f>
        <v>4739.7077057162423</v>
      </c>
      <c r="E59" s="1102">
        <f t="shared" si="28"/>
        <v>0</v>
      </c>
      <c r="F59" s="1102">
        <f t="shared" si="17"/>
        <v>0</v>
      </c>
      <c r="G59" s="1059">
        <f t="shared" si="29"/>
        <v>0</v>
      </c>
      <c r="H59" s="1112">
        <f t="shared" si="18"/>
        <v>0</v>
      </c>
      <c r="I59" s="1059">
        <f t="shared" si="19"/>
        <v>0</v>
      </c>
      <c r="J59" s="1059"/>
      <c r="K59" s="1059">
        <f t="shared" si="20"/>
        <v>0</v>
      </c>
      <c r="L59" s="1059">
        <f t="shared" si="21"/>
        <v>0</v>
      </c>
      <c r="M59" s="1051">
        <f>'[18]FY2012-13 Final'!K60</f>
        <v>1929</v>
      </c>
      <c r="N59" s="1053">
        <f t="shared" si="30"/>
        <v>0</v>
      </c>
      <c r="O59" s="1118">
        <f t="shared" si="22"/>
        <v>0</v>
      </c>
      <c r="P59" s="1053">
        <f t="shared" si="23"/>
        <v>0</v>
      </c>
      <c r="Q59" s="1053"/>
      <c r="R59" s="1053">
        <f t="shared" si="24"/>
        <v>0</v>
      </c>
      <c r="S59" s="1053">
        <f t="shared" si="25"/>
        <v>0</v>
      </c>
      <c r="T59" s="1054">
        <f t="shared" si="26"/>
        <v>0</v>
      </c>
      <c r="U59" s="1054">
        <f t="shared" si="27"/>
        <v>0</v>
      </c>
    </row>
    <row r="60" spans="1:21">
      <c r="A60" s="994">
        <v>54</v>
      </c>
      <c r="B60" s="995" t="s">
        <v>147</v>
      </c>
      <c r="C60" s="1002">
        <f>'[2]ALL-Reformatted'!N59</f>
        <v>0</v>
      </c>
      <c r="D60" s="1003">
        <f>'Table 3 Levels 1&amp;2'!BN62+'Table 3 Levels 1&amp;2'!BV62</f>
        <v>5907.1276437932838</v>
      </c>
      <c r="E60" s="1102">
        <f t="shared" si="28"/>
        <v>0</v>
      </c>
      <c r="F60" s="1102">
        <f t="shared" si="17"/>
        <v>0</v>
      </c>
      <c r="G60" s="1059">
        <f t="shared" si="29"/>
        <v>0</v>
      </c>
      <c r="H60" s="1112">
        <f t="shared" si="18"/>
        <v>0</v>
      </c>
      <c r="I60" s="1059">
        <f t="shared" si="19"/>
        <v>0</v>
      </c>
      <c r="J60" s="1059"/>
      <c r="K60" s="1059">
        <f t="shared" si="20"/>
        <v>0</v>
      </c>
      <c r="L60" s="1059">
        <f t="shared" si="21"/>
        <v>0</v>
      </c>
      <c r="M60" s="1051">
        <f>'[18]FY2012-13 Final'!K61</f>
        <v>3382</v>
      </c>
      <c r="N60" s="1053">
        <f t="shared" si="30"/>
        <v>0</v>
      </c>
      <c r="O60" s="1118">
        <f t="shared" si="22"/>
        <v>0</v>
      </c>
      <c r="P60" s="1053">
        <f t="shared" si="23"/>
        <v>0</v>
      </c>
      <c r="Q60" s="1053"/>
      <c r="R60" s="1053">
        <f t="shared" si="24"/>
        <v>0</v>
      </c>
      <c r="S60" s="1053">
        <f t="shared" si="25"/>
        <v>0</v>
      </c>
      <c r="T60" s="1054">
        <f t="shared" si="26"/>
        <v>0</v>
      </c>
      <c r="U60" s="1054">
        <f t="shared" si="27"/>
        <v>0</v>
      </c>
    </row>
    <row r="61" spans="1:21">
      <c r="A61" s="998">
        <v>55</v>
      </c>
      <c r="B61" s="999" t="s">
        <v>148</v>
      </c>
      <c r="C61" s="1004">
        <f>'[2]ALL-Reformatted'!N60</f>
        <v>43</v>
      </c>
      <c r="D61" s="1005">
        <f>'Table 3 Levels 1&amp;2'!BN63+'Table 3 Levels 1&amp;2'!BV63</f>
        <v>4115.0954812679902</v>
      </c>
      <c r="E61" s="1103">
        <f t="shared" si="28"/>
        <v>176949.10569452358</v>
      </c>
      <c r="F61" s="1103">
        <f t="shared" si="17"/>
        <v>28346.107829353816</v>
      </c>
      <c r="G61" s="1060">
        <f t="shared" si="29"/>
        <v>205295.21352387738</v>
      </c>
      <c r="H61" s="1113">
        <f t="shared" si="18"/>
        <v>-513.23803380969343</v>
      </c>
      <c r="I61" s="1060">
        <f t="shared" si="19"/>
        <v>204781.97549006768</v>
      </c>
      <c r="J61" s="1060"/>
      <c r="K61" s="1060">
        <f t="shared" si="20"/>
        <v>204781.97549006768</v>
      </c>
      <c r="L61" s="1060">
        <f t="shared" si="21"/>
        <v>17065</v>
      </c>
      <c r="M61" s="1056">
        <f>'[18]FY2012-13 Final'!K62</f>
        <v>3127</v>
      </c>
      <c r="N61" s="1057">
        <f t="shared" si="30"/>
        <v>134461</v>
      </c>
      <c r="O61" s="1119">
        <f t="shared" si="22"/>
        <v>-336.15250000000003</v>
      </c>
      <c r="P61" s="1057">
        <f t="shared" si="23"/>
        <v>134124.8475</v>
      </c>
      <c r="Q61" s="1057"/>
      <c r="R61" s="1057">
        <f t="shared" si="24"/>
        <v>134124.8475</v>
      </c>
      <c r="S61" s="1057">
        <f t="shared" si="25"/>
        <v>11177</v>
      </c>
      <c r="T61" s="1058">
        <f t="shared" si="26"/>
        <v>338906.82299006765</v>
      </c>
      <c r="U61" s="1058">
        <f t="shared" si="27"/>
        <v>28242</v>
      </c>
    </row>
    <row r="62" spans="1:21">
      <c r="A62" s="987">
        <v>56</v>
      </c>
      <c r="B62" s="988" t="s">
        <v>149</v>
      </c>
      <c r="C62" s="1006">
        <f>'[2]ALL-Reformatted'!N61</f>
        <v>0</v>
      </c>
      <c r="D62" s="1007">
        <f>'Table 3 Levels 1&amp;2'!BN64+'Table 3 Levels 1&amp;2'!BV64</f>
        <v>4924.9032059941637</v>
      </c>
      <c r="E62" s="1104">
        <f t="shared" si="28"/>
        <v>0</v>
      </c>
      <c r="F62" s="1104">
        <f t="shared" si="17"/>
        <v>0</v>
      </c>
      <c r="G62" s="1061">
        <f t="shared" si="29"/>
        <v>0</v>
      </c>
      <c r="H62" s="1114">
        <f t="shared" si="18"/>
        <v>0</v>
      </c>
      <c r="I62" s="1061">
        <f t="shared" si="19"/>
        <v>0</v>
      </c>
      <c r="J62" s="1061"/>
      <c r="K62" s="1061">
        <f t="shared" si="20"/>
        <v>0</v>
      </c>
      <c r="L62" s="1061">
        <f t="shared" si="21"/>
        <v>0</v>
      </c>
      <c r="M62" s="1051">
        <f>'[18]FY2012-13 Final'!K63</f>
        <v>2768</v>
      </c>
      <c r="N62" s="992">
        <f t="shared" si="30"/>
        <v>0</v>
      </c>
      <c r="O62" s="1117">
        <f t="shared" si="22"/>
        <v>0</v>
      </c>
      <c r="P62" s="992">
        <f t="shared" si="23"/>
        <v>0</v>
      </c>
      <c r="Q62" s="992"/>
      <c r="R62" s="992">
        <f t="shared" si="24"/>
        <v>0</v>
      </c>
      <c r="S62" s="992">
        <f t="shared" si="25"/>
        <v>0</v>
      </c>
      <c r="T62" s="993">
        <f t="shared" si="26"/>
        <v>0</v>
      </c>
      <c r="U62" s="993">
        <f t="shared" si="27"/>
        <v>0</v>
      </c>
    </row>
    <row r="63" spans="1:21">
      <c r="A63" s="994">
        <v>57</v>
      </c>
      <c r="B63" s="995" t="s">
        <v>150</v>
      </c>
      <c r="C63" s="1002">
        <f>'[2]ALL-Reformatted'!N62</f>
        <v>0</v>
      </c>
      <c r="D63" s="1003">
        <f>'Table 3 Levels 1&amp;2'!BN65+'Table 3 Levels 1&amp;2'!BV65</f>
        <v>4434.5516744018987</v>
      </c>
      <c r="E63" s="1102">
        <f t="shared" si="28"/>
        <v>0</v>
      </c>
      <c r="F63" s="1102">
        <f t="shared" si="17"/>
        <v>0</v>
      </c>
      <c r="G63" s="1059">
        <f t="shared" si="29"/>
        <v>0</v>
      </c>
      <c r="H63" s="1112">
        <f t="shared" si="18"/>
        <v>0</v>
      </c>
      <c r="I63" s="1059">
        <f t="shared" si="19"/>
        <v>0</v>
      </c>
      <c r="J63" s="1059"/>
      <c r="K63" s="1059">
        <f t="shared" si="20"/>
        <v>0</v>
      </c>
      <c r="L63" s="1059">
        <f t="shared" si="21"/>
        <v>0</v>
      </c>
      <c r="M63" s="1051">
        <f>'[18]FY2012-13 Final'!K64</f>
        <v>2987</v>
      </c>
      <c r="N63" s="1053">
        <f t="shared" si="30"/>
        <v>0</v>
      </c>
      <c r="O63" s="1118">
        <f t="shared" si="22"/>
        <v>0</v>
      </c>
      <c r="P63" s="1053">
        <f t="shared" si="23"/>
        <v>0</v>
      </c>
      <c r="Q63" s="1053"/>
      <c r="R63" s="1053">
        <f t="shared" si="24"/>
        <v>0</v>
      </c>
      <c r="S63" s="1053">
        <f t="shared" si="25"/>
        <v>0</v>
      </c>
      <c r="T63" s="1054">
        <f t="shared" si="26"/>
        <v>0</v>
      </c>
      <c r="U63" s="1054">
        <f t="shared" si="27"/>
        <v>0</v>
      </c>
    </row>
    <row r="64" spans="1:21">
      <c r="A64" s="994">
        <v>58</v>
      </c>
      <c r="B64" s="995" t="s">
        <v>151</v>
      </c>
      <c r="C64" s="1002">
        <f>'[2]ALL-Reformatted'!N63</f>
        <v>0</v>
      </c>
      <c r="D64" s="1003">
        <f>'Table 3 Levels 1&amp;2'!BN66+'Table 3 Levels 1&amp;2'!BV66</f>
        <v>5434.7170435013286</v>
      </c>
      <c r="E64" s="1102">
        <f t="shared" si="28"/>
        <v>0</v>
      </c>
      <c r="F64" s="1102">
        <f t="shared" si="17"/>
        <v>0</v>
      </c>
      <c r="G64" s="1059">
        <f t="shared" si="29"/>
        <v>0</v>
      </c>
      <c r="H64" s="1112">
        <f t="shared" si="18"/>
        <v>0</v>
      </c>
      <c r="I64" s="1059">
        <f t="shared" si="19"/>
        <v>0</v>
      </c>
      <c r="J64" s="1059"/>
      <c r="K64" s="1059">
        <f t="shared" si="20"/>
        <v>0</v>
      </c>
      <c r="L64" s="1059">
        <f t="shared" si="21"/>
        <v>0</v>
      </c>
      <c r="M64" s="1051">
        <f>'[18]FY2012-13 Final'!K65</f>
        <v>2055</v>
      </c>
      <c r="N64" s="1053">
        <f t="shared" si="30"/>
        <v>0</v>
      </c>
      <c r="O64" s="1118">
        <f t="shared" si="22"/>
        <v>0</v>
      </c>
      <c r="P64" s="1053">
        <f t="shared" si="23"/>
        <v>0</v>
      </c>
      <c r="Q64" s="1053"/>
      <c r="R64" s="1053">
        <f t="shared" si="24"/>
        <v>0</v>
      </c>
      <c r="S64" s="1053">
        <f t="shared" si="25"/>
        <v>0</v>
      </c>
      <c r="T64" s="1054">
        <f t="shared" si="26"/>
        <v>0</v>
      </c>
      <c r="U64" s="1054">
        <f t="shared" si="27"/>
        <v>0</v>
      </c>
    </row>
    <row r="65" spans="1:21">
      <c r="A65" s="994">
        <v>59</v>
      </c>
      <c r="B65" s="995" t="s">
        <v>152</v>
      </c>
      <c r="C65" s="1002">
        <f>'[2]ALL-Reformatted'!N64</f>
        <v>0</v>
      </c>
      <c r="D65" s="1003">
        <f>'Table 3 Levels 1&amp;2'!BN67+'Table 3 Levels 1&amp;2'!BV67</f>
        <v>6252.2385330184643</v>
      </c>
      <c r="E65" s="1102">
        <f t="shared" si="28"/>
        <v>0</v>
      </c>
      <c r="F65" s="1102">
        <f t="shared" si="17"/>
        <v>0</v>
      </c>
      <c r="G65" s="1059">
        <f t="shared" si="29"/>
        <v>0</v>
      </c>
      <c r="H65" s="1112">
        <f t="shared" si="18"/>
        <v>0</v>
      </c>
      <c r="I65" s="1059">
        <f t="shared" si="19"/>
        <v>0</v>
      </c>
      <c r="J65" s="1059"/>
      <c r="K65" s="1059">
        <f t="shared" si="20"/>
        <v>0</v>
      </c>
      <c r="L65" s="1059">
        <f t="shared" si="21"/>
        <v>0</v>
      </c>
      <c r="M65" s="1051">
        <f>'[18]FY2012-13 Final'!K66</f>
        <v>1528</v>
      </c>
      <c r="N65" s="1053">
        <f t="shared" si="30"/>
        <v>0</v>
      </c>
      <c r="O65" s="1118">
        <f t="shared" si="22"/>
        <v>0</v>
      </c>
      <c r="P65" s="1053">
        <f t="shared" si="23"/>
        <v>0</v>
      </c>
      <c r="Q65" s="1053"/>
      <c r="R65" s="1053">
        <f t="shared" si="24"/>
        <v>0</v>
      </c>
      <c r="S65" s="1053">
        <f t="shared" si="25"/>
        <v>0</v>
      </c>
      <c r="T65" s="1054">
        <f t="shared" si="26"/>
        <v>0</v>
      </c>
      <c r="U65" s="1054">
        <f t="shared" si="27"/>
        <v>0</v>
      </c>
    </row>
    <row r="66" spans="1:21">
      <c r="A66" s="998">
        <v>60</v>
      </c>
      <c r="B66" s="999" t="s">
        <v>153</v>
      </c>
      <c r="C66" s="1004">
        <f>'[2]ALL-Reformatted'!N65</f>
        <v>0</v>
      </c>
      <c r="D66" s="1005">
        <f>'Table 3 Levels 1&amp;2'!BN68+'Table 3 Levels 1&amp;2'!BV68</f>
        <v>4902.6575100268701</v>
      </c>
      <c r="E66" s="1103">
        <f t="shared" si="28"/>
        <v>0</v>
      </c>
      <c r="F66" s="1103">
        <f t="shared" si="17"/>
        <v>0</v>
      </c>
      <c r="G66" s="1060">
        <f t="shared" si="29"/>
        <v>0</v>
      </c>
      <c r="H66" s="1113">
        <f t="shared" si="18"/>
        <v>0</v>
      </c>
      <c r="I66" s="1060">
        <f t="shared" si="19"/>
        <v>0</v>
      </c>
      <c r="J66" s="1060"/>
      <c r="K66" s="1060">
        <f t="shared" si="20"/>
        <v>0</v>
      </c>
      <c r="L66" s="1060">
        <f t="shared" si="21"/>
        <v>0</v>
      </c>
      <c r="M66" s="1056">
        <f>'[18]FY2012-13 Final'!K67</f>
        <v>3918</v>
      </c>
      <c r="N66" s="1057">
        <f t="shared" si="30"/>
        <v>0</v>
      </c>
      <c r="O66" s="1119">
        <f t="shared" si="22"/>
        <v>0</v>
      </c>
      <c r="P66" s="1057">
        <f t="shared" si="23"/>
        <v>0</v>
      </c>
      <c r="Q66" s="1057"/>
      <c r="R66" s="1057">
        <f t="shared" si="24"/>
        <v>0</v>
      </c>
      <c r="S66" s="1057">
        <f t="shared" si="25"/>
        <v>0</v>
      </c>
      <c r="T66" s="1058">
        <f t="shared" si="26"/>
        <v>0</v>
      </c>
      <c r="U66" s="1058">
        <f t="shared" si="27"/>
        <v>0</v>
      </c>
    </row>
    <row r="67" spans="1:21">
      <c r="A67" s="987">
        <v>61</v>
      </c>
      <c r="B67" s="988" t="s">
        <v>154</v>
      </c>
      <c r="C67" s="1006">
        <f>'[2]ALL-Reformatted'!N66</f>
        <v>0</v>
      </c>
      <c r="D67" s="1007">
        <f>'Table 3 Levels 1&amp;2'!BN69+'Table 3 Levels 1&amp;2'!BV69</f>
        <v>2872.7719101339244</v>
      </c>
      <c r="E67" s="1104">
        <f t="shared" si="28"/>
        <v>0</v>
      </c>
      <c r="F67" s="1104">
        <f t="shared" si="17"/>
        <v>0</v>
      </c>
      <c r="G67" s="1061">
        <f t="shared" si="29"/>
        <v>0</v>
      </c>
      <c r="H67" s="1114">
        <f t="shared" si="18"/>
        <v>0</v>
      </c>
      <c r="I67" s="1061">
        <f t="shared" si="19"/>
        <v>0</v>
      </c>
      <c r="J67" s="1061"/>
      <c r="K67" s="1061">
        <f t="shared" si="20"/>
        <v>0</v>
      </c>
      <c r="L67" s="1061">
        <f t="shared" si="21"/>
        <v>0</v>
      </c>
      <c r="M67" s="1051">
        <f>'[18]FY2012-13 Final'!K68</f>
        <v>6680</v>
      </c>
      <c r="N67" s="992">
        <f t="shared" si="30"/>
        <v>0</v>
      </c>
      <c r="O67" s="1117">
        <f t="shared" si="22"/>
        <v>0</v>
      </c>
      <c r="P67" s="992">
        <f t="shared" si="23"/>
        <v>0</v>
      </c>
      <c r="Q67" s="992"/>
      <c r="R67" s="992">
        <f t="shared" si="24"/>
        <v>0</v>
      </c>
      <c r="S67" s="992">
        <f t="shared" si="25"/>
        <v>0</v>
      </c>
      <c r="T67" s="993">
        <f t="shared" si="26"/>
        <v>0</v>
      </c>
      <c r="U67" s="993">
        <f t="shared" si="27"/>
        <v>0</v>
      </c>
    </row>
    <row r="68" spans="1:21">
      <c r="A68" s="994">
        <v>62</v>
      </c>
      <c r="B68" s="995" t="s">
        <v>155</v>
      </c>
      <c r="C68" s="1002">
        <f>'[2]ALL-Reformatted'!N67</f>
        <v>0</v>
      </c>
      <c r="D68" s="1003">
        <f>'Table 3 Levels 1&amp;2'!BN70+'Table 3 Levels 1&amp;2'!BV70</f>
        <v>5594.25143978908</v>
      </c>
      <c r="E68" s="1102">
        <f t="shared" si="28"/>
        <v>0</v>
      </c>
      <c r="F68" s="1102">
        <f t="shared" si="17"/>
        <v>0</v>
      </c>
      <c r="G68" s="1059">
        <f t="shared" si="29"/>
        <v>0</v>
      </c>
      <c r="H68" s="1112">
        <f t="shared" si="18"/>
        <v>0</v>
      </c>
      <c r="I68" s="1059">
        <f t="shared" si="19"/>
        <v>0</v>
      </c>
      <c r="J68" s="1059"/>
      <c r="K68" s="1059">
        <f t="shared" si="20"/>
        <v>0</v>
      </c>
      <c r="L68" s="1059">
        <f t="shared" si="21"/>
        <v>0</v>
      </c>
      <c r="M68" s="1051">
        <f>'[18]FY2012-13 Final'!K69</f>
        <v>1754</v>
      </c>
      <c r="N68" s="1053">
        <f t="shared" si="30"/>
        <v>0</v>
      </c>
      <c r="O68" s="1118">
        <f t="shared" si="22"/>
        <v>0</v>
      </c>
      <c r="P68" s="1053">
        <f t="shared" si="23"/>
        <v>0</v>
      </c>
      <c r="Q68" s="1053"/>
      <c r="R68" s="1053">
        <f t="shared" si="24"/>
        <v>0</v>
      </c>
      <c r="S68" s="1053">
        <f t="shared" si="25"/>
        <v>0</v>
      </c>
      <c r="T68" s="1054">
        <f t="shared" si="26"/>
        <v>0</v>
      </c>
      <c r="U68" s="1054">
        <f t="shared" si="27"/>
        <v>0</v>
      </c>
    </row>
    <row r="69" spans="1:21">
      <c r="A69" s="994">
        <v>63</v>
      </c>
      <c r="B69" s="995" t="s">
        <v>156</v>
      </c>
      <c r="C69" s="1002">
        <f>'[2]ALL-Reformatted'!N68</f>
        <v>0</v>
      </c>
      <c r="D69" s="1003">
        <f>'Table 3 Levels 1&amp;2'!BN71+'Table 3 Levels 1&amp;2'!BV71</f>
        <v>4318.8609300898834</v>
      </c>
      <c r="E69" s="1102">
        <f t="shared" si="28"/>
        <v>0</v>
      </c>
      <c r="F69" s="1102">
        <f t="shared" si="17"/>
        <v>0</v>
      </c>
      <c r="G69" s="1059">
        <f t="shared" si="29"/>
        <v>0</v>
      </c>
      <c r="H69" s="1112">
        <f t="shared" si="18"/>
        <v>0</v>
      </c>
      <c r="I69" s="1059">
        <f t="shared" si="19"/>
        <v>0</v>
      </c>
      <c r="J69" s="1059"/>
      <c r="K69" s="1059">
        <f t="shared" si="20"/>
        <v>0</v>
      </c>
      <c r="L69" s="1059">
        <f t="shared" si="21"/>
        <v>0</v>
      </c>
      <c r="M69" s="1051">
        <f>'[18]FY2012-13 Final'!K70</f>
        <v>7182</v>
      </c>
      <c r="N69" s="1053">
        <f t="shared" si="30"/>
        <v>0</v>
      </c>
      <c r="O69" s="1118">
        <f t="shared" si="22"/>
        <v>0</v>
      </c>
      <c r="P69" s="1053">
        <f t="shared" si="23"/>
        <v>0</v>
      </c>
      <c r="Q69" s="1053"/>
      <c r="R69" s="1053">
        <f t="shared" si="24"/>
        <v>0</v>
      </c>
      <c r="S69" s="1053">
        <f t="shared" si="25"/>
        <v>0</v>
      </c>
      <c r="T69" s="1054">
        <f t="shared" si="26"/>
        <v>0</v>
      </c>
      <c r="U69" s="1054">
        <f t="shared" si="27"/>
        <v>0</v>
      </c>
    </row>
    <row r="70" spans="1:21">
      <c r="A70" s="994">
        <v>64</v>
      </c>
      <c r="B70" s="995" t="s">
        <v>157</v>
      </c>
      <c r="C70" s="1002">
        <f>'[2]ALL-Reformatted'!N69</f>
        <v>0</v>
      </c>
      <c r="D70" s="1003">
        <f>'Table 3 Levels 1&amp;2'!BN72+'Table 3 Levels 1&amp;2'!BV72</f>
        <v>5921.7418933384488</v>
      </c>
      <c r="E70" s="1102">
        <f t="shared" si="28"/>
        <v>0</v>
      </c>
      <c r="F70" s="1102">
        <f t="shared" si="17"/>
        <v>0</v>
      </c>
      <c r="G70" s="1059">
        <f t="shared" si="29"/>
        <v>0</v>
      </c>
      <c r="H70" s="1112">
        <f t="shared" si="18"/>
        <v>0</v>
      </c>
      <c r="I70" s="1059">
        <f t="shared" si="19"/>
        <v>0</v>
      </c>
      <c r="J70" s="1059"/>
      <c r="K70" s="1059">
        <f t="shared" si="20"/>
        <v>0</v>
      </c>
      <c r="L70" s="1059">
        <f t="shared" si="21"/>
        <v>0</v>
      </c>
      <c r="M70" s="1051">
        <f>'[18]FY2012-13 Final'!K71</f>
        <v>2701</v>
      </c>
      <c r="N70" s="1053">
        <f t="shared" si="30"/>
        <v>0</v>
      </c>
      <c r="O70" s="1118">
        <f t="shared" si="22"/>
        <v>0</v>
      </c>
      <c r="P70" s="1053">
        <f t="shared" si="23"/>
        <v>0</v>
      </c>
      <c r="Q70" s="1053"/>
      <c r="R70" s="1053">
        <f t="shared" si="24"/>
        <v>0</v>
      </c>
      <c r="S70" s="1053">
        <f t="shared" si="25"/>
        <v>0</v>
      </c>
      <c r="T70" s="1054">
        <f t="shared" si="26"/>
        <v>0</v>
      </c>
      <c r="U70" s="1054">
        <f t="shared" si="27"/>
        <v>0</v>
      </c>
    </row>
    <row r="71" spans="1:21">
      <c r="A71" s="998">
        <v>65</v>
      </c>
      <c r="B71" s="999" t="s">
        <v>158</v>
      </c>
      <c r="C71" s="1004">
        <f>'[2]ALL-Reformatted'!N70</f>
        <v>0</v>
      </c>
      <c r="D71" s="1005">
        <f>'Table 3 Levels 1&amp;2'!BN73+'Table 3 Levels 1&amp;2'!BV73</f>
        <v>4578.9201269671275</v>
      </c>
      <c r="E71" s="1103">
        <f t="shared" ref="E71:E75" si="31">D71*C71</f>
        <v>0</v>
      </c>
      <c r="F71" s="1103">
        <f t="shared" si="17"/>
        <v>0</v>
      </c>
      <c r="G71" s="1060">
        <f t="shared" ref="G71:G75" si="32">E71+F71</f>
        <v>0</v>
      </c>
      <c r="H71" s="1113">
        <f t="shared" si="18"/>
        <v>0</v>
      </c>
      <c r="I71" s="1060">
        <f t="shared" si="19"/>
        <v>0</v>
      </c>
      <c r="J71" s="1060"/>
      <c r="K71" s="1060">
        <f t="shared" si="20"/>
        <v>0</v>
      </c>
      <c r="L71" s="1060">
        <f t="shared" si="21"/>
        <v>0</v>
      </c>
      <c r="M71" s="1056">
        <f>'[18]FY2012-13 Final'!K72</f>
        <v>4813</v>
      </c>
      <c r="N71" s="1057">
        <f t="shared" ref="N71:N75" si="33">M71*C71</f>
        <v>0</v>
      </c>
      <c r="O71" s="1119">
        <f t="shared" si="22"/>
        <v>0</v>
      </c>
      <c r="P71" s="1057">
        <f t="shared" si="23"/>
        <v>0</v>
      </c>
      <c r="Q71" s="1057"/>
      <c r="R71" s="1057">
        <f t="shared" si="24"/>
        <v>0</v>
      </c>
      <c r="S71" s="1057">
        <f t="shared" si="25"/>
        <v>0</v>
      </c>
      <c r="T71" s="1058">
        <f t="shared" si="26"/>
        <v>0</v>
      </c>
      <c r="U71" s="1058">
        <f t="shared" ref="U71:U75" si="34">L71+S71</f>
        <v>0</v>
      </c>
    </row>
    <row r="72" spans="1:21">
      <c r="A72" s="987">
        <v>66</v>
      </c>
      <c r="B72" s="988" t="s">
        <v>159</v>
      </c>
      <c r="C72" s="1006">
        <f>'[2]ALL-Reformatted'!N71</f>
        <v>0</v>
      </c>
      <c r="D72" s="1007">
        <f>'Table 3 Levels 1&amp;2'!BN74+'Table 3 Levels 1&amp;2'!BV74</f>
        <v>6340.8763293271122</v>
      </c>
      <c r="E72" s="1104">
        <f t="shared" si="31"/>
        <v>0</v>
      </c>
      <c r="F72" s="1104">
        <f t="shared" ref="F72:F75" si="35">C72*$F$4</f>
        <v>0</v>
      </c>
      <c r="G72" s="1061">
        <f t="shared" si="32"/>
        <v>0</v>
      </c>
      <c r="H72" s="1114">
        <f t="shared" ref="H72:H75" si="36">-G72*$H$4</f>
        <v>0</v>
      </c>
      <c r="I72" s="1061">
        <f t="shared" ref="I72:I75" si="37">SUM(G72:H72)</f>
        <v>0</v>
      </c>
      <c r="J72" s="1061"/>
      <c r="K72" s="1061">
        <f t="shared" ref="K72:K75" si="38">SUM(I72:J72)</f>
        <v>0</v>
      </c>
      <c r="L72" s="1061">
        <f t="shared" ref="L72:L75" si="39">ROUND(K72/12,0)</f>
        <v>0</v>
      </c>
      <c r="M72" s="1051">
        <f>'[18]FY2012-13 Final'!K73</f>
        <v>3516</v>
      </c>
      <c r="N72" s="992">
        <f t="shared" si="33"/>
        <v>0</v>
      </c>
      <c r="O72" s="1117">
        <f t="shared" ref="O72:O75" si="40">-N72*$O$4</f>
        <v>0</v>
      </c>
      <c r="P72" s="992">
        <f t="shared" ref="P72:P75" si="41">SUM(N72:O72)</f>
        <v>0</v>
      </c>
      <c r="Q72" s="992"/>
      <c r="R72" s="992">
        <f t="shared" ref="R72:R75" si="42">SUM(P72:Q72)</f>
        <v>0</v>
      </c>
      <c r="S72" s="992">
        <f t="shared" ref="S72:S75" si="43">ROUND(R72/12,0)</f>
        <v>0</v>
      </c>
      <c r="T72" s="993">
        <f t="shared" ref="T72:T75" si="44">K72+R72</f>
        <v>0</v>
      </c>
      <c r="U72" s="993">
        <f t="shared" si="34"/>
        <v>0</v>
      </c>
    </row>
    <row r="73" spans="1:21">
      <c r="A73" s="994">
        <v>67</v>
      </c>
      <c r="B73" s="995" t="s">
        <v>32</v>
      </c>
      <c r="C73" s="1002">
        <f>'[2]ALL-Reformatted'!N72</f>
        <v>0</v>
      </c>
      <c r="D73" s="1003">
        <f>'Table 3 Levels 1&amp;2'!BN75+'Table 3 Levels 1&amp;2'!BV75</f>
        <v>4984.1100297034172</v>
      </c>
      <c r="E73" s="1102">
        <f t="shared" si="31"/>
        <v>0</v>
      </c>
      <c r="F73" s="1102">
        <f t="shared" si="35"/>
        <v>0</v>
      </c>
      <c r="G73" s="1059">
        <f t="shared" si="32"/>
        <v>0</v>
      </c>
      <c r="H73" s="1112">
        <f t="shared" si="36"/>
        <v>0</v>
      </c>
      <c r="I73" s="1059">
        <f t="shared" si="37"/>
        <v>0</v>
      </c>
      <c r="J73" s="1059"/>
      <c r="K73" s="1059">
        <f t="shared" si="38"/>
        <v>0</v>
      </c>
      <c r="L73" s="1059">
        <f t="shared" si="39"/>
        <v>0</v>
      </c>
      <c r="M73" s="1051">
        <f>'[18]FY2012-13 Final'!K74</f>
        <v>5052</v>
      </c>
      <c r="N73" s="1053">
        <f t="shared" si="33"/>
        <v>0</v>
      </c>
      <c r="O73" s="1118">
        <f t="shared" si="40"/>
        <v>0</v>
      </c>
      <c r="P73" s="1053">
        <f t="shared" si="41"/>
        <v>0</v>
      </c>
      <c r="Q73" s="1053"/>
      <c r="R73" s="1053">
        <f t="shared" si="42"/>
        <v>0</v>
      </c>
      <c r="S73" s="1053">
        <f t="shared" si="43"/>
        <v>0</v>
      </c>
      <c r="T73" s="1054">
        <f t="shared" si="44"/>
        <v>0</v>
      </c>
      <c r="U73" s="1054">
        <f t="shared" si="34"/>
        <v>0</v>
      </c>
    </row>
    <row r="74" spans="1:21">
      <c r="A74" s="994">
        <v>68</v>
      </c>
      <c r="B74" s="995" t="s">
        <v>30</v>
      </c>
      <c r="C74" s="1002">
        <f>'[2]ALL-Reformatted'!N73</f>
        <v>0</v>
      </c>
      <c r="D74" s="1003">
        <f>'Table 3 Levels 1&amp;2'!BN76+'Table 3 Levels 1&amp;2'!BV76</f>
        <v>6012.7854305239725</v>
      </c>
      <c r="E74" s="1102">
        <f t="shared" si="31"/>
        <v>0</v>
      </c>
      <c r="F74" s="1102">
        <f t="shared" si="35"/>
        <v>0</v>
      </c>
      <c r="G74" s="1059">
        <f t="shared" si="32"/>
        <v>0</v>
      </c>
      <c r="H74" s="1112">
        <f t="shared" si="36"/>
        <v>0</v>
      </c>
      <c r="I74" s="1059">
        <f t="shared" si="37"/>
        <v>0</v>
      </c>
      <c r="J74" s="1059"/>
      <c r="K74" s="1059">
        <f t="shared" si="38"/>
        <v>0</v>
      </c>
      <c r="L74" s="1059">
        <f t="shared" si="39"/>
        <v>0</v>
      </c>
      <c r="M74" s="1051">
        <f>'[18]FY2012-13 Final'!K75</f>
        <v>2763</v>
      </c>
      <c r="N74" s="1053">
        <f t="shared" si="33"/>
        <v>0</v>
      </c>
      <c r="O74" s="1118">
        <f t="shared" si="40"/>
        <v>0</v>
      </c>
      <c r="P74" s="1053">
        <f t="shared" si="41"/>
        <v>0</v>
      </c>
      <c r="Q74" s="1053"/>
      <c r="R74" s="1053">
        <f t="shared" si="42"/>
        <v>0</v>
      </c>
      <c r="S74" s="1053">
        <f t="shared" si="43"/>
        <v>0</v>
      </c>
      <c r="T74" s="1054">
        <f t="shared" si="44"/>
        <v>0</v>
      </c>
      <c r="U74" s="1054">
        <f t="shared" si="34"/>
        <v>0</v>
      </c>
    </row>
    <row r="75" spans="1:21">
      <c r="A75" s="1008">
        <v>69</v>
      </c>
      <c r="B75" s="1009" t="s">
        <v>213</v>
      </c>
      <c r="C75" s="1010">
        <f>'[2]ALL-Reformatted'!N74</f>
        <v>0</v>
      </c>
      <c r="D75" s="1011">
        <f>'Table 3 Levels 1&amp;2'!BN77+'Table 3 Levels 1&amp;2'!BV77</f>
        <v>5559.7139008686299</v>
      </c>
      <c r="E75" s="1105">
        <f t="shared" si="31"/>
        <v>0</v>
      </c>
      <c r="F75" s="1105">
        <f t="shared" si="35"/>
        <v>0</v>
      </c>
      <c r="G75" s="1062">
        <f t="shared" si="32"/>
        <v>0</v>
      </c>
      <c r="H75" s="1115">
        <f t="shared" si="36"/>
        <v>0</v>
      </c>
      <c r="I75" s="1062">
        <f t="shared" si="37"/>
        <v>0</v>
      </c>
      <c r="J75" s="1062"/>
      <c r="K75" s="1062">
        <f t="shared" si="38"/>
        <v>0</v>
      </c>
      <c r="L75" s="1062">
        <f t="shared" si="39"/>
        <v>0</v>
      </c>
      <c r="M75" s="1051">
        <f>'[18]FY2012-13 Final'!K76</f>
        <v>3327</v>
      </c>
      <c r="N75" s="1063">
        <f t="shared" si="33"/>
        <v>0</v>
      </c>
      <c r="O75" s="1120">
        <f t="shared" si="40"/>
        <v>0</v>
      </c>
      <c r="P75" s="1063">
        <f t="shared" si="41"/>
        <v>0</v>
      </c>
      <c r="Q75" s="1063"/>
      <c r="R75" s="1063">
        <f t="shared" si="42"/>
        <v>0</v>
      </c>
      <c r="S75" s="1063">
        <f t="shared" si="43"/>
        <v>0</v>
      </c>
      <c r="T75" s="1064">
        <f t="shared" si="44"/>
        <v>0</v>
      </c>
      <c r="U75" s="1064">
        <f t="shared" si="34"/>
        <v>0</v>
      </c>
    </row>
    <row r="76" spans="1:21" s="1019" customFormat="1" ht="13.5" thickBot="1">
      <c r="A76" s="1012"/>
      <c r="B76" s="1013" t="s">
        <v>160</v>
      </c>
      <c r="C76" s="1014">
        <f>SUM(C7:C75)</f>
        <v>113</v>
      </c>
      <c r="D76" s="1015"/>
      <c r="E76" s="1106">
        <f>SUM(E7:E75)</f>
        <v>450323.55530317815</v>
      </c>
      <c r="F76" s="1106">
        <f>SUM(F7:F75)</f>
        <v>74490.934528301892</v>
      </c>
      <c r="G76" s="1016">
        <f>SUM(G7:G75)</f>
        <v>524814.48983147996</v>
      </c>
      <c r="H76" s="1116">
        <f t="shared" ref="H76:J76" si="45">SUM(H7:H75)</f>
        <v>-1312.0362245787001</v>
      </c>
      <c r="I76" s="1016">
        <f t="shared" si="45"/>
        <v>523502.45360690134</v>
      </c>
      <c r="J76" s="1016">
        <f t="shared" si="45"/>
        <v>0</v>
      </c>
      <c r="K76" s="1016">
        <f>SUM(K7:K75)</f>
        <v>523502.45360690134</v>
      </c>
      <c r="L76" s="1016">
        <f>SUM(L7:L75)</f>
        <v>43626</v>
      </c>
      <c r="M76" s="1065"/>
      <c r="N76" s="1017">
        <f>SUM(N7:N75)</f>
        <v>470281</v>
      </c>
      <c r="O76" s="1121">
        <f t="shared" ref="O76" si="46">SUM(O7:O75)</f>
        <v>-1175.7025000000001</v>
      </c>
      <c r="P76" s="1017">
        <f t="shared" ref="P76:U76" si="47">SUM(P7:P75)</f>
        <v>469105.29749999999</v>
      </c>
      <c r="Q76" s="1017">
        <f t="shared" si="47"/>
        <v>0</v>
      </c>
      <c r="R76" s="1017">
        <f t="shared" si="47"/>
        <v>469105.29749999999</v>
      </c>
      <c r="S76" s="1017">
        <f t="shared" si="47"/>
        <v>39092</v>
      </c>
      <c r="T76" s="1018">
        <f t="shared" si="47"/>
        <v>992607.75110690144</v>
      </c>
      <c r="U76" s="1018">
        <f t="shared" si="47"/>
        <v>82718</v>
      </c>
    </row>
    <row r="77" spans="1:21" s="1019" customFormat="1" ht="13.5" thickTop="1">
      <c r="A77" s="1020"/>
      <c r="B77" s="1020"/>
      <c r="C77" s="1021"/>
      <c r="D77" s="1021"/>
      <c r="M77" s="1023"/>
      <c r="N77" s="1023"/>
      <c r="O77" s="1023"/>
      <c r="P77" s="1023"/>
      <c r="Q77" s="1023"/>
      <c r="R77" s="1023"/>
      <c r="S77" s="1023"/>
    </row>
    <row r="78" spans="1:21" ht="12.75" hidden="1" customHeight="1">
      <c r="A78" s="1025"/>
      <c r="C78" s="1026"/>
    </row>
    <row r="79" spans="1:21" ht="12.75" hidden="1" customHeight="1"/>
    <row r="80" spans="1:21" hidden="1"/>
    <row r="81" spans="3:12" hidden="1"/>
    <row r="82" spans="3:12" hidden="1"/>
    <row r="83" spans="3:12" hidden="1">
      <c r="E83" s="1027" t="s">
        <v>373</v>
      </c>
      <c r="F83" s="1027"/>
      <c r="G83" s="1027"/>
      <c r="H83" s="1027"/>
      <c r="I83" s="1027"/>
      <c r="J83" s="1027"/>
      <c r="K83" s="1027"/>
      <c r="L83" s="1027"/>
    </row>
    <row r="84" spans="3:12" ht="10.5" hidden="1" customHeight="1"/>
    <row r="85" spans="3:12" hidden="1"/>
    <row r="86" spans="3:12" hidden="1">
      <c r="C86" s="1029">
        <v>85661</v>
      </c>
      <c r="D86" s="1030" t="s">
        <v>374</v>
      </c>
    </row>
    <row r="87" spans="3:12" hidden="1">
      <c r="C87" s="1029">
        <v>650290</v>
      </c>
      <c r="D87" s="1030" t="s">
        <v>375</v>
      </c>
    </row>
    <row r="88" spans="3:12" hidden="1">
      <c r="C88" s="1031">
        <f>C86/C87</f>
        <v>0.13172738316750987</v>
      </c>
      <c r="D88" s="1030" t="s">
        <v>376</v>
      </c>
    </row>
    <row r="89" spans="3:12" hidden="1">
      <c r="C89" s="1029"/>
      <c r="D89" s="1030"/>
    </row>
    <row r="90" spans="3:12" hidden="1">
      <c r="C90" s="1029">
        <v>128510</v>
      </c>
      <c r="D90" s="1030" t="s">
        <v>377</v>
      </c>
    </row>
    <row r="91" spans="3:12" hidden="1">
      <c r="C91" s="1029">
        <v>911320</v>
      </c>
      <c r="D91" s="1030" t="s">
        <v>378</v>
      </c>
    </row>
    <row r="92" spans="3:12" hidden="1">
      <c r="C92" s="1031">
        <f>C90/C91</f>
        <v>0.14101523065443533</v>
      </c>
      <c r="D92" s="1030" t="s">
        <v>379</v>
      </c>
    </row>
    <row r="93" spans="3:12" hidden="1">
      <c r="C93" s="1029"/>
      <c r="D93" s="1030"/>
    </row>
    <row r="94" spans="3:12" hidden="1">
      <c r="C94" s="1032">
        <v>2663489616</v>
      </c>
      <c r="D94" s="1033" t="s">
        <v>380</v>
      </c>
    </row>
    <row r="95" spans="3:12" hidden="1">
      <c r="C95" s="1034">
        <f>C92</f>
        <v>0.14101523065443533</v>
      </c>
      <c r="D95" s="1033"/>
    </row>
    <row r="96" spans="3:12" hidden="1">
      <c r="C96" s="1035">
        <f>C94*C95</f>
        <v>375592602.54593337</v>
      </c>
      <c r="D96" s="1030" t="s">
        <v>381</v>
      </c>
    </row>
    <row r="97" spans="3:4" hidden="1">
      <c r="C97" s="1036">
        <f>50%/C92</f>
        <v>3.5457162866702978</v>
      </c>
      <c r="D97" s="1033" t="s">
        <v>382</v>
      </c>
    </row>
    <row r="98" spans="3:4" hidden="1">
      <c r="C98" s="1035">
        <f>C96*C97</f>
        <v>1331744808</v>
      </c>
      <c r="D98" s="1037" t="s">
        <v>383</v>
      </c>
    </row>
    <row r="99" spans="3:4" hidden="1">
      <c r="C99" s="1038">
        <f>C87</f>
        <v>650290</v>
      </c>
      <c r="D99" s="1033" t="s">
        <v>384</v>
      </c>
    </row>
    <row r="100" spans="3:4" hidden="1">
      <c r="C100" s="1035">
        <f>C98/C99</f>
        <v>2047.9244767719017</v>
      </c>
      <c r="D100" s="1033" t="s">
        <v>385</v>
      </c>
    </row>
    <row r="101" spans="3:4" hidden="1">
      <c r="C101" s="1039">
        <f>(C96/C99)*-1</f>
        <v>-577.57708490970697</v>
      </c>
      <c r="D101" s="1033" t="s">
        <v>386</v>
      </c>
    </row>
    <row r="102" spans="3:4" hidden="1">
      <c r="C102" s="1040">
        <f>SUM(C100:C101)</f>
        <v>1470.3473918621949</v>
      </c>
      <c r="D102" s="1033" t="s">
        <v>387</v>
      </c>
    </row>
    <row r="103" spans="3:4" hidden="1">
      <c r="C103" s="1040"/>
      <c r="D103" s="1033"/>
    </row>
    <row r="104" spans="3:4" hidden="1">
      <c r="C104" s="1040"/>
      <c r="D104" s="1033"/>
    </row>
    <row r="105" spans="3:4" hidden="1">
      <c r="D105" s="1033"/>
    </row>
    <row r="106" spans="3:4" hidden="1"/>
    <row r="107" spans="3:4" hidden="1"/>
  </sheetData>
  <mergeCells count="18">
    <mergeCell ref="A2:B4"/>
    <mergeCell ref="C2:L2"/>
    <mergeCell ref="M2:S2"/>
    <mergeCell ref="T2:T4"/>
    <mergeCell ref="G3:G4"/>
    <mergeCell ref="N3:N4"/>
    <mergeCell ref="S3:S4"/>
    <mergeCell ref="I3:I4"/>
    <mergeCell ref="U2:U4"/>
    <mergeCell ref="C3:C4"/>
    <mergeCell ref="D3:D4"/>
    <mergeCell ref="E3:E4"/>
    <mergeCell ref="L3:L4"/>
    <mergeCell ref="M3:M4"/>
    <mergeCell ref="J3:J4"/>
    <mergeCell ref="K3:K4"/>
    <mergeCell ref="Q3:Q4"/>
    <mergeCell ref="R3:R4"/>
  </mergeCells>
  <printOptions horizontalCentered="1"/>
  <pageMargins left="0.27" right="0.25" top="0.87" bottom="0.2" header="0.25" footer="0.2"/>
  <pageSetup paperSize="5" scale="61" firstPageNumber="110" fitToWidth="3" orientation="portrait" useFirstPageNumber="1" r:id="rId1"/>
  <headerFooter alignWithMargins="0">
    <oddHeader xml:space="preserve">&amp;L&amp;"Arial,Bold"&amp;16Table 5D-7:  FY2013-14 MFP Budget Letter (Projection)&amp;"Arial,Regular"&amp;10
&amp;"Arial,Bold"&amp;14Legacy Type 2 Charters &amp;R&amp;"Arial,Bold"&amp;12&amp;KFF0000
</oddHeader>
    <oddFooter>&amp;R&amp;P</oddFooter>
  </headerFooter>
  <colBreaks count="1" manualBreakCount="1">
    <brk id="12" min="1" max="78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Y79"/>
  <sheetViews>
    <sheetView view="pageBreakPreview" zoomScaleNormal="85" zoomScaleSheetLayoutView="100" workbookViewId="0">
      <pane xSplit="2" ySplit="6" topLeftCell="C7" activePane="bottomRight" state="frozen"/>
      <selection activeCell="B3" sqref="B3:B5"/>
      <selection pane="topRight" activeCell="B3" sqref="B3:B5"/>
      <selection pane="bottomLeft" activeCell="B3" sqref="B3:B5"/>
      <selection pane="bottomRight" activeCell="A2" sqref="A2:B4"/>
    </sheetView>
  </sheetViews>
  <sheetFormatPr defaultColWidth="12.5703125" defaultRowHeight="12.75"/>
  <cols>
    <col min="1" max="1" width="3.85546875" style="971" customWidth="1"/>
    <col min="2" max="2" width="23.7109375" style="971" customWidth="1"/>
    <col min="3" max="3" width="12.7109375" style="974" customWidth="1"/>
    <col min="4" max="5" width="11.85546875" style="974" customWidth="1"/>
    <col min="6" max="6" width="15.28515625" style="974" customWidth="1"/>
    <col min="7" max="7" width="11.140625" style="974" bestFit="1" customWidth="1"/>
    <col min="8" max="8" width="13.85546875" style="974" customWidth="1"/>
    <col min="9" max="9" width="11.85546875" style="974" customWidth="1"/>
    <col min="10" max="10" width="14.5703125" style="974" customWidth="1"/>
    <col min="11" max="13" width="13.28515625" style="974" customWidth="1"/>
    <col min="14" max="14" width="12.7109375" style="974" customWidth="1"/>
    <col min="15" max="15" width="11.140625" style="1049" customWidth="1"/>
    <col min="16" max="16" width="13.85546875" style="974" customWidth="1"/>
    <col min="17" max="18" width="11.85546875" style="974" customWidth="1"/>
    <col min="19" max="19" width="12.85546875" style="974" customWidth="1"/>
    <col min="20" max="20" width="10.85546875" style="974" customWidth="1"/>
    <col min="21" max="21" width="14.140625" style="974" customWidth="1"/>
    <col min="22" max="22" width="13.7109375" style="974" customWidth="1"/>
    <col min="23" max="23" width="11.5703125" style="974" customWidth="1"/>
    <col min="24" max="24" width="11.28515625" style="971" customWidth="1"/>
    <col min="25" max="25" width="10.85546875" style="971" customWidth="1"/>
    <col min="26" max="16384" width="12.5703125" style="971"/>
  </cols>
  <sheetData>
    <row r="1" spans="1:25" ht="9" customHeight="1">
      <c r="B1" s="972"/>
      <c r="C1" s="973"/>
      <c r="D1" s="973"/>
      <c r="E1" s="973"/>
      <c r="F1" s="973"/>
    </row>
    <row r="2" spans="1:25" s="976" customFormat="1" ht="39.75" customHeight="1">
      <c r="A2" s="2000" t="s">
        <v>489</v>
      </c>
      <c r="B2" s="2001"/>
      <c r="C2" s="2011" t="s">
        <v>702</v>
      </c>
      <c r="D2" s="2012"/>
      <c r="E2" s="2012"/>
      <c r="F2" s="2012"/>
      <c r="G2" s="2012"/>
      <c r="H2" s="2012"/>
      <c r="I2" s="2119"/>
      <c r="J2" s="2011" t="s">
        <v>702</v>
      </c>
      <c r="K2" s="2012"/>
      <c r="L2" s="2012"/>
      <c r="M2" s="2012"/>
      <c r="N2" s="2119"/>
      <c r="O2" s="1992" t="s">
        <v>1357</v>
      </c>
      <c r="P2" s="1993"/>
      <c r="Q2" s="1993"/>
      <c r="R2" s="1993"/>
      <c r="S2" s="1993"/>
      <c r="T2" s="1993"/>
      <c r="U2" s="1993"/>
      <c r="V2" s="1993"/>
      <c r="W2" s="1994"/>
      <c r="X2" s="1995" t="s">
        <v>1415</v>
      </c>
      <c r="Y2" s="1995" t="s">
        <v>1355</v>
      </c>
    </row>
    <row r="3" spans="1:25" ht="104.25" customHeight="1">
      <c r="A3" s="2002"/>
      <c r="B3" s="2003"/>
      <c r="C3" s="2109" t="s">
        <v>1178</v>
      </c>
      <c r="D3" s="2109" t="s">
        <v>1179</v>
      </c>
      <c r="E3" s="2006" t="s">
        <v>701</v>
      </c>
      <c r="F3" s="2008" t="s">
        <v>1393</v>
      </c>
      <c r="G3" s="2008" t="s">
        <v>1377</v>
      </c>
      <c r="H3" s="977" t="s">
        <v>492</v>
      </c>
      <c r="I3" s="2006" t="s">
        <v>1378</v>
      </c>
      <c r="J3" s="1096" t="s">
        <v>510</v>
      </c>
      <c r="K3" s="2006" t="s">
        <v>1379</v>
      </c>
      <c r="L3" s="2006" t="s">
        <v>1230</v>
      </c>
      <c r="M3" s="2006" t="s">
        <v>1380</v>
      </c>
      <c r="N3" s="2008" t="s">
        <v>1356</v>
      </c>
      <c r="O3" s="2009" t="s">
        <v>692</v>
      </c>
      <c r="P3" s="2019" t="s">
        <v>1413</v>
      </c>
      <c r="Q3" s="2019" t="s">
        <v>1414</v>
      </c>
      <c r="R3" s="2019" t="s">
        <v>1371</v>
      </c>
      <c r="S3" s="1324" t="s">
        <v>703</v>
      </c>
      <c r="T3" s="1743" t="s">
        <v>1383</v>
      </c>
      <c r="U3" s="2019" t="s">
        <v>1230</v>
      </c>
      <c r="V3" s="2019" t="s">
        <v>1384</v>
      </c>
      <c r="W3" s="2019" t="s">
        <v>1385</v>
      </c>
      <c r="X3" s="1996"/>
      <c r="Y3" s="1996"/>
    </row>
    <row r="4" spans="1:25" ht="32.25" customHeight="1">
      <c r="A4" s="2004"/>
      <c r="B4" s="2005"/>
      <c r="C4" s="2118"/>
      <c r="D4" s="2118"/>
      <c r="E4" s="2007"/>
      <c r="F4" s="2008"/>
      <c r="G4" s="2008"/>
      <c r="H4" s="1067">
        <v>788.90242015830813</v>
      </c>
      <c r="I4" s="2007"/>
      <c r="J4" s="1107">
        <v>2.5000000000000001E-3</v>
      </c>
      <c r="K4" s="2007"/>
      <c r="L4" s="2007"/>
      <c r="M4" s="2007"/>
      <c r="N4" s="2008"/>
      <c r="O4" s="2010"/>
      <c r="P4" s="1999"/>
      <c r="Q4" s="1999"/>
      <c r="R4" s="1999"/>
      <c r="S4" s="1108">
        <v>2.5000000000000001E-3</v>
      </c>
      <c r="T4" s="1327" t="s">
        <v>704</v>
      </c>
      <c r="U4" s="1999"/>
      <c r="V4" s="1999"/>
      <c r="W4" s="1999"/>
      <c r="X4" s="1997"/>
      <c r="Y4" s="1997"/>
    </row>
    <row r="5" spans="1:25" s="981" customFormat="1" ht="14.25" customHeight="1">
      <c r="A5" s="978"/>
      <c r="B5" s="979"/>
      <c r="C5" s="980">
        <v>1</v>
      </c>
      <c r="D5" s="980">
        <f>C5+1</f>
        <v>2</v>
      </c>
      <c r="E5" s="980">
        <f>D5+1</f>
        <v>3</v>
      </c>
      <c r="F5" s="980">
        <f t="shared" ref="F5:G5" si="0">E5+1</f>
        <v>4</v>
      </c>
      <c r="G5" s="980">
        <f t="shared" si="0"/>
        <v>5</v>
      </c>
      <c r="H5" s="980">
        <f t="shared" ref="H5:I5" si="1">G5+1</f>
        <v>6</v>
      </c>
      <c r="I5" s="980">
        <f t="shared" si="1"/>
        <v>7</v>
      </c>
      <c r="J5" s="980">
        <f t="shared" ref="J5" si="2">I5+1</f>
        <v>8</v>
      </c>
      <c r="K5" s="980">
        <f t="shared" ref="K5" si="3">J5+1</f>
        <v>9</v>
      </c>
      <c r="L5" s="980">
        <f t="shared" ref="L5" si="4">K5+1</f>
        <v>10</v>
      </c>
      <c r="M5" s="980">
        <f t="shared" ref="M5" si="5">L5+1</f>
        <v>11</v>
      </c>
      <c r="N5" s="980">
        <f t="shared" ref="N5" si="6">M5+1</f>
        <v>12</v>
      </c>
      <c r="O5" s="980">
        <f t="shared" ref="O5" si="7">N5+1</f>
        <v>13</v>
      </c>
      <c r="P5" s="980">
        <f t="shared" ref="P5" si="8">O5+1</f>
        <v>14</v>
      </c>
      <c r="Q5" s="980">
        <f t="shared" ref="Q5" si="9">P5+1</f>
        <v>15</v>
      </c>
      <c r="R5" s="980">
        <f t="shared" ref="R5" si="10">Q5+1</f>
        <v>16</v>
      </c>
      <c r="S5" s="980">
        <f t="shared" ref="S5:T5" si="11">R5+1</f>
        <v>17</v>
      </c>
      <c r="T5" s="980">
        <f t="shared" si="11"/>
        <v>18</v>
      </c>
      <c r="U5" s="980">
        <f t="shared" ref="U5" si="12">T5+1</f>
        <v>19</v>
      </c>
      <c r="V5" s="980">
        <f t="shared" ref="V5" si="13">U5+1</f>
        <v>20</v>
      </c>
      <c r="W5" s="980">
        <f t="shared" ref="W5" si="14">V5+1</f>
        <v>21</v>
      </c>
      <c r="X5" s="980">
        <f t="shared" ref="X5" si="15">W5+1</f>
        <v>22</v>
      </c>
      <c r="Y5" s="980">
        <f t="shared" ref="Y5" si="16">X5+1</f>
        <v>23</v>
      </c>
    </row>
    <row r="6" spans="1:25" s="986" customFormat="1" ht="27" customHeight="1">
      <c r="A6" s="982"/>
      <c r="B6" s="982"/>
      <c r="C6" s="1149" t="s">
        <v>441</v>
      </c>
      <c r="D6" s="1149"/>
      <c r="E6" s="1149"/>
      <c r="F6" s="1150" t="s">
        <v>363</v>
      </c>
      <c r="G6" s="1149" t="s">
        <v>533</v>
      </c>
      <c r="H6" s="1150" t="s">
        <v>534</v>
      </c>
      <c r="I6" s="1149" t="s">
        <v>513</v>
      </c>
      <c r="J6" s="1149" t="s">
        <v>535</v>
      </c>
      <c r="K6" s="1149" t="s">
        <v>536</v>
      </c>
      <c r="L6" s="1149"/>
      <c r="M6" s="1149" t="s">
        <v>644</v>
      </c>
      <c r="N6" s="1149" t="s">
        <v>426</v>
      </c>
      <c r="O6" s="1151" t="s">
        <v>363</v>
      </c>
      <c r="P6" s="1150" t="s">
        <v>645</v>
      </c>
      <c r="Q6" s="1150" t="s">
        <v>646</v>
      </c>
      <c r="R6" s="1150" t="s">
        <v>539</v>
      </c>
      <c r="S6" s="1150" t="s">
        <v>700</v>
      </c>
      <c r="T6" s="1150" t="s">
        <v>705</v>
      </c>
      <c r="U6" s="1150"/>
      <c r="V6" s="1150" t="s">
        <v>647</v>
      </c>
      <c r="W6" s="1150" t="s">
        <v>706</v>
      </c>
      <c r="X6" s="1150" t="s">
        <v>648</v>
      </c>
      <c r="Y6" s="1150" t="s">
        <v>649</v>
      </c>
    </row>
    <row r="7" spans="1:25">
      <c r="A7" s="987">
        <v>1</v>
      </c>
      <c r="B7" s="988" t="s">
        <v>95</v>
      </c>
      <c r="C7" s="989">
        <f>'[28]Belle Chase Academy'!C5</f>
        <v>0</v>
      </c>
      <c r="D7" s="1122">
        <f>'[28]Belle Chase Academy'!D5</f>
        <v>0</v>
      </c>
      <c r="E7" s="1122">
        <f>C7+D7</f>
        <v>0</v>
      </c>
      <c r="F7" s="990">
        <f>'Table 3 Levels 1&amp;2'!BN9+'Table 3 Levels 1&amp;2'!BV9</f>
        <v>4565.2108060165392</v>
      </c>
      <c r="G7" s="1099">
        <f>F7*E7</f>
        <v>0</v>
      </c>
      <c r="H7" s="1099">
        <f>E7*$H$4</f>
        <v>0</v>
      </c>
      <c r="I7" s="1052">
        <f t="shared" ref="I7:I38" si="17">G7+H7</f>
        <v>0</v>
      </c>
      <c r="J7" s="1109">
        <f>-I7*$J$4</f>
        <v>0</v>
      </c>
      <c r="K7" s="991">
        <f>SUM(I7:J7)</f>
        <v>0</v>
      </c>
      <c r="L7" s="991"/>
      <c r="M7" s="991">
        <f>SUM(K7:L7)</f>
        <v>0</v>
      </c>
      <c r="N7" s="991">
        <f>ROUND(M7/12,0)</f>
        <v>0</v>
      </c>
      <c r="O7" s="1051">
        <f>'[18]FY2012-13 Final'!K8</f>
        <v>2112</v>
      </c>
      <c r="P7" s="992">
        <f>O7*C7</f>
        <v>0</v>
      </c>
      <c r="Q7" s="992">
        <f>D7*O7</f>
        <v>0</v>
      </c>
      <c r="R7" s="992">
        <f>P7+Q7</f>
        <v>0</v>
      </c>
      <c r="S7" s="1117">
        <f>-P7*0.25%</f>
        <v>0</v>
      </c>
      <c r="T7" s="992">
        <f>P7+S7</f>
        <v>0</v>
      </c>
      <c r="U7" s="992"/>
      <c r="V7" s="992">
        <f>SUM(T7:U7)</f>
        <v>0</v>
      </c>
      <c r="W7" s="992">
        <f>ROUND(V7/12,0)</f>
        <v>0</v>
      </c>
      <c r="X7" s="993">
        <f t="shared" ref="X7:X38" si="18">V7+M7</f>
        <v>0</v>
      </c>
      <c r="Y7" s="993">
        <f t="shared" ref="Y7:Y38" si="19">N7+W7</f>
        <v>0</v>
      </c>
    </row>
    <row r="8" spans="1:25">
      <c r="A8" s="994">
        <v>2</v>
      </c>
      <c r="B8" s="995" t="s">
        <v>96</v>
      </c>
      <c r="C8" s="996">
        <f>'[28]Belle Chase Academy'!C6</f>
        <v>0</v>
      </c>
      <c r="D8" s="1123">
        <f>'[28]Belle Chase Academy'!D6</f>
        <v>0</v>
      </c>
      <c r="E8" s="1123">
        <f t="shared" ref="E8:E71" si="20">C8+D8</f>
        <v>0</v>
      </c>
      <c r="F8" s="997">
        <f>'Table 3 Levels 1&amp;2'!BN10+'Table 3 Levels 1&amp;2'!BV10</f>
        <v>6132.0480322513831</v>
      </c>
      <c r="G8" s="1100">
        <f t="shared" ref="G8:G71" si="21">F8*E8</f>
        <v>0</v>
      </c>
      <c r="H8" s="1100">
        <f t="shared" ref="H8:H71" si="22">E8*$H$4</f>
        <v>0</v>
      </c>
      <c r="I8" s="1052">
        <f t="shared" si="17"/>
        <v>0</v>
      </c>
      <c r="J8" s="1110">
        <f t="shared" ref="J8:J71" si="23">-I8*$J$4</f>
        <v>0</v>
      </c>
      <c r="K8" s="1052">
        <f t="shared" ref="K8:K71" si="24">SUM(I8:J8)</f>
        <v>0</v>
      </c>
      <c r="L8" s="1052"/>
      <c r="M8" s="1052">
        <f t="shared" ref="M8:M71" si="25">SUM(K8:L8)</f>
        <v>0</v>
      </c>
      <c r="N8" s="1052">
        <f t="shared" ref="N8:N71" si="26">ROUND(M8/12,0)</f>
        <v>0</v>
      </c>
      <c r="O8" s="1051">
        <f>'[18]FY2012-13 Final'!K9</f>
        <v>2584</v>
      </c>
      <c r="P8" s="1053">
        <f t="shared" ref="P8:P71" si="27">O8*C8</f>
        <v>0</v>
      </c>
      <c r="Q8" s="1053">
        <f t="shared" ref="Q8:Q71" si="28">D8*O8</f>
        <v>0</v>
      </c>
      <c r="R8" s="1053">
        <f t="shared" ref="R8:R71" si="29">P8+Q8</f>
        <v>0</v>
      </c>
      <c r="S8" s="1117">
        <f t="shared" ref="S8:S71" si="30">-P8*0.25%</f>
        <v>0</v>
      </c>
      <c r="T8" s="1053">
        <f t="shared" ref="T8:T71" si="31">P8+S8</f>
        <v>0</v>
      </c>
      <c r="U8" s="1053"/>
      <c r="V8" s="1053">
        <f t="shared" ref="V8:V71" si="32">SUM(T8:U8)</f>
        <v>0</v>
      </c>
      <c r="W8" s="1053">
        <f t="shared" ref="W8:W71" si="33">ROUND(V8/12,0)</f>
        <v>0</v>
      </c>
      <c r="X8" s="1054">
        <f t="shared" si="18"/>
        <v>0</v>
      </c>
      <c r="Y8" s="1054">
        <f t="shared" si="19"/>
        <v>0</v>
      </c>
    </row>
    <row r="9" spans="1:25" ht="12.75" customHeight="1">
      <c r="A9" s="994">
        <v>3</v>
      </c>
      <c r="B9" s="995" t="s">
        <v>97</v>
      </c>
      <c r="C9" s="996">
        <f>'[28]Belle Chase Academy'!C7</f>
        <v>0</v>
      </c>
      <c r="D9" s="1123">
        <f>'[28]Belle Chase Academy'!D7</f>
        <v>0</v>
      </c>
      <c r="E9" s="1123">
        <f t="shared" si="20"/>
        <v>0</v>
      </c>
      <c r="F9" s="997">
        <f>'Table 3 Levels 1&amp;2'!BN11+'Table 3 Levels 1&amp;2'!BV11</f>
        <v>4186.9626187036429</v>
      </c>
      <c r="G9" s="1100">
        <f t="shared" si="21"/>
        <v>0</v>
      </c>
      <c r="H9" s="1100">
        <f t="shared" si="22"/>
        <v>0</v>
      </c>
      <c r="I9" s="1052">
        <f t="shared" si="17"/>
        <v>0</v>
      </c>
      <c r="J9" s="1110">
        <f t="shared" si="23"/>
        <v>0</v>
      </c>
      <c r="K9" s="1052">
        <f t="shared" si="24"/>
        <v>0</v>
      </c>
      <c r="L9" s="1052"/>
      <c r="M9" s="1052">
        <f t="shared" si="25"/>
        <v>0</v>
      </c>
      <c r="N9" s="1052">
        <f t="shared" si="26"/>
        <v>0</v>
      </c>
      <c r="O9" s="1051">
        <f>'[18]FY2012-13 Final'!K10</f>
        <v>4966</v>
      </c>
      <c r="P9" s="1053">
        <f t="shared" si="27"/>
        <v>0</v>
      </c>
      <c r="Q9" s="1053">
        <f t="shared" si="28"/>
        <v>0</v>
      </c>
      <c r="R9" s="1053">
        <f t="shared" si="29"/>
        <v>0</v>
      </c>
      <c r="S9" s="1117">
        <f t="shared" si="30"/>
        <v>0</v>
      </c>
      <c r="T9" s="1053">
        <f t="shared" si="31"/>
        <v>0</v>
      </c>
      <c r="U9" s="1053"/>
      <c r="V9" s="1053">
        <f t="shared" si="32"/>
        <v>0</v>
      </c>
      <c r="W9" s="1053">
        <f t="shared" si="33"/>
        <v>0</v>
      </c>
      <c r="X9" s="1054">
        <f t="shared" si="18"/>
        <v>0</v>
      </c>
      <c r="Y9" s="1054">
        <f t="shared" si="19"/>
        <v>0</v>
      </c>
    </row>
    <row r="10" spans="1:25" ht="12.75" customHeight="1">
      <c r="A10" s="994">
        <v>4</v>
      </c>
      <c r="B10" s="995" t="s">
        <v>98</v>
      </c>
      <c r="C10" s="996">
        <f>'[28]Belle Chase Academy'!C8</f>
        <v>0</v>
      </c>
      <c r="D10" s="1123">
        <f>'[28]Belle Chase Academy'!D8</f>
        <v>0</v>
      </c>
      <c r="E10" s="1123">
        <f t="shared" si="20"/>
        <v>0</v>
      </c>
      <c r="F10" s="997">
        <f>'Table 3 Levels 1&amp;2'!BN12+'Table 3 Levels 1&amp;2'!BV12</f>
        <v>5918.8798759182582</v>
      </c>
      <c r="G10" s="1100">
        <f t="shared" si="21"/>
        <v>0</v>
      </c>
      <c r="H10" s="1100">
        <f t="shared" si="22"/>
        <v>0</v>
      </c>
      <c r="I10" s="1052">
        <f t="shared" si="17"/>
        <v>0</v>
      </c>
      <c r="J10" s="1110">
        <f t="shared" si="23"/>
        <v>0</v>
      </c>
      <c r="K10" s="1052">
        <f t="shared" si="24"/>
        <v>0</v>
      </c>
      <c r="L10" s="1052"/>
      <c r="M10" s="1052">
        <f t="shared" si="25"/>
        <v>0</v>
      </c>
      <c r="N10" s="1052">
        <f t="shared" si="26"/>
        <v>0</v>
      </c>
      <c r="O10" s="1051">
        <f>'[18]FY2012-13 Final'!K11</f>
        <v>3445</v>
      </c>
      <c r="P10" s="1053">
        <f t="shared" si="27"/>
        <v>0</v>
      </c>
      <c r="Q10" s="1053">
        <f t="shared" si="28"/>
        <v>0</v>
      </c>
      <c r="R10" s="1053">
        <f t="shared" si="29"/>
        <v>0</v>
      </c>
      <c r="S10" s="1117">
        <f t="shared" si="30"/>
        <v>0</v>
      </c>
      <c r="T10" s="1053">
        <f t="shared" si="31"/>
        <v>0</v>
      </c>
      <c r="U10" s="1053"/>
      <c r="V10" s="1053">
        <f t="shared" si="32"/>
        <v>0</v>
      </c>
      <c r="W10" s="1053">
        <f t="shared" si="33"/>
        <v>0</v>
      </c>
      <c r="X10" s="1054">
        <f t="shared" si="18"/>
        <v>0</v>
      </c>
      <c r="Y10" s="1054">
        <f t="shared" si="19"/>
        <v>0</v>
      </c>
    </row>
    <row r="11" spans="1:25">
      <c r="A11" s="998">
        <v>5</v>
      </c>
      <c r="B11" s="999" t="s">
        <v>99</v>
      </c>
      <c r="C11" s="1000">
        <f>'[28]Belle Chase Academy'!C9</f>
        <v>0</v>
      </c>
      <c r="D11" s="1124">
        <f>'[28]Belle Chase Academy'!D9</f>
        <v>0</v>
      </c>
      <c r="E11" s="1124">
        <f t="shared" si="20"/>
        <v>0</v>
      </c>
      <c r="F11" s="1001">
        <f>'Table 3 Levels 1&amp;2'!BN13+'Table 3 Levels 1&amp;2'!BV13</f>
        <v>4880.3484353147733</v>
      </c>
      <c r="G11" s="1101">
        <f t="shared" si="21"/>
        <v>0</v>
      </c>
      <c r="H11" s="1101">
        <f t="shared" si="22"/>
        <v>0</v>
      </c>
      <c r="I11" s="1055">
        <f t="shared" si="17"/>
        <v>0</v>
      </c>
      <c r="J11" s="1111">
        <f t="shared" si="23"/>
        <v>0</v>
      </c>
      <c r="K11" s="1055">
        <f t="shared" si="24"/>
        <v>0</v>
      </c>
      <c r="L11" s="1055"/>
      <c r="M11" s="1055">
        <f t="shared" si="25"/>
        <v>0</v>
      </c>
      <c r="N11" s="1055">
        <f t="shared" si="26"/>
        <v>0</v>
      </c>
      <c r="O11" s="1056">
        <f>'[18]FY2012-13 Final'!K12</f>
        <v>1353</v>
      </c>
      <c r="P11" s="1057">
        <f t="shared" si="27"/>
        <v>0</v>
      </c>
      <c r="Q11" s="1057">
        <f t="shared" si="28"/>
        <v>0</v>
      </c>
      <c r="R11" s="1057">
        <f t="shared" si="29"/>
        <v>0</v>
      </c>
      <c r="S11" s="1326">
        <f t="shared" si="30"/>
        <v>0</v>
      </c>
      <c r="T11" s="1057">
        <f t="shared" si="31"/>
        <v>0</v>
      </c>
      <c r="U11" s="1057"/>
      <c r="V11" s="1057">
        <f t="shared" si="32"/>
        <v>0</v>
      </c>
      <c r="W11" s="1057">
        <f t="shared" si="33"/>
        <v>0</v>
      </c>
      <c r="X11" s="1058">
        <f t="shared" si="18"/>
        <v>0</v>
      </c>
      <c r="Y11" s="1058">
        <f t="shared" si="19"/>
        <v>0</v>
      </c>
    </row>
    <row r="12" spans="1:25" ht="12.75" customHeight="1">
      <c r="A12" s="987">
        <v>6</v>
      </c>
      <c r="B12" s="988" t="s">
        <v>100</v>
      </c>
      <c r="C12" s="989">
        <f>'[28]Belle Chase Academy'!C10</f>
        <v>0</v>
      </c>
      <c r="D12" s="1122">
        <f>'[28]Belle Chase Academy'!D10</f>
        <v>0</v>
      </c>
      <c r="E12" s="1122">
        <f t="shared" si="20"/>
        <v>0</v>
      </c>
      <c r="F12" s="990">
        <f>'Table 3 Levels 1&amp;2'!BN14+'Table 3 Levels 1&amp;2'!BV14</f>
        <v>5379.7759718479856</v>
      </c>
      <c r="G12" s="1099">
        <f t="shared" si="21"/>
        <v>0</v>
      </c>
      <c r="H12" s="1099">
        <f t="shared" si="22"/>
        <v>0</v>
      </c>
      <c r="I12" s="991">
        <f t="shared" si="17"/>
        <v>0</v>
      </c>
      <c r="J12" s="1109">
        <f t="shared" si="23"/>
        <v>0</v>
      </c>
      <c r="K12" s="991">
        <f t="shared" si="24"/>
        <v>0</v>
      </c>
      <c r="L12" s="991"/>
      <c r="M12" s="991">
        <f t="shared" si="25"/>
        <v>0</v>
      </c>
      <c r="N12" s="991">
        <f t="shared" si="26"/>
        <v>0</v>
      </c>
      <c r="O12" s="1051">
        <f>'[18]FY2012-13 Final'!K13</f>
        <v>3576</v>
      </c>
      <c r="P12" s="992">
        <f t="shared" si="27"/>
        <v>0</v>
      </c>
      <c r="Q12" s="992">
        <f t="shared" si="28"/>
        <v>0</v>
      </c>
      <c r="R12" s="992">
        <f t="shared" si="29"/>
        <v>0</v>
      </c>
      <c r="S12" s="1117">
        <f t="shared" si="30"/>
        <v>0</v>
      </c>
      <c r="T12" s="992">
        <f t="shared" si="31"/>
        <v>0</v>
      </c>
      <c r="U12" s="992"/>
      <c r="V12" s="992">
        <f t="shared" si="32"/>
        <v>0</v>
      </c>
      <c r="W12" s="992">
        <f t="shared" si="33"/>
        <v>0</v>
      </c>
      <c r="X12" s="993">
        <f t="shared" si="18"/>
        <v>0</v>
      </c>
      <c r="Y12" s="993">
        <f t="shared" si="19"/>
        <v>0</v>
      </c>
    </row>
    <row r="13" spans="1:25">
      <c r="A13" s="994">
        <v>7</v>
      </c>
      <c r="B13" s="995" t="s">
        <v>101</v>
      </c>
      <c r="C13" s="996">
        <f>'[28]Belle Chase Academy'!C11</f>
        <v>0</v>
      </c>
      <c r="D13" s="1123">
        <f>'[28]Belle Chase Academy'!D11</f>
        <v>0</v>
      </c>
      <c r="E13" s="1123">
        <f t="shared" si="20"/>
        <v>0</v>
      </c>
      <c r="F13" s="997">
        <f>'Table 3 Levels 1&amp;2'!BN15+'Table 3 Levels 1&amp;2'!BV15</f>
        <v>1698.1351763907733</v>
      </c>
      <c r="G13" s="1100">
        <f t="shared" si="21"/>
        <v>0</v>
      </c>
      <c r="H13" s="1100">
        <f t="shared" si="22"/>
        <v>0</v>
      </c>
      <c r="I13" s="1052">
        <f t="shared" si="17"/>
        <v>0</v>
      </c>
      <c r="J13" s="1110">
        <f t="shared" si="23"/>
        <v>0</v>
      </c>
      <c r="K13" s="1052">
        <f t="shared" si="24"/>
        <v>0</v>
      </c>
      <c r="L13" s="1052"/>
      <c r="M13" s="1052">
        <f t="shared" si="25"/>
        <v>0</v>
      </c>
      <c r="N13" s="1052">
        <f t="shared" si="26"/>
        <v>0</v>
      </c>
      <c r="O13" s="1051">
        <f>'[18]FY2012-13 Final'!K14</f>
        <v>12465</v>
      </c>
      <c r="P13" s="1053">
        <f t="shared" si="27"/>
        <v>0</v>
      </c>
      <c r="Q13" s="1053">
        <f t="shared" si="28"/>
        <v>0</v>
      </c>
      <c r="R13" s="1053">
        <f t="shared" si="29"/>
        <v>0</v>
      </c>
      <c r="S13" s="1117">
        <f t="shared" si="30"/>
        <v>0</v>
      </c>
      <c r="T13" s="1053">
        <f t="shared" si="31"/>
        <v>0</v>
      </c>
      <c r="U13" s="1053"/>
      <c r="V13" s="1053">
        <f t="shared" si="32"/>
        <v>0</v>
      </c>
      <c r="W13" s="1053">
        <f t="shared" si="33"/>
        <v>0</v>
      </c>
      <c r="X13" s="1054">
        <f t="shared" si="18"/>
        <v>0</v>
      </c>
      <c r="Y13" s="1054">
        <f t="shared" si="19"/>
        <v>0</v>
      </c>
    </row>
    <row r="14" spans="1:25">
      <c r="A14" s="994">
        <v>8</v>
      </c>
      <c r="B14" s="995" t="s">
        <v>102</v>
      </c>
      <c r="C14" s="996">
        <f>'[28]Belle Chase Academy'!C12</f>
        <v>0</v>
      </c>
      <c r="D14" s="1123">
        <f>'[28]Belle Chase Academy'!D12</f>
        <v>0</v>
      </c>
      <c r="E14" s="1123">
        <f t="shared" si="20"/>
        <v>0</v>
      </c>
      <c r="F14" s="997">
        <f>'Table 3 Levels 1&amp;2'!BN16+'Table 3 Levels 1&amp;2'!BV16</f>
        <v>4239.8578920718974</v>
      </c>
      <c r="G14" s="1100">
        <f t="shared" si="21"/>
        <v>0</v>
      </c>
      <c r="H14" s="1100">
        <f t="shared" si="22"/>
        <v>0</v>
      </c>
      <c r="I14" s="1052">
        <f t="shared" si="17"/>
        <v>0</v>
      </c>
      <c r="J14" s="1110">
        <f t="shared" si="23"/>
        <v>0</v>
      </c>
      <c r="K14" s="1052">
        <f t="shared" si="24"/>
        <v>0</v>
      </c>
      <c r="L14" s="1052"/>
      <c r="M14" s="1052">
        <f t="shared" si="25"/>
        <v>0</v>
      </c>
      <c r="N14" s="1052">
        <f t="shared" si="26"/>
        <v>0</v>
      </c>
      <c r="O14" s="1051">
        <f>'[18]FY2012-13 Final'!K15</f>
        <v>4184</v>
      </c>
      <c r="P14" s="1053">
        <f t="shared" si="27"/>
        <v>0</v>
      </c>
      <c r="Q14" s="1053">
        <f t="shared" si="28"/>
        <v>0</v>
      </c>
      <c r="R14" s="1053">
        <f t="shared" si="29"/>
        <v>0</v>
      </c>
      <c r="S14" s="1117">
        <f t="shared" si="30"/>
        <v>0</v>
      </c>
      <c r="T14" s="1053">
        <f t="shared" si="31"/>
        <v>0</v>
      </c>
      <c r="U14" s="1053"/>
      <c r="V14" s="1053">
        <f t="shared" si="32"/>
        <v>0</v>
      </c>
      <c r="W14" s="1053">
        <f t="shared" si="33"/>
        <v>0</v>
      </c>
      <c r="X14" s="1054">
        <f t="shared" si="18"/>
        <v>0</v>
      </c>
      <c r="Y14" s="1054">
        <f t="shared" si="19"/>
        <v>0</v>
      </c>
    </row>
    <row r="15" spans="1:25">
      <c r="A15" s="994">
        <v>9</v>
      </c>
      <c r="B15" s="995" t="s">
        <v>103</v>
      </c>
      <c r="C15" s="996">
        <f>'[28]Belle Chase Academy'!C13</f>
        <v>0</v>
      </c>
      <c r="D15" s="1123">
        <f>'[28]Belle Chase Academy'!D13</f>
        <v>0</v>
      </c>
      <c r="E15" s="1123">
        <f t="shared" si="20"/>
        <v>0</v>
      </c>
      <c r="F15" s="997">
        <f>'Table 3 Levels 1&amp;2'!BN17+'Table 3 Levels 1&amp;2'!BV17</f>
        <v>4361.2752875373017</v>
      </c>
      <c r="G15" s="1100">
        <f t="shared" si="21"/>
        <v>0</v>
      </c>
      <c r="H15" s="1100">
        <f t="shared" si="22"/>
        <v>0</v>
      </c>
      <c r="I15" s="1052">
        <f t="shared" si="17"/>
        <v>0</v>
      </c>
      <c r="J15" s="1110">
        <f t="shared" si="23"/>
        <v>0</v>
      </c>
      <c r="K15" s="1052">
        <f t="shared" si="24"/>
        <v>0</v>
      </c>
      <c r="L15" s="1052"/>
      <c r="M15" s="1052">
        <f t="shared" si="25"/>
        <v>0</v>
      </c>
      <c r="N15" s="1052">
        <f t="shared" si="26"/>
        <v>0</v>
      </c>
      <c r="O15" s="1051">
        <f>'[18]FY2012-13 Final'!K16</f>
        <v>4640</v>
      </c>
      <c r="P15" s="1053">
        <f t="shared" si="27"/>
        <v>0</v>
      </c>
      <c r="Q15" s="1053">
        <f t="shared" si="28"/>
        <v>0</v>
      </c>
      <c r="R15" s="1053">
        <f t="shared" si="29"/>
        <v>0</v>
      </c>
      <c r="S15" s="1117">
        <f t="shared" si="30"/>
        <v>0</v>
      </c>
      <c r="T15" s="1053">
        <f t="shared" si="31"/>
        <v>0</v>
      </c>
      <c r="U15" s="1053"/>
      <c r="V15" s="1053">
        <f t="shared" si="32"/>
        <v>0</v>
      </c>
      <c r="W15" s="1053">
        <f t="shared" si="33"/>
        <v>0</v>
      </c>
      <c r="X15" s="1054">
        <f t="shared" si="18"/>
        <v>0</v>
      </c>
      <c r="Y15" s="1054">
        <f t="shared" si="19"/>
        <v>0</v>
      </c>
    </row>
    <row r="16" spans="1:25">
      <c r="A16" s="998">
        <v>10</v>
      </c>
      <c r="B16" s="999" t="s">
        <v>104</v>
      </c>
      <c r="C16" s="1000">
        <f>'[28]Belle Chase Academy'!C14</f>
        <v>0</v>
      </c>
      <c r="D16" s="1124">
        <f>'[28]Belle Chase Academy'!D14</f>
        <v>0</v>
      </c>
      <c r="E16" s="1124">
        <f t="shared" si="20"/>
        <v>0</v>
      </c>
      <c r="F16" s="1001">
        <f>'Table 3 Levels 1&amp;2'!BN18+'Table 3 Levels 1&amp;2'!BV18</f>
        <v>4179.4641652904756</v>
      </c>
      <c r="G16" s="1101">
        <f t="shared" si="21"/>
        <v>0</v>
      </c>
      <c r="H16" s="1101">
        <f t="shared" si="22"/>
        <v>0</v>
      </c>
      <c r="I16" s="1055">
        <f t="shared" si="17"/>
        <v>0</v>
      </c>
      <c r="J16" s="1111">
        <f t="shared" si="23"/>
        <v>0</v>
      </c>
      <c r="K16" s="1055">
        <f t="shared" si="24"/>
        <v>0</v>
      </c>
      <c r="L16" s="1055"/>
      <c r="M16" s="1055">
        <f t="shared" si="25"/>
        <v>0</v>
      </c>
      <c r="N16" s="1055">
        <f t="shared" si="26"/>
        <v>0</v>
      </c>
      <c r="O16" s="1056">
        <f>'[18]FY2012-13 Final'!K17</f>
        <v>4391</v>
      </c>
      <c r="P16" s="1057">
        <f t="shared" si="27"/>
        <v>0</v>
      </c>
      <c r="Q16" s="1057">
        <f t="shared" si="28"/>
        <v>0</v>
      </c>
      <c r="R16" s="1057">
        <f t="shared" si="29"/>
        <v>0</v>
      </c>
      <c r="S16" s="1326">
        <f t="shared" si="30"/>
        <v>0</v>
      </c>
      <c r="T16" s="1057">
        <f t="shared" si="31"/>
        <v>0</v>
      </c>
      <c r="U16" s="1057"/>
      <c r="V16" s="1057">
        <f t="shared" si="32"/>
        <v>0</v>
      </c>
      <c r="W16" s="1057">
        <f t="shared" si="33"/>
        <v>0</v>
      </c>
      <c r="X16" s="1058">
        <f t="shared" si="18"/>
        <v>0</v>
      </c>
      <c r="Y16" s="1058">
        <f t="shared" si="19"/>
        <v>0</v>
      </c>
    </row>
    <row r="17" spans="1:25">
      <c r="A17" s="987">
        <v>11</v>
      </c>
      <c r="B17" s="988" t="s">
        <v>105</v>
      </c>
      <c r="C17" s="989">
        <f>'[28]Belle Chase Academy'!C15</f>
        <v>0</v>
      </c>
      <c r="D17" s="1122">
        <f>'[28]Belle Chase Academy'!D15</f>
        <v>0</v>
      </c>
      <c r="E17" s="1122">
        <f t="shared" si="20"/>
        <v>0</v>
      </c>
      <c r="F17" s="990">
        <f>'Table 3 Levels 1&amp;2'!BN19+'Table 3 Levels 1&amp;2'!BV19</f>
        <v>6825.0221851487568</v>
      </c>
      <c r="G17" s="1099">
        <f t="shared" si="21"/>
        <v>0</v>
      </c>
      <c r="H17" s="1099">
        <f t="shared" si="22"/>
        <v>0</v>
      </c>
      <c r="I17" s="991">
        <f t="shared" si="17"/>
        <v>0</v>
      </c>
      <c r="J17" s="1109">
        <f t="shared" si="23"/>
        <v>0</v>
      </c>
      <c r="K17" s="991">
        <f t="shared" si="24"/>
        <v>0</v>
      </c>
      <c r="L17" s="991"/>
      <c r="M17" s="991">
        <f t="shared" si="25"/>
        <v>0</v>
      </c>
      <c r="N17" s="991">
        <f t="shared" si="26"/>
        <v>0</v>
      </c>
      <c r="O17" s="1051">
        <f>'[18]FY2012-13 Final'!K18</f>
        <v>3430</v>
      </c>
      <c r="P17" s="992">
        <f t="shared" si="27"/>
        <v>0</v>
      </c>
      <c r="Q17" s="992">
        <f t="shared" si="28"/>
        <v>0</v>
      </c>
      <c r="R17" s="992">
        <f t="shared" si="29"/>
        <v>0</v>
      </c>
      <c r="S17" s="1117">
        <f t="shared" si="30"/>
        <v>0</v>
      </c>
      <c r="T17" s="992">
        <f t="shared" si="31"/>
        <v>0</v>
      </c>
      <c r="U17" s="992"/>
      <c r="V17" s="992">
        <f t="shared" si="32"/>
        <v>0</v>
      </c>
      <c r="W17" s="992">
        <f t="shared" si="33"/>
        <v>0</v>
      </c>
      <c r="X17" s="993">
        <f t="shared" si="18"/>
        <v>0</v>
      </c>
      <c r="Y17" s="993">
        <f t="shared" si="19"/>
        <v>0</v>
      </c>
    </row>
    <row r="18" spans="1:25">
      <c r="A18" s="994">
        <v>12</v>
      </c>
      <c r="B18" s="995" t="s">
        <v>106</v>
      </c>
      <c r="C18" s="996">
        <f>'[28]Belle Chase Academy'!C16</f>
        <v>0</v>
      </c>
      <c r="D18" s="1123">
        <f>'[28]Belle Chase Academy'!D16</f>
        <v>0</v>
      </c>
      <c r="E18" s="1123">
        <f t="shared" si="20"/>
        <v>0</v>
      </c>
      <c r="F18" s="997">
        <f>'Table 3 Levels 1&amp;2'!BN20+'Table 3 Levels 1&amp;2'!BV20</f>
        <v>1688.0492586490939</v>
      </c>
      <c r="G18" s="1100">
        <f t="shared" si="21"/>
        <v>0</v>
      </c>
      <c r="H18" s="1100">
        <f t="shared" si="22"/>
        <v>0</v>
      </c>
      <c r="I18" s="1052">
        <f t="shared" si="17"/>
        <v>0</v>
      </c>
      <c r="J18" s="1110">
        <f t="shared" si="23"/>
        <v>0</v>
      </c>
      <c r="K18" s="1052">
        <f t="shared" si="24"/>
        <v>0</v>
      </c>
      <c r="L18" s="1052"/>
      <c r="M18" s="1052">
        <f t="shared" si="25"/>
        <v>0</v>
      </c>
      <c r="N18" s="1052">
        <f t="shared" si="26"/>
        <v>0</v>
      </c>
      <c r="O18" s="1051">
        <f>'[18]FY2012-13 Final'!K19</f>
        <v>12558</v>
      </c>
      <c r="P18" s="1053">
        <f t="shared" si="27"/>
        <v>0</v>
      </c>
      <c r="Q18" s="1053">
        <f t="shared" si="28"/>
        <v>0</v>
      </c>
      <c r="R18" s="1053">
        <f t="shared" si="29"/>
        <v>0</v>
      </c>
      <c r="S18" s="1117">
        <f t="shared" si="30"/>
        <v>0</v>
      </c>
      <c r="T18" s="1053">
        <f t="shared" si="31"/>
        <v>0</v>
      </c>
      <c r="U18" s="1053"/>
      <c r="V18" s="1053">
        <f t="shared" si="32"/>
        <v>0</v>
      </c>
      <c r="W18" s="1053">
        <f t="shared" si="33"/>
        <v>0</v>
      </c>
      <c r="X18" s="1054">
        <f t="shared" si="18"/>
        <v>0</v>
      </c>
      <c r="Y18" s="1054">
        <f t="shared" si="19"/>
        <v>0</v>
      </c>
    </row>
    <row r="19" spans="1:25">
      <c r="A19" s="994">
        <v>13</v>
      </c>
      <c r="B19" s="995" t="s">
        <v>107</v>
      </c>
      <c r="C19" s="996">
        <f>'[28]Belle Chase Academy'!C17</f>
        <v>0</v>
      </c>
      <c r="D19" s="1123">
        <f>'[28]Belle Chase Academy'!D17</f>
        <v>0</v>
      </c>
      <c r="E19" s="1123">
        <f t="shared" si="20"/>
        <v>0</v>
      </c>
      <c r="F19" s="997">
        <f>'Table 3 Levels 1&amp;2'!BN21+'Table 3 Levels 1&amp;2'!BV21</f>
        <v>6187.1651272387344</v>
      </c>
      <c r="G19" s="1100">
        <f t="shared" si="21"/>
        <v>0</v>
      </c>
      <c r="H19" s="1100">
        <f t="shared" si="22"/>
        <v>0</v>
      </c>
      <c r="I19" s="1052">
        <f t="shared" si="17"/>
        <v>0</v>
      </c>
      <c r="J19" s="1110">
        <f t="shared" si="23"/>
        <v>0</v>
      </c>
      <c r="K19" s="1052">
        <f t="shared" si="24"/>
        <v>0</v>
      </c>
      <c r="L19" s="1052"/>
      <c r="M19" s="1052">
        <f t="shared" si="25"/>
        <v>0</v>
      </c>
      <c r="N19" s="1052">
        <f t="shared" si="26"/>
        <v>0</v>
      </c>
      <c r="O19" s="1051">
        <f>'[18]FY2012-13 Final'!K20</f>
        <v>2536</v>
      </c>
      <c r="P19" s="1053">
        <f t="shared" si="27"/>
        <v>0</v>
      </c>
      <c r="Q19" s="1053">
        <f t="shared" si="28"/>
        <v>0</v>
      </c>
      <c r="R19" s="1053">
        <f t="shared" si="29"/>
        <v>0</v>
      </c>
      <c r="S19" s="1117">
        <f t="shared" si="30"/>
        <v>0</v>
      </c>
      <c r="T19" s="1053">
        <f t="shared" si="31"/>
        <v>0</v>
      </c>
      <c r="U19" s="1053"/>
      <c r="V19" s="1053">
        <f t="shared" si="32"/>
        <v>0</v>
      </c>
      <c r="W19" s="1053">
        <f t="shared" si="33"/>
        <v>0</v>
      </c>
      <c r="X19" s="1054">
        <f t="shared" si="18"/>
        <v>0</v>
      </c>
      <c r="Y19" s="1054">
        <f t="shared" si="19"/>
        <v>0</v>
      </c>
    </row>
    <row r="20" spans="1:25" ht="12.75" customHeight="1">
      <c r="A20" s="994">
        <v>14</v>
      </c>
      <c r="B20" s="995" t="s">
        <v>108</v>
      </c>
      <c r="C20" s="996">
        <f>'[28]Belle Chase Academy'!C18</f>
        <v>0</v>
      </c>
      <c r="D20" s="1123">
        <f>'[28]Belle Chase Academy'!D18</f>
        <v>0</v>
      </c>
      <c r="E20" s="1123">
        <f t="shared" si="20"/>
        <v>0</v>
      </c>
      <c r="F20" s="997">
        <f>'Table 3 Levels 1&amp;2'!BN22+'Table 3 Levels 1&amp;2'!BV22</f>
        <v>5339.1887414618923</v>
      </c>
      <c r="G20" s="1100">
        <f t="shared" si="21"/>
        <v>0</v>
      </c>
      <c r="H20" s="1100">
        <f t="shared" si="22"/>
        <v>0</v>
      </c>
      <c r="I20" s="1052">
        <f t="shared" si="17"/>
        <v>0</v>
      </c>
      <c r="J20" s="1110">
        <f t="shared" si="23"/>
        <v>0</v>
      </c>
      <c r="K20" s="1052">
        <f t="shared" si="24"/>
        <v>0</v>
      </c>
      <c r="L20" s="1052"/>
      <c r="M20" s="1052">
        <f t="shared" si="25"/>
        <v>0</v>
      </c>
      <c r="N20" s="1052">
        <f t="shared" si="26"/>
        <v>0</v>
      </c>
      <c r="O20" s="1051">
        <f>'[18]FY2012-13 Final'!K21</f>
        <v>3888</v>
      </c>
      <c r="P20" s="1053">
        <f t="shared" si="27"/>
        <v>0</v>
      </c>
      <c r="Q20" s="1053">
        <f t="shared" si="28"/>
        <v>0</v>
      </c>
      <c r="R20" s="1053">
        <f t="shared" si="29"/>
        <v>0</v>
      </c>
      <c r="S20" s="1117">
        <f t="shared" si="30"/>
        <v>0</v>
      </c>
      <c r="T20" s="1053">
        <f t="shared" si="31"/>
        <v>0</v>
      </c>
      <c r="U20" s="1053"/>
      <c r="V20" s="1053">
        <f t="shared" si="32"/>
        <v>0</v>
      </c>
      <c r="W20" s="1053">
        <f t="shared" si="33"/>
        <v>0</v>
      </c>
      <c r="X20" s="1054">
        <f t="shared" si="18"/>
        <v>0</v>
      </c>
      <c r="Y20" s="1054">
        <f t="shared" si="19"/>
        <v>0</v>
      </c>
    </row>
    <row r="21" spans="1:25">
      <c r="A21" s="998">
        <v>15</v>
      </c>
      <c r="B21" s="999" t="s">
        <v>109</v>
      </c>
      <c r="C21" s="1000">
        <f>'[28]Belle Chase Academy'!C19</f>
        <v>0</v>
      </c>
      <c r="D21" s="1124">
        <f>'[28]Belle Chase Academy'!D19</f>
        <v>0</v>
      </c>
      <c r="E21" s="1124">
        <f t="shared" si="20"/>
        <v>0</v>
      </c>
      <c r="F21" s="1001">
        <f>'Table 3 Levels 1&amp;2'!BN23+'Table 3 Levels 1&amp;2'!BV23</f>
        <v>5492.5789412344011</v>
      </c>
      <c r="G21" s="1101">
        <f t="shared" si="21"/>
        <v>0</v>
      </c>
      <c r="H21" s="1101">
        <f t="shared" si="22"/>
        <v>0</v>
      </c>
      <c r="I21" s="1055">
        <f t="shared" si="17"/>
        <v>0</v>
      </c>
      <c r="J21" s="1111">
        <f t="shared" si="23"/>
        <v>0</v>
      </c>
      <c r="K21" s="1055">
        <f t="shared" si="24"/>
        <v>0</v>
      </c>
      <c r="L21" s="1055"/>
      <c r="M21" s="1055">
        <f t="shared" si="25"/>
        <v>0</v>
      </c>
      <c r="N21" s="1055">
        <f t="shared" si="26"/>
        <v>0</v>
      </c>
      <c r="O21" s="1056">
        <f>'[18]FY2012-13 Final'!K22</f>
        <v>2752</v>
      </c>
      <c r="P21" s="1057">
        <f t="shared" si="27"/>
        <v>0</v>
      </c>
      <c r="Q21" s="1057">
        <f t="shared" si="28"/>
        <v>0</v>
      </c>
      <c r="R21" s="1057">
        <f t="shared" si="29"/>
        <v>0</v>
      </c>
      <c r="S21" s="1326">
        <f t="shared" si="30"/>
        <v>0</v>
      </c>
      <c r="T21" s="1057">
        <f t="shared" si="31"/>
        <v>0</v>
      </c>
      <c r="U21" s="1057"/>
      <c r="V21" s="1057">
        <f t="shared" si="32"/>
        <v>0</v>
      </c>
      <c r="W21" s="1057">
        <f t="shared" si="33"/>
        <v>0</v>
      </c>
      <c r="X21" s="1058">
        <f t="shared" si="18"/>
        <v>0</v>
      </c>
      <c r="Y21" s="1058">
        <f t="shared" si="19"/>
        <v>0</v>
      </c>
    </row>
    <row r="22" spans="1:25">
      <c r="A22" s="987">
        <v>16</v>
      </c>
      <c r="B22" s="988" t="s">
        <v>110</v>
      </c>
      <c r="C22" s="989">
        <f>'[28]Belle Chase Academy'!C20</f>
        <v>0</v>
      </c>
      <c r="D22" s="1122">
        <f>'[28]Belle Chase Academy'!D20</f>
        <v>0</v>
      </c>
      <c r="E22" s="1122">
        <f t="shared" si="20"/>
        <v>0</v>
      </c>
      <c r="F22" s="990">
        <f>'Table 3 Levels 1&amp;2'!BN24+'Table 3 Levels 1&amp;2'!BV24</f>
        <v>1506.1153407945151</v>
      </c>
      <c r="G22" s="1099">
        <f t="shared" si="21"/>
        <v>0</v>
      </c>
      <c r="H22" s="1099">
        <f t="shared" si="22"/>
        <v>0</v>
      </c>
      <c r="I22" s="991">
        <f t="shared" si="17"/>
        <v>0</v>
      </c>
      <c r="J22" s="1109">
        <f t="shared" si="23"/>
        <v>0</v>
      </c>
      <c r="K22" s="991">
        <f t="shared" si="24"/>
        <v>0</v>
      </c>
      <c r="L22" s="991"/>
      <c r="M22" s="991">
        <f t="shared" si="25"/>
        <v>0</v>
      </c>
      <c r="N22" s="991">
        <f t="shared" si="26"/>
        <v>0</v>
      </c>
      <c r="O22" s="1051">
        <f>'[18]FY2012-13 Final'!K23</f>
        <v>15092</v>
      </c>
      <c r="P22" s="992">
        <f t="shared" si="27"/>
        <v>0</v>
      </c>
      <c r="Q22" s="992">
        <f t="shared" si="28"/>
        <v>0</v>
      </c>
      <c r="R22" s="992">
        <f t="shared" si="29"/>
        <v>0</v>
      </c>
      <c r="S22" s="1117">
        <f t="shared" si="30"/>
        <v>0</v>
      </c>
      <c r="T22" s="992">
        <f t="shared" si="31"/>
        <v>0</v>
      </c>
      <c r="U22" s="992"/>
      <c r="V22" s="992">
        <f t="shared" si="32"/>
        <v>0</v>
      </c>
      <c r="W22" s="992">
        <f t="shared" si="33"/>
        <v>0</v>
      </c>
      <c r="X22" s="993">
        <f t="shared" si="18"/>
        <v>0</v>
      </c>
      <c r="Y22" s="993">
        <f t="shared" si="19"/>
        <v>0</v>
      </c>
    </row>
    <row r="23" spans="1:25">
      <c r="A23" s="994">
        <v>17</v>
      </c>
      <c r="B23" s="995" t="s">
        <v>111</v>
      </c>
      <c r="C23" s="996">
        <f>'[28]Belle Chase Academy'!C21</f>
        <v>0</v>
      </c>
      <c r="D23" s="1123">
        <f>'[28]Belle Chase Academy'!D21</f>
        <v>0</v>
      </c>
      <c r="E23" s="1123">
        <f t="shared" si="20"/>
        <v>0</v>
      </c>
      <c r="F23" s="997">
        <f>'Table 3 Levels 1&amp;2'!BN25+'Table 3 Levels 1&amp;2'!BV25</f>
        <v>3311.610845996096</v>
      </c>
      <c r="G23" s="1100">
        <f t="shared" si="21"/>
        <v>0</v>
      </c>
      <c r="H23" s="1100">
        <f t="shared" si="22"/>
        <v>0</v>
      </c>
      <c r="I23" s="1052">
        <f t="shared" si="17"/>
        <v>0</v>
      </c>
      <c r="J23" s="1110">
        <f t="shared" si="23"/>
        <v>0</v>
      </c>
      <c r="K23" s="1052">
        <f t="shared" si="24"/>
        <v>0</v>
      </c>
      <c r="L23" s="1052"/>
      <c r="M23" s="1052">
        <f t="shared" si="25"/>
        <v>0</v>
      </c>
      <c r="N23" s="1052">
        <f t="shared" si="26"/>
        <v>0</v>
      </c>
      <c r="O23" s="1051">
        <f>'[18]FY2012-13 Final'!K24</f>
        <v>6551</v>
      </c>
      <c r="P23" s="1053">
        <f t="shared" si="27"/>
        <v>0</v>
      </c>
      <c r="Q23" s="1053">
        <f t="shared" si="28"/>
        <v>0</v>
      </c>
      <c r="R23" s="1053">
        <f t="shared" si="29"/>
        <v>0</v>
      </c>
      <c r="S23" s="1117">
        <f t="shared" si="30"/>
        <v>0</v>
      </c>
      <c r="T23" s="1053">
        <f t="shared" si="31"/>
        <v>0</v>
      </c>
      <c r="U23" s="1053"/>
      <c r="V23" s="1053">
        <f t="shared" si="32"/>
        <v>0</v>
      </c>
      <c r="W23" s="1053">
        <f t="shared" si="33"/>
        <v>0</v>
      </c>
      <c r="X23" s="1054">
        <f t="shared" si="18"/>
        <v>0</v>
      </c>
      <c r="Y23" s="1054">
        <f t="shared" si="19"/>
        <v>0</v>
      </c>
    </row>
    <row r="24" spans="1:25">
      <c r="A24" s="994">
        <v>18</v>
      </c>
      <c r="B24" s="995" t="s">
        <v>112</v>
      </c>
      <c r="C24" s="996">
        <f>'[28]Belle Chase Academy'!C22</f>
        <v>0</v>
      </c>
      <c r="D24" s="1123">
        <f>'[28]Belle Chase Academy'!D22</f>
        <v>0</v>
      </c>
      <c r="E24" s="1123">
        <f t="shared" si="20"/>
        <v>0</v>
      </c>
      <c r="F24" s="997">
        <f>'Table 3 Levels 1&amp;2'!BN26+'Table 3 Levels 1&amp;2'!BV26</f>
        <v>5964.3490202032081</v>
      </c>
      <c r="G24" s="1100">
        <f t="shared" si="21"/>
        <v>0</v>
      </c>
      <c r="H24" s="1100">
        <f t="shared" si="22"/>
        <v>0</v>
      </c>
      <c r="I24" s="1052">
        <f t="shared" si="17"/>
        <v>0</v>
      </c>
      <c r="J24" s="1110">
        <f t="shared" si="23"/>
        <v>0</v>
      </c>
      <c r="K24" s="1052">
        <f t="shared" si="24"/>
        <v>0</v>
      </c>
      <c r="L24" s="1052"/>
      <c r="M24" s="1052">
        <f t="shared" si="25"/>
        <v>0</v>
      </c>
      <c r="N24" s="1052">
        <f t="shared" si="26"/>
        <v>0</v>
      </c>
      <c r="O24" s="1051">
        <f>'[18]FY2012-13 Final'!K25</f>
        <v>2165</v>
      </c>
      <c r="P24" s="1053">
        <f t="shared" si="27"/>
        <v>0</v>
      </c>
      <c r="Q24" s="1053">
        <f t="shared" si="28"/>
        <v>0</v>
      </c>
      <c r="R24" s="1053">
        <f t="shared" si="29"/>
        <v>0</v>
      </c>
      <c r="S24" s="1117">
        <f t="shared" si="30"/>
        <v>0</v>
      </c>
      <c r="T24" s="1053">
        <f t="shared" si="31"/>
        <v>0</v>
      </c>
      <c r="U24" s="1053"/>
      <c r="V24" s="1053">
        <f t="shared" si="32"/>
        <v>0</v>
      </c>
      <c r="W24" s="1053">
        <f t="shared" si="33"/>
        <v>0</v>
      </c>
      <c r="X24" s="1054">
        <f t="shared" si="18"/>
        <v>0</v>
      </c>
      <c r="Y24" s="1054">
        <f t="shared" si="19"/>
        <v>0</v>
      </c>
    </row>
    <row r="25" spans="1:25">
      <c r="A25" s="994">
        <v>19</v>
      </c>
      <c r="B25" s="995" t="s">
        <v>113</v>
      </c>
      <c r="C25" s="996">
        <f>'[28]Belle Chase Academy'!C23</f>
        <v>0</v>
      </c>
      <c r="D25" s="1123">
        <f>'[28]Belle Chase Academy'!D23</f>
        <v>0</v>
      </c>
      <c r="E25" s="1123">
        <f t="shared" si="20"/>
        <v>0</v>
      </c>
      <c r="F25" s="997">
        <f>'Table 3 Levels 1&amp;2'!BN27+'Table 3 Levels 1&amp;2'!BV27</f>
        <v>5283.1088158476596</v>
      </c>
      <c r="G25" s="1100">
        <f t="shared" si="21"/>
        <v>0</v>
      </c>
      <c r="H25" s="1100">
        <f t="shared" si="22"/>
        <v>0</v>
      </c>
      <c r="I25" s="1052">
        <f t="shared" si="17"/>
        <v>0</v>
      </c>
      <c r="J25" s="1110">
        <f t="shared" si="23"/>
        <v>0</v>
      </c>
      <c r="K25" s="1052">
        <f t="shared" si="24"/>
        <v>0</v>
      </c>
      <c r="L25" s="1052"/>
      <c r="M25" s="1052">
        <f t="shared" si="25"/>
        <v>0</v>
      </c>
      <c r="N25" s="1052">
        <f t="shared" si="26"/>
        <v>0</v>
      </c>
      <c r="O25" s="1051">
        <f>'[18]FY2012-13 Final'!K26</f>
        <v>2729</v>
      </c>
      <c r="P25" s="1053">
        <f t="shared" si="27"/>
        <v>0</v>
      </c>
      <c r="Q25" s="1053">
        <f t="shared" si="28"/>
        <v>0</v>
      </c>
      <c r="R25" s="1053">
        <f t="shared" si="29"/>
        <v>0</v>
      </c>
      <c r="S25" s="1117">
        <f t="shared" si="30"/>
        <v>0</v>
      </c>
      <c r="T25" s="1053">
        <f t="shared" si="31"/>
        <v>0</v>
      </c>
      <c r="U25" s="1053"/>
      <c r="V25" s="1053">
        <f t="shared" si="32"/>
        <v>0</v>
      </c>
      <c r="W25" s="1053">
        <f t="shared" si="33"/>
        <v>0</v>
      </c>
      <c r="X25" s="1054">
        <f t="shared" si="18"/>
        <v>0</v>
      </c>
      <c r="Y25" s="1054">
        <f t="shared" si="19"/>
        <v>0</v>
      </c>
    </row>
    <row r="26" spans="1:25">
      <c r="A26" s="998">
        <v>20</v>
      </c>
      <c r="B26" s="999" t="s">
        <v>114</v>
      </c>
      <c r="C26" s="1000">
        <f>'[28]Belle Chase Academy'!C24</f>
        <v>0</v>
      </c>
      <c r="D26" s="1124">
        <f>'[28]Belle Chase Academy'!D24</f>
        <v>0</v>
      </c>
      <c r="E26" s="1124">
        <f t="shared" si="20"/>
        <v>0</v>
      </c>
      <c r="F26" s="1001">
        <f>'Table 3 Levels 1&amp;2'!BN28+'Table 3 Levels 1&amp;2'!BV28</f>
        <v>5389.6047094824808</v>
      </c>
      <c r="G26" s="1101">
        <f t="shared" si="21"/>
        <v>0</v>
      </c>
      <c r="H26" s="1101">
        <f t="shared" si="22"/>
        <v>0</v>
      </c>
      <c r="I26" s="1055">
        <f t="shared" si="17"/>
        <v>0</v>
      </c>
      <c r="J26" s="1111">
        <f t="shared" si="23"/>
        <v>0</v>
      </c>
      <c r="K26" s="1055">
        <f t="shared" si="24"/>
        <v>0</v>
      </c>
      <c r="L26" s="1055"/>
      <c r="M26" s="1055">
        <f t="shared" si="25"/>
        <v>0</v>
      </c>
      <c r="N26" s="1055">
        <f t="shared" si="26"/>
        <v>0</v>
      </c>
      <c r="O26" s="1056">
        <f>'[18]FY2012-13 Final'!K27</f>
        <v>2334</v>
      </c>
      <c r="P26" s="1057">
        <f t="shared" si="27"/>
        <v>0</v>
      </c>
      <c r="Q26" s="1057">
        <f t="shared" si="28"/>
        <v>0</v>
      </c>
      <c r="R26" s="1057">
        <f t="shared" si="29"/>
        <v>0</v>
      </c>
      <c r="S26" s="1326">
        <f t="shared" si="30"/>
        <v>0</v>
      </c>
      <c r="T26" s="1057">
        <f t="shared" si="31"/>
        <v>0</v>
      </c>
      <c r="U26" s="1057"/>
      <c r="V26" s="1057">
        <f t="shared" si="32"/>
        <v>0</v>
      </c>
      <c r="W26" s="1057">
        <f t="shared" si="33"/>
        <v>0</v>
      </c>
      <c r="X26" s="1058">
        <f t="shared" si="18"/>
        <v>0</v>
      </c>
      <c r="Y26" s="1058">
        <f t="shared" si="19"/>
        <v>0</v>
      </c>
    </row>
    <row r="27" spans="1:25">
      <c r="A27" s="987">
        <v>21</v>
      </c>
      <c r="B27" s="988" t="s">
        <v>115</v>
      </c>
      <c r="C27" s="989">
        <f>'[28]Belle Chase Academy'!C25</f>
        <v>0</v>
      </c>
      <c r="D27" s="1122">
        <f>'[28]Belle Chase Academy'!D25</f>
        <v>0</v>
      </c>
      <c r="E27" s="1122">
        <f t="shared" si="20"/>
        <v>0</v>
      </c>
      <c r="F27" s="990">
        <f>'Table 3 Levels 1&amp;2'!BN29+'Table 3 Levels 1&amp;2'!BV29</f>
        <v>5659.8229810652783</v>
      </c>
      <c r="G27" s="1099">
        <f t="shared" si="21"/>
        <v>0</v>
      </c>
      <c r="H27" s="1099">
        <f t="shared" si="22"/>
        <v>0</v>
      </c>
      <c r="I27" s="991">
        <f t="shared" si="17"/>
        <v>0</v>
      </c>
      <c r="J27" s="1109">
        <f t="shared" si="23"/>
        <v>0</v>
      </c>
      <c r="K27" s="991">
        <f t="shared" si="24"/>
        <v>0</v>
      </c>
      <c r="L27" s="991"/>
      <c r="M27" s="991">
        <f t="shared" si="25"/>
        <v>0</v>
      </c>
      <c r="N27" s="991">
        <f t="shared" si="26"/>
        <v>0</v>
      </c>
      <c r="O27" s="1051">
        <f>'[18]FY2012-13 Final'!K28</f>
        <v>2233</v>
      </c>
      <c r="P27" s="992">
        <f t="shared" si="27"/>
        <v>0</v>
      </c>
      <c r="Q27" s="992">
        <f t="shared" si="28"/>
        <v>0</v>
      </c>
      <c r="R27" s="992">
        <f t="shared" si="29"/>
        <v>0</v>
      </c>
      <c r="S27" s="1117">
        <f t="shared" si="30"/>
        <v>0</v>
      </c>
      <c r="T27" s="992">
        <f t="shared" si="31"/>
        <v>0</v>
      </c>
      <c r="U27" s="992"/>
      <c r="V27" s="992">
        <f t="shared" si="32"/>
        <v>0</v>
      </c>
      <c r="W27" s="992">
        <f t="shared" si="33"/>
        <v>0</v>
      </c>
      <c r="X27" s="993">
        <f t="shared" si="18"/>
        <v>0</v>
      </c>
      <c r="Y27" s="993">
        <f t="shared" si="19"/>
        <v>0</v>
      </c>
    </row>
    <row r="28" spans="1:25">
      <c r="A28" s="994">
        <v>22</v>
      </c>
      <c r="B28" s="995" t="s">
        <v>116</v>
      </c>
      <c r="C28" s="996">
        <f>'[28]Belle Chase Academy'!C26</f>
        <v>0</v>
      </c>
      <c r="D28" s="1123">
        <f>'[28]Belle Chase Academy'!D26</f>
        <v>0</v>
      </c>
      <c r="E28" s="1123">
        <f t="shared" si="20"/>
        <v>0</v>
      </c>
      <c r="F28" s="997">
        <f>'Table 3 Levels 1&amp;2'!BN30+'Table 3 Levels 1&amp;2'!BV30</f>
        <v>6191.1997628958306</v>
      </c>
      <c r="G28" s="1100">
        <f t="shared" si="21"/>
        <v>0</v>
      </c>
      <c r="H28" s="1100">
        <f t="shared" si="22"/>
        <v>0</v>
      </c>
      <c r="I28" s="1052">
        <f t="shared" si="17"/>
        <v>0</v>
      </c>
      <c r="J28" s="1110">
        <f t="shared" si="23"/>
        <v>0</v>
      </c>
      <c r="K28" s="1052">
        <f t="shared" si="24"/>
        <v>0</v>
      </c>
      <c r="L28" s="1052"/>
      <c r="M28" s="1052">
        <f t="shared" si="25"/>
        <v>0</v>
      </c>
      <c r="N28" s="1052">
        <f t="shared" si="26"/>
        <v>0</v>
      </c>
      <c r="O28" s="1051">
        <f>'[18]FY2012-13 Final'!K29</f>
        <v>1410</v>
      </c>
      <c r="P28" s="1053">
        <f t="shared" si="27"/>
        <v>0</v>
      </c>
      <c r="Q28" s="1053">
        <f t="shared" si="28"/>
        <v>0</v>
      </c>
      <c r="R28" s="1053">
        <f t="shared" si="29"/>
        <v>0</v>
      </c>
      <c r="S28" s="1117">
        <f t="shared" si="30"/>
        <v>0</v>
      </c>
      <c r="T28" s="1053">
        <f t="shared" si="31"/>
        <v>0</v>
      </c>
      <c r="U28" s="1053"/>
      <c r="V28" s="1053">
        <f t="shared" si="32"/>
        <v>0</v>
      </c>
      <c r="W28" s="1053">
        <f t="shared" si="33"/>
        <v>0</v>
      </c>
      <c r="X28" s="1054">
        <f t="shared" si="18"/>
        <v>0</v>
      </c>
      <c r="Y28" s="1054">
        <f t="shared" si="19"/>
        <v>0</v>
      </c>
    </row>
    <row r="29" spans="1:25">
      <c r="A29" s="994">
        <v>23</v>
      </c>
      <c r="B29" s="995" t="s">
        <v>117</v>
      </c>
      <c r="C29" s="996">
        <f>'[28]Belle Chase Academy'!C27</f>
        <v>0</v>
      </c>
      <c r="D29" s="1123">
        <f>'[28]Belle Chase Academy'!D27</f>
        <v>0</v>
      </c>
      <c r="E29" s="1123">
        <f t="shared" si="20"/>
        <v>0</v>
      </c>
      <c r="F29" s="997">
        <f>'Table 3 Levels 1&amp;2'!BN31+'Table 3 Levels 1&amp;2'!BV31</f>
        <v>4788.2881021645453</v>
      </c>
      <c r="G29" s="1100">
        <f t="shared" si="21"/>
        <v>0</v>
      </c>
      <c r="H29" s="1100">
        <f t="shared" si="22"/>
        <v>0</v>
      </c>
      <c r="I29" s="1052">
        <f t="shared" si="17"/>
        <v>0</v>
      </c>
      <c r="J29" s="1110">
        <f t="shared" si="23"/>
        <v>0</v>
      </c>
      <c r="K29" s="1052">
        <f t="shared" si="24"/>
        <v>0</v>
      </c>
      <c r="L29" s="1052"/>
      <c r="M29" s="1052">
        <f t="shared" si="25"/>
        <v>0</v>
      </c>
      <c r="N29" s="1052">
        <f t="shared" si="26"/>
        <v>0</v>
      </c>
      <c r="O29" s="1051">
        <f>'[18]FY2012-13 Final'!K30</f>
        <v>3258</v>
      </c>
      <c r="P29" s="1053">
        <f t="shared" si="27"/>
        <v>0</v>
      </c>
      <c r="Q29" s="1053">
        <f t="shared" si="28"/>
        <v>0</v>
      </c>
      <c r="R29" s="1053">
        <f t="shared" si="29"/>
        <v>0</v>
      </c>
      <c r="S29" s="1117">
        <f t="shared" si="30"/>
        <v>0</v>
      </c>
      <c r="T29" s="1053">
        <f t="shared" si="31"/>
        <v>0</v>
      </c>
      <c r="U29" s="1053"/>
      <c r="V29" s="1053">
        <f t="shared" si="32"/>
        <v>0</v>
      </c>
      <c r="W29" s="1053">
        <f t="shared" si="33"/>
        <v>0</v>
      </c>
      <c r="X29" s="1054">
        <f t="shared" si="18"/>
        <v>0</v>
      </c>
      <c r="Y29" s="1054">
        <f t="shared" si="19"/>
        <v>0</v>
      </c>
    </row>
    <row r="30" spans="1:25">
      <c r="A30" s="994">
        <v>24</v>
      </c>
      <c r="B30" s="995" t="s">
        <v>118</v>
      </c>
      <c r="C30" s="996">
        <f>'[28]Belle Chase Academy'!C28</f>
        <v>0</v>
      </c>
      <c r="D30" s="1123">
        <f>'[28]Belle Chase Academy'!D28</f>
        <v>0</v>
      </c>
      <c r="E30" s="1123">
        <f t="shared" si="20"/>
        <v>0</v>
      </c>
      <c r="F30" s="997">
        <f>'Table 3 Levels 1&amp;2'!BN32+'Table 3 Levels 1&amp;2'!BV32</f>
        <v>2743.328175824176</v>
      </c>
      <c r="G30" s="1100">
        <f t="shared" si="21"/>
        <v>0</v>
      </c>
      <c r="H30" s="1100">
        <f t="shared" si="22"/>
        <v>0</v>
      </c>
      <c r="I30" s="1052">
        <f t="shared" si="17"/>
        <v>0</v>
      </c>
      <c r="J30" s="1110">
        <f t="shared" si="23"/>
        <v>0</v>
      </c>
      <c r="K30" s="1052">
        <f t="shared" si="24"/>
        <v>0</v>
      </c>
      <c r="L30" s="1052"/>
      <c r="M30" s="1052">
        <f t="shared" si="25"/>
        <v>0</v>
      </c>
      <c r="N30" s="1052">
        <f t="shared" si="26"/>
        <v>0</v>
      </c>
      <c r="O30" s="1051">
        <f>'[18]FY2012-13 Final'!K31</f>
        <v>9280</v>
      </c>
      <c r="P30" s="1053">
        <f t="shared" si="27"/>
        <v>0</v>
      </c>
      <c r="Q30" s="1053">
        <f t="shared" si="28"/>
        <v>0</v>
      </c>
      <c r="R30" s="1053">
        <f t="shared" si="29"/>
        <v>0</v>
      </c>
      <c r="S30" s="1117">
        <f t="shared" si="30"/>
        <v>0</v>
      </c>
      <c r="T30" s="1053">
        <f t="shared" si="31"/>
        <v>0</v>
      </c>
      <c r="U30" s="1053"/>
      <c r="V30" s="1053">
        <f t="shared" si="32"/>
        <v>0</v>
      </c>
      <c r="W30" s="1053">
        <f t="shared" si="33"/>
        <v>0</v>
      </c>
      <c r="X30" s="1054">
        <f t="shared" si="18"/>
        <v>0</v>
      </c>
      <c r="Y30" s="1054">
        <f t="shared" si="19"/>
        <v>0</v>
      </c>
    </row>
    <row r="31" spans="1:25">
      <c r="A31" s="998">
        <v>25</v>
      </c>
      <c r="B31" s="999" t="s">
        <v>119</v>
      </c>
      <c r="C31" s="1000">
        <f>'[28]Belle Chase Academy'!C29</f>
        <v>0</v>
      </c>
      <c r="D31" s="1124">
        <f>'[28]Belle Chase Academy'!D29</f>
        <v>0</v>
      </c>
      <c r="E31" s="1124">
        <f t="shared" si="20"/>
        <v>0</v>
      </c>
      <c r="F31" s="1001">
        <f>'Table 3 Levels 1&amp;2'!BN33+'Table 3 Levels 1&amp;2'!BV33</f>
        <v>3799.3890273447178</v>
      </c>
      <c r="G31" s="1101">
        <f t="shared" si="21"/>
        <v>0</v>
      </c>
      <c r="H31" s="1101">
        <f t="shared" si="22"/>
        <v>0</v>
      </c>
      <c r="I31" s="1055">
        <f t="shared" si="17"/>
        <v>0</v>
      </c>
      <c r="J31" s="1111">
        <f t="shared" si="23"/>
        <v>0</v>
      </c>
      <c r="K31" s="1055">
        <f t="shared" si="24"/>
        <v>0</v>
      </c>
      <c r="L31" s="1055"/>
      <c r="M31" s="1055">
        <f t="shared" si="25"/>
        <v>0</v>
      </c>
      <c r="N31" s="1055">
        <f t="shared" si="26"/>
        <v>0</v>
      </c>
      <c r="O31" s="1056">
        <f>'[18]FY2012-13 Final'!K32</f>
        <v>5351</v>
      </c>
      <c r="P31" s="1057">
        <f t="shared" si="27"/>
        <v>0</v>
      </c>
      <c r="Q31" s="1057">
        <f t="shared" si="28"/>
        <v>0</v>
      </c>
      <c r="R31" s="1057">
        <f t="shared" si="29"/>
        <v>0</v>
      </c>
      <c r="S31" s="1326">
        <f t="shared" si="30"/>
        <v>0</v>
      </c>
      <c r="T31" s="1057">
        <f t="shared" si="31"/>
        <v>0</v>
      </c>
      <c r="U31" s="1057"/>
      <c r="V31" s="1057">
        <f t="shared" si="32"/>
        <v>0</v>
      </c>
      <c r="W31" s="1057">
        <f t="shared" si="33"/>
        <v>0</v>
      </c>
      <c r="X31" s="1058">
        <f t="shared" si="18"/>
        <v>0</v>
      </c>
      <c r="Y31" s="1058">
        <f t="shared" si="19"/>
        <v>0</v>
      </c>
    </row>
    <row r="32" spans="1:25">
      <c r="A32" s="987">
        <v>26</v>
      </c>
      <c r="B32" s="988" t="s">
        <v>120</v>
      </c>
      <c r="C32" s="989">
        <f>'[28]Belle Chase Academy'!C30</f>
        <v>262</v>
      </c>
      <c r="D32" s="1122">
        <f>'[28]Belle Chase Academy'!D30</f>
        <v>7</v>
      </c>
      <c r="E32" s="1122">
        <f t="shared" si="20"/>
        <v>269</v>
      </c>
      <c r="F32" s="990">
        <f>'Table 3 Levels 1&amp;2'!BN34+'Table 3 Levels 1&amp;2'!BV34</f>
        <v>3320.7842100822745</v>
      </c>
      <c r="G32" s="1099">
        <f t="shared" si="21"/>
        <v>893290.95251213189</v>
      </c>
      <c r="H32" s="1099">
        <f t="shared" si="22"/>
        <v>212214.75102258488</v>
      </c>
      <c r="I32" s="991">
        <f t="shared" si="17"/>
        <v>1105505.7035347167</v>
      </c>
      <c r="J32" s="1109">
        <f t="shared" si="23"/>
        <v>-2763.7642588367921</v>
      </c>
      <c r="K32" s="991">
        <f t="shared" si="24"/>
        <v>1102741.9392758799</v>
      </c>
      <c r="L32" s="991"/>
      <c r="M32" s="991">
        <f t="shared" si="25"/>
        <v>1102741.9392758799</v>
      </c>
      <c r="N32" s="991">
        <f t="shared" si="26"/>
        <v>91895</v>
      </c>
      <c r="O32" s="1051">
        <f>'[18]FY2012-13 Final'!K33</f>
        <v>5100</v>
      </c>
      <c r="P32" s="992">
        <f t="shared" si="27"/>
        <v>1336200</v>
      </c>
      <c r="Q32" s="992">
        <f t="shared" si="28"/>
        <v>35700</v>
      </c>
      <c r="R32" s="992">
        <f t="shared" si="29"/>
        <v>1371900</v>
      </c>
      <c r="S32" s="1117">
        <f t="shared" si="30"/>
        <v>-3340.5</v>
      </c>
      <c r="T32" s="992">
        <f t="shared" si="31"/>
        <v>1332859.5</v>
      </c>
      <c r="U32" s="992"/>
      <c r="V32" s="992">
        <f t="shared" si="32"/>
        <v>1332859.5</v>
      </c>
      <c r="W32" s="992">
        <f t="shared" si="33"/>
        <v>111072</v>
      </c>
      <c r="X32" s="993">
        <f t="shared" si="18"/>
        <v>2435601.4392758799</v>
      </c>
      <c r="Y32" s="993">
        <f t="shared" si="19"/>
        <v>202967</v>
      </c>
    </row>
    <row r="33" spans="1:25">
      <c r="A33" s="994">
        <v>27</v>
      </c>
      <c r="B33" s="995" t="s">
        <v>121</v>
      </c>
      <c r="C33" s="1002">
        <f>'[28]Belle Chase Academy'!C31</f>
        <v>0</v>
      </c>
      <c r="D33" s="1125">
        <f>'[28]Belle Chase Academy'!D31</f>
        <v>0</v>
      </c>
      <c r="E33" s="1125">
        <f t="shared" si="20"/>
        <v>0</v>
      </c>
      <c r="F33" s="1003">
        <f>'Table 3 Levels 1&amp;2'!BN35+'Table 3 Levels 1&amp;2'!BV35</f>
        <v>5636.5919457972805</v>
      </c>
      <c r="G33" s="1102">
        <f t="shared" si="21"/>
        <v>0</v>
      </c>
      <c r="H33" s="1102">
        <f t="shared" si="22"/>
        <v>0</v>
      </c>
      <c r="I33" s="1059">
        <f t="shared" si="17"/>
        <v>0</v>
      </c>
      <c r="J33" s="1112">
        <f t="shared" si="23"/>
        <v>0</v>
      </c>
      <c r="K33" s="1059">
        <f t="shared" si="24"/>
        <v>0</v>
      </c>
      <c r="L33" s="1059"/>
      <c r="M33" s="1059">
        <f t="shared" si="25"/>
        <v>0</v>
      </c>
      <c r="N33" s="1059">
        <f t="shared" si="26"/>
        <v>0</v>
      </c>
      <c r="O33" s="1051">
        <f>'[18]FY2012-13 Final'!K34</f>
        <v>3091</v>
      </c>
      <c r="P33" s="1053">
        <f t="shared" si="27"/>
        <v>0</v>
      </c>
      <c r="Q33" s="1053">
        <f t="shared" si="28"/>
        <v>0</v>
      </c>
      <c r="R33" s="1053">
        <f t="shared" si="29"/>
        <v>0</v>
      </c>
      <c r="S33" s="1117">
        <f t="shared" si="30"/>
        <v>0</v>
      </c>
      <c r="T33" s="1053">
        <f t="shared" si="31"/>
        <v>0</v>
      </c>
      <c r="U33" s="1053"/>
      <c r="V33" s="1053">
        <f t="shared" si="32"/>
        <v>0</v>
      </c>
      <c r="W33" s="1053">
        <f t="shared" si="33"/>
        <v>0</v>
      </c>
      <c r="X33" s="1054">
        <f t="shared" si="18"/>
        <v>0</v>
      </c>
      <c r="Y33" s="1054">
        <f t="shared" si="19"/>
        <v>0</v>
      </c>
    </row>
    <row r="34" spans="1:25">
      <c r="A34" s="994">
        <v>28</v>
      </c>
      <c r="B34" s="995" t="s">
        <v>122</v>
      </c>
      <c r="C34" s="1002">
        <f>'[28]Belle Chase Academy'!C32</f>
        <v>0</v>
      </c>
      <c r="D34" s="1125">
        <f>'[28]Belle Chase Academy'!D32</f>
        <v>0</v>
      </c>
      <c r="E34" s="1125">
        <f t="shared" si="20"/>
        <v>0</v>
      </c>
      <c r="F34" s="1003">
        <f>'Table 3 Levels 1&amp;2'!BN36+'Table 3 Levels 1&amp;2'!BV36</f>
        <v>3106.8056522508969</v>
      </c>
      <c r="G34" s="1102">
        <f t="shared" si="21"/>
        <v>0</v>
      </c>
      <c r="H34" s="1102">
        <f t="shared" si="22"/>
        <v>0</v>
      </c>
      <c r="I34" s="1059">
        <f t="shared" si="17"/>
        <v>0</v>
      </c>
      <c r="J34" s="1112">
        <f t="shared" si="23"/>
        <v>0</v>
      </c>
      <c r="K34" s="1059">
        <f t="shared" si="24"/>
        <v>0</v>
      </c>
      <c r="L34" s="1059"/>
      <c r="M34" s="1059">
        <f t="shared" si="25"/>
        <v>0</v>
      </c>
      <c r="N34" s="1059">
        <f t="shared" si="26"/>
        <v>0</v>
      </c>
      <c r="O34" s="1051">
        <f>'[18]FY2012-13 Final'!K35</f>
        <v>5323</v>
      </c>
      <c r="P34" s="1053">
        <f t="shared" si="27"/>
        <v>0</v>
      </c>
      <c r="Q34" s="1053">
        <f t="shared" si="28"/>
        <v>0</v>
      </c>
      <c r="R34" s="1053">
        <f t="shared" si="29"/>
        <v>0</v>
      </c>
      <c r="S34" s="1117">
        <f t="shared" si="30"/>
        <v>0</v>
      </c>
      <c r="T34" s="1053">
        <f t="shared" si="31"/>
        <v>0</v>
      </c>
      <c r="U34" s="1053"/>
      <c r="V34" s="1053">
        <f t="shared" si="32"/>
        <v>0</v>
      </c>
      <c r="W34" s="1053">
        <f t="shared" si="33"/>
        <v>0</v>
      </c>
      <c r="X34" s="1054">
        <f t="shared" si="18"/>
        <v>0</v>
      </c>
      <c r="Y34" s="1054">
        <f t="shared" si="19"/>
        <v>0</v>
      </c>
    </row>
    <row r="35" spans="1:25">
      <c r="A35" s="994">
        <v>29</v>
      </c>
      <c r="B35" s="995" t="s">
        <v>123</v>
      </c>
      <c r="C35" s="1002">
        <f>'[28]Belle Chase Academy'!C33</f>
        <v>0</v>
      </c>
      <c r="D35" s="1125">
        <f>'[28]Belle Chase Academy'!D33</f>
        <v>0</v>
      </c>
      <c r="E35" s="1125">
        <f t="shared" si="20"/>
        <v>0</v>
      </c>
      <c r="F35" s="1003">
        <f>'Table 3 Levels 1&amp;2'!BN37+'Table 3 Levels 1&amp;2'!BV37</f>
        <v>3912.1846976122315</v>
      </c>
      <c r="G35" s="1102">
        <f t="shared" si="21"/>
        <v>0</v>
      </c>
      <c r="H35" s="1102">
        <f t="shared" si="22"/>
        <v>0</v>
      </c>
      <c r="I35" s="1059">
        <f t="shared" si="17"/>
        <v>0</v>
      </c>
      <c r="J35" s="1112">
        <f t="shared" si="23"/>
        <v>0</v>
      </c>
      <c r="K35" s="1059">
        <f t="shared" si="24"/>
        <v>0</v>
      </c>
      <c r="L35" s="1059"/>
      <c r="M35" s="1059">
        <f t="shared" si="25"/>
        <v>0</v>
      </c>
      <c r="N35" s="1059">
        <f t="shared" si="26"/>
        <v>0</v>
      </c>
      <c r="O35" s="1051">
        <f>'[18]FY2012-13 Final'!K36</f>
        <v>4388</v>
      </c>
      <c r="P35" s="1053">
        <f t="shared" si="27"/>
        <v>0</v>
      </c>
      <c r="Q35" s="1053">
        <f t="shared" si="28"/>
        <v>0</v>
      </c>
      <c r="R35" s="1053">
        <f t="shared" si="29"/>
        <v>0</v>
      </c>
      <c r="S35" s="1117">
        <f t="shared" si="30"/>
        <v>0</v>
      </c>
      <c r="T35" s="1053">
        <f t="shared" si="31"/>
        <v>0</v>
      </c>
      <c r="U35" s="1053"/>
      <c r="V35" s="1053">
        <f t="shared" si="32"/>
        <v>0</v>
      </c>
      <c r="W35" s="1053">
        <f t="shared" si="33"/>
        <v>0</v>
      </c>
      <c r="X35" s="1054">
        <f t="shared" si="18"/>
        <v>0</v>
      </c>
      <c r="Y35" s="1054">
        <f t="shared" si="19"/>
        <v>0</v>
      </c>
    </row>
    <row r="36" spans="1:25">
      <c r="A36" s="998">
        <v>30</v>
      </c>
      <c r="B36" s="999" t="s">
        <v>124</v>
      </c>
      <c r="C36" s="1004">
        <f>'[28]Belle Chase Academy'!C34</f>
        <v>0</v>
      </c>
      <c r="D36" s="1126">
        <f>'[28]Belle Chase Academy'!D34</f>
        <v>0</v>
      </c>
      <c r="E36" s="1126">
        <f t="shared" si="20"/>
        <v>0</v>
      </c>
      <c r="F36" s="1005">
        <f>'Table 3 Levels 1&amp;2'!BN38+'Table 3 Levels 1&amp;2'!BV38</f>
        <v>5594.0091640611508</v>
      </c>
      <c r="G36" s="1103">
        <f t="shared" si="21"/>
        <v>0</v>
      </c>
      <c r="H36" s="1103">
        <f t="shared" si="22"/>
        <v>0</v>
      </c>
      <c r="I36" s="1060">
        <f t="shared" si="17"/>
        <v>0</v>
      </c>
      <c r="J36" s="1113">
        <f t="shared" si="23"/>
        <v>0</v>
      </c>
      <c r="K36" s="1060">
        <f t="shared" si="24"/>
        <v>0</v>
      </c>
      <c r="L36" s="1060"/>
      <c r="M36" s="1060">
        <f t="shared" si="25"/>
        <v>0</v>
      </c>
      <c r="N36" s="1060">
        <f t="shared" si="26"/>
        <v>0</v>
      </c>
      <c r="O36" s="1056">
        <f>'[18]FY2012-13 Final'!K37</f>
        <v>3702</v>
      </c>
      <c r="P36" s="1057">
        <f t="shared" si="27"/>
        <v>0</v>
      </c>
      <c r="Q36" s="1057">
        <f t="shared" si="28"/>
        <v>0</v>
      </c>
      <c r="R36" s="1057">
        <f t="shared" si="29"/>
        <v>0</v>
      </c>
      <c r="S36" s="1326">
        <f t="shared" si="30"/>
        <v>0</v>
      </c>
      <c r="T36" s="1057">
        <f t="shared" si="31"/>
        <v>0</v>
      </c>
      <c r="U36" s="1057"/>
      <c r="V36" s="1057">
        <f t="shared" si="32"/>
        <v>0</v>
      </c>
      <c r="W36" s="1057">
        <f t="shared" si="33"/>
        <v>0</v>
      </c>
      <c r="X36" s="1058">
        <f t="shared" si="18"/>
        <v>0</v>
      </c>
      <c r="Y36" s="1058">
        <f t="shared" si="19"/>
        <v>0</v>
      </c>
    </row>
    <row r="37" spans="1:25">
      <c r="A37" s="987">
        <v>31</v>
      </c>
      <c r="B37" s="988" t="s">
        <v>125</v>
      </c>
      <c r="C37" s="1006">
        <f>'[28]Belle Chase Academy'!C35</f>
        <v>0</v>
      </c>
      <c r="D37" s="1127">
        <f>'[28]Belle Chase Academy'!D35</f>
        <v>0</v>
      </c>
      <c r="E37" s="1127">
        <f t="shared" si="20"/>
        <v>0</v>
      </c>
      <c r="F37" s="1007">
        <f>'Table 3 Levels 1&amp;2'!BN39+'Table 3 Levels 1&amp;2'!BV39</f>
        <v>4320.114188911979</v>
      </c>
      <c r="G37" s="1104">
        <f t="shared" si="21"/>
        <v>0</v>
      </c>
      <c r="H37" s="1104">
        <f t="shared" si="22"/>
        <v>0</v>
      </c>
      <c r="I37" s="1061">
        <f t="shared" si="17"/>
        <v>0</v>
      </c>
      <c r="J37" s="1114">
        <f t="shared" si="23"/>
        <v>0</v>
      </c>
      <c r="K37" s="1061">
        <f t="shared" si="24"/>
        <v>0</v>
      </c>
      <c r="L37" s="1061"/>
      <c r="M37" s="1061">
        <f t="shared" si="25"/>
        <v>0</v>
      </c>
      <c r="N37" s="1061">
        <f t="shared" si="26"/>
        <v>0</v>
      </c>
      <c r="O37" s="1051">
        <f>'[18]FY2012-13 Final'!K38</f>
        <v>4669</v>
      </c>
      <c r="P37" s="992">
        <f t="shared" si="27"/>
        <v>0</v>
      </c>
      <c r="Q37" s="992">
        <f t="shared" si="28"/>
        <v>0</v>
      </c>
      <c r="R37" s="992">
        <f t="shared" si="29"/>
        <v>0</v>
      </c>
      <c r="S37" s="1117">
        <f t="shared" si="30"/>
        <v>0</v>
      </c>
      <c r="T37" s="992">
        <f t="shared" si="31"/>
        <v>0</v>
      </c>
      <c r="U37" s="992"/>
      <c r="V37" s="992">
        <f t="shared" si="32"/>
        <v>0</v>
      </c>
      <c r="W37" s="992">
        <f t="shared" si="33"/>
        <v>0</v>
      </c>
      <c r="X37" s="993">
        <f t="shared" si="18"/>
        <v>0</v>
      </c>
      <c r="Y37" s="993">
        <f t="shared" si="19"/>
        <v>0</v>
      </c>
    </row>
    <row r="38" spans="1:25">
      <c r="A38" s="994">
        <v>32</v>
      </c>
      <c r="B38" s="995" t="s">
        <v>126</v>
      </c>
      <c r="C38" s="1002">
        <f>'[28]Belle Chase Academy'!C36</f>
        <v>0</v>
      </c>
      <c r="D38" s="1125">
        <f>'[28]Belle Chase Academy'!D36</f>
        <v>0</v>
      </c>
      <c r="E38" s="1125">
        <f t="shared" si="20"/>
        <v>0</v>
      </c>
      <c r="F38" s="1003">
        <f>'Table 3 Levels 1&amp;2'!BN40+'Table 3 Levels 1&amp;2'!BV40</f>
        <v>5504.4479209353676</v>
      </c>
      <c r="G38" s="1102">
        <f t="shared" si="21"/>
        <v>0</v>
      </c>
      <c r="H38" s="1102">
        <f t="shared" si="22"/>
        <v>0</v>
      </c>
      <c r="I38" s="1059">
        <f t="shared" si="17"/>
        <v>0</v>
      </c>
      <c r="J38" s="1112">
        <f t="shared" si="23"/>
        <v>0</v>
      </c>
      <c r="K38" s="1059">
        <f t="shared" si="24"/>
        <v>0</v>
      </c>
      <c r="L38" s="1059"/>
      <c r="M38" s="1059">
        <f t="shared" si="25"/>
        <v>0</v>
      </c>
      <c r="N38" s="1059">
        <f t="shared" si="26"/>
        <v>0</v>
      </c>
      <c r="O38" s="1051">
        <f>'[18]FY2012-13 Final'!K39</f>
        <v>1965</v>
      </c>
      <c r="P38" s="1053">
        <f t="shared" si="27"/>
        <v>0</v>
      </c>
      <c r="Q38" s="1053">
        <f t="shared" si="28"/>
        <v>0</v>
      </c>
      <c r="R38" s="1053">
        <f t="shared" si="29"/>
        <v>0</v>
      </c>
      <c r="S38" s="1117">
        <f t="shared" si="30"/>
        <v>0</v>
      </c>
      <c r="T38" s="1053">
        <f t="shared" si="31"/>
        <v>0</v>
      </c>
      <c r="U38" s="1053"/>
      <c r="V38" s="1053">
        <f t="shared" si="32"/>
        <v>0</v>
      </c>
      <c r="W38" s="1053">
        <f t="shared" si="33"/>
        <v>0</v>
      </c>
      <c r="X38" s="1054">
        <f t="shared" si="18"/>
        <v>0</v>
      </c>
      <c r="Y38" s="1054">
        <f t="shared" si="19"/>
        <v>0</v>
      </c>
    </row>
    <row r="39" spans="1:25">
      <c r="A39" s="994">
        <v>33</v>
      </c>
      <c r="B39" s="995" t="s">
        <v>127</v>
      </c>
      <c r="C39" s="1002">
        <f>'[28]Belle Chase Academy'!C37</f>
        <v>0</v>
      </c>
      <c r="D39" s="1125">
        <f>'[28]Belle Chase Academy'!D37</f>
        <v>0</v>
      </c>
      <c r="E39" s="1125">
        <f t="shared" si="20"/>
        <v>0</v>
      </c>
      <c r="F39" s="1003">
        <f>'Table 3 Levels 1&amp;2'!BN41+'Table 3 Levels 1&amp;2'!BV41</f>
        <v>5322.07272511876</v>
      </c>
      <c r="G39" s="1102">
        <f t="shared" si="21"/>
        <v>0</v>
      </c>
      <c r="H39" s="1102">
        <f t="shared" si="22"/>
        <v>0</v>
      </c>
      <c r="I39" s="1059">
        <f t="shared" ref="I39:I70" si="34">G39+H39</f>
        <v>0</v>
      </c>
      <c r="J39" s="1112">
        <f t="shared" si="23"/>
        <v>0</v>
      </c>
      <c r="K39" s="1059">
        <f t="shared" si="24"/>
        <v>0</v>
      </c>
      <c r="L39" s="1059"/>
      <c r="M39" s="1059">
        <f t="shared" si="25"/>
        <v>0</v>
      </c>
      <c r="N39" s="1059">
        <f t="shared" si="26"/>
        <v>0</v>
      </c>
      <c r="O39" s="1051">
        <f>'[18]FY2012-13 Final'!K40</f>
        <v>2771</v>
      </c>
      <c r="P39" s="1053">
        <f t="shared" si="27"/>
        <v>0</v>
      </c>
      <c r="Q39" s="1053">
        <f t="shared" si="28"/>
        <v>0</v>
      </c>
      <c r="R39" s="1053">
        <f t="shared" si="29"/>
        <v>0</v>
      </c>
      <c r="S39" s="1117">
        <f t="shared" si="30"/>
        <v>0</v>
      </c>
      <c r="T39" s="1053">
        <f t="shared" si="31"/>
        <v>0</v>
      </c>
      <c r="U39" s="1053"/>
      <c r="V39" s="1053">
        <f t="shared" si="32"/>
        <v>0</v>
      </c>
      <c r="W39" s="1053">
        <f t="shared" si="33"/>
        <v>0</v>
      </c>
      <c r="X39" s="1054">
        <f t="shared" ref="X39:X75" si="35">V39+M39</f>
        <v>0</v>
      </c>
      <c r="Y39" s="1054">
        <f t="shared" ref="Y39:Y75" si="36">N39+W39</f>
        <v>0</v>
      </c>
    </row>
    <row r="40" spans="1:25">
      <c r="A40" s="994">
        <v>34</v>
      </c>
      <c r="B40" s="995" t="s">
        <v>128</v>
      </c>
      <c r="C40" s="1002">
        <f>'[28]Belle Chase Academy'!C38</f>
        <v>0</v>
      </c>
      <c r="D40" s="1125">
        <f>'[28]Belle Chase Academy'!D38</f>
        <v>0</v>
      </c>
      <c r="E40" s="1125">
        <f t="shared" si="20"/>
        <v>0</v>
      </c>
      <c r="F40" s="1003">
        <f>'Table 3 Levels 1&amp;2'!BN42+'Table 3 Levels 1&amp;2'!BV42</f>
        <v>5959.062840731639</v>
      </c>
      <c r="G40" s="1102">
        <f t="shared" si="21"/>
        <v>0</v>
      </c>
      <c r="H40" s="1102">
        <f t="shared" si="22"/>
        <v>0</v>
      </c>
      <c r="I40" s="1059">
        <f t="shared" si="34"/>
        <v>0</v>
      </c>
      <c r="J40" s="1112">
        <f t="shared" si="23"/>
        <v>0</v>
      </c>
      <c r="K40" s="1059">
        <f t="shared" si="24"/>
        <v>0</v>
      </c>
      <c r="L40" s="1059"/>
      <c r="M40" s="1059">
        <f t="shared" si="25"/>
        <v>0</v>
      </c>
      <c r="N40" s="1059">
        <f t="shared" si="26"/>
        <v>0</v>
      </c>
      <c r="O40" s="1051">
        <f>'[18]FY2012-13 Final'!K41</f>
        <v>2758</v>
      </c>
      <c r="P40" s="1053">
        <f t="shared" si="27"/>
        <v>0</v>
      </c>
      <c r="Q40" s="1053">
        <f t="shared" si="28"/>
        <v>0</v>
      </c>
      <c r="R40" s="1053">
        <f t="shared" si="29"/>
        <v>0</v>
      </c>
      <c r="S40" s="1117">
        <f t="shared" si="30"/>
        <v>0</v>
      </c>
      <c r="T40" s="1053">
        <f t="shared" si="31"/>
        <v>0</v>
      </c>
      <c r="U40" s="1053"/>
      <c r="V40" s="1053">
        <f t="shared" si="32"/>
        <v>0</v>
      </c>
      <c r="W40" s="1053">
        <f t="shared" si="33"/>
        <v>0</v>
      </c>
      <c r="X40" s="1054">
        <f t="shared" si="35"/>
        <v>0</v>
      </c>
      <c r="Y40" s="1054">
        <f t="shared" si="36"/>
        <v>0</v>
      </c>
    </row>
    <row r="41" spans="1:25">
      <c r="A41" s="998">
        <v>35</v>
      </c>
      <c r="B41" s="999" t="s">
        <v>129</v>
      </c>
      <c r="C41" s="1004">
        <f>'[28]Belle Chase Academy'!C39</f>
        <v>0</v>
      </c>
      <c r="D41" s="1126">
        <f>'[28]Belle Chase Academy'!D39</f>
        <v>0</v>
      </c>
      <c r="E41" s="1126">
        <f t="shared" si="20"/>
        <v>0</v>
      </c>
      <c r="F41" s="1005">
        <f>'Table 3 Levels 1&amp;2'!BN43+'Table 3 Levels 1&amp;2'!BV43</f>
        <v>4571.947611490059</v>
      </c>
      <c r="G41" s="1103">
        <f t="shared" si="21"/>
        <v>0</v>
      </c>
      <c r="H41" s="1103">
        <f t="shared" si="22"/>
        <v>0</v>
      </c>
      <c r="I41" s="1060">
        <f t="shared" si="34"/>
        <v>0</v>
      </c>
      <c r="J41" s="1113">
        <f t="shared" si="23"/>
        <v>0</v>
      </c>
      <c r="K41" s="1060">
        <f t="shared" si="24"/>
        <v>0</v>
      </c>
      <c r="L41" s="1060"/>
      <c r="M41" s="1060">
        <f t="shared" si="25"/>
        <v>0</v>
      </c>
      <c r="N41" s="1060">
        <f t="shared" si="26"/>
        <v>0</v>
      </c>
      <c r="O41" s="1056">
        <f>'[18]FY2012-13 Final'!K42</f>
        <v>3603</v>
      </c>
      <c r="P41" s="1057">
        <f t="shared" si="27"/>
        <v>0</v>
      </c>
      <c r="Q41" s="1057">
        <f t="shared" si="28"/>
        <v>0</v>
      </c>
      <c r="R41" s="1057">
        <f t="shared" si="29"/>
        <v>0</v>
      </c>
      <c r="S41" s="1326">
        <f t="shared" si="30"/>
        <v>0</v>
      </c>
      <c r="T41" s="1057">
        <f t="shared" si="31"/>
        <v>0</v>
      </c>
      <c r="U41" s="1057"/>
      <c r="V41" s="1057">
        <f t="shared" si="32"/>
        <v>0</v>
      </c>
      <c r="W41" s="1057">
        <f t="shared" si="33"/>
        <v>0</v>
      </c>
      <c r="X41" s="1058">
        <f t="shared" si="35"/>
        <v>0</v>
      </c>
      <c r="Y41" s="1058">
        <f t="shared" si="36"/>
        <v>0</v>
      </c>
    </row>
    <row r="42" spans="1:25">
      <c r="A42" s="987">
        <v>36</v>
      </c>
      <c r="B42" s="988" t="s">
        <v>130</v>
      </c>
      <c r="C42" s="1006">
        <f>'[28]Belle Chase Academy'!C40</f>
        <v>128</v>
      </c>
      <c r="D42" s="1138">
        <f>'[28]Belle Chase Academy'!D40</f>
        <v>63</v>
      </c>
      <c r="E42" s="1138">
        <f t="shared" si="20"/>
        <v>191</v>
      </c>
      <c r="F42" s="1007">
        <f>'Table 3 Levels 1&amp;2'!BN44+'Table 3 Levels 1&amp;2'!BV44</f>
        <v>3666.4136012725312</v>
      </c>
      <c r="G42" s="1104">
        <f t="shared" si="21"/>
        <v>700284.99784305342</v>
      </c>
      <c r="H42" s="1104">
        <f t="shared" si="22"/>
        <v>150680.36225023685</v>
      </c>
      <c r="I42" s="1061">
        <f t="shared" si="34"/>
        <v>850965.36009329022</v>
      </c>
      <c r="J42" s="1114">
        <f t="shared" si="23"/>
        <v>-2127.4134002332257</v>
      </c>
      <c r="K42" s="1061">
        <f t="shared" si="24"/>
        <v>848837.94669305696</v>
      </c>
      <c r="L42" s="1061"/>
      <c r="M42" s="1061">
        <f t="shared" si="25"/>
        <v>848837.94669305696</v>
      </c>
      <c r="N42" s="1061">
        <f t="shared" si="26"/>
        <v>70736</v>
      </c>
      <c r="O42" s="1051">
        <f>'[18]FY2012-13 Final'!K43</f>
        <v>4601</v>
      </c>
      <c r="P42" s="992">
        <f t="shared" si="27"/>
        <v>588928</v>
      </c>
      <c r="Q42" s="992">
        <f t="shared" si="28"/>
        <v>289863</v>
      </c>
      <c r="R42" s="992">
        <f t="shared" si="29"/>
        <v>878791</v>
      </c>
      <c r="S42" s="1117">
        <f t="shared" si="30"/>
        <v>-1472.32</v>
      </c>
      <c r="T42" s="992">
        <f t="shared" si="31"/>
        <v>587455.68000000005</v>
      </c>
      <c r="U42" s="992"/>
      <c r="V42" s="992">
        <f t="shared" si="32"/>
        <v>587455.68000000005</v>
      </c>
      <c r="W42" s="992">
        <f t="shared" si="33"/>
        <v>48955</v>
      </c>
      <c r="X42" s="993">
        <f t="shared" si="35"/>
        <v>1436293.6266930569</v>
      </c>
      <c r="Y42" s="993">
        <f t="shared" si="36"/>
        <v>119691</v>
      </c>
    </row>
    <row r="43" spans="1:25">
      <c r="A43" s="994">
        <v>37</v>
      </c>
      <c r="B43" s="995" t="s">
        <v>131</v>
      </c>
      <c r="C43" s="1002">
        <f>'[28]Belle Chase Academy'!C41</f>
        <v>0</v>
      </c>
      <c r="D43" s="1139">
        <f>'[28]Belle Chase Academy'!D41</f>
        <v>0</v>
      </c>
      <c r="E43" s="1139">
        <f t="shared" si="20"/>
        <v>0</v>
      </c>
      <c r="F43" s="1003">
        <f>'Table 3 Levels 1&amp;2'!BN45+'Table 3 Levels 1&amp;2'!BV45</f>
        <v>5484.8089042263191</v>
      </c>
      <c r="G43" s="1102">
        <f t="shared" si="21"/>
        <v>0</v>
      </c>
      <c r="H43" s="1102">
        <f t="shared" si="22"/>
        <v>0</v>
      </c>
      <c r="I43" s="1059">
        <f t="shared" si="34"/>
        <v>0</v>
      </c>
      <c r="J43" s="1112">
        <f t="shared" si="23"/>
        <v>0</v>
      </c>
      <c r="K43" s="1059">
        <f t="shared" si="24"/>
        <v>0</v>
      </c>
      <c r="L43" s="1059"/>
      <c r="M43" s="1059">
        <f t="shared" si="25"/>
        <v>0</v>
      </c>
      <c r="N43" s="1059">
        <f t="shared" si="26"/>
        <v>0</v>
      </c>
      <c r="O43" s="1051">
        <f>'[18]FY2012-13 Final'!K44</f>
        <v>3099</v>
      </c>
      <c r="P43" s="1053">
        <f t="shared" si="27"/>
        <v>0</v>
      </c>
      <c r="Q43" s="1053">
        <f t="shared" si="28"/>
        <v>0</v>
      </c>
      <c r="R43" s="1053">
        <f t="shared" si="29"/>
        <v>0</v>
      </c>
      <c r="S43" s="1117">
        <f t="shared" si="30"/>
        <v>0</v>
      </c>
      <c r="T43" s="1053">
        <f t="shared" si="31"/>
        <v>0</v>
      </c>
      <c r="U43" s="1053"/>
      <c r="V43" s="1053">
        <f t="shared" si="32"/>
        <v>0</v>
      </c>
      <c r="W43" s="1053">
        <f t="shared" si="33"/>
        <v>0</v>
      </c>
      <c r="X43" s="1054">
        <f t="shared" si="35"/>
        <v>0</v>
      </c>
      <c r="Y43" s="1054">
        <f t="shared" si="36"/>
        <v>0</v>
      </c>
    </row>
    <row r="44" spans="1:25">
      <c r="A44" s="994">
        <v>38</v>
      </c>
      <c r="B44" s="995" t="s">
        <v>132</v>
      </c>
      <c r="C44" s="1002">
        <f>'[28]Belle Chase Academy'!C42</f>
        <v>70</v>
      </c>
      <c r="D44" s="1139">
        <f>'[28]Belle Chase Academy'!D42</f>
        <v>414</v>
      </c>
      <c r="E44" s="1139">
        <f t="shared" si="20"/>
        <v>484</v>
      </c>
      <c r="F44" s="1003">
        <f>'Table 3 Levels 1&amp;2'!BN46+'Table 3 Levels 1&amp;2'!BV46</f>
        <v>2078.5917829727841</v>
      </c>
      <c r="G44" s="1102">
        <f t="shared" si="21"/>
        <v>1006038.4229588276</v>
      </c>
      <c r="H44" s="1102">
        <f t="shared" si="22"/>
        <v>381828.77135662112</v>
      </c>
      <c r="I44" s="1059">
        <f t="shared" si="34"/>
        <v>1387867.1943154486</v>
      </c>
      <c r="J44" s="1112">
        <f t="shared" si="23"/>
        <v>-3469.6679857886215</v>
      </c>
      <c r="K44" s="1059">
        <f t="shared" si="24"/>
        <v>1384397.5263296601</v>
      </c>
      <c r="L44" s="1059"/>
      <c r="M44" s="1059">
        <f t="shared" si="25"/>
        <v>1384397.5263296601</v>
      </c>
      <c r="N44" s="1059">
        <f t="shared" si="26"/>
        <v>115366</v>
      </c>
      <c r="O44" s="1051">
        <f>'[18]FY2012-13 Final'!K45</f>
        <v>9674</v>
      </c>
      <c r="P44" s="1053">
        <f t="shared" si="27"/>
        <v>677180</v>
      </c>
      <c r="Q44" s="1053">
        <f t="shared" si="28"/>
        <v>4005036</v>
      </c>
      <c r="R44" s="1053">
        <f t="shared" si="29"/>
        <v>4682216</v>
      </c>
      <c r="S44" s="1117">
        <f t="shared" si="30"/>
        <v>-1692.95</v>
      </c>
      <c r="T44" s="1053">
        <f t="shared" si="31"/>
        <v>675487.05</v>
      </c>
      <c r="U44" s="1053"/>
      <c r="V44" s="1053">
        <f t="shared" si="32"/>
        <v>675487.05</v>
      </c>
      <c r="W44" s="1053">
        <f t="shared" si="33"/>
        <v>56291</v>
      </c>
      <c r="X44" s="1054">
        <f t="shared" si="35"/>
        <v>2059884.5763296601</v>
      </c>
      <c r="Y44" s="1054">
        <f t="shared" si="36"/>
        <v>171657</v>
      </c>
    </row>
    <row r="45" spans="1:25">
      <c r="A45" s="994">
        <v>39</v>
      </c>
      <c r="B45" s="995" t="s">
        <v>133</v>
      </c>
      <c r="C45" s="1002">
        <f>'[28]Belle Chase Academy'!C43</f>
        <v>0</v>
      </c>
      <c r="D45" s="1125">
        <f>'[28]Belle Chase Academy'!D43</f>
        <v>0</v>
      </c>
      <c r="E45" s="1125">
        <f t="shared" si="20"/>
        <v>0</v>
      </c>
      <c r="F45" s="1003">
        <f>'Table 3 Levels 1&amp;2'!BN47+'Table 3 Levels 1&amp;2'!BV47</f>
        <v>3622.4878999042335</v>
      </c>
      <c r="G45" s="1102">
        <f t="shared" si="21"/>
        <v>0</v>
      </c>
      <c r="H45" s="1102">
        <f t="shared" si="22"/>
        <v>0</v>
      </c>
      <c r="I45" s="1059">
        <f t="shared" si="34"/>
        <v>0</v>
      </c>
      <c r="J45" s="1112">
        <f t="shared" si="23"/>
        <v>0</v>
      </c>
      <c r="K45" s="1059">
        <f t="shared" si="24"/>
        <v>0</v>
      </c>
      <c r="L45" s="1059"/>
      <c r="M45" s="1059">
        <f t="shared" si="25"/>
        <v>0</v>
      </c>
      <c r="N45" s="1059">
        <f t="shared" si="26"/>
        <v>0</v>
      </c>
      <c r="O45" s="1051">
        <f>'[18]FY2012-13 Final'!K46</f>
        <v>4277</v>
      </c>
      <c r="P45" s="1053">
        <f t="shared" si="27"/>
        <v>0</v>
      </c>
      <c r="Q45" s="1053">
        <f t="shared" si="28"/>
        <v>0</v>
      </c>
      <c r="R45" s="1053">
        <f t="shared" si="29"/>
        <v>0</v>
      </c>
      <c r="S45" s="1117">
        <f t="shared" si="30"/>
        <v>0</v>
      </c>
      <c r="T45" s="1053">
        <f t="shared" si="31"/>
        <v>0</v>
      </c>
      <c r="U45" s="1053"/>
      <c r="V45" s="1053">
        <f t="shared" si="32"/>
        <v>0</v>
      </c>
      <c r="W45" s="1053">
        <f t="shared" si="33"/>
        <v>0</v>
      </c>
      <c r="X45" s="1054">
        <f t="shared" si="35"/>
        <v>0</v>
      </c>
      <c r="Y45" s="1054">
        <f t="shared" si="36"/>
        <v>0</v>
      </c>
    </row>
    <row r="46" spans="1:25">
      <c r="A46" s="998">
        <v>40</v>
      </c>
      <c r="B46" s="999" t="s">
        <v>134</v>
      </c>
      <c r="C46" s="1004">
        <f>'[28]Belle Chase Academy'!C44</f>
        <v>0</v>
      </c>
      <c r="D46" s="1126">
        <f>'[28]Belle Chase Academy'!D44</f>
        <v>0</v>
      </c>
      <c r="E46" s="1126">
        <f t="shared" si="20"/>
        <v>0</v>
      </c>
      <c r="F46" s="1005">
        <f>'Table 3 Levels 1&amp;2'!BN48+'Table 3 Levels 1&amp;2'!BV48</f>
        <v>4885.6387343180086</v>
      </c>
      <c r="G46" s="1103">
        <f t="shared" si="21"/>
        <v>0</v>
      </c>
      <c r="H46" s="1103">
        <f t="shared" si="22"/>
        <v>0</v>
      </c>
      <c r="I46" s="1060">
        <f t="shared" si="34"/>
        <v>0</v>
      </c>
      <c r="J46" s="1113">
        <f t="shared" si="23"/>
        <v>0</v>
      </c>
      <c r="K46" s="1060">
        <f t="shared" si="24"/>
        <v>0</v>
      </c>
      <c r="L46" s="1060"/>
      <c r="M46" s="1060">
        <f t="shared" si="25"/>
        <v>0</v>
      </c>
      <c r="N46" s="1060">
        <f t="shared" si="26"/>
        <v>0</v>
      </c>
      <c r="O46" s="1056">
        <f>'[18]FY2012-13 Final'!K47</f>
        <v>2921</v>
      </c>
      <c r="P46" s="1057">
        <f t="shared" si="27"/>
        <v>0</v>
      </c>
      <c r="Q46" s="1057">
        <f t="shared" si="28"/>
        <v>0</v>
      </c>
      <c r="R46" s="1057">
        <f t="shared" si="29"/>
        <v>0</v>
      </c>
      <c r="S46" s="1326">
        <f t="shared" si="30"/>
        <v>0</v>
      </c>
      <c r="T46" s="1057">
        <f t="shared" si="31"/>
        <v>0</v>
      </c>
      <c r="U46" s="1057"/>
      <c r="V46" s="1057">
        <f t="shared" si="32"/>
        <v>0</v>
      </c>
      <c r="W46" s="1057">
        <f t="shared" si="33"/>
        <v>0</v>
      </c>
      <c r="X46" s="1058">
        <f t="shared" si="35"/>
        <v>0</v>
      </c>
      <c r="Y46" s="1058">
        <f t="shared" si="36"/>
        <v>0</v>
      </c>
    </row>
    <row r="47" spans="1:25">
      <c r="A47" s="987">
        <v>41</v>
      </c>
      <c r="B47" s="988" t="s">
        <v>135</v>
      </c>
      <c r="C47" s="1006">
        <f>'[28]Belle Chase Academy'!C45</f>
        <v>0</v>
      </c>
      <c r="D47" s="1127">
        <f>'[28]Belle Chase Academy'!D45</f>
        <v>0</v>
      </c>
      <c r="E47" s="1127">
        <f t="shared" si="20"/>
        <v>0</v>
      </c>
      <c r="F47" s="1007">
        <f>'Table 3 Levels 1&amp;2'!BN49+'Table 3 Levels 1&amp;2'!BV49</f>
        <v>1602.0398121899364</v>
      </c>
      <c r="G47" s="1104">
        <f t="shared" si="21"/>
        <v>0</v>
      </c>
      <c r="H47" s="1104">
        <f t="shared" si="22"/>
        <v>0</v>
      </c>
      <c r="I47" s="1061">
        <f t="shared" si="34"/>
        <v>0</v>
      </c>
      <c r="J47" s="1114">
        <f t="shared" si="23"/>
        <v>0</v>
      </c>
      <c r="K47" s="1061">
        <f t="shared" si="24"/>
        <v>0</v>
      </c>
      <c r="L47" s="1061"/>
      <c r="M47" s="1061">
        <f t="shared" si="25"/>
        <v>0</v>
      </c>
      <c r="N47" s="1061">
        <f t="shared" si="26"/>
        <v>0</v>
      </c>
      <c r="O47" s="1051">
        <f>'[18]FY2012-13 Final'!K48</f>
        <v>12026</v>
      </c>
      <c r="P47" s="992">
        <f t="shared" si="27"/>
        <v>0</v>
      </c>
      <c r="Q47" s="992">
        <f t="shared" si="28"/>
        <v>0</v>
      </c>
      <c r="R47" s="992">
        <f t="shared" si="29"/>
        <v>0</v>
      </c>
      <c r="S47" s="1117">
        <f t="shared" si="30"/>
        <v>0</v>
      </c>
      <c r="T47" s="992">
        <f t="shared" si="31"/>
        <v>0</v>
      </c>
      <c r="U47" s="992"/>
      <c r="V47" s="992">
        <f t="shared" si="32"/>
        <v>0</v>
      </c>
      <c r="W47" s="992">
        <f t="shared" si="33"/>
        <v>0</v>
      </c>
      <c r="X47" s="993">
        <f t="shared" si="35"/>
        <v>0</v>
      </c>
      <c r="Y47" s="993">
        <f t="shared" si="36"/>
        <v>0</v>
      </c>
    </row>
    <row r="48" spans="1:25">
      <c r="A48" s="994">
        <v>42</v>
      </c>
      <c r="B48" s="995" t="s">
        <v>136</v>
      </c>
      <c r="C48" s="1002">
        <f>'[28]Belle Chase Academy'!C46</f>
        <v>0</v>
      </c>
      <c r="D48" s="1125">
        <f>'[28]Belle Chase Academy'!D46</f>
        <v>0</v>
      </c>
      <c r="E48" s="1125">
        <f t="shared" si="20"/>
        <v>0</v>
      </c>
      <c r="F48" s="1003">
        <f>'Table 3 Levels 1&amp;2'!BN50+'Table 3 Levels 1&amp;2'!BV50</f>
        <v>5098.6172346404755</v>
      </c>
      <c r="G48" s="1102">
        <f t="shared" si="21"/>
        <v>0</v>
      </c>
      <c r="H48" s="1102">
        <f t="shared" si="22"/>
        <v>0</v>
      </c>
      <c r="I48" s="1059">
        <f t="shared" si="34"/>
        <v>0</v>
      </c>
      <c r="J48" s="1112">
        <f t="shared" si="23"/>
        <v>0</v>
      </c>
      <c r="K48" s="1059">
        <f t="shared" si="24"/>
        <v>0</v>
      </c>
      <c r="L48" s="1059"/>
      <c r="M48" s="1059">
        <f t="shared" si="25"/>
        <v>0</v>
      </c>
      <c r="N48" s="1059">
        <f t="shared" si="26"/>
        <v>0</v>
      </c>
      <c r="O48" s="1051">
        <f>'[18]FY2012-13 Final'!K49</f>
        <v>2554</v>
      </c>
      <c r="P48" s="1053">
        <f t="shared" si="27"/>
        <v>0</v>
      </c>
      <c r="Q48" s="1053">
        <f t="shared" si="28"/>
        <v>0</v>
      </c>
      <c r="R48" s="1053">
        <f t="shared" si="29"/>
        <v>0</v>
      </c>
      <c r="S48" s="1117">
        <f t="shared" si="30"/>
        <v>0</v>
      </c>
      <c r="T48" s="1053">
        <f t="shared" si="31"/>
        <v>0</v>
      </c>
      <c r="U48" s="1053"/>
      <c r="V48" s="1053">
        <f t="shared" si="32"/>
        <v>0</v>
      </c>
      <c r="W48" s="1053">
        <f t="shared" si="33"/>
        <v>0</v>
      </c>
      <c r="X48" s="1054">
        <f t="shared" si="35"/>
        <v>0</v>
      </c>
      <c r="Y48" s="1054">
        <f t="shared" si="36"/>
        <v>0</v>
      </c>
    </row>
    <row r="49" spans="1:25">
      <c r="A49" s="994">
        <v>43</v>
      </c>
      <c r="B49" s="995" t="s">
        <v>137</v>
      </c>
      <c r="C49" s="1002">
        <f>'[28]Belle Chase Academy'!C47</f>
        <v>0</v>
      </c>
      <c r="D49" s="1125">
        <f>'[28]Belle Chase Academy'!D47</f>
        <v>0</v>
      </c>
      <c r="E49" s="1125">
        <f t="shared" si="20"/>
        <v>0</v>
      </c>
      <c r="F49" s="1003">
        <f>'Table 3 Levels 1&amp;2'!BN51+'Table 3 Levels 1&amp;2'!BV51</f>
        <v>4701.3362575004667</v>
      </c>
      <c r="G49" s="1102">
        <f t="shared" si="21"/>
        <v>0</v>
      </c>
      <c r="H49" s="1102">
        <f t="shared" si="22"/>
        <v>0</v>
      </c>
      <c r="I49" s="1059">
        <f t="shared" si="34"/>
        <v>0</v>
      </c>
      <c r="J49" s="1112">
        <f t="shared" si="23"/>
        <v>0</v>
      </c>
      <c r="K49" s="1059">
        <f t="shared" si="24"/>
        <v>0</v>
      </c>
      <c r="L49" s="1059"/>
      <c r="M49" s="1059">
        <f t="shared" si="25"/>
        <v>0</v>
      </c>
      <c r="N49" s="1059">
        <f t="shared" si="26"/>
        <v>0</v>
      </c>
      <c r="O49" s="1051">
        <f>'[18]FY2012-13 Final'!K50</f>
        <v>5265</v>
      </c>
      <c r="P49" s="1053">
        <f t="shared" si="27"/>
        <v>0</v>
      </c>
      <c r="Q49" s="1053">
        <f t="shared" si="28"/>
        <v>0</v>
      </c>
      <c r="R49" s="1053">
        <f t="shared" si="29"/>
        <v>0</v>
      </c>
      <c r="S49" s="1117">
        <f t="shared" si="30"/>
        <v>0</v>
      </c>
      <c r="T49" s="1053">
        <f t="shared" si="31"/>
        <v>0</v>
      </c>
      <c r="U49" s="1053"/>
      <c r="V49" s="1053">
        <f t="shared" si="32"/>
        <v>0</v>
      </c>
      <c r="W49" s="1053">
        <f t="shared" si="33"/>
        <v>0</v>
      </c>
      <c r="X49" s="1054">
        <f t="shared" si="35"/>
        <v>0</v>
      </c>
      <c r="Y49" s="1054">
        <f t="shared" si="36"/>
        <v>0</v>
      </c>
    </row>
    <row r="50" spans="1:25">
      <c r="A50" s="994">
        <v>44</v>
      </c>
      <c r="B50" s="995" t="s">
        <v>138</v>
      </c>
      <c r="C50" s="1002">
        <f>'[28]Belle Chase Academy'!C48</f>
        <v>3</v>
      </c>
      <c r="D50" s="1125">
        <f>'[28]Belle Chase Academy'!D48</f>
        <v>0</v>
      </c>
      <c r="E50" s="1125">
        <f t="shared" si="20"/>
        <v>3</v>
      </c>
      <c r="F50" s="1003">
        <f>'Table 3 Levels 1&amp;2'!BN52+'Table 3 Levels 1&amp;2'!BV52</f>
        <v>4649.5559521248724</v>
      </c>
      <c r="G50" s="1102">
        <f t="shared" si="21"/>
        <v>13948.667856374617</v>
      </c>
      <c r="H50" s="1102">
        <f t="shared" si="22"/>
        <v>2366.7072604749246</v>
      </c>
      <c r="I50" s="1059">
        <f t="shared" si="34"/>
        <v>16315.375116849542</v>
      </c>
      <c r="J50" s="1112">
        <f t="shared" si="23"/>
        <v>-40.788437792123858</v>
      </c>
      <c r="K50" s="1059">
        <f t="shared" si="24"/>
        <v>16274.586679057418</v>
      </c>
      <c r="L50" s="1059"/>
      <c r="M50" s="1059">
        <f t="shared" si="25"/>
        <v>16274.586679057418</v>
      </c>
      <c r="N50" s="1059">
        <f t="shared" si="26"/>
        <v>1356</v>
      </c>
      <c r="O50" s="1051">
        <f>'[18]FY2012-13 Final'!K51</f>
        <v>4109</v>
      </c>
      <c r="P50" s="1053">
        <f t="shared" si="27"/>
        <v>12327</v>
      </c>
      <c r="Q50" s="1053">
        <f t="shared" si="28"/>
        <v>0</v>
      </c>
      <c r="R50" s="1053">
        <f t="shared" si="29"/>
        <v>12327</v>
      </c>
      <c r="S50" s="1117">
        <f t="shared" si="30"/>
        <v>-30.817499999999999</v>
      </c>
      <c r="T50" s="1053">
        <f t="shared" si="31"/>
        <v>12296.182500000001</v>
      </c>
      <c r="U50" s="1053"/>
      <c r="V50" s="1053">
        <f t="shared" si="32"/>
        <v>12296.182500000001</v>
      </c>
      <c r="W50" s="1053">
        <f t="shared" si="33"/>
        <v>1025</v>
      </c>
      <c r="X50" s="1054">
        <f t="shared" si="35"/>
        <v>28570.769179057417</v>
      </c>
      <c r="Y50" s="1054">
        <f t="shared" si="36"/>
        <v>2381</v>
      </c>
    </row>
    <row r="51" spans="1:25">
      <c r="A51" s="998">
        <v>45</v>
      </c>
      <c r="B51" s="999" t="s">
        <v>139</v>
      </c>
      <c r="C51" s="1004">
        <f>'[28]Belle Chase Academy'!C49</f>
        <v>1</v>
      </c>
      <c r="D51" s="1126">
        <f>'[28]Belle Chase Academy'!D49</f>
        <v>0</v>
      </c>
      <c r="E51" s="1126">
        <f t="shared" si="20"/>
        <v>1</v>
      </c>
      <c r="F51" s="1005">
        <f>'Table 3 Levels 1&amp;2'!BN53+'Table 3 Levels 1&amp;2'!BV53</f>
        <v>2159.257884231537</v>
      </c>
      <c r="G51" s="1103">
        <f t="shared" si="21"/>
        <v>2159.257884231537</v>
      </c>
      <c r="H51" s="1103">
        <f t="shared" si="22"/>
        <v>788.90242015830813</v>
      </c>
      <c r="I51" s="1060">
        <f t="shared" si="34"/>
        <v>2948.1603043898449</v>
      </c>
      <c r="J51" s="1113">
        <f t="shared" si="23"/>
        <v>-7.3704007609746123</v>
      </c>
      <c r="K51" s="1060">
        <f t="shared" si="24"/>
        <v>2940.7899036288704</v>
      </c>
      <c r="L51" s="1060"/>
      <c r="M51" s="1060">
        <f t="shared" si="25"/>
        <v>2940.7899036288704</v>
      </c>
      <c r="N51" s="1060">
        <f t="shared" si="26"/>
        <v>245</v>
      </c>
      <c r="O51" s="1056">
        <f>'[18]FY2012-13 Final'!K52</f>
        <v>12427</v>
      </c>
      <c r="P51" s="1057">
        <f t="shared" si="27"/>
        <v>12427</v>
      </c>
      <c r="Q51" s="1057">
        <f t="shared" si="28"/>
        <v>0</v>
      </c>
      <c r="R51" s="1057">
        <f t="shared" si="29"/>
        <v>12427</v>
      </c>
      <c r="S51" s="1326">
        <f t="shared" si="30"/>
        <v>-31.067499999999999</v>
      </c>
      <c r="T51" s="1057">
        <f t="shared" si="31"/>
        <v>12395.932500000001</v>
      </c>
      <c r="U51" s="1057"/>
      <c r="V51" s="1057">
        <f t="shared" si="32"/>
        <v>12395.932500000001</v>
      </c>
      <c r="W51" s="1057">
        <f t="shared" si="33"/>
        <v>1033</v>
      </c>
      <c r="X51" s="1058">
        <f t="shared" si="35"/>
        <v>15336.722403628872</v>
      </c>
      <c r="Y51" s="1058">
        <f t="shared" si="36"/>
        <v>1278</v>
      </c>
    </row>
    <row r="52" spans="1:25">
      <c r="A52" s="987">
        <v>46</v>
      </c>
      <c r="B52" s="988" t="s">
        <v>140</v>
      </c>
      <c r="C52" s="1006">
        <f>'[28]Belle Chase Academy'!C50</f>
        <v>0</v>
      </c>
      <c r="D52" s="1127">
        <f>'[28]Belle Chase Academy'!D50</f>
        <v>0</v>
      </c>
      <c r="E52" s="1127">
        <f t="shared" si="20"/>
        <v>0</v>
      </c>
      <c r="F52" s="1007">
        <f>'Table 3 Levels 1&amp;2'!BN54+'Table 3 Levels 1&amp;2'!BV54</f>
        <v>5578.7258135108641</v>
      </c>
      <c r="G52" s="1104">
        <f t="shared" si="21"/>
        <v>0</v>
      </c>
      <c r="H52" s="1104">
        <f t="shared" si="22"/>
        <v>0</v>
      </c>
      <c r="I52" s="1061">
        <f t="shared" si="34"/>
        <v>0</v>
      </c>
      <c r="J52" s="1114">
        <f t="shared" si="23"/>
        <v>0</v>
      </c>
      <c r="K52" s="1061">
        <f t="shared" si="24"/>
        <v>0</v>
      </c>
      <c r="L52" s="1061"/>
      <c r="M52" s="1061">
        <f t="shared" si="25"/>
        <v>0</v>
      </c>
      <c r="N52" s="1061">
        <f t="shared" si="26"/>
        <v>0</v>
      </c>
      <c r="O52" s="1051">
        <f>'[18]FY2012-13 Final'!K53</f>
        <v>1968</v>
      </c>
      <c r="P52" s="992">
        <f t="shared" si="27"/>
        <v>0</v>
      </c>
      <c r="Q52" s="992">
        <f t="shared" si="28"/>
        <v>0</v>
      </c>
      <c r="R52" s="992">
        <f t="shared" si="29"/>
        <v>0</v>
      </c>
      <c r="S52" s="1117">
        <f t="shared" si="30"/>
        <v>0</v>
      </c>
      <c r="T52" s="992">
        <f t="shared" si="31"/>
        <v>0</v>
      </c>
      <c r="U52" s="992"/>
      <c r="V52" s="992">
        <f t="shared" si="32"/>
        <v>0</v>
      </c>
      <c r="W52" s="992">
        <f t="shared" si="33"/>
        <v>0</v>
      </c>
      <c r="X52" s="993">
        <f t="shared" si="35"/>
        <v>0</v>
      </c>
      <c r="Y52" s="993">
        <f t="shared" si="36"/>
        <v>0</v>
      </c>
    </row>
    <row r="53" spans="1:25">
      <c r="A53" s="994">
        <v>47</v>
      </c>
      <c r="B53" s="995" t="s">
        <v>141</v>
      </c>
      <c r="C53" s="1002">
        <f>'[28]Belle Chase Academy'!C51</f>
        <v>0</v>
      </c>
      <c r="D53" s="1125">
        <f>'[28]Belle Chase Academy'!D51</f>
        <v>0</v>
      </c>
      <c r="E53" s="1125">
        <f t="shared" si="20"/>
        <v>0</v>
      </c>
      <c r="F53" s="1003">
        <f>'Table 3 Levels 1&amp;2'!BN55+'Table 3 Levels 1&amp;2'!BV55</f>
        <v>2709.058014721415</v>
      </c>
      <c r="G53" s="1102">
        <f t="shared" si="21"/>
        <v>0</v>
      </c>
      <c r="H53" s="1102">
        <f t="shared" si="22"/>
        <v>0</v>
      </c>
      <c r="I53" s="1059">
        <f t="shared" si="34"/>
        <v>0</v>
      </c>
      <c r="J53" s="1112">
        <f t="shared" si="23"/>
        <v>0</v>
      </c>
      <c r="K53" s="1059">
        <f t="shared" si="24"/>
        <v>0</v>
      </c>
      <c r="L53" s="1059"/>
      <c r="M53" s="1059">
        <f t="shared" si="25"/>
        <v>0</v>
      </c>
      <c r="N53" s="1059">
        <f t="shared" si="26"/>
        <v>0</v>
      </c>
      <c r="O53" s="1051">
        <f>'[18]FY2012-13 Final'!K54</f>
        <v>10049</v>
      </c>
      <c r="P53" s="1053">
        <f t="shared" si="27"/>
        <v>0</v>
      </c>
      <c r="Q53" s="1053">
        <f t="shared" si="28"/>
        <v>0</v>
      </c>
      <c r="R53" s="1053">
        <f t="shared" si="29"/>
        <v>0</v>
      </c>
      <c r="S53" s="1117">
        <f t="shared" si="30"/>
        <v>0</v>
      </c>
      <c r="T53" s="1053">
        <f t="shared" si="31"/>
        <v>0</v>
      </c>
      <c r="U53" s="1053"/>
      <c r="V53" s="1053">
        <f t="shared" si="32"/>
        <v>0</v>
      </c>
      <c r="W53" s="1053">
        <f t="shared" si="33"/>
        <v>0</v>
      </c>
      <c r="X53" s="1054">
        <f t="shared" si="35"/>
        <v>0</v>
      </c>
      <c r="Y53" s="1054">
        <f t="shared" si="36"/>
        <v>0</v>
      </c>
    </row>
    <row r="54" spans="1:25">
      <c r="A54" s="994">
        <v>48</v>
      </c>
      <c r="B54" s="995" t="s">
        <v>202</v>
      </c>
      <c r="C54" s="1002">
        <f>'[28]Belle Chase Academy'!C52</f>
        <v>0</v>
      </c>
      <c r="D54" s="1125">
        <f>'[28]Belle Chase Academy'!D52</f>
        <v>0</v>
      </c>
      <c r="E54" s="1125">
        <f t="shared" si="20"/>
        <v>0</v>
      </c>
      <c r="F54" s="1003">
        <f>'Table 3 Levels 1&amp;2'!BN56+'Table 3 Levels 1&amp;2'!BV56</f>
        <v>4259.4136153508553</v>
      </c>
      <c r="G54" s="1102">
        <f t="shared" si="21"/>
        <v>0</v>
      </c>
      <c r="H54" s="1102">
        <f t="shared" si="22"/>
        <v>0</v>
      </c>
      <c r="I54" s="1059">
        <f t="shared" si="34"/>
        <v>0</v>
      </c>
      <c r="J54" s="1112">
        <f t="shared" si="23"/>
        <v>0</v>
      </c>
      <c r="K54" s="1059">
        <f t="shared" si="24"/>
        <v>0</v>
      </c>
      <c r="L54" s="1059"/>
      <c r="M54" s="1059">
        <f t="shared" si="25"/>
        <v>0</v>
      </c>
      <c r="N54" s="1059">
        <f t="shared" si="26"/>
        <v>0</v>
      </c>
      <c r="O54" s="1051">
        <f>'[18]FY2012-13 Final'!K55</f>
        <v>5755</v>
      </c>
      <c r="P54" s="1053">
        <f t="shared" si="27"/>
        <v>0</v>
      </c>
      <c r="Q54" s="1053">
        <f t="shared" si="28"/>
        <v>0</v>
      </c>
      <c r="R54" s="1053">
        <f t="shared" si="29"/>
        <v>0</v>
      </c>
      <c r="S54" s="1117">
        <f t="shared" si="30"/>
        <v>0</v>
      </c>
      <c r="T54" s="1053">
        <f t="shared" si="31"/>
        <v>0</v>
      </c>
      <c r="U54" s="1053"/>
      <c r="V54" s="1053">
        <f t="shared" si="32"/>
        <v>0</v>
      </c>
      <c r="W54" s="1053">
        <f t="shared" si="33"/>
        <v>0</v>
      </c>
      <c r="X54" s="1054">
        <f t="shared" si="35"/>
        <v>0</v>
      </c>
      <c r="Y54" s="1054">
        <f t="shared" si="36"/>
        <v>0</v>
      </c>
    </row>
    <row r="55" spans="1:25">
      <c r="A55" s="994">
        <v>49</v>
      </c>
      <c r="B55" s="995" t="s">
        <v>142</v>
      </c>
      <c r="C55" s="1002">
        <f>'[28]Belle Chase Academy'!C53</f>
        <v>0</v>
      </c>
      <c r="D55" s="1125">
        <f>'[28]Belle Chase Academy'!D53</f>
        <v>0</v>
      </c>
      <c r="E55" s="1125">
        <f t="shared" si="20"/>
        <v>0</v>
      </c>
      <c r="F55" s="1003">
        <f>'Table 3 Levels 1&amp;2'!BN57+'Table 3 Levels 1&amp;2'!BV57</f>
        <v>4790.0513947378495</v>
      </c>
      <c r="G55" s="1102">
        <f t="shared" si="21"/>
        <v>0</v>
      </c>
      <c r="H55" s="1102">
        <f t="shared" si="22"/>
        <v>0</v>
      </c>
      <c r="I55" s="1059">
        <f t="shared" si="34"/>
        <v>0</v>
      </c>
      <c r="J55" s="1112">
        <f t="shared" si="23"/>
        <v>0</v>
      </c>
      <c r="K55" s="1059">
        <f t="shared" si="24"/>
        <v>0</v>
      </c>
      <c r="L55" s="1059"/>
      <c r="M55" s="1059">
        <f t="shared" si="25"/>
        <v>0</v>
      </c>
      <c r="N55" s="1059">
        <f t="shared" si="26"/>
        <v>0</v>
      </c>
      <c r="O55" s="1051">
        <f>'[18]FY2012-13 Final'!K56</f>
        <v>2335</v>
      </c>
      <c r="P55" s="1053">
        <f t="shared" si="27"/>
        <v>0</v>
      </c>
      <c r="Q55" s="1053">
        <f t="shared" si="28"/>
        <v>0</v>
      </c>
      <c r="R55" s="1053">
        <f t="shared" si="29"/>
        <v>0</v>
      </c>
      <c r="S55" s="1117">
        <f t="shared" si="30"/>
        <v>0</v>
      </c>
      <c r="T55" s="1053">
        <f t="shared" si="31"/>
        <v>0</v>
      </c>
      <c r="U55" s="1053"/>
      <c r="V55" s="1053">
        <f t="shared" si="32"/>
        <v>0</v>
      </c>
      <c r="W55" s="1053">
        <f t="shared" si="33"/>
        <v>0</v>
      </c>
      <c r="X55" s="1054">
        <f t="shared" si="35"/>
        <v>0</v>
      </c>
      <c r="Y55" s="1054">
        <f t="shared" si="36"/>
        <v>0</v>
      </c>
    </row>
    <row r="56" spans="1:25">
      <c r="A56" s="998">
        <v>50</v>
      </c>
      <c r="B56" s="999" t="s">
        <v>143</v>
      </c>
      <c r="C56" s="1004">
        <f>'[28]Belle Chase Academy'!C54</f>
        <v>0</v>
      </c>
      <c r="D56" s="1126">
        <f>'[28]Belle Chase Academy'!D54</f>
        <v>0</v>
      </c>
      <c r="E56" s="1126">
        <f t="shared" si="20"/>
        <v>0</v>
      </c>
      <c r="F56" s="1005">
        <f>'Table 3 Levels 1&amp;2'!BN58+'Table 3 Levels 1&amp;2'!BV58</f>
        <v>4954.3375045905796</v>
      </c>
      <c r="G56" s="1103">
        <f t="shared" si="21"/>
        <v>0</v>
      </c>
      <c r="H56" s="1103">
        <f t="shared" si="22"/>
        <v>0</v>
      </c>
      <c r="I56" s="1060">
        <f t="shared" si="34"/>
        <v>0</v>
      </c>
      <c r="J56" s="1113">
        <f t="shared" si="23"/>
        <v>0</v>
      </c>
      <c r="K56" s="1060">
        <f t="shared" si="24"/>
        <v>0</v>
      </c>
      <c r="L56" s="1060"/>
      <c r="M56" s="1060">
        <f t="shared" si="25"/>
        <v>0</v>
      </c>
      <c r="N56" s="1060">
        <f t="shared" si="26"/>
        <v>0</v>
      </c>
      <c r="O56" s="1056">
        <f>'[18]FY2012-13 Final'!K57</f>
        <v>2801</v>
      </c>
      <c r="P56" s="1057">
        <f t="shared" si="27"/>
        <v>0</v>
      </c>
      <c r="Q56" s="1057">
        <f t="shared" si="28"/>
        <v>0</v>
      </c>
      <c r="R56" s="1057">
        <f t="shared" si="29"/>
        <v>0</v>
      </c>
      <c r="S56" s="1326">
        <f t="shared" si="30"/>
        <v>0</v>
      </c>
      <c r="T56" s="1057">
        <f t="shared" si="31"/>
        <v>0</v>
      </c>
      <c r="U56" s="1057"/>
      <c r="V56" s="1057">
        <f t="shared" si="32"/>
        <v>0</v>
      </c>
      <c r="W56" s="1057">
        <f t="shared" si="33"/>
        <v>0</v>
      </c>
      <c r="X56" s="1058">
        <f t="shared" si="35"/>
        <v>0</v>
      </c>
      <c r="Y56" s="1058">
        <f t="shared" si="36"/>
        <v>0</v>
      </c>
    </row>
    <row r="57" spans="1:25">
      <c r="A57" s="987">
        <v>51</v>
      </c>
      <c r="B57" s="988" t="s">
        <v>144</v>
      </c>
      <c r="C57" s="1006">
        <f>'[28]Belle Chase Academy'!C55</f>
        <v>0</v>
      </c>
      <c r="D57" s="1127">
        <f>'[28]Belle Chase Academy'!D55</f>
        <v>0</v>
      </c>
      <c r="E57" s="1127">
        <f t="shared" si="20"/>
        <v>0</v>
      </c>
      <c r="F57" s="1007">
        <f>'Table 3 Levels 1&amp;2'!BN59+'Table 3 Levels 1&amp;2'!BV59</f>
        <v>4290.3461727150461</v>
      </c>
      <c r="G57" s="1104">
        <f t="shared" si="21"/>
        <v>0</v>
      </c>
      <c r="H57" s="1104">
        <f t="shared" si="22"/>
        <v>0</v>
      </c>
      <c r="I57" s="1061">
        <f t="shared" si="34"/>
        <v>0</v>
      </c>
      <c r="J57" s="1114">
        <f t="shared" si="23"/>
        <v>0</v>
      </c>
      <c r="K57" s="1061">
        <f t="shared" si="24"/>
        <v>0</v>
      </c>
      <c r="L57" s="1061"/>
      <c r="M57" s="1061">
        <f t="shared" si="25"/>
        <v>0</v>
      </c>
      <c r="N57" s="1061">
        <f t="shared" si="26"/>
        <v>0</v>
      </c>
      <c r="O57" s="1051">
        <f>'[18]FY2012-13 Final'!K58</f>
        <v>4053</v>
      </c>
      <c r="P57" s="992">
        <f t="shared" si="27"/>
        <v>0</v>
      </c>
      <c r="Q57" s="992">
        <f t="shared" si="28"/>
        <v>0</v>
      </c>
      <c r="R57" s="992">
        <f t="shared" si="29"/>
        <v>0</v>
      </c>
      <c r="S57" s="1117">
        <f t="shared" si="30"/>
        <v>0</v>
      </c>
      <c r="T57" s="992">
        <f t="shared" si="31"/>
        <v>0</v>
      </c>
      <c r="U57" s="992"/>
      <c r="V57" s="992">
        <f t="shared" si="32"/>
        <v>0</v>
      </c>
      <c r="W57" s="992">
        <f t="shared" si="33"/>
        <v>0</v>
      </c>
      <c r="X57" s="993">
        <f t="shared" si="35"/>
        <v>0</v>
      </c>
      <c r="Y57" s="993">
        <f t="shared" si="36"/>
        <v>0</v>
      </c>
    </row>
    <row r="58" spans="1:25">
      <c r="A58" s="994">
        <v>52</v>
      </c>
      <c r="B58" s="995" t="s">
        <v>145</v>
      </c>
      <c r="C58" s="1002">
        <f>'[28]Belle Chase Academy'!C56</f>
        <v>3</v>
      </c>
      <c r="D58" s="1125">
        <f>'[28]Belle Chase Academy'!D56</f>
        <v>0</v>
      </c>
      <c r="E58" s="1125">
        <f t="shared" si="20"/>
        <v>3</v>
      </c>
      <c r="F58" s="1003">
        <f>'Table 3 Levels 1&amp;2'!BN60+'Table 3 Levels 1&amp;2'!BV60</f>
        <v>4988.6415961118701</v>
      </c>
      <c r="G58" s="1102">
        <f t="shared" si="21"/>
        <v>14965.924788335611</v>
      </c>
      <c r="H58" s="1102">
        <f t="shared" si="22"/>
        <v>2366.7072604749246</v>
      </c>
      <c r="I58" s="1059">
        <f t="shared" si="34"/>
        <v>17332.632048810534</v>
      </c>
      <c r="J58" s="1112">
        <f t="shared" si="23"/>
        <v>-43.331580122026338</v>
      </c>
      <c r="K58" s="1059">
        <f t="shared" si="24"/>
        <v>17289.300468688507</v>
      </c>
      <c r="L58" s="1059"/>
      <c r="M58" s="1059">
        <f t="shared" si="25"/>
        <v>17289.300468688507</v>
      </c>
      <c r="N58" s="1059">
        <f t="shared" si="26"/>
        <v>1441</v>
      </c>
      <c r="O58" s="1051">
        <f>'[18]FY2012-13 Final'!K59</f>
        <v>4886</v>
      </c>
      <c r="P58" s="1053">
        <f t="shared" si="27"/>
        <v>14658</v>
      </c>
      <c r="Q58" s="1053">
        <f t="shared" si="28"/>
        <v>0</v>
      </c>
      <c r="R58" s="1053">
        <f t="shared" si="29"/>
        <v>14658</v>
      </c>
      <c r="S58" s="1117">
        <f t="shared" si="30"/>
        <v>-36.645000000000003</v>
      </c>
      <c r="T58" s="1053">
        <f t="shared" si="31"/>
        <v>14621.355</v>
      </c>
      <c r="U58" s="1053"/>
      <c r="V58" s="1053">
        <f t="shared" si="32"/>
        <v>14621.355</v>
      </c>
      <c r="W58" s="1053">
        <f t="shared" si="33"/>
        <v>1218</v>
      </c>
      <c r="X58" s="1054">
        <f t="shared" si="35"/>
        <v>31910.655468688507</v>
      </c>
      <c r="Y58" s="1054">
        <f t="shared" si="36"/>
        <v>2659</v>
      </c>
    </row>
    <row r="59" spans="1:25">
      <c r="A59" s="994">
        <v>53</v>
      </c>
      <c r="B59" s="995" t="s">
        <v>146</v>
      </c>
      <c r="C59" s="1002">
        <f>'[28]Belle Chase Academy'!C57</f>
        <v>0</v>
      </c>
      <c r="D59" s="1125">
        <f>'[28]Belle Chase Academy'!D57</f>
        <v>0</v>
      </c>
      <c r="E59" s="1125">
        <f t="shared" si="20"/>
        <v>0</v>
      </c>
      <c r="F59" s="1003">
        <f>'Table 3 Levels 1&amp;2'!BN61+'Table 3 Levels 1&amp;2'!BV61</f>
        <v>4739.7077057162423</v>
      </c>
      <c r="G59" s="1102">
        <f t="shared" si="21"/>
        <v>0</v>
      </c>
      <c r="H59" s="1102">
        <f t="shared" si="22"/>
        <v>0</v>
      </c>
      <c r="I59" s="1059">
        <f t="shared" si="34"/>
        <v>0</v>
      </c>
      <c r="J59" s="1112">
        <f t="shared" si="23"/>
        <v>0</v>
      </c>
      <c r="K59" s="1059">
        <f t="shared" si="24"/>
        <v>0</v>
      </c>
      <c r="L59" s="1059"/>
      <c r="M59" s="1059">
        <f t="shared" si="25"/>
        <v>0</v>
      </c>
      <c r="N59" s="1059">
        <f t="shared" si="26"/>
        <v>0</v>
      </c>
      <c r="O59" s="1051">
        <f>'[18]FY2012-13 Final'!K60</f>
        <v>1929</v>
      </c>
      <c r="P59" s="1053">
        <f t="shared" si="27"/>
        <v>0</v>
      </c>
      <c r="Q59" s="1053">
        <f t="shared" si="28"/>
        <v>0</v>
      </c>
      <c r="R59" s="1053">
        <f t="shared" si="29"/>
        <v>0</v>
      </c>
      <c r="S59" s="1117">
        <f t="shared" si="30"/>
        <v>0</v>
      </c>
      <c r="T59" s="1053">
        <f t="shared" si="31"/>
        <v>0</v>
      </c>
      <c r="U59" s="1053"/>
      <c r="V59" s="1053">
        <f t="shared" si="32"/>
        <v>0</v>
      </c>
      <c r="W59" s="1053">
        <f t="shared" si="33"/>
        <v>0</v>
      </c>
      <c r="X59" s="1054">
        <f t="shared" si="35"/>
        <v>0</v>
      </c>
      <c r="Y59" s="1054">
        <f t="shared" si="36"/>
        <v>0</v>
      </c>
    </row>
    <row r="60" spans="1:25">
      <c r="A60" s="994">
        <v>54</v>
      </c>
      <c r="B60" s="995" t="s">
        <v>147</v>
      </c>
      <c r="C60" s="1002">
        <f>'[28]Belle Chase Academy'!C58</f>
        <v>0</v>
      </c>
      <c r="D60" s="1125">
        <f>'[28]Belle Chase Academy'!D58</f>
        <v>0</v>
      </c>
      <c r="E60" s="1125">
        <f t="shared" si="20"/>
        <v>0</v>
      </c>
      <c r="F60" s="1003">
        <f>'Table 3 Levels 1&amp;2'!BN62+'Table 3 Levels 1&amp;2'!BV62</f>
        <v>5907.1276437932838</v>
      </c>
      <c r="G60" s="1102">
        <f t="shared" si="21"/>
        <v>0</v>
      </c>
      <c r="H60" s="1102">
        <f t="shared" si="22"/>
        <v>0</v>
      </c>
      <c r="I60" s="1059">
        <f t="shared" si="34"/>
        <v>0</v>
      </c>
      <c r="J60" s="1112">
        <f t="shared" si="23"/>
        <v>0</v>
      </c>
      <c r="K60" s="1059">
        <f t="shared" si="24"/>
        <v>0</v>
      </c>
      <c r="L60" s="1059"/>
      <c r="M60" s="1059">
        <f t="shared" si="25"/>
        <v>0</v>
      </c>
      <c r="N60" s="1059">
        <f t="shared" si="26"/>
        <v>0</v>
      </c>
      <c r="O60" s="1051">
        <f>'[18]FY2012-13 Final'!K61</f>
        <v>3382</v>
      </c>
      <c r="P60" s="1053">
        <f t="shared" si="27"/>
        <v>0</v>
      </c>
      <c r="Q60" s="1053">
        <f t="shared" si="28"/>
        <v>0</v>
      </c>
      <c r="R60" s="1053">
        <f t="shared" si="29"/>
        <v>0</v>
      </c>
      <c r="S60" s="1117">
        <f t="shared" si="30"/>
        <v>0</v>
      </c>
      <c r="T60" s="1053">
        <f t="shared" si="31"/>
        <v>0</v>
      </c>
      <c r="U60" s="1053"/>
      <c r="V60" s="1053">
        <f t="shared" si="32"/>
        <v>0</v>
      </c>
      <c r="W60" s="1053">
        <f t="shared" si="33"/>
        <v>0</v>
      </c>
      <c r="X60" s="1054">
        <f t="shared" si="35"/>
        <v>0</v>
      </c>
      <c r="Y60" s="1054">
        <f t="shared" si="36"/>
        <v>0</v>
      </c>
    </row>
    <row r="61" spans="1:25">
      <c r="A61" s="998">
        <v>55</v>
      </c>
      <c r="B61" s="999" t="s">
        <v>148</v>
      </c>
      <c r="C61" s="1004">
        <f>'[28]Belle Chase Academy'!C59</f>
        <v>0</v>
      </c>
      <c r="D61" s="1126">
        <f>'[28]Belle Chase Academy'!D59</f>
        <v>0</v>
      </c>
      <c r="E61" s="1126">
        <f t="shared" si="20"/>
        <v>0</v>
      </c>
      <c r="F61" s="1005">
        <f>'Table 3 Levels 1&amp;2'!BN63+'Table 3 Levels 1&amp;2'!BV63</f>
        <v>4115.0954812679902</v>
      </c>
      <c r="G61" s="1103">
        <f t="shared" si="21"/>
        <v>0</v>
      </c>
      <c r="H61" s="1103">
        <f t="shared" si="22"/>
        <v>0</v>
      </c>
      <c r="I61" s="1060">
        <f t="shared" si="34"/>
        <v>0</v>
      </c>
      <c r="J61" s="1113">
        <f t="shared" si="23"/>
        <v>0</v>
      </c>
      <c r="K61" s="1060">
        <f t="shared" si="24"/>
        <v>0</v>
      </c>
      <c r="L61" s="1060"/>
      <c r="M61" s="1060">
        <f t="shared" si="25"/>
        <v>0</v>
      </c>
      <c r="N61" s="1060">
        <f t="shared" si="26"/>
        <v>0</v>
      </c>
      <c r="O61" s="1056">
        <f>'[18]FY2012-13 Final'!K62</f>
        <v>3127</v>
      </c>
      <c r="P61" s="1057">
        <f t="shared" si="27"/>
        <v>0</v>
      </c>
      <c r="Q61" s="1057">
        <f t="shared" si="28"/>
        <v>0</v>
      </c>
      <c r="R61" s="1057">
        <f t="shared" si="29"/>
        <v>0</v>
      </c>
      <c r="S61" s="1326">
        <f t="shared" si="30"/>
        <v>0</v>
      </c>
      <c r="T61" s="1057">
        <f t="shared" si="31"/>
        <v>0</v>
      </c>
      <c r="U61" s="1057"/>
      <c r="V61" s="1057">
        <f t="shared" si="32"/>
        <v>0</v>
      </c>
      <c r="W61" s="1057">
        <f t="shared" si="33"/>
        <v>0</v>
      </c>
      <c r="X61" s="1058">
        <f t="shared" si="35"/>
        <v>0</v>
      </c>
      <c r="Y61" s="1058">
        <f t="shared" si="36"/>
        <v>0</v>
      </c>
    </row>
    <row r="62" spans="1:25">
      <c r="A62" s="987">
        <v>56</v>
      </c>
      <c r="B62" s="988" t="s">
        <v>149</v>
      </c>
      <c r="C62" s="1006">
        <f>'[28]Belle Chase Academy'!C60</f>
        <v>0</v>
      </c>
      <c r="D62" s="1127">
        <f>'[28]Belle Chase Academy'!D60</f>
        <v>0</v>
      </c>
      <c r="E62" s="1127">
        <f t="shared" si="20"/>
        <v>0</v>
      </c>
      <c r="F62" s="1007">
        <f>'Table 3 Levels 1&amp;2'!BN64+'Table 3 Levels 1&amp;2'!BV64</f>
        <v>4924.9032059941637</v>
      </c>
      <c r="G62" s="1104">
        <f t="shared" si="21"/>
        <v>0</v>
      </c>
      <c r="H62" s="1104">
        <f t="shared" si="22"/>
        <v>0</v>
      </c>
      <c r="I62" s="1061">
        <f t="shared" si="34"/>
        <v>0</v>
      </c>
      <c r="J62" s="1114">
        <f t="shared" si="23"/>
        <v>0</v>
      </c>
      <c r="K62" s="1061">
        <f t="shared" si="24"/>
        <v>0</v>
      </c>
      <c r="L62" s="1061"/>
      <c r="M62" s="1061">
        <f t="shared" si="25"/>
        <v>0</v>
      </c>
      <c r="N62" s="1061">
        <f t="shared" si="26"/>
        <v>0</v>
      </c>
      <c r="O62" s="1051">
        <f>'[18]FY2012-13 Final'!K63</f>
        <v>2768</v>
      </c>
      <c r="P62" s="992">
        <f t="shared" si="27"/>
        <v>0</v>
      </c>
      <c r="Q62" s="992">
        <f t="shared" si="28"/>
        <v>0</v>
      </c>
      <c r="R62" s="992">
        <f t="shared" si="29"/>
        <v>0</v>
      </c>
      <c r="S62" s="1117">
        <f t="shared" si="30"/>
        <v>0</v>
      </c>
      <c r="T62" s="992">
        <f t="shared" si="31"/>
        <v>0</v>
      </c>
      <c r="U62" s="992"/>
      <c r="V62" s="992">
        <f t="shared" si="32"/>
        <v>0</v>
      </c>
      <c r="W62" s="992">
        <f t="shared" si="33"/>
        <v>0</v>
      </c>
      <c r="X62" s="993">
        <f t="shared" si="35"/>
        <v>0</v>
      </c>
      <c r="Y62" s="993">
        <f t="shared" si="36"/>
        <v>0</v>
      </c>
    </row>
    <row r="63" spans="1:25">
      <c r="A63" s="994">
        <v>57</v>
      </c>
      <c r="B63" s="995" t="s">
        <v>150</v>
      </c>
      <c r="C63" s="1002">
        <f>'[28]Belle Chase Academy'!C61</f>
        <v>0</v>
      </c>
      <c r="D63" s="1125">
        <f>'[28]Belle Chase Academy'!D61</f>
        <v>0</v>
      </c>
      <c r="E63" s="1125">
        <f t="shared" si="20"/>
        <v>0</v>
      </c>
      <c r="F63" s="1003">
        <f>'Table 3 Levels 1&amp;2'!BN65+'Table 3 Levels 1&amp;2'!BV65</f>
        <v>4434.5516744018987</v>
      </c>
      <c r="G63" s="1102">
        <f t="shared" si="21"/>
        <v>0</v>
      </c>
      <c r="H63" s="1102">
        <f t="shared" si="22"/>
        <v>0</v>
      </c>
      <c r="I63" s="1059">
        <f t="shared" si="34"/>
        <v>0</v>
      </c>
      <c r="J63" s="1112">
        <f t="shared" si="23"/>
        <v>0</v>
      </c>
      <c r="K63" s="1059">
        <f t="shared" si="24"/>
        <v>0</v>
      </c>
      <c r="L63" s="1059"/>
      <c r="M63" s="1059">
        <f t="shared" si="25"/>
        <v>0</v>
      </c>
      <c r="N63" s="1059">
        <f t="shared" si="26"/>
        <v>0</v>
      </c>
      <c r="O63" s="1051">
        <f>'[18]FY2012-13 Final'!K64</f>
        <v>2987</v>
      </c>
      <c r="P63" s="1053">
        <f t="shared" si="27"/>
        <v>0</v>
      </c>
      <c r="Q63" s="1053">
        <f t="shared" si="28"/>
        <v>0</v>
      </c>
      <c r="R63" s="1053">
        <f t="shared" si="29"/>
        <v>0</v>
      </c>
      <c r="S63" s="1117">
        <f t="shared" si="30"/>
        <v>0</v>
      </c>
      <c r="T63" s="1053">
        <f t="shared" si="31"/>
        <v>0</v>
      </c>
      <c r="U63" s="1053"/>
      <c r="V63" s="1053">
        <f t="shared" si="32"/>
        <v>0</v>
      </c>
      <c r="W63" s="1053">
        <f t="shared" si="33"/>
        <v>0</v>
      </c>
      <c r="X63" s="1054">
        <f t="shared" si="35"/>
        <v>0</v>
      </c>
      <c r="Y63" s="1054">
        <f t="shared" si="36"/>
        <v>0</v>
      </c>
    </row>
    <row r="64" spans="1:25">
      <c r="A64" s="994">
        <v>58</v>
      </c>
      <c r="B64" s="995" t="s">
        <v>151</v>
      </c>
      <c r="C64" s="1002">
        <f>'[28]Belle Chase Academy'!C62</f>
        <v>0</v>
      </c>
      <c r="D64" s="1125">
        <f>'[28]Belle Chase Academy'!D62</f>
        <v>0</v>
      </c>
      <c r="E64" s="1125">
        <f t="shared" si="20"/>
        <v>0</v>
      </c>
      <c r="F64" s="1003">
        <f>'Table 3 Levels 1&amp;2'!BN66+'Table 3 Levels 1&amp;2'!BV66</f>
        <v>5434.7170435013286</v>
      </c>
      <c r="G64" s="1102">
        <f t="shared" si="21"/>
        <v>0</v>
      </c>
      <c r="H64" s="1102">
        <f t="shared" si="22"/>
        <v>0</v>
      </c>
      <c r="I64" s="1059">
        <f t="shared" si="34"/>
        <v>0</v>
      </c>
      <c r="J64" s="1112">
        <f t="shared" si="23"/>
        <v>0</v>
      </c>
      <c r="K64" s="1059">
        <f t="shared" si="24"/>
        <v>0</v>
      </c>
      <c r="L64" s="1059"/>
      <c r="M64" s="1059">
        <f t="shared" si="25"/>
        <v>0</v>
      </c>
      <c r="N64" s="1059">
        <f t="shared" si="26"/>
        <v>0</v>
      </c>
      <c r="O64" s="1051">
        <f>'[18]FY2012-13 Final'!K65</f>
        <v>2055</v>
      </c>
      <c r="P64" s="1053">
        <f t="shared" si="27"/>
        <v>0</v>
      </c>
      <c r="Q64" s="1053">
        <f t="shared" si="28"/>
        <v>0</v>
      </c>
      <c r="R64" s="1053">
        <f t="shared" si="29"/>
        <v>0</v>
      </c>
      <c r="S64" s="1117">
        <f t="shared" si="30"/>
        <v>0</v>
      </c>
      <c r="T64" s="1053">
        <f t="shared" si="31"/>
        <v>0</v>
      </c>
      <c r="U64" s="1053"/>
      <c r="V64" s="1053">
        <f t="shared" si="32"/>
        <v>0</v>
      </c>
      <c r="W64" s="1053">
        <f t="shared" si="33"/>
        <v>0</v>
      </c>
      <c r="X64" s="1054">
        <f t="shared" si="35"/>
        <v>0</v>
      </c>
      <c r="Y64" s="1054">
        <f t="shared" si="36"/>
        <v>0</v>
      </c>
    </row>
    <row r="65" spans="1:25">
      <c r="A65" s="994">
        <v>59</v>
      </c>
      <c r="B65" s="995" t="s">
        <v>152</v>
      </c>
      <c r="C65" s="1002">
        <f>'[28]Belle Chase Academy'!C63</f>
        <v>0</v>
      </c>
      <c r="D65" s="1125">
        <f>'[28]Belle Chase Academy'!D63</f>
        <v>0</v>
      </c>
      <c r="E65" s="1125">
        <f t="shared" si="20"/>
        <v>0</v>
      </c>
      <c r="F65" s="1003">
        <f>'Table 3 Levels 1&amp;2'!BN67+'Table 3 Levels 1&amp;2'!BV67</f>
        <v>6252.2385330184643</v>
      </c>
      <c r="G65" s="1102">
        <f t="shared" si="21"/>
        <v>0</v>
      </c>
      <c r="H65" s="1102">
        <f t="shared" si="22"/>
        <v>0</v>
      </c>
      <c r="I65" s="1059">
        <f t="shared" si="34"/>
        <v>0</v>
      </c>
      <c r="J65" s="1112">
        <f t="shared" si="23"/>
        <v>0</v>
      </c>
      <c r="K65" s="1059">
        <f t="shared" si="24"/>
        <v>0</v>
      </c>
      <c r="L65" s="1059"/>
      <c r="M65" s="1059">
        <f t="shared" si="25"/>
        <v>0</v>
      </c>
      <c r="N65" s="1059">
        <f t="shared" si="26"/>
        <v>0</v>
      </c>
      <c r="O65" s="1051">
        <f>'[18]FY2012-13 Final'!K66</f>
        <v>1528</v>
      </c>
      <c r="P65" s="1053">
        <f t="shared" si="27"/>
        <v>0</v>
      </c>
      <c r="Q65" s="1053">
        <f t="shared" si="28"/>
        <v>0</v>
      </c>
      <c r="R65" s="1053">
        <f t="shared" si="29"/>
        <v>0</v>
      </c>
      <c r="S65" s="1117">
        <f t="shared" si="30"/>
        <v>0</v>
      </c>
      <c r="T65" s="1053">
        <f t="shared" si="31"/>
        <v>0</v>
      </c>
      <c r="U65" s="1053"/>
      <c r="V65" s="1053">
        <f t="shared" si="32"/>
        <v>0</v>
      </c>
      <c r="W65" s="1053">
        <f t="shared" si="33"/>
        <v>0</v>
      </c>
      <c r="X65" s="1054">
        <f t="shared" si="35"/>
        <v>0</v>
      </c>
      <c r="Y65" s="1054">
        <f t="shared" si="36"/>
        <v>0</v>
      </c>
    </row>
    <row r="66" spans="1:25">
      <c r="A66" s="998">
        <v>60</v>
      </c>
      <c r="B66" s="999" t="s">
        <v>153</v>
      </c>
      <c r="C66" s="1004">
        <f>'[28]Belle Chase Academy'!C64</f>
        <v>0</v>
      </c>
      <c r="D66" s="1126">
        <f>'[28]Belle Chase Academy'!D64</f>
        <v>0</v>
      </c>
      <c r="E66" s="1126">
        <f t="shared" si="20"/>
        <v>0</v>
      </c>
      <c r="F66" s="1005">
        <f>'Table 3 Levels 1&amp;2'!BN68+'Table 3 Levels 1&amp;2'!BV68</f>
        <v>4902.6575100268701</v>
      </c>
      <c r="G66" s="1103">
        <f t="shared" si="21"/>
        <v>0</v>
      </c>
      <c r="H66" s="1103">
        <f t="shared" si="22"/>
        <v>0</v>
      </c>
      <c r="I66" s="1060">
        <f t="shared" si="34"/>
        <v>0</v>
      </c>
      <c r="J66" s="1113">
        <f t="shared" si="23"/>
        <v>0</v>
      </c>
      <c r="K66" s="1060">
        <f t="shared" si="24"/>
        <v>0</v>
      </c>
      <c r="L66" s="1060"/>
      <c r="M66" s="1060">
        <f t="shared" si="25"/>
        <v>0</v>
      </c>
      <c r="N66" s="1060">
        <f t="shared" si="26"/>
        <v>0</v>
      </c>
      <c r="O66" s="1056">
        <f>'[18]FY2012-13 Final'!K67</f>
        <v>3918</v>
      </c>
      <c r="P66" s="1057">
        <f t="shared" si="27"/>
        <v>0</v>
      </c>
      <c r="Q66" s="1057">
        <f t="shared" si="28"/>
        <v>0</v>
      </c>
      <c r="R66" s="1057">
        <f t="shared" si="29"/>
        <v>0</v>
      </c>
      <c r="S66" s="1326">
        <f t="shared" si="30"/>
        <v>0</v>
      </c>
      <c r="T66" s="1057">
        <f t="shared" si="31"/>
        <v>0</v>
      </c>
      <c r="U66" s="1057"/>
      <c r="V66" s="1057">
        <f t="shared" si="32"/>
        <v>0</v>
      </c>
      <c r="W66" s="1057">
        <f t="shared" si="33"/>
        <v>0</v>
      </c>
      <c r="X66" s="1058">
        <f t="shared" si="35"/>
        <v>0</v>
      </c>
      <c r="Y66" s="1058">
        <f t="shared" si="36"/>
        <v>0</v>
      </c>
    </row>
    <row r="67" spans="1:25">
      <c r="A67" s="987">
        <v>61</v>
      </c>
      <c r="B67" s="988" t="s">
        <v>154</v>
      </c>
      <c r="C67" s="1006">
        <f>'[28]Belle Chase Academy'!C65</f>
        <v>0</v>
      </c>
      <c r="D67" s="1127">
        <f>'[28]Belle Chase Academy'!D65</f>
        <v>0</v>
      </c>
      <c r="E67" s="1127">
        <f t="shared" si="20"/>
        <v>0</v>
      </c>
      <c r="F67" s="1007">
        <f>'Table 3 Levels 1&amp;2'!BN69+'Table 3 Levels 1&amp;2'!BV69</f>
        <v>2872.7719101339244</v>
      </c>
      <c r="G67" s="1104">
        <f t="shared" si="21"/>
        <v>0</v>
      </c>
      <c r="H67" s="1104">
        <f t="shared" si="22"/>
        <v>0</v>
      </c>
      <c r="I67" s="1061">
        <f t="shared" si="34"/>
        <v>0</v>
      </c>
      <c r="J67" s="1114">
        <f t="shared" si="23"/>
        <v>0</v>
      </c>
      <c r="K67" s="1061">
        <f t="shared" si="24"/>
        <v>0</v>
      </c>
      <c r="L67" s="1061"/>
      <c r="M67" s="1061">
        <f t="shared" si="25"/>
        <v>0</v>
      </c>
      <c r="N67" s="1061">
        <f t="shared" si="26"/>
        <v>0</v>
      </c>
      <c r="O67" s="1051">
        <f>'[18]FY2012-13 Final'!K68</f>
        <v>6680</v>
      </c>
      <c r="P67" s="992">
        <f t="shared" si="27"/>
        <v>0</v>
      </c>
      <c r="Q67" s="992">
        <f t="shared" si="28"/>
        <v>0</v>
      </c>
      <c r="R67" s="992">
        <f t="shared" si="29"/>
        <v>0</v>
      </c>
      <c r="S67" s="1117">
        <f t="shared" si="30"/>
        <v>0</v>
      </c>
      <c r="T67" s="992">
        <f t="shared" si="31"/>
        <v>0</v>
      </c>
      <c r="U67" s="992"/>
      <c r="V67" s="992">
        <f t="shared" si="32"/>
        <v>0</v>
      </c>
      <c r="W67" s="992">
        <f t="shared" si="33"/>
        <v>0</v>
      </c>
      <c r="X67" s="993">
        <f t="shared" si="35"/>
        <v>0</v>
      </c>
      <c r="Y67" s="993">
        <f t="shared" si="36"/>
        <v>0</v>
      </c>
    </row>
    <row r="68" spans="1:25">
      <c r="A68" s="994">
        <v>62</v>
      </c>
      <c r="B68" s="995" t="s">
        <v>155</v>
      </c>
      <c r="C68" s="1002">
        <f>'[28]Belle Chase Academy'!C66</f>
        <v>0</v>
      </c>
      <c r="D68" s="1125">
        <f>'[28]Belle Chase Academy'!D66</f>
        <v>0</v>
      </c>
      <c r="E68" s="1125">
        <f t="shared" si="20"/>
        <v>0</v>
      </c>
      <c r="F68" s="1003">
        <f>'Table 3 Levels 1&amp;2'!BN70+'Table 3 Levels 1&amp;2'!BV70</f>
        <v>5594.25143978908</v>
      </c>
      <c r="G68" s="1102">
        <f t="shared" si="21"/>
        <v>0</v>
      </c>
      <c r="H68" s="1102">
        <f t="shared" si="22"/>
        <v>0</v>
      </c>
      <c r="I68" s="1059">
        <f t="shared" si="34"/>
        <v>0</v>
      </c>
      <c r="J68" s="1112">
        <f t="shared" si="23"/>
        <v>0</v>
      </c>
      <c r="K68" s="1059">
        <f t="shared" si="24"/>
        <v>0</v>
      </c>
      <c r="L68" s="1059"/>
      <c r="M68" s="1059">
        <f t="shared" si="25"/>
        <v>0</v>
      </c>
      <c r="N68" s="1059">
        <f t="shared" si="26"/>
        <v>0</v>
      </c>
      <c r="O68" s="1051">
        <f>'[18]FY2012-13 Final'!K69</f>
        <v>1754</v>
      </c>
      <c r="P68" s="1053">
        <f t="shared" si="27"/>
        <v>0</v>
      </c>
      <c r="Q68" s="1053">
        <f t="shared" si="28"/>
        <v>0</v>
      </c>
      <c r="R68" s="1053">
        <f t="shared" si="29"/>
        <v>0</v>
      </c>
      <c r="S68" s="1117">
        <f t="shared" si="30"/>
        <v>0</v>
      </c>
      <c r="T68" s="1053">
        <f t="shared" si="31"/>
        <v>0</v>
      </c>
      <c r="U68" s="1053"/>
      <c r="V68" s="1053">
        <f t="shared" si="32"/>
        <v>0</v>
      </c>
      <c r="W68" s="1053">
        <f t="shared" si="33"/>
        <v>0</v>
      </c>
      <c r="X68" s="1054">
        <f t="shared" si="35"/>
        <v>0</v>
      </c>
      <c r="Y68" s="1054">
        <f t="shared" si="36"/>
        <v>0</v>
      </c>
    </row>
    <row r="69" spans="1:25">
      <c r="A69" s="994">
        <v>63</v>
      </c>
      <c r="B69" s="995" t="s">
        <v>156</v>
      </c>
      <c r="C69" s="1002">
        <f>'[28]Belle Chase Academy'!C67</f>
        <v>0</v>
      </c>
      <c r="D69" s="1125">
        <f>'[28]Belle Chase Academy'!D67</f>
        <v>0</v>
      </c>
      <c r="E69" s="1125">
        <f t="shared" si="20"/>
        <v>0</v>
      </c>
      <c r="F69" s="1003">
        <f>'Table 3 Levels 1&amp;2'!BN71+'Table 3 Levels 1&amp;2'!BV71</f>
        <v>4318.8609300898834</v>
      </c>
      <c r="G69" s="1102">
        <f t="shared" si="21"/>
        <v>0</v>
      </c>
      <c r="H69" s="1102">
        <f t="shared" si="22"/>
        <v>0</v>
      </c>
      <c r="I69" s="1059">
        <f t="shared" si="34"/>
        <v>0</v>
      </c>
      <c r="J69" s="1112">
        <f t="shared" si="23"/>
        <v>0</v>
      </c>
      <c r="K69" s="1059">
        <f t="shared" si="24"/>
        <v>0</v>
      </c>
      <c r="L69" s="1059"/>
      <c r="M69" s="1059">
        <f t="shared" si="25"/>
        <v>0</v>
      </c>
      <c r="N69" s="1059">
        <f t="shared" si="26"/>
        <v>0</v>
      </c>
      <c r="O69" s="1051">
        <f>'[18]FY2012-13 Final'!K70</f>
        <v>7182</v>
      </c>
      <c r="P69" s="1053">
        <f t="shared" si="27"/>
        <v>0</v>
      </c>
      <c r="Q69" s="1053">
        <f t="shared" si="28"/>
        <v>0</v>
      </c>
      <c r="R69" s="1053">
        <f t="shared" si="29"/>
        <v>0</v>
      </c>
      <c r="S69" s="1117">
        <f t="shared" si="30"/>
        <v>0</v>
      </c>
      <c r="T69" s="1053">
        <f t="shared" si="31"/>
        <v>0</v>
      </c>
      <c r="U69" s="1053"/>
      <c r="V69" s="1053">
        <f t="shared" si="32"/>
        <v>0</v>
      </c>
      <c r="W69" s="1053">
        <f t="shared" si="33"/>
        <v>0</v>
      </c>
      <c r="X69" s="1054">
        <f t="shared" si="35"/>
        <v>0</v>
      </c>
      <c r="Y69" s="1054">
        <f t="shared" si="36"/>
        <v>0</v>
      </c>
    </row>
    <row r="70" spans="1:25">
      <c r="A70" s="994">
        <v>64</v>
      </c>
      <c r="B70" s="995" t="s">
        <v>157</v>
      </c>
      <c r="C70" s="1002">
        <f>'[28]Belle Chase Academy'!C68</f>
        <v>0</v>
      </c>
      <c r="D70" s="1125">
        <f>'[28]Belle Chase Academy'!D68</f>
        <v>0</v>
      </c>
      <c r="E70" s="1125">
        <f t="shared" si="20"/>
        <v>0</v>
      </c>
      <c r="F70" s="1003">
        <f>'Table 3 Levels 1&amp;2'!BN72+'Table 3 Levels 1&amp;2'!BV72</f>
        <v>5921.7418933384488</v>
      </c>
      <c r="G70" s="1102">
        <f t="shared" si="21"/>
        <v>0</v>
      </c>
      <c r="H70" s="1102">
        <f t="shared" si="22"/>
        <v>0</v>
      </c>
      <c r="I70" s="1059">
        <f t="shared" si="34"/>
        <v>0</v>
      </c>
      <c r="J70" s="1112">
        <f t="shared" si="23"/>
        <v>0</v>
      </c>
      <c r="K70" s="1059">
        <f t="shared" si="24"/>
        <v>0</v>
      </c>
      <c r="L70" s="1059"/>
      <c r="M70" s="1059">
        <f t="shared" si="25"/>
        <v>0</v>
      </c>
      <c r="N70" s="1059">
        <f t="shared" si="26"/>
        <v>0</v>
      </c>
      <c r="O70" s="1051">
        <f>'[18]FY2012-13 Final'!K71</f>
        <v>2701</v>
      </c>
      <c r="P70" s="1053">
        <f t="shared" si="27"/>
        <v>0</v>
      </c>
      <c r="Q70" s="1053">
        <f t="shared" si="28"/>
        <v>0</v>
      </c>
      <c r="R70" s="1053">
        <f t="shared" si="29"/>
        <v>0</v>
      </c>
      <c r="S70" s="1117">
        <f t="shared" si="30"/>
        <v>0</v>
      </c>
      <c r="T70" s="1053">
        <f t="shared" si="31"/>
        <v>0</v>
      </c>
      <c r="U70" s="1053"/>
      <c r="V70" s="1053">
        <f t="shared" si="32"/>
        <v>0</v>
      </c>
      <c r="W70" s="1053">
        <f t="shared" si="33"/>
        <v>0</v>
      </c>
      <c r="X70" s="1054">
        <f t="shared" si="35"/>
        <v>0</v>
      </c>
      <c r="Y70" s="1054">
        <f t="shared" si="36"/>
        <v>0</v>
      </c>
    </row>
    <row r="71" spans="1:25">
      <c r="A71" s="998">
        <v>65</v>
      </c>
      <c r="B71" s="999" t="s">
        <v>158</v>
      </c>
      <c r="C71" s="1004">
        <f>'[28]Belle Chase Academy'!C69</f>
        <v>0</v>
      </c>
      <c r="D71" s="1126">
        <f>'[28]Belle Chase Academy'!D69</f>
        <v>0</v>
      </c>
      <c r="E71" s="1126">
        <f t="shared" si="20"/>
        <v>0</v>
      </c>
      <c r="F71" s="1005">
        <f>'Table 3 Levels 1&amp;2'!BN73+'Table 3 Levels 1&amp;2'!BV73</f>
        <v>4578.9201269671275</v>
      </c>
      <c r="G71" s="1103">
        <f t="shared" si="21"/>
        <v>0</v>
      </c>
      <c r="H71" s="1103">
        <f t="shared" si="22"/>
        <v>0</v>
      </c>
      <c r="I71" s="1060">
        <f t="shared" ref="I71:I75" si="37">G71+H71</f>
        <v>0</v>
      </c>
      <c r="J71" s="1113">
        <f t="shared" si="23"/>
        <v>0</v>
      </c>
      <c r="K71" s="1060">
        <f t="shared" si="24"/>
        <v>0</v>
      </c>
      <c r="L71" s="1060"/>
      <c r="M71" s="1060">
        <f t="shared" si="25"/>
        <v>0</v>
      </c>
      <c r="N71" s="1060">
        <f t="shared" si="26"/>
        <v>0</v>
      </c>
      <c r="O71" s="1056">
        <f>'[18]FY2012-13 Final'!K72</f>
        <v>4813</v>
      </c>
      <c r="P71" s="1057">
        <f t="shared" si="27"/>
        <v>0</v>
      </c>
      <c r="Q71" s="1057">
        <f t="shared" si="28"/>
        <v>0</v>
      </c>
      <c r="R71" s="1057">
        <f t="shared" si="29"/>
        <v>0</v>
      </c>
      <c r="S71" s="1326">
        <f t="shared" si="30"/>
        <v>0</v>
      </c>
      <c r="T71" s="1057">
        <f t="shared" si="31"/>
        <v>0</v>
      </c>
      <c r="U71" s="1057"/>
      <c r="V71" s="1057">
        <f t="shared" si="32"/>
        <v>0</v>
      </c>
      <c r="W71" s="1057">
        <f t="shared" si="33"/>
        <v>0</v>
      </c>
      <c r="X71" s="1058">
        <f t="shared" si="35"/>
        <v>0</v>
      </c>
      <c r="Y71" s="1058">
        <f t="shared" si="36"/>
        <v>0</v>
      </c>
    </row>
    <row r="72" spans="1:25">
      <c r="A72" s="987">
        <v>66</v>
      </c>
      <c r="B72" s="988" t="s">
        <v>159</v>
      </c>
      <c r="C72" s="1006">
        <f>'[28]Belle Chase Academy'!C70</f>
        <v>0</v>
      </c>
      <c r="D72" s="1127">
        <f>'[28]Belle Chase Academy'!D70</f>
        <v>0</v>
      </c>
      <c r="E72" s="1127">
        <f t="shared" ref="E72:E75" si="38">C72+D72</f>
        <v>0</v>
      </c>
      <c r="F72" s="1007">
        <f>'Table 3 Levels 1&amp;2'!BN74+'Table 3 Levels 1&amp;2'!BV74</f>
        <v>6340.8763293271122</v>
      </c>
      <c r="G72" s="1104">
        <f t="shared" ref="G72:G75" si="39">F72*E72</f>
        <v>0</v>
      </c>
      <c r="H72" s="1104">
        <f t="shared" ref="H72:H75" si="40">E72*$H$4</f>
        <v>0</v>
      </c>
      <c r="I72" s="1061">
        <f t="shared" si="37"/>
        <v>0</v>
      </c>
      <c r="J72" s="1114">
        <f t="shared" ref="J72:J75" si="41">-I72*$J$4</f>
        <v>0</v>
      </c>
      <c r="K72" s="1061">
        <f t="shared" ref="K72:K75" si="42">SUM(I72:J72)</f>
        <v>0</v>
      </c>
      <c r="L72" s="1061"/>
      <c r="M72" s="1061">
        <f t="shared" ref="M72:M75" si="43">SUM(K72:L72)</f>
        <v>0</v>
      </c>
      <c r="N72" s="1061">
        <f t="shared" ref="N72:N75" si="44">ROUND(M72/12,0)</f>
        <v>0</v>
      </c>
      <c r="O72" s="1051">
        <f>'[18]FY2012-13 Final'!K73</f>
        <v>3516</v>
      </c>
      <c r="P72" s="992">
        <f t="shared" ref="P72:P75" si="45">O72*C72</f>
        <v>0</v>
      </c>
      <c r="Q72" s="992">
        <f t="shared" ref="Q72:Q75" si="46">D72*O72</f>
        <v>0</v>
      </c>
      <c r="R72" s="992">
        <f t="shared" ref="R72:R75" si="47">P72+Q72</f>
        <v>0</v>
      </c>
      <c r="S72" s="1117">
        <f t="shared" ref="S72:S75" si="48">-P72*0.25%</f>
        <v>0</v>
      </c>
      <c r="T72" s="992">
        <f t="shared" ref="T72:T75" si="49">P72+S72</f>
        <v>0</v>
      </c>
      <c r="U72" s="992"/>
      <c r="V72" s="992">
        <f t="shared" ref="V72:V75" si="50">SUM(T72:U72)</f>
        <v>0</v>
      </c>
      <c r="W72" s="992">
        <f t="shared" ref="W72:W75" si="51">ROUND(V72/12,0)</f>
        <v>0</v>
      </c>
      <c r="X72" s="993">
        <f t="shared" si="35"/>
        <v>0</v>
      </c>
      <c r="Y72" s="993">
        <f t="shared" si="36"/>
        <v>0</v>
      </c>
    </row>
    <row r="73" spans="1:25">
      <c r="A73" s="994">
        <v>67</v>
      </c>
      <c r="B73" s="995" t="s">
        <v>32</v>
      </c>
      <c r="C73" s="1002">
        <f>'[28]Belle Chase Academy'!C71</f>
        <v>0</v>
      </c>
      <c r="D73" s="1125">
        <f>'[28]Belle Chase Academy'!D71</f>
        <v>0</v>
      </c>
      <c r="E73" s="1125">
        <f t="shared" si="38"/>
        <v>0</v>
      </c>
      <c r="F73" s="1003">
        <f>'Table 3 Levels 1&amp;2'!BN75+'Table 3 Levels 1&amp;2'!BV75</f>
        <v>4984.1100297034172</v>
      </c>
      <c r="G73" s="1102">
        <f t="shared" si="39"/>
        <v>0</v>
      </c>
      <c r="H73" s="1102">
        <f t="shared" si="40"/>
        <v>0</v>
      </c>
      <c r="I73" s="1059">
        <f t="shared" si="37"/>
        <v>0</v>
      </c>
      <c r="J73" s="1112">
        <f t="shared" si="41"/>
        <v>0</v>
      </c>
      <c r="K73" s="1059">
        <f t="shared" si="42"/>
        <v>0</v>
      </c>
      <c r="L73" s="1059"/>
      <c r="M73" s="1059">
        <f t="shared" si="43"/>
        <v>0</v>
      </c>
      <c r="N73" s="1059">
        <f t="shared" si="44"/>
        <v>0</v>
      </c>
      <c r="O73" s="1051">
        <f>'[18]FY2012-13 Final'!K74</f>
        <v>5052</v>
      </c>
      <c r="P73" s="1053">
        <f t="shared" si="45"/>
        <v>0</v>
      </c>
      <c r="Q73" s="1053">
        <f t="shared" si="46"/>
        <v>0</v>
      </c>
      <c r="R73" s="1053">
        <f t="shared" si="47"/>
        <v>0</v>
      </c>
      <c r="S73" s="1117">
        <f t="shared" si="48"/>
        <v>0</v>
      </c>
      <c r="T73" s="1053">
        <f>P73+S73</f>
        <v>0</v>
      </c>
      <c r="U73" s="1053"/>
      <c r="V73" s="1053">
        <f t="shared" si="50"/>
        <v>0</v>
      </c>
      <c r="W73" s="1053">
        <f t="shared" si="51"/>
        <v>0</v>
      </c>
      <c r="X73" s="1054">
        <f t="shared" si="35"/>
        <v>0</v>
      </c>
      <c r="Y73" s="1054">
        <f t="shared" si="36"/>
        <v>0</v>
      </c>
    </row>
    <row r="74" spans="1:25">
      <c r="A74" s="994">
        <v>68</v>
      </c>
      <c r="B74" s="995" t="s">
        <v>30</v>
      </c>
      <c r="C74" s="1002">
        <f>'[28]Belle Chase Academy'!C72</f>
        <v>0</v>
      </c>
      <c r="D74" s="1125">
        <f>'[28]Belle Chase Academy'!D72</f>
        <v>0</v>
      </c>
      <c r="E74" s="1125">
        <f t="shared" si="38"/>
        <v>0</v>
      </c>
      <c r="F74" s="1003">
        <f>'Table 3 Levels 1&amp;2'!BN76+'Table 3 Levels 1&amp;2'!BV76</f>
        <v>6012.7854305239725</v>
      </c>
      <c r="G74" s="1102">
        <f t="shared" si="39"/>
        <v>0</v>
      </c>
      <c r="H74" s="1102">
        <f t="shared" si="40"/>
        <v>0</v>
      </c>
      <c r="I74" s="1059">
        <f t="shared" si="37"/>
        <v>0</v>
      </c>
      <c r="J74" s="1112">
        <f t="shared" si="41"/>
        <v>0</v>
      </c>
      <c r="K74" s="1059">
        <f t="shared" si="42"/>
        <v>0</v>
      </c>
      <c r="L74" s="1059"/>
      <c r="M74" s="1059">
        <f t="shared" si="43"/>
        <v>0</v>
      </c>
      <c r="N74" s="1059">
        <f t="shared" si="44"/>
        <v>0</v>
      </c>
      <c r="O74" s="1051">
        <f>'[18]FY2012-13 Final'!K75</f>
        <v>2763</v>
      </c>
      <c r="P74" s="1053">
        <f t="shared" si="45"/>
        <v>0</v>
      </c>
      <c r="Q74" s="1053">
        <f t="shared" si="46"/>
        <v>0</v>
      </c>
      <c r="R74" s="1053">
        <f t="shared" si="47"/>
        <v>0</v>
      </c>
      <c r="S74" s="1117">
        <f t="shared" si="48"/>
        <v>0</v>
      </c>
      <c r="T74" s="1053">
        <f t="shared" si="49"/>
        <v>0</v>
      </c>
      <c r="U74" s="1053"/>
      <c r="V74" s="1053">
        <f t="shared" si="50"/>
        <v>0</v>
      </c>
      <c r="W74" s="1053">
        <f t="shared" si="51"/>
        <v>0</v>
      </c>
      <c r="X74" s="1054">
        <f t="shared" si="35"/>
        <v>0</v>
      </c>
      <c r="Y74" s="1054">
        <f t="shared" si="36"/>
        <v>0</v>
      </c>
    </row>
    <row r="75" spans="1:25">
      <c r="A75" s="1008">
        <v>69</v>
      </c>
      <c r="B75" s="1009" t="s">
        <v>213</v>
      </c>
      <c r="C75" s="1010">
        <f>'[28]Belle Chase Academy'!C73</f>
        <v>0</v>
      </c>
      <c r="D75" s="1128">
        <f>'[28]Belle Chase Academy'!D73</f>
        <v>0</v>
      </c>
      <c r="E75" s="1128">
        <f t="shared" si="38"/>
        <v>0</v>
      </c>
      <c r="F75" s="1011">
        <f>'Table 3 Levels 1&amp;2'!BN77+'Table 3 Levels 1&amp;2'!BV77</f>
        <v>5559.7139008686299</v>
      </c>
      <c r="G75" s="1105">
        <f t="shared" si="39"/>
        <v>0</v>
      </c>
      <c r="H75" s="1105">
        <f t="shared" si="40"/>
        <v>0</v>
      </c>
      <c r="I75" s="1062">
        <f t="shared" si="37"/>
        <v>0</v>
      </c>
      <c r="J75" s="1115">
        <f t="shared" si="41"/>
        <v>0</v>
      </c>
      <c r="K75" s="1062">
        <f t="shared" si="42"/>
        <v>0</v>
      </c>
      <c r="L75" s="1062"/>
      <c r="M75" s="1062">
        <f t="shared" si="43"/>
        <v>0</v>
      </c>
      <c r="N75" s="1062">
        <f t="shared" si="44"/>
        <v>0</v>
      </c>
      <c r="O75" s="1051">
        <f>'[18]FY2012-13 Final'!K76</f>
        <v>3327</v>
      </c>
      <c r="P75" s="1063">
        <f t="shared" si="45"/>
        <v>0</v>
      </c>
      <c r="Q75" s="1063">
        <f t="shared" si="46"/>
        <v>0</v>
      </c>
      <c r="R75" s="1063">
        <f t="shared" si="47"/>
        <v>0</v>
      </c>
      <c r="S75" s="1117">
        <f t="shared" si="48"/>
        <v>0</v>
      </c>
      <c r="T75" s="1063">
        <f t="shared" si="49"/>
        <v>0</v>
      </c>
      <c r="U75" s="1063"/>
      <c r="V75" s="1063">
        <f t="shared" si="50"/>
        <v>0</v>
      </c>
      <c r="W75" s="1063">
        <f t="shared" si="51"/>
        <v>0</v>
      </c>
      <c r="X75" s="1064">
        <f t="shared" si="35"/>
        <v>0</v>
      </c>
      <c r="Y75" s="1064">
        <f t="shared" si="36"/>
        <v>0</v>
      </c>
    </row>
    <row r="76" spans="1:25" s="1019" customFormat="1" ht="13.5" thickBot="1">
      <c r="A76" s="1012"/>
      <c r="B76" s="1013" t="s">
        <v>160</v>
      </c>
      <c r="C76" s="1014">
        <f>SUM(C7:C75)</f>
        <v>467</v>
      </c>
      <c r="D76" s="1014">
        <f>SUM(D7:D75)</f>
        <v>484</v>
      </c>
      <c r="E76" s="1014">
        <f>SUM(E7:E75)</f>
        <v>951</v>
      </c>
      <c r="F76" s="1015"/>
      <c r="G76" s="1106">
        <f>SUM(G7:G75)</f>
        <v>2630688.2238429547</v>
      </c>
      <c r="H76" s="1106">
        <f>SUM(H7:H75)</f>
        <v>750246.20157055091</v>
      </c>
      <c r="I76" s="1016">
        <f>SUM(I7:I75)</f>
        <v>3380934.4254135052</v>
      </c>
      <c r="J76" s="1116">
        <f t="shared" ref="J76:L76" si="52">SUM(J7:J75)</f>
        <v>-8452.3360635337631</v>
      </c>
      <c r="K76" s="1016">
        <f t="shared" si="52"/>
        <v>3372482.0893499712</v>
      </c>
      <c r="L76" s="1016">
        <f t="shared" si="52"/>
        <v>0</v>
      </c>
      <c r="M76" s="1016">
        <f>SUM(M7:M75)</f>
        <v>3372482.0893499712</v>
      </c>
      <c r="N76" s="1016">
        <f>SUM(N7:N75)</f>
        <v>281039</v>
      </c>
      <c r="O76" s="1065"/>
      <c r="P76" s="1017">
        <f>SUM(P7:P75)</f>
        <v>2641720</v>
      </c>
      <c r="Q76" s="1017">
        <f>SUM(Q7:Q75)</f>
        <v>4330599</v>
      </c>
      <c r="R76" s="1017">
        <f>SUM(R7:R75)</f>
        <v>6972319</v>
      </c>
      <c r="S76" s="1121">
        <f>SUM(S7:S75)</f>
        <v>-6604.3</v>
      </c>
      <c r="T76" s="1017">
        <f t="shared" ref="T76:Y76" si="53">SUM(T7:T75)</f>
        <v>2635115.7000000007</v>
      </c>
      <c r="U76" s="1017">
        <f t="shared" si="53"/>
        <v>0</v>
      </c>
      <c r="V76" s="1017">
        <f t="shared" si="53"/>
        <v>2635115.7000000007</v>
      </c>
      <c r="W76" s="1017">
        <f t="shared" si="53"/>
        <v>219594</v>
      </c>
      <c r="X76" s="1018">
        <f t="shared" si="53"/>
        <v>6007597.7893499713</v>
      </c>
      <c r="Y76" s="1018">
        <f t="shared" si="53"/>
        <v>500633</v>
      </c>
    </row>
    <row r="77" spans="1:25" ht="39" thickTop="1">
      <c r="A77" s="1025"/>
      <c r="B77" s="1141" t="s">
        <v>523</v>
      </c>
      <c r="C77" s="1026"/>
      <c r="D77" s="1026"/>
      <c r="E77" s="1026"/>
      <c r="I77" s="1140">
        <f>Q76</f>
        <v>4330599</v>
      </c>
      <c r="J77" s="1040">
        <f>-I77*0.25%</f>
        <v>-10826.497499999999</v>
      </c>
      <c r="K77" s="1140">
        <f t="shared" ref="K77" si="54">SUM(I77:J77)</f>
        <v>4319772.5025000004</v>
      </c>
      <c r="L77" s="1140"/>
      <c r="M77" s="1140">
        <f t="shared" ref="M77" si="55">SUM(K77:L77)</f>
        <v>4319772.5025000004</v>
      </c>
      <c r="N77" s="1140">
        <f t="shared" ref="N77" si="56">ROUND(M77/12,0)</f>
        <v>359981</v>
      </c>
      <c r="Q77" s="1140">
        <f>-Q76</f>
        <v>-4330599</v>
      </c>
      <c r="R77" s="1140">
        <f>Q77</f>
        <v>-4330599</v>
      </c>
      <c r="S77" s="1325"/>
      <c r="V77" s="1022"/>
      <c r="W77" s="1022"/>
      <c r="X77" s="1022">
        <f>V77+M77</f>
        <v>4319772.5025000004</v>
      </c>
      <c r="Y77" s="1022">
        <f>N77+W77</f>
        <v>359981</v>
      </c>
    </row>
    <row r="78" spans="1:25" s="1019" customFormat="1" ht="13.5" thickBot="1">
      <c r="A78" s="1012"/>
      <c r="B78" s="1013" t="s">
        <v>519</v>
      </c>
      <c r="C78" s="1014"/>
      <c r="D78" s="1137"/>
      <c r="E78" s="1137"/>
      <c r="F78" s="1015"/>
      <c r="G78" s="1106"/>
      <c r="H78" s="1106"/>
      <c r="I78" s="1016">
        <f>SUM(I76:I77)</f>
        <v>7711533.4254135052</v>
      </c>
      <c r="J78" s="1240">
        <f>SUM(J76:J77)</f>
        <v>-19278.833563533764</v>
      </c>
      <c r="K78" s="1016">
        <f>SUM(K76:K77)</f>
        <v>7692254.5918499716</v>
      </c>
      <c r="L78" s="1016">
        <f t="shared" ref="L78:N78" si="57">SUM(L76:L77)</f>
        <v>0</v>
      </c>
      <c r="M78" s="1016">
        <f t="shared" si="57"/>
        <v>7692254.5918499716</v>
      </c>
      <c r="N78" s="1016">
        <f t="shared" si="57"/>
        <v>641020</v>
      </c>
      <c r="O78" s="1065"/>
      <c r="P78" s="1017">
        <f>SUM(P76:P77)</f>
        <v>2641720</v>
      </c>
      <c r="Q78" s="1017">
        <f>SUM(Q76:Q77)</f>
        <v>0</v>
      </c>
      <c r="R78" s="1017">
        <f>SUM(R76:R77)</f>
        <v>2641720</v>
      </c>
      <c r="S78" s="1121">
        <f t="shared" ref="S78:U78" si="58">SUM(S76:S77)</f>
        <v>-6604.3</v>
      </c>
      <c r="T78" s="1017">
        <f t="shared" si="58"/>
        <v>2635115.7000000007</v>
      </c>
      <c r="U78" s="1017">
        <f t="shared" si="58"/>
        <v>0</v>
      </c>
      <c r="V78" s="1017">
        <f>SUM(V76:V77)</f>
        <v>2635115.7000000007</v>
      </c>
      <c r="W78" s="1017">
        <f>SUM(W76:W77)</f>
        <v>219594</v>
      </c>
      <c r="X78" s="1018">
        <f t="shared" ref="X78:Y78" si="59">SUM(X76:X77)</f>
        <v>10327370.291849971</v>
      </c>
      <c r="Y78" s="1018">
        <f t="shared" si="59"/>
        <v>860614</v>
      </c>
    </row>
    <row r="79" spans="1:25" ht="13.5" thickTop="1"/>
  </sheetData>
  <mergeCells count="23">
    <mergeCell ref="A2:B4"/>
    <mergeCell ref="O2:W2"/>
    <mergeCell ref="X2:X4"/>
    <mergeCell ref="I3:I4"/>
    <mergeCell ref="P3:P4"/>
    <mergeCell ref="W3:W4"/>
    <mergeCell ref="K3:K4"/>
    <mergeCell ref="D3:D4"/>
    <mergeCell ref="E3:E4"/>
    <mergeCell ref="Q3:Q4"/>
    <mergeCell ref="R3:R4"/>
    <mergeCell ref="C2:I2"/>
    <mergeCell ref="J2:N2"/>
    <mergeCell ref="Y2:Y4"/>
    <mergeCell ref="C3:C4"/>
    <mergeCell ref="F3:F4"/>
    <mergeCell ref="G3:G4"/>
    <mergeCell ref="N3:N4"/>
    <mergeCell ref="O3:O4"/>
    <mergeCell ref="L3:L4"/>
    <mergeCell ref="M3:M4"/>
    <mergeCell ref="U3:U4"/>
    <mergeCell ref="V3:V4"/>
  </mergeCells>
  <printOptions horizontalCentered="1"/>
  <pageMargins left="0.27" right="0.25" top="1.07" bottom="0.2" header="0.37" footer="0.2"/>
  <pageSetup paperSize="5" scale="75" firstPageNumber="112" fitToWidth="3" orientation="portrait" useFirstPageNumber="1" r:id="rId1"/>
  <headerFooter alignWithMargins="0">
    <oddHeader xml:space="preserve">&amp;L&amp;"Arial,Bold"&amp;16Table 5D-8:  FY2013-14 MFP Budget Letter (Projection)&amp;"Arial,Regular"&amp;10
&amp;"Arial,Bold"&amp;14Legacy Type 2 Charters &amp;R&amp;"Arial,Bold"&amp;12&amp;KFF0000
</oddHeader>
    <oddFooter>&amp;R&amp;P</oddFooter>
  </headerFooter>
  <colBreaks count="3" manualBreakCount="3">
    <brk id="9" min="1" max="79" man="1"/>
    <brk id="14" min="1" max="79" man="1"/>
    <brk id="23" min="1" max="7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78"/>
  <sheetViews>
    <sheetView view="pageBreakPreview" zoomScale="90" zoomScaleNormal="70" zoomScaleSheetLayoutView="90" workbookViewId="0">
      <pane xSplit="2" ySplit="4" topLeftCell="C5" activePane="bottomRight" state="frozen"/>
      <selection activeCell="B3" sqref="B3:B5"/>
      <selection pane="topRight" activeCell="B3" sqref="B3:B5"/>
      <selection pane="bottomLeft" activeCell="B3" sqref="B3:B5"/>
      <selection pane="bottomRight" activeCell="B1" sqref="B1:B4"/>
    </sheetView>
  </sheetViews>
  <sheetFormatPr defaultRowHeight="12.75"/>
  <cols>
    <col min="1" max="1" width="3.42578125" bestFit="1" customWidth="1"/>
    <col min="2" max="2" width="18.7109375" bestFit="1" customWidth="1"/>
    <col min="3" max="3" width="15.42578125" customWidth="1"/>
    <col min="4" max="4" width="12.140625" bestFit="1" customWidth="1"/>
    <col min="5" max="5" width="12.42578125" bestFit="1" customWidth="1"/>
    <col min="6" max="6" width="11.5703125" bestFit="1" customWidth="1"/>
    <col min="7" max="7" width="11" bestFit="1" customWidth="1"/>
    <col min="8" max="8" width="11.5703125" bestFit="1" customWidth="1"/>
    <col min="9" max="9" width="11.140625" customWidth="1"/>
    <col min="10" max="10" width="11.7109375" hidden="1" customWidth="1"/>
    <col min="11" max="11" width="11.7109375" customWidth="1"/>
    <col min="12" max="14" width="12.140625" customWidth="1"/>
    <col min="15" max="21" width="13.140625" customWidth="1"/>
    <col min="22" max="22" width="12.85546875" bestFit="1" customWidth="1"/>
    <col min="23" max="30" width="13.140625" customWidth="1"/>
    <col min="31" max="31" width="14.5703125" customWidth="1"/>
    <col min="32" max="37" width="12" customWidth="1"/>
    <col min="38" max="38" width="16" bestFit="1" customWidth="1"/>
    <col min="39" max="39" width="13" customWidth="1"/>
    <col min="40" max="41" width="14.140625" customWidth="1"/>
    <col min="42" max="42" width="12" bestFit="1" customWidth="1"/>
    <col min="43" max="46" width="12.85546875" customWidth="1"/>
    <col min="47" max="47" width="14.140625" customWidth="1"/>
    <col min="48" max="48" width="13.85546875" customWidth="1"/>
    <col min="49" max="49" width="12.5703125" customWidth="1"/>
    <col min="50" max="58" width="12.85546875" customWidth="1"/>
    <col min="59" max="59" width="13.140625" bestFit="1" customWidth="1"/>
    <col min="60" max="60" width="12.42578125" bestFit="1" customWidth="1"/>
    <col min="61" max="61" width="12.85546875" customWidth="1"/>
    <col min="62" max="64" width="12.42578125" bestFit="1" customWidth="1"/>
    <col min="65" max="66" width="12.85546875" customWidth="1"/>
    <col min="67" max="67" width="13.85546875" bestFit="1" customWidth="1"/>
    <col min="68" max="68" width="1.140625" customWidth="1"/>
    <col min="74" max="74" width="9.140625" style="49"/>
    <col min="83" max="83" width="9.140625" style="47"/>
  </cols>
  <sheetData>
    <row r="1" spans="1:83" ht="12.75" customHeight="1">
      <c r="A1" s="1865" t="s">
        <v>425</v>
      </c>
      <c r="B1" s="1865" t="s">
        <v>255</v>
      </c>
      <c r="C1" s="1844" t="s">
        <v>1224</v>
      </c>
      <c r="D1" s="1859" t="s">
        <v>1294</v>
      </c>
      <c r="E1" s="1859" t="s">
        <v>1425</v>
      </c>
      <c r="F1" s="1859" t="s">
        <v>1426</v>
      </c>
      <c r="G1" s="1859" t="s">
        <v>1295</v>
      </c>
      <c r="H1" s="1859" t="s">
        <v>1296</v>
      </c>
      <c r="I1" s="1859" t="s">
        <v>1297</v>
      </c>
      <c r="J1" s="1859" t="s">
        <v>1298</v>
      </c>
      <c r="K1" s="1859" t="s">
        <v>1427</v>
      </c>
      <c r="L1" s="1859" t="s">
        <v>1299</v>
      </c>
      <c r="M1" s="1859" t="s">
        <v>1300</v>
      </c>
      <c r="N1" s="1859" t="s">
        <v>1301</v>
      </c>
      <c r="O1" s="1859" t="s">
        <v>1302</v>
      </c>
      <c r="P1" s="1859" t="s">
        <v>1303</v>
      </c>
      <c r="Q1" s="1859" t="s">
        <v>1304</v>
      </c>
      <c r="R1" s="1859" t="s">
        <v>1305</v>
      </c>
      <c r="S1" s="1859" t="s">
        <v>1306</v>
      </c>
      <c r="T1" s="1859" t="s">
        <v>1307</v>
      </c>
      <c r="U1" s="1859" t="s">
        <v>1308</v>
      </c>
      <c r="V1" s="1859" t="s">
        <v>1428</v>
      </c>
      <c r="W1" s="1859" t="s">
        <v>1429</v>
      </c>
      <c r="X1" s="1874" t="s">
        <v>1309</v>
      </c>
      <c r="Y1" s="1874" t="s">
        <v>1310</v>
      </c>
      <c r="Z1" s="1874" t="s">
        <v>1430</v>
      </c>
      <c r="AA1" s="1874" t="s">
        <v>1311</v>
      </c>
      <c r="AB1" s="1874" t="s">
        <v>1312</v>
      </c>
      <c r="AC1" s="1874" t="s">
        <v>1313</v>
      </c>
      <c r="AD1" s="1874" t="s">
        <v>1314</v>
      </c>
      <c r="AE1" s="1874" t="s">
        <v>1315</v>
      </c>
      <c r="AF1" s="1881" t="s">
        <v>1316</v>
      </c>
      <c r="AG1" s="1881" t="s">
        <v>1431</v>
      </c>
      <c r="AH1" s="1881" t="s">
        <v>1317</v>
      </c>
      <c r="AI1" s="1881" t="s">
        <v>1318</v>
      </c>
      <c r="AJ1" s="1881" t="s">
        <v>1319</v>
      </c>
      <c r="AK1" s="1881" t="s">
        <v>1320</v>
      </c>
      <c r="AL1" s="1877" t="s">
        <v>1321</v>
      </c>
      <c r="AM1" s="1859" t="s">
        <v>476</v>
      </c>
      <c r="AN1" s="1859" t="s">
        <v>475</v>
      </c>
      <c r="AO1" s="1859" t="s">
        <v>1432</v>
      </c>
      <c r="AP1" s="1859" t="s">
        <v>1433</v>
      </c>
      <c r="AQ1" s="1859" t="s">
        <v>721</v>
      </c>
      <c r="AR1" s="1859" t="s">
        <v>1434</v>
      </c>
      <c r="AS1" s="1859" t="s">
        <v>1435</v>
      </c>
      <c r="AT1" s="1859" t="s">
        <v>1436</v>
      </c>
      <c r="AU1" s="1859" t="s">
        <v>1437</v>
      </c>
      <c r="AV1" s="1859" t="s">
        <v>1438</v>
      </c>
      <c r="AW1" s="1859" t="s">
        <v>1439</v>
      </c>
      <c r="AX1" s="1859" t="s">
        <v>761</v>
      </c>
      <c r="AY1" s="1859" t="s">
        <v>762</v>
      </c>
      <c r="AZ1" s="1859" t="s">
        <v>763</v>
      </c>
      <c r="BA1" s="1859" t="s">
        <v>764</v>
      </c>
      <c r="BB1" s="1859" t="s">
        <v>765</v>
      </c>
      <c r="BC1" s="1859" t="s">
        <v>766</v>
      </c>
      <c r="BD1" s="1859" t="s">
        <v>767</v>
      </c>
      <c r="BE1" s="1859" t="s">
        <v>1440</v>
      </c>
      <c r="BF1" s="1859" t="s">
        <v>1441</v>
      </c>
      <c r="BG1" s="1874" t="s">
        <v>714</v>
      </c>
      <c r="BH1" s="1874" t="s">
        <v>715</v>
      </c>
      <c r="BI1" s="1874" t="s">
        <v>1442</v>
      </c>
      <c r="BJ1" s="1874" t="s">
        <v>716</v>
      </c>
      <c r="BK1" s="1874" t="s">
        <v>717</v>
      </c>
      <c r="BL1" s="1874" t="s">
        <v>718</v>
      </c>
      <c r="BM1" s="1874" t="s">
        <v>719</v>
      </c>
      <c r="BN1" s="1874" t="s">
        <v>720</v>
      </c>
      <c r="BO1" s="1877" t="s">
        <v>769</v>
      </c>
      <c r="BP1" s="47"/>
      <c r="BV1"/>
      <c r="CE1"/>
    </row>
    <row r="2" spans="1:83">
      <c r="A2" s="1856"/>
      <c r="B2" s="1856"/>
      <c r="C2" s="1844"/>
      <c r="D2" s="1860"/>
      <c r="E2" s="1860"/>
      <c r="F2" s="1860"/>
      <c r="G2" s="1860"/>
      <c r="H2" s="1860"/>
      <c r="I2" s="1860"/>
      <c r="J2" s="1860"/>
      <c r="K2" s="1860"/>
      <c r="L2" s="1860"/>
      <c r="M2" s="1860"/>
      <c r="N2" s="1860"/>
      <c r="O2" s="1860"/>
      <c r="P2" s="1860"/>
      <c r="Q2" s="1860"/>
      <c r="R2" s="1860"/>
      <c r="S2" s="1860"/>
      <c r="T2" s="1860"/>
      <c r="U2" s="1860"/>
      <c r="V2" s="1860"/>
      <c r="W2" s="1860"/>
      <c r="X2" s="1875"/>
      <c r="Y2" s="1875"/>
      <c r="Z2" s="1875"/>
      <c r="AA2" s="1875"/>
      <c r="AB2" s="1875"/>
      <c r="AC2" s="1875"/>
      <c r="AD2" s="1875"/>
      <c r="AE2" s="1875"/>
      <c r="AF2" s="1882"/>
      <c r="AG2" s="1882"/>
      <c r="AH2" s="1882"/>
      <c r="AI2" s="1882"/>
      <c r="AJ2" s="1882"/>
      <c r="AK2" s="1882"/>
      <c r="AL2" s="1878"/>
      <c r="AM2" s="1860"/>
      <c r="AN2" s="1860"/>
      <c r="AO2" s="1860"/>
      <c r="AP2" s="1860"/>
      <c r="AQ2" s="1860"/>
      <c r="AR2" s="1860"/>
      <c r="AS2" s="1860"/>
      <c r="AT2" s="1860"/>
      <c r="AU2" s="1860"/>
      <c r="AV2" s="1860"/>
      <c r="AW2" s="1860"/>
      <c r="AX2" s="1860"/>
      <c r="AY2" s="1860"/>
      <c r="AZ2" s="1860"/>
      <c r="BA2" s="1860"/>
      <c r="BB2" s="1860"/>
      <c r="BC2" s="1860"/>
      <c r="BD2" s="1860"/>
      <c r="BE2" s="1860"/>
      <c r="BF2" s="1860"/>
      <c r="BG2" s="1875"/>
      <c r="BH2" s="1875"/>
      <c r="BI2" s="1875"/>
      <c r="BJ2" s="1875"/>
      <c r="BK2" s="1875"/>
      <c r="BL2" s="1875"/>
      <c r="BM2" s="1875"/>
      <c r="BN2" s="1875"/>
      <c r="BO2" s="1878"/>
      <c r="BP2" s="47"/>
      <c r="BV2"/>
      <c r="CE2"/>
    </row>
    <row r="3" spans="1:83" ht="24" customHeight="1">
      <c r="A3" s="1856"/>
      <c r="B3" s="1856"/>
      <c r="C3" s="1844"/>
      <c r="D3" s="1860"/>
      <c r="E3" s="1860"/>
      <c r="F3" s="1860"/>
      <c r="G3" s="1860"/>
      <c r="H3" s="1860"/>
      <c r="I3" s="1860"/>
      <c r="J3" s="1860"/>
      <c r="K3" s="1860"/>
      <c r="L3" s="1860"/>
      <c r="M3" s="1860"/>
      <c r="N3" s="1860"/>
      <c r="O3" s="1860"/>
      <c r="P3" s="1860"/>
      <c r="Q3" s="1860"/>
      <c r="R3" s="1860"/>
      <c r="S3" s="1860"/>
      <c r="T3" s="1860"/>
      <c r="U3" s="1860"/>
      <c r="V3" s="1860"/>
      <c r="W3" s="1860"/>
      <c r="X3" s="1875"/>
      <c r="Y3" s="1875"/>
      <c r="Z3" s="1875"/>
      <c r="AA3" s="1875"/>
      <c r="AB3" s="1875"/>
      <c r="AC3" s="1875"/>
      <c r="AD3" s="1875"/>
      <c r="AE3" s="1875"/>
      <c r="AF3" s="1882"/>
      <c r="AG3" s="1882"/>
      <c r="AH3" s="1882"/>
      <c r="AI3" s="1882"/>
      <c r="AJ3" s="1882"/>
      <c r="AK3" s="1882"/>
      <c r="AL3" s="1878"/>
      <c r="AM3" s="1860"/>
      <c r="AN3" s="1860"/>
      <c r="AO3" s="1860"/>
      <c r="AP3" s="1860"/>
      <c r="AQ3" s="1860"/>
      <c r="AR3" s="1860"/>
      <c r="AS3" s="1860"/>
      <c r="AT3" s="1860"/>
      <c r="AU3" s="1860"/>
      <c r="AV3" s="1860"/>
      <c r="AW3" s="1860"/>
      <c r="AX3" s="1860"/>
      <c r="AY3" s="1860"/>
      <c r="AZ3" s="1860"/>
      <c r="BA3" s="1860"/>
      <c r="BB3" s="1860"/>
      <c r="BC3" s="1860"/>
      <c r="BD3" s="1860"/>
      <c r="BE3" s="1860"/>
      <c r="BF3" s="1860"/>
      <c r="BG3" s="1875"/>
      <c r="BH3" s="1875"/>
      <c r="BI3" s="1875"/>
      <c r="BJ3" s="1875"/>
      <c r="BK3" s="1875"/>
      <c r="BL3" s="1875"/>
      <c r="BM3" s="1875"/>
      <c r="BN3" s="1875"/>
      <c r="BO3" s="1878"/>
      <c r="BP3" s="745"/>
      <c r="BV3"/>
      <c r="CE3"/>
    </row>
    <row r="4" spans="1:83" ht="109.5" customHeight="1">
      <c r="A4" s="1857"/>
      <c r="B4" s="1857"/>
      <c r="C4" s="1844"/>
      <c r="D4" s="1861"/>
      <c r="E4" s="1861"/>
      <c r="F4" s="1861"/>
      <c r="G4" s="1861"/>
      <c r="H4" s="1861"/>
      <c r="I4" s="1861"/>
      <c r="J4" s="1861"/>
      <c r="K4" s="1861"/>
      <c r="L4" s="1861"/>
      <c r="M4" s="1861"/>
      <c r="N4" s="1861"/>
      <c r="O4" s="1861"/>
      <c r="P4" s="1861"/>
      <c r="Q4" s="1861"/>
      <c r="R4" s="1861"/>
      <c r="S4" s="1861"/>
      <c r="T4" s="1861"/>
      <c r="U4" s="1861"/>
      <c r="V4" s="1861"/>
      <c r="W4" s="1861"/>
      <c r="X4" s="1876"/>
      <c r="Y4" s="1876"/>
      <c r="Z4" s="1876"/>
      <c r="AA4" s="1876"/>
      <c r="AB4" s="1876"/>
      <c r="AC4" s="1876"/>
      <c r="AD4" s="1876"/>
      <c r="AE4" s="1876"/>
      <c r="AF4" s="1883"/>
      <c r="AG4" s="1883"/>
      <c r="AH4" s="1883"/>
      <c r="AI4" s="1883"/>
      <c r="AJ4" s="1883"/>
      <c r="AK4" s="1883"/>
      <c r="AL4" s="1879"/>
      <c r="AM4" s="1861"/>
      <c r="AN4" s="1861"/>
      <c r="AO4" s="1861"/>
      <c r="AP4" s="1861"/>
      <c r="AQ4" s="1861"/>
      <c r="AR4" s="1861"/>
      <c r="AS4" s="1861"/>
      <c r="AT4" s="1861"/>
      <c r="AU4" s="1861"/>
      <c r="AV4" s="1861"/>
      <c r="AW4" s="1861"/>
      <c r="AX4" s="1861"/>
      <c r="AY4" s="1861"/>
      <c r="AZ4" s="1861"/>
      <c r="BA4" s="1861"/>
      <c r="BB4" s="1861"/>
      <c r="BC4" s="1861"/>
      <c r="BD4" s="1861"/>
      <c r="BE4" s="1861"/>
      <c r="BF4" s="1861"/>
      <c r="BG4" s="1876"/>
      <c r="BH4" s="1876"/>
      <c r="BI4" s="1876"/>
      <c r="BJ4" s="1876"/>
      <c r="BK4" s="1876"/>
      <c r="BL4" s="1876"/>
      <c r="BM4" s="1876"/>
      <c r="BN4" s="1876"/>
      <c r="BO4" s="1879"/>
      <c r="BP4" s="745"/>
      <c r="BV4"/>
      <c r="CE4"/>
    </row>
    <row r="5" spans="1:83" s="749" customFormat="1">
      <c r="A5" s="746"/>
      <c r="B5" s="747"/>
      <c r="C5" s="748">
        <v>1</v>
      </c>
      <c r="D5" s="748">
        <f t="shared" ref="D5:BP5" si="0">C5+1</f>
        <v>2</v>
      </c>
      <c r="E5" s="748">
        <f t="shared" si="0"/>
        <v>3</v>
      </c>
      <c r="F5" s="748">
        <f t="shared" si="0"/>
        <v>4</v>
      </c>
      <c r="G5" s="748">
        <f t="shared" si="0"/>
        <v>5</v>
      </c>
      <c r="H5" s="748">
        <f t="shared" si="0"/>
        <v>6</v>
      </c>
      <c r="I5" s="748">
        <f t="shared" ref="I5" si="1">H5+1</f>
        <v>7</v>
      </c>
      <c r="J5" s="748">
        <f t="shared" ref="J5" si="2">I5+1</f>
        <v>8</v>
      </c>
      <c r="K5" s="748">
        <f t="shared" ref="K5" si="3">J5+1</f>
        <v>9</v>
      </c>
      <c r="L5" s="748">
        <f t="shared" ref="L5" si="4">K5+1</f>
        <v>10</v>
      </c>
      <c r="M5" s="748">
        <f t="shared" ref="M5" si="5">L5+1</f>
        <v>11</v>
      </c>
      <c r="N5" s="748">
        <f t="shared" ref="N5" si="6">M5+1</f>
        <v>12</v>
      </c>
      <c r="O5" s="748">
        <f t="shared" ref="O5" si="7">N5+1</f>
        <v>13</v>
      </c>
      <c r="P5" s="748">
        <f t="shared" ref="P5" si="8">O5+1</f>
        <v>14</v>
      </c>
      <c r="Q5" s="748">
        <f t="shared" ref="Q5" si="9">P5+1</f>
        <v>15</v>
      </c>
      <c r="R5" s="748">
        <f t="shared" ref="R5" si="10">Q5+1</f>
        <v>16</v>
      </c>
      <c r="S5" s="748">
        <f t="shared" ref="S5" si="11">R5+1</f>
        <v>17</v>
      </c>
      <c r="T5" s="748">
        <f t="shared" ref="T5" si="12">S5+1</f>
        <v>18</v>
      </c>
      <c r="U5" s="748">
        <f t="shared" ref="U5" si="13">T5+1</f>
        <v>19</v>
      </c>
      <c r="V5" s="748">
        <f t="shared" ref="V5" si="14">U5+1</f>
        <v>20</v>
      </c>
      <c r="W5" s="748">
        <f t="shared" ref="W5" si="15">V5+1</f>
        <v>21</v>
      </c>
      <c r="X5" s="748">
        <f t="shared" ref="X5" si="16">W5+1</f>
        <v>22</v>
      </c>
      <c r="Y5" s="748">
        <f t="shared" ref="Y5" si="17">X5+1</f>
        <v>23</v>
      </c>
      <c r="Z5" s="748">
        <f t="shared" ref="Z5" si="18">Y5+1</f>
        <v>24</v>
      </c>
      <c r="AA5" s="748">
        <f t="shared" ref="AA5" si="19">Z5+1</f>
        <v>25</v>
      </c>
      <c r="AB5" s="748">
        <f t="shared" ref="AB5" si="20">AA5+1</f>
        <v>26</v>
      </c>
      <c r="AC5" s="748">
        <f t="shared" ref="AC5" si="21">AB5+1</f>
        <v>27</v>
      </c>
      <c r="AD5" s="748">
        <f t="shared" ref="AD5" si="22">AC5+1</f>
        <v>28</v>
      </c>
      <c r="AE5" s="748">
        <f t="shared" ref="AE5" si="23">AD5+1</f>
        <v>29</v>
      </c>
      <c r="AF5" s="748">
        <f t="shared" ref="AF5" si="24">AE5+1</f>
        <v>30</v>
      </c>
      <c r="AG5" s="748">
        <f t="shared" ref="AG5" si="25">AF5+1</f>
        <v>31</v>
      </c>
      <c r="AH5" s="748">
        <f t="shared" ref="AH5" si="26">AG5+1</f>
        <v>32</v>
      </c>
      <c r="AI5" s="748">
        <f t="shared" ref="AI5" si="27">AH5+1</f>
        <v>33</v>
      </c>
      <c r="AJ5" s="748">
        <f t="shared" ref="AJ5" si="28">AI5+1</f>
        <v>34</v>
      </c>
      <c r="AK5" s="748">
        <f t="shared" ref="AK5" si="29">AJ5+1</f>
        <v>35</v>
      </c>
      <c r="AL5" s="748">
        <f t="shared" ref="AL5" si="30">AK5+1</f>
        <v>36</v>
      </c>
      <c r="AM5" s="748">
        <f t="shared" ref="AM5" si="31">AL5+1</f>
        <v>37</v>
      </c>
      <c r="AN5" s="748">
        <f t="shared" ref="AN5" si="32">AM5+1</f>
        <v>38</v>
      </c>
      <c r="AO5" s="748">
        <f t="shared" ref="AO5" si="33">AN5+1</f>
        <v>39</v>
      </c>
      <c r="AP5" s="748">
        <f t="shared" ref="AP5" si="34">AO5+1</f>
        <v>40</v>
      </c>
      <c r="AQ5" s="748">
        <f t="shared" ref="AQ5" si="35">AP5+1</f>
        <v>41</v>
      </c>
      <c r="AR5" s="748">
        <f t="shared" ref="AR5" si="36">AQ5+1</f>
        <v>42</v>
      </c>
      <c r="AS5" s="748">
        <f t="shared" ref="AS5" si="37">AR5+1</f>
        <v>43</v>
      </c>
      <c r="AT5" s="748">
        <f t="shared" ref="AT5" si="38">AS5+1</f>
        <v>44</v>
      </c>
      <c r="AU5" s="748">
        <f t="shared" ref="AU5" si="39">AT5+1</f>
        <v>45</v>
      </c>
      <c r="AV5" s="748">
        <f t="shared" ref="AV5" si="40">AU5+1</f>
        <v>46</v>
      </c>
      <c r="AW5" s="748">
        <f t="shared" ref="AW5" si="41">AV5+1</f>
        <v>47</v>
      </c>
      <c r="AX5" s="748">
        <f t="shared" ref="AX5" si="42">AW5+1</f>
        <v>48</v>
      </c>
      <c r="AY5" s="748">
        <f t="shared" ref="AY5" si="43">AX5+1</f>
        <v>49</v>
      </c>
      <c r="AZ5" s="748">
        <f t="shared" ref="AZ5" si="44">AY5+1</f>
        <v>50</v>
      </c>
      <c r="BA5" s="748">
        <f t="shared" ref="BA5" si="45">AZ5+1</f>
        <v>51</v>
      </c>
      <c r="BB5" s="748">
        <f t="shared" ref="BB5" si="46">BA5+1</f>
        <v>52</v>
      </c>
      <c r="BC5" s="748">
        <f t="shared" ref="BC5" si="47">BB5+1</f>
        <v>53</v>
      </c>
      <c r="BD5" s="748">
        <f t="shared" ref="BD5" si="48">BC5+1</f>
        <v>54</v>
      </c>
      <c r="BE5" s="748">
        <f t="shared" ref="BE5" si="49">BD5+1</f>
        <v>55</v>
      </c>
      <c r="BF5" s="748">
        <f t="shared" ref="BF5" si="50">BE5+1</f>
        <v>56</v>
      </c>
      <c r="BG5" s="748">
        <f t="shared" ref="BG5" si="51">BF5+1</f>
        <v>57</v>
      </c>
      <c r="BH5" s="748">
        <f t="shared" ref="BH5" si="52">BG5+1</f>
        <v>58</v>
      </c>
      <c r="BI5" s="748">
        <f t="shared" ref="BI5" si="53">BH5+1</f>
        <v>59</v>
      </c>
      <c r="BJ5" s="748">
        <f t="shared" ref="BJ5" si="54">BI5+1</f>
        <v>60</v>
      </c>
      <c r="BK5" s="748">
        <f t="shared" ref="BK5" si="55">BJ5+1</f>
        <v>61</v>
      </c>
      <c r="BL5" s="748">
        <f t="shared" ref="BL5" si="56">BK5+1</f>
        <v>62</v>
      </c>
      <c r="BM5" s="748">
        <f t="shared" ref="BM5" si="57">BL5+1</f>
        <v>63</v>
      </c>
      <c r="BN5" s="748">
        <f t="shared" ref="BN5" si="58">BM5+1</f>
        <v>64</v>
      </c>
      <c r="BO5" s="748">
        <f t="shared" ref="BO5" si="59">BN5+1</f>
        <v>65</v>
      </c>
      <c r="BP5" s="748">
        <f t="shared" si="0"/>
        <v>66</v>
      </c>
    </row>
    <row r="6" spans="1:83">
      <c r="A6" s="99">
        <v>1</v>
      </c>
      <c r="B6" s="301" t="s">
        <v>95</v>
      </c>
      <c r="C6" s="310">
        <f>'Table 2_State Distrib and Adjs'!AI7</f>
        <v>4253014</v>
      </c>
      <c r="D6" s="361"/>
      <c r="E6" s="361"/>
      <c r="F6" s="361">
        <f>-'Table 5C1A-Madison Prep'!V7</f>
        <v>0</v>
      </c>
      <c r="G6" s="361">
        <f>-'Table 5C1B-DArbonne'!T7</f>
        <v>0</v>
      </c>
      <c r="H6" s="361">
        <f>-'Table 5C1C-Intl_VIBE'!T7</f>
        <v>0</v>
      </c>
      <c r="I6" s="361">
        <f>-'Table 5C1D-NOMMA'!T7</f>
        <v>0</v>
      </c>
      <c r="J6" s="361"/>
      <c r="K6" s="361">
        <f>-'Table 5C1E-LFNO'!V7</f>
        <v>0</v>
      </c>
      <c r="L6" s="361">
        <f>-'Table 5C1F-Lake Charles Charter'!T7</f>
        <v>0</v>
      </c>
      <c r="M6" s="361">
        <f>-'Table 5C1G-JS Clark Academy'!T7</f>
        <v>0</v>
      </c>
      <c r="N6" s="361">
        <f>-'Table 5C1H-Southwest LA Charter'!T7</f>
        <v>0</v>
      </c>
      <c r="O6" s="361">
        <f>-'Table 5C1J-LA Key Academy'!T7</f>
        <v>0</v>
      </c>
      <c r="P6" s="361">
        <f>-'Table 5C1K-Jefferson Chamber'!T7</f>
        <v>0</v>
      </c>
      <c r="Q6" s="361">
        <f>-'Table 5C1L-Tallulah Charter'!T7</f>
        <v>0</v>
      </c>
      <c r="R6" s="361">
        <f>-'Table 5C1M-Northshore Charter'!T7</f>
        <v>0</v>
      </c>
      <c r="S6" s="361">
        <f>-'Table 5C1N-EBR Charter'!T7</f>
        <v>0</v>
      </c>
      <c r="T6" s="361">
        <f>-'Table 5C1O-Lake Charles HS'!T7</f>
        <v>0</v>
      </c>
      <c r="U6" s="361">
        <f>-'Table 5C1P-Delta Charter'!T7</f>
        <v>0</v>
      </c>
      <c r="V6" s="361">
        <f>-'Table 5C2 - LA Virtual Admy'!U4</f>
        <v>-2940</v>
      </c>
      <c r="W6" s="361">
        <f>-'Table 5C3 - LA Connections EBR'!U4</f>
        <v>-3020</v>
      </c>
      <c r="X6" s="361">
        <f>-'Table 5D1 - New Vision'!S7</f>
        <v>0</v>
      </c>
      <c r="Y6" s="361">
        <f>-'Table 5D2 - Glencoe'!S7</f>
        <v>0</v>
      </c>
      <c r="Z6" s="361">
        <f>-'Table 5D3 - International'!U7</f>
        <v>0</v>
      </c>
      <c r="AA6" s="361">
        <f>-'Table 5D4 - Avoyelles'!S7</f>
        <v>0</v>
      </c>
      <c r="AB6" s="361">
        <f>-'Table 5D5 - Delhi'!S7</f>
        <v>0</v>
      </c>
      <c r="AC6" s="361">
        <f>-'Table 5D6 - Milestone'!S7</f>
        <v>0</v>
      </c>
      <c r="AD6" s="361">
        <f>-'Table 5D7 - Max'!S7</f>
        <v>0</v>
      </c>
      <c r="AE6" s="361">
        <f>-'Table 5D8 - Belle Chasse'!W7</f>
        <v>0</v>
      </c>
      <c r="AF6" s="361">
        <f>-'Table 5E_OJJ'!S7</f>
        <v>-409</v>
      </c>
      <c r="AG6" s="361">
        <f>-'Table 5A2 LSMSA'!N7</f>
        <v>-893</v>
      </c>
      <c r="AH6" s="361">
        <f>-'Table 5A3 NOCCA'!L7</f>
        <v>0</v>
      </c>
      <c r="AI6" s="361">
        <f>-'Table 5A4_LSDVI'!L7</f>
        <v>-357</v>
      </c>
      <c r="AJ6" s="361">
        <f>-'Table 5A5_SSD'!L7</f>
        <v>-893</v>
      </c>
      <c r="AK6" s="361"/>
      <c r="AL6" s="750">
        <f>SUM(C6:AK6)</f>
        <v>4244502</v>
      </c>
      <c r="AM6" s="361"/>
      <c r="AN6" s="361"/>
      <c r="AO6" s="361"/>
      <c r="AP6" s="361">
        <f>'Table 5C1A-Madison Prep'!R7</f>
        <v>0</v>
      </c>
      <c r="AQ6" s="361">
        <f>'Table 5C1B-DArbonne'!P7</f>
        <v>0</v>
      </c>
      <c r="AR6" s="361">
        <f>'Table 5C1C-Intl_VIBE'!P7</f>
        <v>0</v>
      </c>
      <c r="AS6" s="361">
        <f>'Table 5C1D-NOMMA'!P7</f>
        <v>0</v>
      </c>
      <c r="AT6" s="361">
        <f>'Table 5C1E-LFNO'!R7</f>
        <v>0</v>
      </c>
      <c r="AU6" s="363">
        <f>'Table 5C1F-Lake Charles Charter'!P7</f>
        <v>0</v>
      </c>
      <c r="AV6" s="361">
        <f>'Table 5C1G-JS Clark Academy'!P7</f>
        <v>0</v>
      </c>
      <c r="AW6" s="361">
        <f>'Table 5C1H-Southwest LA Charter'!P7</f>
        <v>0</v>
      </c>
      <c r="AX6" s="361">
        <f>'Table 5C1J-LA Key Academy'!P7</f>
        <v>0</v>
      </c>
      <c r="AY6" s="361">
        <f>'Table 5C1K-Jefferson Chamber'!P7</f>
        <v>0</v>
      </c>
      <c r="AZ6" s="361">
        <f>'Table 5C1L-Tallulah Charter'!P7</f>
        <v>0</v>
      </c>
      <c r="BA6" s="361">
        <f>'Table 5C1M-Northshore Charter'!P7</f>
        <v>0</v>
      </c>
      <c r="BB6" s="361">
        <f>'Table 5C1N-EBR Charter'!P7</f>
        <v>0</v>
      </c>
      <c r="BC6" s="361">
        <f>'Table 5C1O-Lake Charles HS'!P7</f>
        <v>0</v>
      </c>
      <c r="BD6" s="361">
        <f>'Table 5C1P-Delta Charter'!P7</f>
        <v>0</v>
      </c>
      <c r="BE6" s="361">
        <f>'Table 5C2 - LA Virtual Admy'!Q4</f>
        <v>-67</v>
      </c>
      <c r="BF6" s="361">
        <f>'Table 5C3 - LA Connections EBR'!Q4</f>
        <v>-86</v>
      </c>
      <c r="BG6" s="361">
        <f>'Table 5D1 - New Vision'!O7</f>
        <v>0</v>
      </c>
      <c r="BH6" s="361">
        <f>'Table 5D2 - Glencoe'!O7</f>
        <v>0</v>
      </c>
      <c r="BI6" s="361">
        <f>'Table 5D3 - International'!Q7</f>
        <v>0</v>
      </c>
      <c r="BJ6" s="361">
        <f>'Table 5D4 - Avoyelles'!O7</f>
        <v>0</v>
      </c>
      <c r="BK6" s="361">
        <f>'Table 5D5 - Delhi'!O7</f>
        <v>0</v>
      </c>
      <c r="BL6" s="361">
        <f>'Table 5D6 - Milestone'!O7</f>
        <v>0</v>
      </c>
      <c r="BM6" s="361">
        <f>'Table 5D7 - Max'!O7</f>
        <v>0</v>
      </c>
      <c r="BN6" s="361">
        <f>'Table 5D8 - Belle Chasse'!S7</f>
        <v>0</v>
      </c>
      <c r="BO6" s="750">
        <f>SUM(AL6:BN6)</f>
        <v>4244349</v>
      </c>
      <c r="BP6" s="47"/>
      <c r="BV6"/>
      <c r="CE6"/>
    </row>
    <row r="7" spans="1:83">
      <c r="A7" s="99">
        <v>2</v>
      </c>
      <c r="B7" s="301" t="s">
        <v>96</v>
      </c>
      <c r="C7" s="310">
        <f>'Table 2_State Distrib and Adjs'!AI8</f>
        <v>2369494</v>
      </c>
      <c r="D7" s="361"/>
      <c r="E7" s="361"/>
      <c r="F7" s="361">
        <f>-'Table 5C1A-Madison Prep'!V8</f>
        <v>0</v>
      </c>
      <c r="G7" s="361">
        <f>-'Table 5C1B-DArbonne'!T8</f>
        <v>0</v>
      </c>
      <c r="H7" s="361">
        <f>-'Table 5C1C-Intl_VIBE'!T8</f>
        <v>0</v>
      </c>
      <c r="I7" s="361">
        <f>-'Table 5C1D-NOMMA'!T8</f>
        <v>0</v>
      </c>
      <c r="J7" s="361"/>
      <c r="K7" s="361">
        <f>-'Table 5C1E-LFNO'!V8</f>
        <v>0</v>
      </c>
      <c r="L7" s="361">
        <f>-'Table 5C1F-Lake Charles Charter'!T8</f>
        <v>0</v>
      </c>
      <c r="M7" s="361">
        <f>-'Table 5C1G-JS Clark Academy'!T8</f>
        <v>0</v>
      </c>
      <c r="N7" s="361">
        <f>-'Table 5C1H-Southwest LA Charter'!T8</f>
        <v>0</v>
      </c>
      <c r="O7" s="361">
        <f>-'Table 5C1J-LA Key Academy'!T8</f>
        <v>0</v>
      </c>
      <c r="P7" s="361">
        <f>-'Table 5C1K-Jefferson Chamber'!T8</f>
        <v>0</v>
      </c>
      <c r="Q7" s="361">
        <f>-'Table 5C1L-Tallulah Charter'!T8</f>
        <v>0</v>
      </c>
      <c r="R7" s="361">
        <f>-'Table 5C1M-Northshore Charter'!T8</f>
        <v>0</v>
      </c>
      <c r="S7" s="361">
        <f>-'Table 5C1N-EBR Charter'!T8</f>
        <v>0</v>
      </c>
      <c r="T7" s="361">
        <f>-'Table 5C1O-Lake Charles HS'!T8</f>
        <v>0</v>
      </c>
      <c r="U7" s="361">
        <f>-'Table 5C1P-Delta Charter'!T8</f>
        <v>0</v>
      </c>
      <c r="V7" s="361">
        <f>-'Table 5C2 - LA Virtual Admy'!U5</f>
        <v>-869</v>
      </c>
      <c r="W7" s="361">
        <f>-'Table 5C3 - LA Connections EBR'!U5</f>
        <v>-602</v>
      </c>
      <c r="X7" s="361">
        <f>-'Table 5D1 - New Vision'!S8</f>
        <v>0</v>
      </c>
      <c r="Y7" s="361">
        <f>-'Table 5D2 - Glencoe'!S8</f>
        <v>0</v>
      </c>
      <c r="Z7" s="361">
        <f>-'Table 5D3 - International'!U8</f>
        <v>0</v>
      </c>
      <c r="AA7" s="361">
        <f>-'Table 5D4 - Avoyelles'!S8</f>
        <v>0</v>
      </c>
      <c r="AB7" s="361">
        <f>-'Table 5D5 - Delhi'!S8</f>
        <v>0</v>
      </c>
      <c r="AC7" s="361">
        <f>-'Table 5D6 - Milestone'!S8</f>
        <v>0</v>
      </c>
      <c r="AD7" s="361">
        <f>-'Table 5D7 - Max'!S8</f>
        <v>0</v>
      </c>
      <c r="AE7" s="361">
        <f>-'Table 5D8 - Belle Chasse'!W8</f>
        <v>0</v>
      </c>
      <c r="AF7" s="361">
        <f>-'Table 5E_OJJ'!S8</f>
        <v>0</v>
      </c>
      <c r="AG7" s="361">
        <f>-'Table 5A2 LSMSA'!N8</f>
        <v>0</v>
      </c>
      <c r="AH7" s="361">
        <f>-'Table 5A3 NOCCA'!L8</f>
        <v>0</v>
      </c>
      <c r="AI7" s="361">
        <f>-'Table 5A4_LSDVI'!L8</f>
        <v>0</v>
      </c>
      <c r="AJ7" s="361">
        <f>-'Table 5A5_SSD'!L8</f>
        <v>0</v>
      </c>
      <c r="AK7" s="361"/>
      <c r="AL7" s="750">
        <f t="shared" ref="AL7:AL70" si="60">SUM(C7:AK7)</f>
        <v>2368023</v>
      </c>
      <c r="AM7" s="361"/>
      <c r="AN7" s="361"/>
      <c r="AO7" s="361"/>
      <c r="AP7" s="361">
        <f>'Table 5C1A-Madison Prep'!R8</f>
        <v>0</v>
      </c>
      <c r="AQ7" s="361">
        <f>'Table 5C1B-DArbonne'!P8</f>
        <v>0</v>
      </c>
      <c r="AR7" s="361">
        <f>'Table 5C1C-Intl_VIBE'!P8</f>
        <v>0</v>
      </c>
      <c r="AS7" s="361">
        <f>'Table 5C1D-NOMMA'!P8</f>
        <v>0</v>
      </c>
      <c r="AT7" s="361">
        <f>'Table 5C1E-LFNO'!R8</f>
        <v>0</v>
      </c>
      <c r="AU7" s="361">
        <f>'Table 5C1F-Lake Charles Charter'!P8</f>
        <v>0</v>
      </c>
      <c r="AV7" s="361">
        <f>'Table 5C1G-JS Clark Academy'!P8</f>
        <v>0</v>
      </c>
      <c r="AW7" s="361">
        <f>'Table 5C1H-Southwest LA Charter'!P8</f>
        <v>0</v>
      </c>
      <c r="AX7" s="361">
        <f>'Table 5C1J-LA Key Academy'!P8</f>
        <v>0</v>
      </c>
      <c r="AY7" s="361">
        <f>'Table 5C1K-Jefferson Chamber'!P8</f>
        <v>0</v>
      </c>
      <c r="AZ7" s="361">
        <f>'Table 5C1L-Tallulah Charter'!P8</f>
        <v>0</v>
      </c>
      <c r="BA7" s="361">
        <f>'Table 5C1M-Northshore Charter'!P8</f>
        <v>0</v>
      </c>
      <c r="BB7" s="361">
        <f>'Table 5C1N-EBR Charter'!P8</f>
        <v>0</v>
      </c>
      <c r="BC7" s="361">
        <f>'Table 5C1O-Lake Charles HS'!P8</f>
        <v>0</v>
      </c>
      <c r="BD7" s="361">
        <f>'Table 5C1P-Delta Charter'!P8</f>
        <v>0</v>
      </c>
      <c r="BE7" s="361">
        <f>'Table 5C2 - LA Virtual Admy'!Q5</f>
        <v>-23</v>
      </c>
      <c r="BF7" s="361">
        <f>'Table 5C3 - LA Connections EBR'!Q5</f>
        <v>-12</v>
      </c>
      <c r="BG7" s="361">
        <f>'Table 5D1 - New Vision'!O8</f>
        <v>0</v>
      </c>
      <c r="BH7" s="361">
        <f>'Table 5D2 - Glencoe'!O8</f>
        <v>0</v>
      </c>
      <c r="BI7" s="361">
        <f>'Table 5D3 - International'!Q8</f>
        <v>0</v>
      </c>
      <c r="BJ7" s="361">
        <f>'Table 5D4 - Avoyelles'!O8</f>
        <v>0</v>
      </c>
      <c r="BK7" s="361">
        <f>'Table 5D5 - Delhi'!O8</f>
        <v>0</v>
      </c>
      <c r="BL7" s="361">
        <f>'Table 5D6 - Milestone'!O8</f>
        <v>0</v>
      </c>
      <c r="BM7" s="361">
        <f>'Table 5D7 - Max'!O8</f>
        <v>0</v>
      </c>
      <c r="BN7" s="361">
        <f>'Table 5D8 - Belle Chasse'!S8</f>
        <v>0</v>
      </c>
      <c r="BO7" s="750">
        <f t="shared" ref="BO7:BO70" si="61">SUM(AL7:BN7)</f>
        <v>2367988</v>
      </c>
      <c r="BP7" s="47"/>
      <c r="BV7"/>
      <c r="CE7"/>
    </row>
    <row r="8" spans="1:83">
      <c r="A8" s="99">
        <v>3</v>
      </c>
      <c r="B8" s="301" t="s">
        <v>97</v>
      </c>
      <c r="C8" s="310">
        <f>'Table 2_State Distrib and Adjs'!AI9</f>
        <v>8181320</v>
      </c>
      <c r="D8" s="361"/>
      <c r="E8" s="361"/>
      <c r="F8" s="361">
        <f>-'Table 5C1A-Madison Prep'!V9</f>
        <v>0</v>
      </c>
      <c r="G8" s="361">
        <f>-'Table 5C1B-DArbonne'!T9</f>
        <v>0</v>
      </c>
      <c r="H8" s="361">
        <f>-'Table 5C1C-Intl_VIBE'!T9</f>
        <v>0</v>
      </c>
      <c r="I8" s="361">
        <f>-'Table 5C1D-NOMMA'!T9</f>
        <v>0</v>
      </c>
      <c r="J8" s="361"/>
      <c r="K8" s="361">
        <f>-'Table 5C1E-LFNO'!V9</f>
        <v>0</v>
      </c>
      <c r="L8" s="361">
        <f>-'Table 5C1F-Lake Charles Charter'!T9</f>
        <v>0</v>
      </c>
      <c r="M8" s="361">
        <f>-'Table 5C1G-JS Clark Academy'!T9</f>
        <v>0</v>
      </c>
      <c r="N8" s="361">
        <f>-'Table 5C1H-Southwest LA Charter'!T9</f>
        <v>0</v>
      </c>
      <c r="O8" s="361">
        <f>-'Table 5C1J-LA Key Academy'!T9</f>
        <v>-8503.6542500000014</v>
      </c>
      <c r="P8" s="361">
        <f>-'Table 5C1K-Jefferson Chamber'!T9</f>
        <v>0</v>
      </c>
      <c r="Q8" s="361">
        <f>-'Table 5C1L-Tallulah Charter'!T9</f>
        <v>0</v>
      </c>
      <c r="R8" s="361">
        <f>-'Table 5C1M-Northshore Charter'!T9</f>
        <v>0</v>
      </c>
      <c r="S8" s="361">
        <f>-'Table 5C1N-EBR Charter'!T9</f>
        <v>0</v>
      </c>
      <c r="T8" s="361">
        <f>-'Table 5C1O-Lake Charles HS'!T9</f>
        <v>0</v>
      </c>
      <c r="U8" s="361">
        <f>-'Table 5C1P-Delta Charter'!T9</f>
        <v>0</v>
      </c>
      <c r="V8" s="361">
        <f>-'Table 5C2 - LA Virtual Admy'!U6</f>
        <v>-15378</v>
      </c>
      <c r="W8" s="361">
        <f>-'Table 5C3 - LA Connections EBR'!U6</f>
        <v>-10031</v>
      </c>
      <c r="X8" s="361">
        <f>-'Table 5D1 - New Vision'!S9</f>
        <v>0</v>
      </c>
      <c r="Y8" s="361">
        <f>-'Table 5D2 - Glencoe'!S9</f>
        <v>0</v>
      </c>
      <c r="Z8" s="361">
        <f>-'Table 5D3 - International'!U9</f>
        <v>0</v>
      </c>
      <c r="AA8" s="361">
        <f>-'Table 5D4 - Avoyelles'!S9</f>
        <v>0</v>
      </c>
      <c r="AB8" s="361">
        <f>-'Table 5D5 - Delhi'!S9</f>
        <v>0</v>
      </c>
      <c r="AC8" s="361">
        <f>-'Table 5D6 - Milestone'!S9</f>
        <v>0</v>
      </c>
      <c r="AD8" s="361">
        <f>-'Table 5D7 - Max'!S9</f>
        <v>-413</v>
      </c>
      <c r="AE8" s="361">
        <f>-'Table 5D8 - Belle Chasse'!W9</f>
        <v>0</v>
      </c>
      <c r="AF8" s="361">
        <f>-'Table 5E_OJJ'!S9</f>
        <v>-574</v>
      </c>
      <c r="AG8" s="361">
        <f>-'Table 5A2 LSMSA'!N9</f>
        <v>-5171</v>
      </c>
      <c r="AH8" s="361">
        <f>-'Table 5A3 NOCCA'!L9</f>
        <v>-287</v>
      </c>
      <c r="AI8" s="361">
        <f>-'Table 5A4_LSDVI'!L9</f>
        <v>-2011</v>
      </c>
      <c r="AJ8" s="361">
        <f>-'Table 5A5_SSD'!L9</f>
        <v>-2298</v>
      </c>
      <c r="AK8" s="361"/>
      <c r="AL8" s="750">
        <f t="shared" si="60"/>
        <v>8136653.3457500003</v>
      </c>
      <c r="AM8" s="361"/>
      <c r="AN8" s="361"/>
      <c r="AO8" s="361"/>
      <c r="AP8" s="361">
        <f>'Table 5C1A-Madison Prep'!R9</f>
        <v>0</v>
      </c>
      <c r="AQ8" s="361">
        <f>'Table 5C1B-DArbonne'!P9</f>
        <v>0</v>
      </c>
      <c r="AR8" s="361">
        <f>'Table 5C1C-Intl_VIBE'!P9</f>
        <v>0</v>
      </c>
      <c r="AS8" s="361">
        <f>'Table 5C1D-NOMMA'!P9</f>
        <v>0</v>
      </c>
      <c r="AT8" s="361">
        <f>'Table 5C1E-LFNO'!R9</f>
        <v>0</v>
      </c>
      <c r="AU8" s="361">
        <f>'Table 5C1F-Lake Charles Charter'!P9</f>
        <v>0</v>
      </c>
      <c r="AV8" s="361">
        <f>'Table 5C1G-JS Clark Academy'!P9</f>
        <v>0</v>
      </c>
      <c r="AW8" s="361">
        <f>'Table 5C1H-Southwest LA Charter'!P9</f>
        <v>0</v>
      </c>
      <c r="AX8" s="361">
        <f>'Table 5C1J-LA Key Academy'!P9</f>
        <v>-255.74900000000002</v>
      </c>
      <c r="AY8" s="361">
        <f>'Table 5C1K-Jefferson Chamber'!P9</f>
        <v>0</v>
      </c>
      <c r="AZ8" s="361">
        <f>'Table 5C1L-Tallulah Charter'!P9</f>
        <v>0</v>
      </c>
      <c r="BA8" s="361">
        <f>'Table 5C1M-Northshore Charter'!P9</f>
        <v>0</v>
      </c>
      <c r="BB8" s="361">
        <f>'Table 5C1N-EBR Charter'!P9</f>
        <v>0</v>
      </c>
      <c r="BC8" s="361">
        <f>'Table 5C1O-Lake Charles HS'!P9</f>
        <v>0</v>
      </c>
      <c r="BD8" s="361">
        <f>'Table 5C1P-Delta Charter'!P9</f>
        <v>0</v>
      </c>
      <c r="BE8" s="361">
        <f>'Table 5C2 - LA Virtual Admy'!Q6</f>
        <v>-447</v>
      </c>
      <c r="BF8" s="361">
        <f>'Table 5C3 - LA Connections EBR'!Q6</f>
        <v>-302</v>
      </c>
      <c r="BG8" s="361">
        <f>'Table 5D1 - New Vision'!O9</f>
        <v>0</v>
      </c>
      <c r="BH8" s="361">
        <f>'Table 5D2 - Glencoe'!O9</f>
        <v>0</v>
      </c>
      <c r="BI8" s="361">
        <f>'Table 5D3 - International'!Q9</f>
        <v>0</v>
      </c>
      <c r="BJ8" s="361">
        <f>'Table 5D4 - Avoyelles'!O9</f>
        <v>0</v>
      </c>
      <c r="BK8" s="361">
        <f>'Table 5D5 - Delhi'!O9</f>
        <v>0</v>
      </c>
      <c r="BL8" s="361">
        <f>'Table 5D6 - Milestone'!O9</f>
        <v>0</v>
      </c>
      <c r="BM8" s="361">
        <f>'Table 5D7 - Max'!O9</f>
        <v>-12.415000000000001</v>
      </c>
      <c r="BN8" s="361">
        <f>'Table 5D8 - Belle Chasse'!S9</f>
        <v>0</v>
      </c>
      <c r="BO8" s="750">
        <f t="shared" si="61"/>
        <v>8135636.1817500005</v>
      </c>
      <c r="BP8" s="47"/>
      <c r="BV8"/>
      <c r="CE8"/>
    </row>
    <row r="9" spans="1:83">
      <c r="A9" s="99">
        <v>4</v>
      </c>
      <c r="B9" s="301" t="s">
        <v>98</v>
      </c>
      <c r="C9" s="310">
        <f>'Table 2_State Distrib and Adjs'!AI10</f>
        <v>1923764</v>
      </c>
      <c r="D9" s="361"/>
      <c r="E9" s="361"/>
      <c r="F9" s="361">
        <f>-'Table 5C1A-Madison Prep'!V10</f>
        <v>0</v>
      </c>
      <c r="G9" s="361">
        <f>-'Table 5C1B-DArbonne'!T10</f>
        <v>0</v>
      </c>
      <c r="H9" s="361">
        <f>-'Table 5C1C-Intl_VIBE'!T10</f>
        <v>0</v>
      </c>
      <c r="I9" s="361">
        <f>-'Table 5C1D-NOMMA'!T10</f>
        <v>0</v>
      </c>
      <c r="J9" s="361"/>
      <c r="K9" s="361">
        <f>-'Table 5C1E-LFNO'!V10</f>
        <v>0</v>
      </c>
      <c r="L9" s="361">
        <f>-'Table 5C1F-Lake Charles Charter'!T10</f>
        <v>0</v>
      </c>
      <c r="M9" s="361">
        <f>-'Table 5C1G-JS Clark Academy'!T10</f>
        <v>0</v>
      </c>
      <c r="N9" s="361">
        <f>-'Table 5C1H-Southwest LA Charter'!T10</f>
        <v>0</v>
      </c>
      <c r="O9" s="361">
        <f>-'Table 5C1J-LA Key Academy'!T10</f>
        <v>0</v>
      </c>
      <c r="P9" s="361">
        <f>-'Table 5C1K-Jefferson Chamber'!T10</f>
        <v>0</v>
      </c>
      <c r="Q9" s="361">
        <f>-'Table 5C1L-Tallulah Charter'!T10</f>
        <v>0</v>
      </c>
      <c r="R9" s="361">
        <f>-'Table 5C1M-Northshore Charter'!T10</f>
        <v>0</v>
      </c>
      <c r="S9" s="361">
        <f>-'Table 5C1N-EBR Charter'!T10</f>
        <v>0</v>
      </c>
      <c r="T9" s="361">
        <f>-'Table 5C1O-Lake Charles HS'!T10</f>
        <v>0</v>
      </c>
      <c r="U9" s="361">
        <f>-'Table 5C1P-Delta Charter'!T10</f>
        <v>0</v>
      </c>
      <c r="V9" s="361">
        <f>-'Table 5C2 - LA Virtual Admy'!U7</f>
        <v>185</v>
      </c>
      <c r="W9" s="361">
        <f>-'Table 5C3 - LA Connections EBR'!U7</f>
        <v>-1347</v>
      </c>
      <c r="X9" s="361">
        <f>-'Table 5D1 - New Vision'!S10</f>
        <v>0</v>
      </c>
      <c r="Y9" s="361">
        <f>-'Table 5D2 - Glencoe'!S10</f>
        <v>0</v>
      </c>
      <c r="Z9" s="361">
        <f>-'Table 5D3 - International'!U10</f>
        <v>0</v>
      </c>
      <c r="AA9" s="361">
        <f>-'Table 5D4 - Avoyelles'!S10</f>
        <v>0</v>
      </c>
      <c r="AB9" s="361">
        <f>-'Table 5D5 - Delhi'!S10</f>
        <v>0</v>
      </c>
      <c r="AC9" s="361">
        <f>-'Table 5D6 - Milestone'!S10</f>
        <v>0</v>
      </c>
      <c r="AD9" s="361">
        <f>-'Table 5D7 - Max'!S10</f>
        <v>-573</v>
      </c>
      <c r="AE9" s="361">
        <f>-'Table 5D8 - Belle Chasse'!W10</f>
        <v>0</v>
      </c>
      <c r="AF9" s="361">
        <f>-'Table 5E_OJJ'!S10</f>
        <v>-227</v>
      </c>
      <c r="AG9" s="361">
        <f>-'Table 5A2 LSMSA'!N10</f>
        <v>0</v>
      </c>
      <c r="AH9" s="361">
        <f>-'Table 5A3 NOCCA'!L10</f>
        <v>0</v>
      </c>
      <c r="AI9" s="361">
        <f>-'Table 5A4_LSDVI'!L10</f>
        <v>-264</v>
      </c>
      <c r="AJ9" s="361">
        <f>-'Table 5A5_SSD'!L10</f>
        <v>0</v>
      </c>
      <c r="AK9" s="361"/>
      <c r="AL9" s="750">
        <f t="shared" si="60"/>
        <v>1921538</v>
      </c>
      <c r="AM9" s="361"/>
      <c r="AN9" s="361"/>
      <c r="AO9" s="361"/>
      <c r="AP9" s="361">
        <f>'Table 5C1A-Madison Prep'!R10</f>
        <v>0</v>
      </c>
      <c r="AQ9" s="361">
        <f>'Table 5C1B-DArbonne'!P10</f>
        <v>0</v>
      </c>
      <c r="AR9" s="361">
        <f>'Table 5C1C-Intl_VIBE'!P10</f>
        <v>0</v>
      </c>
      <c r="AS9" s="361">
        <f>'Table 5C1D-NOMMA'!P10</f>
        <v>0</v>
      </c>
      <c r="AT9" s="361">
        <f>'Table 5C1E-LFNO'!R10</f>
        <v>0</v>
      </c>
      <c r="AU9" s="361">
        <f>'Table 5C1F-Lake Charles Charter'!P10</f>
        <v>0</v>
      </c>
      <c r="AV9" s="361">
        <f>'Table 5C1G-JS Clark Academy'!P10</f>
        <v>0</v>
      </c>
      <c r="AW9" s="361">
        <f>'Table 5C1H-Southwest LA Charter'!P10</f>
        <v>0</v>
      </c>
      <c r="AX9" s="361">
        <f>'Table 5C1J-LA Key Academy'!P10</f>
        <v>0</v>
      </c>
      <c r="AY9" s="361">
        <f>'Table 5C1K-Jefferson Chamber'!P10</f>
        <v>0</v>
      </c>
      <c r="AZ9" s="361">
        <f>'Table 5C1L-Tallulah Charter'!P10</f>
        <v>0</v>
      </c>
      <c r="BA9" s="361">
        <f>'Table 5C1M-Northshore Charter'!P10</f>
        <v>0</v>
      </c>
      <c r="BB9" s="361">
        <f>'Table 5C1N-EBR Charter'!P10</f>
        <v>0</v>
      </c>
      <c r="BC9" s="361">
        <f>'Table 5C1O-Lake Charles HS'!P10</f>
        <v>0</v>
      </c>
      <c r="BD9" s="361">
        <f>'Table 5C1P-Delta Charter'!P10</f>
        <v>0</v>
      </c>
      <c r="BE9" s="361">
        <f>'Table 5C2 - LA Virtual Admy'!Q7</f>
        <v>-23</v>
      </c>
      <c r="BF9" s="361">
        <f>'Table 5C3 - LA Connections EBR'!Q7</f>
        <v>-23</v>
      </c>
      <c r="BG9" s="361">
        <f>'Table 5D1 - New Vision'!O10</f>
        <v>0</v>
      </c>
      <c r="BH9" s="361">
        <f>'Table 5D2 - Glencoe'!O10</f>
        <v>0</v>
      </c>
      <c r="BI9" s="361">
        <f>'Table 5D3 - International'!Q10</f>
        <v>0</v>
      </c>
      <c r="BJ9" s="361">
        <f>'Table 5D4 - Avoyelles'!O10</f>
        <v>0</v>
      </c>
      <c r="BK9" s="361">
        <f>'Table 5D5 - Delhi'!O10</f>
        <v>0</v>
      </c>
      <c r="BL9" s="361">
        <f>'Table 5D6 - Milestone'!O10</f>
        <v>0</v>
      </c>
      <c r="BM9" s="361">
        <f>'Table 5D7 - Max'!O10</f>
        <v>-17.225000000000001</v>
      </c>
      <c r="BN9" s="361">
        <f>'Table 5D8 - Belle Chasse'!S10</f>
        <v>0</v>
      </c>
      <c r="BO9" s="750">
        <f t="shared" si="61"/>
        <v>1921474.7749999999</v>
      </c>
      <c r="BP9" s="47"/>
      <c r="BV9"/>
      <c r="CE9"/>
    </row>
    <row r="10" spans="1:83">
      <c r="A10" s="100">
        <v>5</v>
      </c>
      <c r="B10" s="302" t="s">
        <v>99</v>
      </c>
      <c r="C10" s="319">
        <f>'Table 2_State Distrib and Adjs'!AI11</f>
        <v>2591017</v>
      </c>
      <c r="D10" s="362"/>
      <c r="E10" s="362"/>
      <c r="F10" s="362">
        <f>-'Table 5C1A-Madison Prep'!V11</f>
        <v>0</v>
      </c>
      <c r="G10" s="362">
        <f>-'Table 5C1B-DArbonne'!T11</f>
        <v>0</v>
      </c>
      <c r="H10" s="362">
        <f>-'Table 5C1C-Intl_VIBE'!T11</f>
        <v>0</v>
      </c>
      <c r="I10" s="362">
        <f>-'Table 5C1D-NOMMA'!T11</f>
        <v>0</v>
      </c>
      <c r="J10" s="362"/>
      <c r="K10" s="362">
        <f>-'Table 5C1E-LFNO'!V11</f>
        <v>0</v>
      </c>
      <c r="L10" s="362">
        <f>-'Table 5C1F-Lake Charles Charter'!T11</f>
        <v>0</v>
      </c>
      <c r="M10" s="362">
        <f>-'Table 5C1G-JS Clark Academy'!T11</f>
        <v>0</v>
      </c>
      <c r="N10" s="362">
        <f>-'Table 5C1H-Southwest LA Charter'!T11</f>
        <v>0</v>
      </c>
      <c r="O10" s="362">
        <f>-'Table 5C1J-LA Key Academy'!T11</f>
        <v>0</v>
      </c>
      <c r="P10" s="362">
        <f>-'Table 5C1K-Jefferson Chamber'!T11</f>
        <v>0</v>
      </c>
      <c r="Q10" s="362">
        <f>-'Table 5C1L-Tallulah Charter'!T11</f>
        <v>0</v>
      </c>
      <c r="R10" s="362">
        <f>-'Table 5C1M-Northshore Charter'!T11</f>
        <v>0</v>
      </c>
      <c r="S10" s="362">
        <f>-'Table 5C1N-EBR Charter'!T11</f>
        <v>0</v>
      </c>
      <c r="T10" s="362">
        <f>-'Table 5C1O-Lake Charles HS'!T11</f>
        <v>0</v>
      </c>
      <c r="U10" s="362">
        <f>-'Table 5C1P-Delta Charter'!T11</f>
        <v>0</v>
      </c>
      <c r="V10" s="362">
        <f>-'Table 5C2 - LA Virtual Admy'!U8</f>
        <v>-2266</v>
      </c>
      <c r="W10" s="362">
        <f>-'Table 5C3 - LA Connections EBR'!U8</f>
        <v>-1417</v>
      </c>
      <c r="X10" s="362">
        <f>-'Table 5D1 - New Vision'!S11</f>
        <v>0</v>
      </c>
      <c r="Y10" s="362">
        <f>-'Table 5D2 - Glencoe'!S11</f>
        <v>0</v>
      </c>
      <c r="Z10" s="362">
        <f>-'Table 5D3 - International'!U11</f>
        <v>0</v>
      </c>
      <c r="AA10" s="362">
        <f>-'Table 5D4 - Avoyelles'!S11</f>
        <v>-77266</v>
      </c>
      <c r="AB10" s="362">
        <f>-'Table 5D5 - Delhi'!S11</f>
        <v>0</v>
      </c>
      <c r="AC10" s="362">
        <f>-'Table 5D6 - Milestone'!S11</f>
        <v>0</v>
      </c>
      <c r="AD10" s="362">
        <f>-'Table 5D7 - Max'!S11</f>
        <v>0</v>
      </c>
      <c r="AE10" s="362">
        <f>-'Table 5D8 - Belle Chasse'!W11</f>
        <v>0</v>
      </c>
      <c r="AF10" s="362">
        <f>-'Table 5E_OJJ'!S11</f>
        <v>-476</v>
      </c>
      <c r="AG10" s="362">
        <f>-'Table 5A2 LSMSA'!N11</f>
        <v>-115</v>
      </c>
      <c r="AH10" s="362">
        <f>-'Table 5A3 NOCCA'!L11</f>
        <v>0</v>
      </c>
      <c r="AI10" s="362">
        <f>-'Table 5A4_LSDVI'!L11</f>
        <v>-345</v>
      </c>
      <c r="AJ10" s="362">
        <f>-'Table 5A5_SSD'!L11</f>
        <v>-345</v>
      </c>
      <c r="AK10" s="362"/>
      <c r="AL10" s="751">
        <f t="shared" si="60"/>
        <v>2508787</v>
      </c>
      <c r="AM10" s="362"/>
      <c r="AN10" s="362"/>
      <c r="AO10" s="362"/>
      <c r="AP10" s="362">
        <f>'Table 5C1A-Madison Prep'!R11</f>
        <v>0</v>
      </c>
      <c r="AQ10" s="362">
        <f>'Table 5C1B-DArbonne'!P11</f>
        <v>0</v>
      </c>
      <c r="AR10" s="362">
        <f>'Table 5C1C-Intl_VIBE'!P11</f>
        <v>0</v>
      </c>
      <c r="AS10" s="362">
        <f>'Table 5C1D-NOMMA'!P11</f>
        <v>0</v>
      </c>
      <c r="AT10" s="362">
        <f>'Table 5C1E-LFNO'!R11</f>
        <v>0</v>
      </c>
      <c r="AU10" s="362">
        <f>'Table 5C1F-Lake Charles Charter'!P11</f>
        <v>0</v>
      </c>
      <c r="AV10" s="362">
        <f>'Table 5C1G-JS Clark Academy'!P11</f>
        <v>0</v>
      </c>
      <c r="AW10" s="362">
        <f>'Table 5C1H-Southwest LA Charter'!P11</f>
        <v>0</v>
      </c>
      <c r="AX10" s="362">
        <f>'Table 5C1J-LA Key Academy'!P11</f>
        <v>0</v>
      </c>
      <c r="AY10" s="362">
        <f>'Table 5C1K-Jefferson Chamber'!P11</f>
        <v>0</v>
      </c>
      <c r="AZ10" s="362">
        <f>'Table 5C1L-Tallulah Charter'!P11</f>
        <v>0</v>
      </c>
      <c r="BA10" s="362">
        <f>'Table 5C1M-Northshore Charter'!P11</f>
        <v>0</v>
      </c>
      <c r="BB10" s="362">
        <f>'Table 5C1N-EBR Charter'!P11</f>
        <v>0</v>
      </c>
      <c r="BC10" s="362">
        <f>'Table 5C1O-Lake Charles HS'!P11</f>
        <v>0</v>
      </c>
      <c r="BD10" s="362">
        <f>'Table 5C1P-Delta Charter'!P11</f>
        <v>0</v>
      </c>
      <c r="BE10" s="362">
        <f>'Table 5C2 - LA Virtual Admy'!Q8</f>
        <v>-61</v>
      </c>
      <c r="BF10" s="362">
        <f>'Table 5C3 - LA Connections EBR'!Q8</f>
        <v>-43</v>
      </c>
      <c r="BG10" s="362">
        <f>'Table 5D1 - New Vision'!O11</f>
        <v>0</v>
      </c>
      <c r="BH10" s="362">
        <f>'Table 5D2 - Glencoe'!O11</f>
        <v>0</v>
      </c>
      <c r="BI10" s="362">
        <f>'Table 5D3 - International'!Q11</f>
        <v>0</v>
      </c>
      <c r="BJ10" s="362">
        <f>'Table 5D4 - Avoyelles'!O11</f>
        <v>-2323.7775000000001</v>
      </c>
      <c r="BK10" s="362">
        <f>'Table 5D5 - Delhi'!O11</f>
        <v>0</v>
      </c>
      <c r="BL10" s="362">
        <f>'Table 5D6 - Milestone'!O11</f>
        <v>0</v>
      </c>
      <c r="BM10" s="362">
        <f>'Table 5D7 - Max'!O11</f>
        <v>0</v>
      </c>
      <c r="BN10" s="362">
        <f>'Table 5D8 - Belle Chasse'!S11</f>
        <v>0</v>
      </c>
      <c r="BO10" s="751">
        <f t="shared" si="61"/>
        <v>2506359.2225000001</v>
      </c>
      <c r="BP10" s="47"/>
      <c r="BV10"/>
      <c r="CE10"/>
    </row>
    <row r="11" spans="1:83">
      <c r="A11" s="99">
        <v>6</v>
      </c>
      <c r="B11" s="301" t="s">
        <v>100</v>
      </c>
      <c r="C11" s="310">
        <f>'Table 2_State Distrib and Adjs'!AI12</f>
        <v>2924110</v>
      </c>
      <c r="D11" s="361"/>
      <c r="E11" s="361"/>
      <c r="F11" s="361">
        <f>-'Table 5C1A-Madison Prep'!V12</f>
        <v>0</v>
      </c>
      <c r="G11" s="361">
        <f>-'Table 5C1B-DArbonne'!T12</f>
        <v>0</v>
      </c>
      <c r="H11" s="361">
        <f>-'Table 5C1C-Intl_VIBE'!T12</f>
        <v>0</v>
      </c>
      <c r="I11" s="361">
        <f>-'Table 5C1D-NOMMA'!T12</f>
        <v>0</v>
      </c>
      <c r="J11" s="361"/>
      <c r="K11" s="361">
        <f>-'Table 5C1E-LFNO'!V12</f>
        <v>0</v>
      </c>
      <c r="L11" s="361">
        <f>-'Table 5C1F-Lake Charles Charter'!T12</f>
        <v>0</v>
      </c>
      <c r="M11" s="361">
        <f>-'Table 5C1G-JS Clark Academy'!T12</f>
        <v>0</v>
      </c>
      <c r="N11" s="361">
        <f>-'Table 5C1H-Southwest LA Charter'!T12</f>
        <v>0</v>
      </c>
      <c r="O11" s="361">
        <f>-'Table 5C1J-LA Key Academy'!T12</f>
        <v>0</v>
      </c>
      <c r="P11" s="361">
        <f>-'Table 5C1K-Jefferson Chamber'!T12</f>
        <v>0</v>
      </c>
      <c r="Q11" s="361">
        <f>-'Table 5C1L-Tallulah Charter'!T12</f>
        <v>0</v>
      </c>
      <c r="R11" s="361">
        <f>-'Table 5C1M-Northshore Charter'!T12</f>
        <v>0</v>
      </c>
      <c r="S11" s="361">
        <f>-'Table 5C1N-EBR Charter'!T12</f>
        <v>0</v>
      </c>
      <c r="T11" s="361">
        <f>-'Table 5C1O-Lake Charles HS'!T12</f>
        <v>0</v>
      </c>
      <c r="U11" s="361">
        <f>-'Table 5C1P-Delta Charter'!T12</f>
        <v>0</v>
      </c>
      <c r="V11" s="361">
        <f>-'Table 5C2 - LA Virtual Admy'!U9</f>
        <v>-4548</v>
      </c>
      <c r="W11" s="361">
        <f>-'Table 5C3 - LA Connections EBR'!U9</f>
        <v>-5588</v>
      </c>
      <c r="X11" s="361">
        <f>-'Table 5D1 - New Vision'!S12</f>
        <v>0</v>
      </c>
      <c r="Y11" s="361">
        <f>-'Table 5D2 - Glencoe'!S12</f>
        <v>0</v>
      </c>
      <c r="Z11" s="361">
        <f>-'Table 5D3 - International'!U12</f>
        <v>0</v>
      </c>
      <c r="AA11" s="361">
        <f>-'Table 5D4 - Avoyelles'!S12</f>
        <v>0</v>
      </c>
      <c r="AB11" s="361">
        <f>-'Table 5D5 - Delhi'!S12</f>
        <v>0</v>
      </c>
      <c r="AC11" s="361">
        <f>-'Table 5D6 - Milestone'!S12</f>
        <v>0</v>
      </c>
      <c r="AD11" s="361">
        <f>-'Table 5D7 - Max'!S12</f>
        <v>0</v>
      </c>
      <c r="AE11" s="361">
        <f>-'Table 5D8 - Belle Chasse'!W12</f>
        <v>0</v>
      </c>
      <c r="AF11" s="361">
        <f>-'Table 5E_OJJ'!S12</f>
        <v>-423</v>
      </c>
      <c r="AG11" s="361">
        <f>-'Table 5A2 LSMSA'!N12</f>
        <v>-1585</v>
      </c>
      <c r="AH11" s="361">
        <f>-'Table 5A3 NOCCA'!L12</f>
        <v>0</v>
      </c>
      <c r="AI11" s="361">
        <f>-'Table 5A4_LSDVI'!L12</f>
        <v>0</v>
      </c>
      <c r="AJ11" s="361">
        <f>-'Table 5A5_SSD'!L12</f>
        <v>-264</v>
      </c>
      <c r="AK11" s="361"/>
      <c r="AL11" s="750">
        <f t="shared" si="60"/>
        <v>2911702</v>
      </c>
      <c r="AM11" s="361"/>
      <c r="AN11" s="361"/>
      <c r="AO11" s="361"/>
      <c r="AP11" s="361">
        <f>'Table 5C1A-Madison Prep'!R12</f>
        <v>0</v>
      </c>
      <c r="AQ11" s="361">
        <f>'Table 5C1B-DArbonne'!P12</f>
        <v>0</v>
      </c>
      <c r="AR11" s="361">
        <f>'Table 5C1C-Intl_VIBE'!P12</f>
        <v>0</v>
      </c>
      <c r="AS11" s="361">
        <f>'Table 5C1D-NOMMA'!P12</f>
        <v>0</v>
      </c>
      <c r="AT11" s="361">
        <f>'Table 5C1E-LFNO'!R12</f>
        <v>0</v>
      </c>
      <c r="AU11" s="361">
        <f>'Table 5C1F-Lake Charles Charter'!P12</f>
        <v>0</v>
      </c>
      <c r="AV11" s="361">
        <f>'Table 5C1G-JS Clark Academy'!P12</f>
        <v>0</v>
      </c>
      <c r="AW11" s="361">
        <f>'Table 5C1H-Southwest LA Charter'!P12</f>
        <v>0</v>
      </c>
      <c r="AX11" s="361">
        <f>'Table 5C1J-LA Key Academy'!P12</f>
        <v>0</v>
      </c>
      <c r="AY11" s="361">
        <f>'Table 5C1K-Jefferson Chamber'!P12</f>
        <v>0</v>
      </c>
      <c r="AZ11" s="361">
        <f>'Table 5C1L-Tallulah Charter'!P12</f>
        <v>0</v>
      </c>
      <c r="BA11" s="361">
        <f>'Table 5C1M-Northshore Charter'!P12</f>
        <v>0</v>
      </c>
      <c r="BB11" s="361">
        <f>'Table 5C1N-EBR Charter'!P12</f>
        <v>0</v>
      </c>
      <c r="BC11" s="361">
        <f>'Table 5C1O-Lake Charles HS'!P12</f>
        <v>0</v>
      </c>
      <c r="BD11" s="361">
        <f>'Table 5C1P-Delta Charter'!P12</f>
        <v>0</v>
      </c>
      <c r="BE11" s="361">
        <f>'Table 5C2 - LA Virtual Admy'!Q9</f>
        <v>-137</v>
      </c>
      <c r="BF11" s="361">
        <f>'Table 5C3 - LA Connections EBR'!Q9</f>
        <v>-177</v>
      </c>
      <c r="BG11" s="361">
        <f>'Table 5D1 - New Vision'!O12</f>
        <v>0</v>
      </c>
      <c r="BH11" s="361">
        <f>'Table 5D2 - Glencoe'!O12</f>
        <v>0</v>
      </c>
      <c r="BI11" s="361">
        <f>'Table 5D3 - International'!Q12</f>
        <v>0</v>
      </c>
      <c r="BJ11" s="361">
        <f>'Table 5D4 - Avoyelles'!O12</f>
        <v>0</v>
      </c>
      <c r="BK11" s="361">
        <f>'Table 5D5 - Delhi'!O12</f>
        <v>0</v>
      </c>
      <c r="BL11" s="361">
        <f>'Table 5D6 - Milestone'!O12</f>
        <v>0</v>
      </c>
      <c r="BM11" s="361">
        <f>'Table 5D7 - Max'!O12</f>
        <v>0</v>
      </c>
      <c r="BN11" s="361">
        <f>'Table 5D8 - Belle Chasse'!S12</f>
        <v>0</v>
      </c>
      <c r="BO11" s="750">
        <f t="shared" si="61"/>
        <v>2911388</v>
      </c>
      <c r="BP11" s="47"/>
      <c r="BV11"/>
      <c r="CE11"/>
    </row>
    <row r="12" spans="1:83">
      <c r="A12" s="99">
        <v>7</v>
      </c>
      <c r="B12" s="301" t="s">
        <v>101</v>
      </c>
      <c r="C12" s="310">
        <f>'Table 2_State Distrib and Adjs'!AI13</f>
        <v>448077</v>
      </c>
      <c r="D12" s="361"/>
      <c r="E12" s="361"/>
      <c r="F12" s="361">
        <f>-'Table 5C1A-Madison Prep'!V13</f>
        <v>0</v>
      </c>
      <c r="G12" s="361">
        <f>-'Table 5C1B-DArbonne'!T13</f>
        <v>0</v>
      </c>
      <c r="H12" s="361">
        <f>-'Table 5C1C-Intl_VIBE'!T13</f>
        <v>0</v>
      </c>
      <c r="I12" s="361">
        <f>-'Table 5C1D-NOMMA'!T13</f>
        <v>0</v>
      </c>
      <c r="J12" s="361"/>
      <c r="K12" s="361">
        <f>-'Table 5C1E-LFNO'!V13</f>
        <v>0</v>
      </c>
      <c r="L12" s="361">
        <f>-'Table 5C1F-Lake Charles Charter'!T13</f>
        <v>0</v>
      </c>
      <c r="M12" s="361">
        <f>-'Table 5C1G-JS Clark Academy'!T13</f>
        <v>0</v>
      </c>
      <c r="N12" s="361">
        <f>-'Table 5C1H-Southwest LA Charter'!T13</f>
        <v>0</v>
      </c>
      <c r="O12" s="361">
        <f>-'Table 5C1J-LA Key Academy'!T13</f>
        <v>0</v>
      </c>
      <c r="P12" s="361">
        <f>-'Table 5C1K-Jefferson Chamber'!T13</f>
        <v>0</v>
      </c>
      <c r="Q12" s="361">
        <f>-'Table 5C1L-Tallulah Charter'!T13</f>
        <v>0</v>
      </c>
      <c r="R12" s="361">
        <f>-'Table 5C1M-Northshore Charter'!T13</f>
        <v>0</v>
      </c>
      <c r="S12" s="361">
        <f>-'Table 5C1N-EBR Charter'!T13</f>
        <v>0</v>
      </c>
      <c r="T12" s="361">
        <f>-'Table 5C1O-Lake Charles HS'!T13</f>
        <v>0</v>
      </c>
      <c r="U12" s="361">
        <f>-'Table 5C1P-Delta Charter'!T13</f>
        <v>0</v>
      </c>
      <c r="V12" s="361">
        <f>-'Table 5C2 - LA Virtual Admy'!U10</f>
        <v>-2405</v>
      </c>
      <c r="W12" s="361">
        <f>-'Table 5C3 - LA Connections EBR'!U10</f>
        <v>-7460</v>
      </c>
      <c r="X12" s="361">
        <f>-'Table 5D1 - New Vision'!S13</f>
        <v>0</v>
      </c>
      <c r="Y12" s="361">
        <f>-'Table 5D2 - Glencoe'!S13</f>
        <v>0</v>
      </c>
      <c r="Z12" s="361">
        <f>-'Table 5D3 - International'!U13</f>
        <v>0</v>
      </c>
      <c r="AA12" s="361">
        <f>-'Table 5D4 - Avoyelles'!S13</f>
        <v>0</v>
      </c>
      <c r="AB12" s="361">
        <f>-'Table 5D5 - Delhi'!S13</f>
        <v>0</v>
      </c>
      <c r="AC12" s="361">
        <f>-'Table 5D6 - Milestone'!S13</f>
        <v>0</v>
      </c>
      <c r="AD12" s="361">
        <f>-'Table 5D7 - Max'!S13</f>
        <v>0</v>
      </c>
      <c r="AE12" s="361">
        <f>-'Table 5D8 - Belle Chasse'!W13</f>
        <v>0</v>
      </c>
      <c r="AF12" s="361">
        <f>-'Table 5E_OJJ'!S13</f>
        <v>0</v>
      </c>
      <c r="AG12" s="361">
        <f>-'Table 5A2 LSMSA'!N13</f>
        <v>0</v>
      </c>
      <c r="AH12" s="361">
        <f>-'Table 5A3 NOCCA'!L13</f>
        <v>0</v>
      </c>
      <c r="AI12" s="361">
        <f>-'Table 5A4_LSDVI'!L13</f>
        <v>0</v>
      </c>
      <c r="AJ12" s="361">
        <f>-'Table 5A5_SSD'!L13</f>
        <v>-500</v>
      </c>
      <c r="AK12" s="361"/>
      <c r="AL12" s="750">
        <f t="shared" si="60"/>
        <v>437712</v>
      </c>
      <c r="AM12" s="361"/>
      <c r="AN12" s="361"/>
      <c r="AO12" s="361"/>
      <c r="AP12" s="361">
        <f>'Table 5C1A-Madison Prep'!R13</f>
        <v>0</v>
      </c>
      <c r="AQ12" s="361">
        <f>'Table 5C1B-DArbonne'!P13</f>
        <v>0</v>
      </c>
      <c r="AR12" s="361">
        <f>'Table 5C1C-Intl_VIBE'!P13</f>
        <v>0</v>
      </c>
      <c r="AS12" s="361">
        <f>'Table 5C1D-NOMMA'!P13</f>
        <v>0</v>
      </c>
      <c r="AT12" s="361">
        <f>'Table 5C1E-LFNO'!R13</f>
        <v>0</v>
      </c>
      <c r="AU12" s="361">
        <f>'Table 5C1F-Lake Charles Charter'!P13</f>
        <v>0</v>
      </c>
      <c r="AV12" s="361">
        <f>'Table 5C1G-JS Clark Academy'!P13</f>
        <v>0</v>
      </c>
      <c r="AW12" s="361">
        <f>'Table 5C1H-Southwest LA Charter'!P13</f>
        <v>0</v>
      </c>
      <c r="AX12" s="361">
        <f>'Table 5C1J-LA Key Academy'!P13</f>
        <v>0</v>
      </c>
      <c r="AY12" s="361">
        <f>'Table 5C1K-Jefferson Chamber'!P13</f>
        <v>0</v>
      </c>
      <c r="AZ12" s="361">
        <f>'Table 5C1L-Tallulah Charter'!P13</f>
        <v>0</v>
      </c>
      <c r="BA12" s="361">
        <f>'Table 5C1M-Northshore Charter'!P13</f>
        <v>0</v>
      </c>
      <c r="BB12" s="361">
        <f>'Table 5C1N-EBR Charter'!P13</f>
        <v>0</v>
      </c>
      <c r="BC12" s="361">
        <f>'Table 5C1O-Lake Charles HS'!P13</f>
        <v>0</v>
      </c>
      <c r="BD12" s="361">
        <f>'Table 5C1P-Delta Charter'!P13</f>
        <v>0</v>
      </c>
      <c r="BE12" s="361">
        <f>'Table 5C2 - LA Virtual Admy'!Q10</f>
        <v>-112</v>
      </c>
      <c r="BF12" s="361">
        <f>'Table 5C3 - LA Connections EBR'!Q10</f>
        <v>-224</v>
      </c>
      <c r="BG12" s="361">
        <f>'Table 5D1 - New Vision'!O13</f>
        <v>0</v>
      </c>
      <c r="BH12" s="361">
        <f>'Table 5D2 - Glencoe'!O13</f>
        <v>0</v>
      </c>
      <c r="BI12" s="361">
        <f>'Table 5D3 - International'!Q13</f>
        <v>0</v>
      </c>
      <c r="BJ12" s="361">
        <f>'Table 5D4 - Avoyelles'!O13</f>
        <v>0</v>
      </c>
      <c r="BK12" s="361">
        <f>'Table 5D5 - Delhi'!O13</f>
        <v>0</v>
      </c>
      <c r="BL12" s="361">
        <f>'Table 5D6 - Milestone'!O13</f>
        <v>0</v>
      </c>
      <c r="BM12" s="361">
        <f>'Table 5D7 - Max'!O13</f>
        <v>0</v>
      </c>
      <c r="BN12" s="361">
        <f>'Table 5D8 - Belle Chasse'!S13</f>
        <v>0</v>
      </c>
      <c r="BO12" s="750">
        <f t="shared" si="61"/>
        <v>437376</v>
      </c>
      <c r="BP12" s="47"/>
      <c r="BV12"/>
      <c r="CE12"/>
    </row>
    <row r="13" spans="1:83">
      <c r="A13" s="99">
        <v>8</v>
      </c>
      <c r="B13" s="301" t="s">
        <v>102</v>
      </c>
      <c r="C13" s="310">
        <f>'Table 2_State Distrib and Adjs'!AI14</f>
        <v>8734901</v>
      </c>
      <c r="D13" s="361"/>
      <c r="E13" s="361"/>
      <c r="F13" s="361">
        <f>-'Table 5C1A-Madison Prep'!V14</f>
        <v>0</v>
      </c>
      <c r="G13" s="361">
        <f>-'Table 5C1B-DArbonne'!T14</f>
        <v>0</v>
      </c>
      <c r="H13" s="361">
        <f>-'Table 5C1C-Intl_VIBE'!T14</f>
        <v>0</v>
      </c>
      <c r="I13" s="361">
        <f>-'Table 5C1D-NOMMA'!T14</f>
        <v>0</v>
      </c>
      <c r="J13" s="361"/>
      <c r="K13" s="361">
        <f>-'Table 5C1E-LFNO'!V14</f>
        <v>0</v>
      </c>
      <c r="L13" s="361">
        <f>-'Table 5C1F-Lake Charles Charter'!T14</f>
        <v>0</v>
      </c>
      <c r="M13" s="361">
        <f>-'Table 5C1G-JS Clark Academy'!T14</f>
        <v>0</v>
      </c>
      <c r="N13" s="361">
        <f>-'Table 5C1H-Southwest LA Charter'!T14</f>
        <v>0</v>
      </c>
      <c r="O13" s="361">
        <f>-'Table 5C1J-LA Key Academy'!T14</f>
        <v>0</v>
      </c>
      <c r="P13" s="361">
        <f>-'Table 5C1K-Jefferson Chamber'!T14</f>
        <v>0</v>
      </c>
      <c r="Q13" s="361">
        <f>-'Table 5C1L-Tallulah Charter'!T14</f>
        <v>0</v>
      </c>
      <c r="R13" s="361">
        <f>-'Table 5C1M-Northshore Charter'!T14</f>
        <v>0</v>
      </c>
      <c r="S13" s="361">
        <f>-'Table 5C1N-EBR Charter'!T14</f>
        <v>0</v>
      </c>
      <c r="T13" s="361">
        <f>-'Table 5C1O-Lake Charles HS'!T14</f>
        <v>0</v>
      </c>
      <c r="U13" s="361">
        <f>-'Table 5C1P-Delta Charter'!T14</f>
        <v>0</v>
      </c>
      <c r="V13" s="361">
        <f>-'Table 5C2 - LA Virtual Admy'!U11</f>
        <v>-10956</v>
      </c>
      <c r="W13" s="361">
        <f>-'Table 5C3 - LA Connections EBR'!U11</f>
        <v>-14086</v>
      </c>
      <c r="X13" s="361">
        <f>-'Table 5D1 - New Vision'!S14</f>
        <v>0</v>
      </c>
      <c r="Y13" s="361">
        <f>-'Table 5D2 - Glencoe'!S14</f>
        <v>0</v>
      </c>
      <c r="Z13" s="361">
        <f>-'Table 5D3 - International'!U14</f>
        <v>0</v>
      </c>
      <c r="AA13" s="361">
        <f>-'Table 5D4 - Avoyelles'!S14</f>
        <v>0</v>
      </c>
      <c r="AB13" s="361">
        <f>-'Table 5D5 - Delhi'!S14</f>
        <v>0</v>
      </c>
      <c r="AC13" s="361">
        <f>-'Table 5D6 - Milestone'!S14</f>
        <v>0</v>
      </c>
      <c r="AD13" s="361">
        <f>-'Table 5D7 - Max'!S14</f>
        <v>0</v>
      </c>
      <c r="AE13" s="361">
        <f>-'Table 5D8 - Belle Chasse'!W14</f>
        <v>0</v>
      </c>
      <c r="AF13" s="361">
        <f>-'Table 5E_OJJ'!S14</f>
        <v>-1537</v>
      </c>
      <c r="AG13" s="361">
        <f>-'Table 5A2 LSMSA'!N14</f>
        <v>-3477</v>
      </c>
      <c r="AH13" s="361">
        <f>-'Table 5A3 NOCCA'!L14</f>
        <v>0</v>
      </c>
      <c r="AI13" s="361">
        <f>-'Table 5A4_LSDVI'!L14</f>
        <v>-290</v>
      </c>
      <c r="AJ13" s="361">
        <f>-'Table 5A5_SSD'!L14</f>
        <v>-2318</v>
      </c>
      <c r="AK13" s="361"/>
      <c r="AL13" s="750">
        <f t="shared" si="60"/>
        <v>8702237</v>
      </c>
      <c r="AM13" s="361"/>
      <c r="AN13" s="361"/>
      <c r="AO13" s="361"/>
      <c r="AP13" s="361">
        <f>'Table 5C1A-Madison Prep'!R14</f>
        <v>0</v>
      </c>
      <c r="AQ13" s="361">
        <f>'Table 5C1B-DArbonne'!P14</f>
        <v>0</v>
      </c>
      <c r="AR13" s="361">
        <f>'Table 5C1C-Intl_VIBE'!P14</f>
        <v>0</v>
      </c>
      <c r="AS13" s="361">
        <f>'Table 5C1D-NOMMA'!P14</f>
        <v>0</v>
      </c>
      <c r="AT13" s="361">
        <f>'Table 5C1E-LFNO'!R14</f>
        <v>0</v>
      </c>
      <c r="AU13" s="361">
        <f>'Table 5C1F-Lake Charles Charter'!P14</f>
        <v>0</v>
      </c>
      <c r="AV13" s="361">
        <f>'Table 5C1G-JS Clark Academy'!P14</f>
        <v>0</v>
      </c>
      <c r="AW13" s="361">
        <f>'Table 5C1H-Southwest LA Charter'!P14</f>
        <v>0</v>
      </c>
      <c r="AX13" s="361">
        <f>'Table 5C1J-LA Key Academy'!P14</f>
        <v>0</v>
      </c>
      <c r="AY13" s="361">
        <f>'Table 5C1K-Jefferson Chamber'!P14</f>
        <v>0</v>
      </c>
      <c r="AZ13" s="361">
        <f>'Table 5C1L-Tallulah Charter'!P14</f>
        <v>0</v>
      </c>
      <c r="BA13" s="361">
        <f>'Table 5C1M-Northshore Charter'!P14</f>
        <v>0</v>
      </c>
      <c r="BB13" s="361">
        <f>'Table 5C1N-EBR Charter'!P14</f>
        <v>0</v>
      </c>
      <c r="BC13" s="361">
        <f>'Table 5C1O-Lake Charles HS'!P14</f>
        <v>0</v>
      </c>
      <c r="BD13" s="361">
        <f>'Table 5C1P-Delta Charter'!P14</f>
        <v>0</v>
      </c>
      <c r="BE13" s="361">
        <f>'Table 5C2 - LA Virtual Admy'!Q11</f>
        <v>-329</v>
      </c>
      <c r="BF13" s="361">
        <f>'Table 5C3 - LA Connections EBR'!Q11</f>
        <v>-424</v>
      </c>
      <c r="BG13" s="361">
        <f>'Table 5D1 - New Vision'!O14</f>
        <v>0</v>
      </c>
      <c r="BH13" s="361">
        <f>'Table 5D2 - Glencoe'!O14</f>
        <v>0</v>
      </c>
      <c r="BI13" s="361">
        <f>'Table 5D3 - International'!Q14</f>
        <v>0</v>
      </c>
      <c r="BJ13" s="361">
        <f>'Table 5D4 - Avoyelles'!O14</f>
        <v>0</v>
      </c>
      <c r="BK13" s="361">
        <f>'Table 5D5 - Delhi'!O14</f>
        <v>0</v>
      </c>
      <c r="BL13" s="361">
        <f>'Table 5D6 - Milestone'!O14</f>
        <v>0</v>
      </c>
      <c r="BM13" s="361">
        <f>'Table 5D7 - Max'!O14</f>
        <v>0</v>
      </c>
      <c r="BN13" s="361">
        <f>'Table 5D8 - Belle Chasse'!S14</f>
        <v>0</v>
      </c>
      <c r="BO13" s="750">
        <f t="shared" si="61"/>
        <v>8701484</v>
      </c>
      <c r="BP13" s="47"/>
      <c r="BV13"/>
      <c r="CE13"/>
    </row>
    <row r="14" spans="1:83">
      <c r="A14" s="99">
        <v>9</v>
      </c>
      <c r="B14" s="301" t="s">
        <v>103</v>
      </c>
      <c r="C14" s="310">
        <f>'Table 2_State Distrib and Adjs'!AI15</f>
        <v>17023733</v>
      </c>
      <c r="D14" s="361">
        <f>-'Table 5B2_RSD_LA'!X30</f>
        <v>-210688.64333333334</v>
      </c>
      <c r="E14" s="361"/>
      <c r="F14" s="361">
        <f>-'Table 5C1A-Madison Prep'!V15</f>
        <v>0</v>
      </c>
      <c r="G14" s="361">
        <f>-'Table 5C1B-DArbonne'!T15</f>
        <v>0</v>
      </c>
      <c r="H14" s="361">
        <f>-'Table 5C1C-Intl_VIBE'!T15</f>
        <v>0</v>
      </c>
      <c r="I14" s="361">
        <f>-'Table 5C1D-NOMMA'!T15</f>
        <v>0</v>
      </c>
      <c r="J14" s="361"/>
      <c r="K14" s="361">
        <f>-'Table 5C1E-LFNO'!V15</f>
        <v>0</v>
      </c>
      <c r="L14" s="361">
        <f>-'Table 5C1F-Lake Charles Charter'!T15</f>
        <v>0</v>
      </c>
      <c r="M14" s="361">
        <f>-'Table 5C1G-JS Clark Academy'!T15</f>
        <v>0</v>
      </c>
      <c r="N14" s="361">
        <f>-'Table 5C1H-Southwest LA Charter'!T15</f>
        <v>0</v>
      </c>
      <c r="O14" s="361">
        <f>-'Table 5C1J-LA Key Academy'!T15</f>
        <v>0</v>
      </c>
      <c r="P14" s="361">
        <f>-'Table 5C1K-Jefferson Chamber'!T15</f>
        <v>0</v>
      </c>
      <c r="Q14" s="361">
        <f>-'Table 5C1L-Tallulah Charter'!T15</f>
        <v>0</v>
      </c>
      <c r="R14" s="361">
        <f>-'Table 5C1M-Northshore Charter'!T15</f>
        <v>0</v>
      </c>
      <c r="S14" s="361">
        <f>-'Table 5C1N-EBR Charter'!T15</f>
        <v>0</v>
      </c>
      <c r="T14" s="361">
        <f>-'Table 5C1O-Lake Charles HS'!T15</f>
        <v>0</v>
      </c>
      <c r="U14" s="361">
        <f>-'Table 5C1P-Delta Charter'!T15</f>
        <v>0</v>
      </c>
      <c r="V14" s="361">
        <f>-'Table 5C2 - LA Virtual Admy'!U12</f>
        <v>-30931</v>
      </c>
      <c r="W14" s="361">
        <f>-'Table 5C3 - LA Connections EBR'!U12</f>
        <v>-22950</v>
      </c>
      <c r="X14" s="361">
        <f>-'Table 5D1 - New Vision'!S15</f>
        <v>0</v>
      </c>
      <c r="Y14" s="361">
        <f>-'Table 5D2 - Glencoe'!S15</f>
        <v>0</v>
      </c>
      <c r="Z14" s="361">
        <f>-'Table 5D3 - International'!U15</f>
        <v>0</v>
      </c>
      <c r="AA14" s="361">
        <f>-'Table 5D4 - Avoyelles'!S15</f>
        <v>0</v>
      </c>
      <c r="AB14" s="361">
        <f>-'Table 5D5 - Delhi'!S15</f>
        <v>0</v>
      </c>
      <c r="AC14" s="361">
        <f>-'Table 5D6 - Milestone'!S15</f>
        <v>0</v>
      </c>
      <c r="AD14" s="361">
        <f>-'Table 5D7 - Max'!S15</f>
        <v>0</v>
      </c>
      <c r="AE14" s="361">
        <f>-'Table 5D8 - Belle Chasse'!W15</f>
        <v>0</v>
      </c>
      <c r="AF14" s="361">
        <f>-'Table 5E_OJJ'!S15</f>
        <v>-9332</v>
      </c>
      <c r="AG14" s="361">
        <f>-'Table 5A2 LSMSA'!N15</f>
        <v>-1151</v>
      </c>
      <c r="AH14" s="361">
        <f>-'Table 5A3 NOCCA'!L15</f>
        <v>0</v>
      </c>
      <c r="AI14" s="361">
        <f>-'Table 5A4_LSDVI'!L15</f>
        <v>-2014</v>
      </c>
      <c r="AJ14" s="361">
        <f>-'Table 5A5_SSD'!L15</f>
        <v>-8921</v>
      </c>
      <c r="AK14" s="361"/>
      <c r="AL14" s="750">
        <f t="shared" si="60"/>
        <v>16737745.356666666</v>
      </c>
      <c r="AM14" s="361">
        <f>'Table 5B2_RSD_LA'!R30</f>
        <v>-34964.370000000003</v>
      </c>
      <c r="AN14" s="361">
        <f>'Table 5B2_RSD_LA'!S30</f>
        <v>-4994.91</v>
      </c>
      <c r="AO14" s="361"/>
      <c r="AP14" s="361">
        <f>'Table 5C1A-Madison Prep'!R15</f>
        <v>0</v>
      </c>
      <c r="AQ14" s="361">
        <f>'Table 5C1B-DArbonne'!P15</f>
        <v>0</v>
      </c>
      <c r="AR14" s="361">
        <f>'Table 5C1C-Intl_VIBE'!P15</f>
        <v>0</v>
      </c>
      <c r="AS14" s="361">
        <f>'Table 5C1D-NOMMA'!P15</f>
        <v>0</v>
      </c>
      <c r="AT14" s="361">
        <f>'Table 5C1E-LFNO'!R15</f>
        <v>0</v>
      </c>
      <c r="AU14" s="361">
        <f>'Table 5C1F-Lake Charles Charter'!P15</f>
        <v>0</v>
      </c>
      <c r="AV14" s="361">
        <f>'Table 5C1G-JS Clark Academy'!P15</f>
        <v>0</v>
      </c>
      <c r="AW14" s="361">
        <f>'Table 5C1H-Southwest LA Charter'!P15</f>
        <v>0</v>
      </c>
      <c r="AX14" s="361">
        <f>'Table 5C1J-LA Key Academy'!P15</f>
        <v>0</v>
      </c>
      <c r="AY14" s="361">
        <f>'Table 5C1K-Jefferson Chamber'!P15</f>
        <v>0</v>
      </c>
      <c r="AZ14" s="361">
        <f>'Table 5C1L-Tallulah Charter'!P15</f>
        <v>0</v>
      </c>
      <c r="BA14" s="361">
        <f>'Table 5C1M-Northshore Charter'!P15</f>
        <v>0</v>
      </c>
      <c r="BB14" s="361">
        <f>'Table 5C1N-EBR Charter'!P15</f>
        <v>0</v>
      </c>
      <c r="BC14" s="361">
        <f>'Table 5C1O-Lake Charles HS'!P15</f>
        <v>0</v>
      </c>
      <c r="BD14" s="361">
        <f>'Table 5C1P-Delta Charter'!P15</f>
        <v>0</v>
      </c>
      <c r="BE14" s="361">
        <f>'Table 5C2 - LA Virtual Admy'!Q12</f>
        <v>-908</v>
      </c>
      <c r="BF14" s="361">
        <f>'Table 5C3 - LA Connections EBR'!Q12</f>
        <v>-679</v>
      </c>
      <c r="BG14" s="361">
        <f>'Table 5D1 - New Vision'!O15</f>
        <v>0</v>
      </c>
      <c r="BH14" s="361">
        <f>'Table 5D2 - Glencoe'!O15</f>
        <v>0</v>
      </c>
      <c r="BI14" s="361">
        <f>'Table 5D3 - International'!Q15</f>
        <v>0</v>
      </c>
      <c r="BJ14" s="361">
        <f>'Table 5D4 - Avoyelles'!O15</f>
        <v>0</v>
      </c>
      <c r="BK14" s="361">
        <f>'Table 5D5 - Delhi'!O15</f>
        <v>0</v>
      </c>
      <c r="BL14" s="361">
        <f>'Table 5D6 - Milestone'!O15</f>
        <v>0</v>
      </c>
      <c r="BM14" s="361">
        <f>'Table 5D7 - Max'!O15</f>
        <v>0</v>
      </c>
      <c r="BN14" s="361">
        <f>'Table 5D8 - Belle Chasse'!S15</f>
        <v>0</v>
      </c>
      <c r="BO14" s="750">
        <f t="shared" si="61"/>
        <v>16696199.076666666</v>
      </c>
      <c r="BP14" s="47"/>
      <c r="BV14"/>
      <c r="CE14"/>
    </row>
    <row r="15" spans="1:83">
      <c r="A15" s="100">
        <v>10</v>
      </c>
      <c r="B15" s="302" t="s">
        <v>104</v>
      </c>
      <c r="C15" s="319">
        <f>'Table 2_State Distrib and Adjs'!AI16</f>
        <v>12221457</v>
      </c>
      <c r="D15" s="362"/>
      <c r="E15" s="362"/>
      <c r="F15" s="362">
        <f>-'Table 5C1A-Madison Prep'!V16</f>
        <v>0</v>
      </c>
      <c r="G15" s="362">
        <f>-'Table 5C1B-DArbonne'!T16</f>
        <v>0</v>
      </c>
      <c r="H15" s="362">
        <f>-'Table 5C1C-Intl_VIBE'!T16</f>
        <v>0</v>
      </c>
      <c r="I15" s="362">
        <f>-'Table 5C1D-NOMMA'!T16</f>
        <v>0</v>
      </c>
      <c r="J15" s="362"/>
      <c r="K15" s="362">
        <f>-'Table 5C1E-LFNO'!V16</f>
        <v>0</v>
      </c>
      <c r="L15" s="362">
        <f>-'Table 5C1F-Lake Charles Charter'!T16</f>
        <v>-275576.41562499997</v>
      </c>
      <c r="M15" s="362">
        <f>-'Table 5C1G-JS Clark Academy'!T16</f>
        <v>0</v>
      </c>
      <c r="N15" s="362">
        <f>-'Table 5C1H-Southwest LA Charter'!T16</f>
        <v>-190895.980625</v>
      </c>
      <c r="O15" s="362">
        <f>-'Table 5C1J-LA Key Academy'!T16</f>
        <v>0</v>
      </c>
      <c r="P15" s="362">
        <f>-'Table 5C1K-Jefferson Chamber'!T16</f>
        <v>0</v>
      </c>
      <c r="Q15" s="362">
        <f>-'Table 5C1L-Tallulah Charter'!T16</f>
        <v>0</v>
      </c>
      <c r="R15" s="362">
        <f>-'Table 5C1M-Northshore Charter'!T16</f>
        <v>0</v>
      </c>
      <c r="S15" s="362">
        <f>-'Table 5C1N-EBR Charter'!T16</f>
        <v>0</v>
      </c>
      <c r="T15" s="362">
        <f>-'Table 5C1O-Lake Charles HS'!T16</f>
        <v>-109500.5625</v>
      </c>
      <c r="U15" s="362">
        <f>-'Table 5C1P-Delta Charter'!T16</f>
        <v>0</v>
      </c>
      <c r="V15" s="362">
        <f>-'Table 5C2 - LA Virtual Admy'!U13</f>
        <v>-18520</v>
      </c>
      <c r="W15" s="362">
        <f>-'Table 5C3 - LA Connections EBR'!U13</f>
        <v>-16679</v>
      </c>
      <c r="X15" s="362">
        <f>-'Table 5D1 - New Vision'!S16</f>
        <v>0</v>
      </c>
      <c r="Y15" s="362">
        <f>-'Table 5D2 - Glencoe'!S16</f>
        <v>0</v>
      </c>
      <c r="Z15" s="362">
        <f>-'Table 5D3 - International'!U16</f>
        <v>0</v>
      </c>
      <c r="AA15" s="362">
        <f>-'Table 5D4 - Avoyelles'!S16</f>
        <v>0</v>
      </c>
      <c r="AB15" s="362">
        <f>-'Table 5D5 - Delhi'!S16</f>
        <v>0</v>
      </c>
      <c r="AC15" s="362">
        <f>-'Table 5D6 - Milestone'!S16</f>
        <v>0</v>
      </c>
      <c r="AD15" s="362">
        <f>-'Table 5D7 - Max'!S16</f>
        <v>0</v>
      </c>
      <c r="AE15" s="362">
        <f>-'Table 5D8 - Belle Chasse'!W16</f>
        <v>0</v>
      </c>
      <c r="AF15" s="362">
        <f>-'Table 5E_OJJ'!S16</f>
        <v>-2513</v>
      </c>
      <c r="AG15" s="362">
        <f>-'Table 5A2 LSMSA'!N16</f>
        <v>-3841</v>
      </c>
      <c r="AH15" s="362">
        <f>-'Table 5A3 NOCCA'!L16</f>
        <v>0</v>
      </c>
      <c r="AI15" s="362">
        <f>-'Table 5A4_LSDVI'!L16</f>
        <v>-3521</v>
      </c>
      <c r="AJ15" s="362">
        <f>-'Table 5A5_SSD'!L16</f>
        <v>-960</v>
      </c>
      <c r="AK15" s="362"/>
      <c r="AL15" s="751">
        <f t="shared" si="60"/>
        <v>11599450.04125</v>
      </c>
      <c r="AM15" s="362"/>
      <c r="AN15" s="362"/>
      <c r="AO15" s="362"/>
      <c r="AP15" s="362">
        <f>'Table 5C1A-Madison Prep'!R16</f>
        <v>0</v>
      </c>
      <c r="AQ15" s="362">
        <f>'Table 5C1B-DArbonne'!P16</f>
        <v>0</v>
      </c>
      <c r="AR15" s="362">
        <f>'Table 5C1C-Intl_VIBE'!P16</f>
        <v>0</v>
      </c>
      <c r="AS15" s="362">
        <f>'Table 5C1D-NOMMA'!P16</f>
        <v>0</v>
      </c>
      <c r="AT15" s="362">
        <f>'Table 5C1E-LFNO'!R16</f>
        <v>0</v>
      </c>
      <c r="AU15" s="362">
        <f>'Table 5C1F-Lake Charles Charter'!P16</f>
        <v>-8288.0125000000007</v>
      </c>
      <c r="AV15" s="362">
        <f>'Table 5C1G-JS Clark Academy'!P16</f>
        <v>0</v>
      </c>
      <c r="AW15" s="362">
        <f>'Table 5C1H-Southwest LA Charter'!P16</f>
        <v>-5741.2325000000001</v>
      </c>
      <c r="AX15" s="362">
        <f>'Table 5C1J-LA Key Academy'!P16</f>
        <v>0</v>
      </c>
      <c r="AY15" s="362">
        <f>'Table 5C1K-Jefferson Chamber'!P16</f>
        <v>0</v>
      </c>
      <c r="AZ15" s="362">
        <f>'Table 5C1L-Tallulah Charter'!P16</f>
        <v>0</v>
      </c>
      <c r="BA15" s="362">
        <f>'Table 5C1M-Northshore Charter'!P16</f>
        <v>0</v>
      </c>
      <c r="BB15" s="362">
        <f>'Table 5C1N-EBR Charter'!P16</f>
        <v>0</v>
      </c>
      <c r="BC15" s="362">
        <f>'Table 5C1O-Lake Charles HS'!P16</f>
        <v>-3293.25</v>
      </c>
      <c r="BD15" s="362">
        <f>'Table 5C1P-Delta Charter'!P16</f>
        <v>0</v>
      </c>
      <c r="BE15" s="362">
        <f>'Table 5C2 - LA Virtual Admy'!Q13</f>
        <v>-563</v>
      </c>
      <c r="BF15" s="362">
        <f>'Table 5C3 - LA Connections EBR'!Q13</f>
        <v>-524</v>
      </c>
      <c r="BG15" s="362">
        <f>'Table 5D1 - New Vision'!O16</f>
        <v>0</v>
      </c>
      <c r="BH15" s="362">
        <f>'Table 5D2 - Glencoe'!O16</f>
        <v>0</v>
      </c>
      <c r="BI15" s="362">
        <f>'Table 5D3 - International'!Q16</f>
        <v>0</v>
      </c>
      <c r="BJ15" s="362">
        <f>'Table 5D4 - Avoyelles'!O16</f>
        <v>0</v>
      </c>
      <c r="BK15" s="362">
        <f>'Table 5D5 - Delhi'!O16</f>
        <v>0</v>
      </c>
      <c r="BL15" s="362">
        <f>'Table 5D6 - Milestone'!O16</f>
        <v>0</v>
      </c>
      <c r="BM15" s="362">
        <f>'Table 5D7 - Max'!O16</f>
        <v>0</v>
      </c>
      <c r="BN15" s="362">
        <f>'Table 5D8 - Belle Chasse'!S16</f>
        <v>0</v>
      </c>
      <c r="BO15" s="751">
        <f t="shared" si="61"/>
        <v>11581040.546250001</v>
      </c>
      <c r="BP15" s="47"/>
      <c r="BV15"/>
      <c r="CE15"/>
    </row>
    <row r="16" spans="1:83">
      <c r="A16" s="99">
        <v>11</v>
      </c>
      <c r="B16" s="301" t="s">
        <v>105</v>
      </c>
      <c r="C16" s="310">
        <f>'Table 2_State Distrib and Adjs'!AI17</f>
        <v>967185</v>
      </c>
      <c r="D16" s="361"/>
      <c r="E16" s="361"/>
      <c r="F16" s="361">
        <f>-'Table 5C1A-Madison Prep'!V17</f>
        <v>0</v>
      </c>
      <c r="G16" s="361">
        <f>-'Table 5C1B-DArbonne'!T17</f>
        <v>0</v>
      </c>
      <c r="H16" s="361">
        <f>-'Table 5C1C-Intl_VIBE'!T17</f>
        <v>0</v>
      </c>
      <c r="I16" s="361">
        <f>-'Table 5C1D-NOMMA'!T17</f>
        <v>0</v>
      </c>
      <c r="J16" s="361"/>
      <c r="K16" s="361">
        <f>-'Table 5C1E-LFNO'!V17</f>
        <v>0</v>
      </c>
      <c r="L16" s="361">
        <f>-'Table 5C1F-Lake Charles Charter'!T17</f>
        <v>0</v>
      </c>
      <c r="M16" s="361">
        <f>-'Table 5C1G-JS Clark Academy'!T17</f>
        <v>0</v>
      </c>
      <c r="N16" s="361">
        <f>-'Table 5C1H-Southwest LA Charter'!T17</f>
        <v>0</v>
      </c>
      <c r="O16" s="361">
        <f>-'Table 5C1J-LA Key Academy'!T17</f>
        <v>0</v>
      </c>
      <c r="P16" s="361">
        <f>-'Table 5C1K-Jefferson Chamber'!T17</f>
        <v>0</v>
      </c>
      <c r="Q16" s="361">
        <f>-'Table 5C1L-Tallulah Charter'!T17</f>
        <v>0</v>
      </c>
      <c r="R16" s="361">
        <f>-'Table 5C1M-Northshore Charter'!T17</f>
        <v>0</v>
      </c>
      <c r="S16" s="361">
        <f>-'Table 5C1N-EBR Charter'!T17</f>
        <v>0</v>
      </c>
      <c r="T16" s="361">
        <f>-'Table 5C1O-Lake Charles HS'!T17</f>
        <v>0</v>
      </c>
      <c r="U16" s="361">
        <f>-'Table 5C1P-Delta Charter'!T17</f>
        <v>0</v>
      </c>
      <c r="V16" s="361">
        <f>-'Table 5C2 - LA Virtual Admy'!U14</f>
        <v>-1920</v>
      </c>
      <c r="W16" s="361">
        <f>-'Table 5C3 - LA Connections EBR'!U14</f>
        <v>-513</v>
      </c>
      <c r="X16" s="361">
        <f>-'Table 5D1 - New Vision'!S17</f>
        <v>0</v>
      </c>
      <c r="Y16" s="361">
        <f>-'Table 5D2 - Glencoe'!S17</f>
        <v>0</v>
      </c>
      <c r="Z16" s="361">
        <f>-'Table 5D3 - International'!U17</f>
        <v>0</v>
      </c>
      <c r="AA16" s="361">
        <f>-'Table 5D4 - Avoyelles'!S17</f>
        <v>0</v>
      </c>
      <c r="AB16" s="361">
        <f>-'Table 5D5 - Delhi'!S17</f>
        <v>0</v>
      </c>
      <c r="AC16" s="361">
        <f>-'Table 5D6 - Milestone'!S17</f>
        <v>0</v>
      </c>
      <c r="AD16" s="361">
        <f>-'Table 5D7 - Max'!S17</f>
        <v>0</v>
      </c>
      <c r="AE16" s="361">
        <f>-'Table 5D8 - Belle Chasse'!W17</f>
        <v>0</v>
      </c>
      <c r="AF16" s="361">
        <f>-'Table 5E_OJJ'!S17</f>
        <v>0</v>
      </c>
      <c r="AG16" s="361">
        <f>-'Table 5A2 LSMSA'!N17</f>
        <v>-545</v>
      </c>
      <c r="AH16" s="361">
        <f>-'Table 5A3 NOCCA'!L17</f>
        <v>0</v>
      </c>
      <c r="AI16" s="361">
        <f>-'Table 5A4_LSDVI'!L17</f>
        <v>0</v>
      </c>
      <c r="AJ16" s="361">
        <f>-'Table 5A5_SSD'!L17</f>
        <v>-273</v>
      </c>
      <c r="AK16" s="361"/>
      <c r="AL16" s="750">
        <f t="shared" si="60"/>
        <v>963934</v>
      </c>
      <c r="AM16" s="361"/>
      <c r="AN16" s="361"/>
      <c r="AO16" s="361"/>
      <c r="AP16" s="361">
        <f>'Table 5C1A-Madison Prep'!R17</f>
        <v>0</v>
      </c>
      <c r="AQ16" s="361">
        <f>'Table 5C1B-DArbonne'!P17</f>
        <v>0</v>
      </c>
      <c r="AR16" s="361">
        <f>'Table 5C1C-Intl_VIBE'!P17</f>
        <v>0</v>
      </c>
      <c r="AS16" s="361">
        <f>'Table 5C1D-NOMMA'!P17</f>
        <v>0</v>
      </c>
      <c r="AT16" s="361">
        <f>'Table 5C1E-LFNO'!R17</f>
        <v>0</v>
      </c>
      <c r="AU16" s="361">
        <f>'Table 5C1F-Lake Charles Charter'!P17</f>
        <v>0</v>
      </c>
      <c r="AV16" s="361">
        <f>'Table 5C1G-JS Clark Academy'!P17</f>
        <v>0</v>
      </c>
      <c r="AW16" s="361">
        <f>'Table 5C1H-Southwest LA Charter'!P17</f>
        <v>0</v>
      </c>
      <c r="AX16" s="361">
        <f>'Table 5C1J-LA Key Academy'!P17</f>
        <v>0</v>
      </c>
      <c r="AY16" s="361">
        <f>'Table 5C1K-Jefferson Chamber'!P17</f>
        <v>0</v>
      </c>
      <c r="AZ16" s="361">
        <f>'Table 5C1L-Tallulah Charter'!P17</f>
        <v>0</v>
      </c>
      <c r="BA16" s="361">
        <f>'Table 5C1M-Northshore Charter'!P17</f>
        <v>0</v>
      </c>
      <c r="BB16" s="361">
        <f>'Table 5C1N-EBR Charter'!P17</f>
        <v>0</v>
      </c>
      <c r="BC16" s="361">
        <f>'Table 5C1O-Lake Charles HS'!P17</f>
        <v>0</v>
      </c>
      <c r="BD16" s="361">
        <f>'Table 5C1P-Delta Charter'!P17</f>
        <v>0</v>
      </c>
      <c r="BE16" s="361">
        <f>'Table 5C2 - LA Virtual Admy'!Q14</f>
        <v>-54</v>
      </c>
      <c r="BF16" s="361">
        <f>'Table 5C3 - LA Connections EBR'!Q14</f>
        <v>-15</v>
      </c>
      <c r="BG16" s="361">
        <f>'Table 5D1 - New Vision'!O17</f>
        <v>0</v>
      </c>
      <c r="BH16" s="361">
        <f>'Table 5D2 - Glencoe'!O17</f>
        <v>0</v>
      </c>
      <c r="BI16" s="361">
        <f>'Table 5D3 - International'!Q17</f>
        <v>0</v>
      </c>
      <c r="BJ16" s="361">
        <f>'Table 5D4 - Avoyelles'!O17</f>
        <v>0</v>
      </c>
      <c r="BK16" s="361">
        <f>'Table 5D5 - Delhi'!O17</f>
        <v>0</v>
      </c>
      <c r="BL16" s="361">
        <f>'Table 5D6 - Milestone'!O17</f>
        <v>0</v>
      </c>
      <c r="BM16" s="361">
        <f>'Table 5D7 - Max'!O17</f>
        <v>0</v>
      </c>
      <c r="BN16" s="361">
        <f>'Table 5D8 - Belle Chasse'!S17</f>
        <v>0</v>
      </c>
      <c r="BO16" s="750">
        <f t="shared" si="61"/>
        <v>963865</v>
      </c>
      <c r="BP16" s="47"/>
      <c r="BV16"/>
      <c r="CE16"/>
    </row>
    <row r="17" spans="1:83">
      <c r="A17" s="99">
        <v>12</v>
      </c>
      <c r="B17" s="301" t="s">
        <v>106</v>
      </c>
      <c r="C17" s="310">
        <f>'Table 2_State Distrib and Adjs'!AI18</f>
        <v>277878</v>
      </c>
      <c r="D17" s="361"/>
      <c r="E17" s="361"/>
      <c r="F17" s="361">
        <f>-'Table 5C1A-Madison Prep'!V18</f>
        <v>0</v>
      </c>
      <c r="G17" s="361">
        <f>-'Table 5C1B-DArbonne'!T18</f>
        <v>0</v>
      </c>
      <c r="H17" s="361">
        <f>-'Table 5C1C-Intl_VIBE'!T18</f>
        <v>0</v>
      </c>
      <c r="I17" s="361">
        <f>-'Table 5C1D-NOMMA'!T18</f>
        <v>0</v>
      </c>
      <c r="J17" s="361"/>
      <c r="K17" s="361">
        <f>-'Table 5C1E-LFNO'!V18</f>
        <v>0</v>
      </c>
      <c r="L17" s="361">
        <f>-'Table 5C1F-Lake Charles Charter'!T18</f>
        <v>0</v>
      </c>
      <c r="M17" s="361">
        <f>-'Table 5C1G-JS Clark Academy'!T18</f>
        <v>0</v>
      </c>
      <c r="N17" s="361">
        <f>-'Table 5C1H-Southwest LA Charter'!T18</f>
        <v>0</v>
      </c>
      <c r="O17" s="361">
        <f>-'Table 5C1J-LA Key Academy'!T18</f>
        <v>0</v>
      </c>
      <c r="P17" s="361">
        <f>-'Table 5C1K-Jefferson Chamber'!T18</f>
        <v>0</v>
      </c>
      <c r="Q17" s="361">
        <f>-'Table 5C1L-Tallulah Charter'!T18</f>
        <v>0</v>
      </c>
      <c r="R17" s="361">
        <f>-'Table 5C1M-Northshore Charter'!T18</f>
        <v>0</v>
      </c>
      <c r="S17" s="361">
        <f>-'Table 5C1N-EBR Charter'!T18</f>
        <v>0</v>
      </c>
      <c r="T17" s="361">
        <f>-'Table 5C1O-Lake Charles HS'!T18</f>
        <v>0</v>
      </c>
      <c r="U17" s="361">
        <f>-'Table 5C1P-Delta Charter'!T18</f>
        <v>0</v>
      </c>
      <c r="V17" s="361">
        <f>-'Table 5C2 - LA Virtual Admy'!U15</f>
        <v>0</v>
      </c>
      <c r="W17" s="361">
        <f>-'Table 5C3 - LA Connections EBR'!U15</f>
        <v>-3033</v>
      </c>
      <c r="X17" s="361">
        <f>-'Table 5D1 - New Vision'!S18</f>
        <v>0</v>
      </c>
      <c r="Y17" s="361">
        <f>-'Table 5D2 - Glencoe'!S18</f>
        <v>0</v>
      </c>
      <c r="Z17" s="361">
        <f>-'Table 5D3 - International'!U18</f>
        <v>0</v>
      </c>
      <c r="AA17" s="361">
        <f>-'Table 5D4 - Avoyelles'!S18</f>
        <v>0</v>
      </c>
      <c r="AB17" s="361">
        <f>-'Table 5D5 - Delhi'!S18</f>
        <v>0</v>
      </c>
      <c r="AC17" s="361">
        <f>-'Table 5D6 - Milestone'!S18</f>
        <v>0</v>
      </c>
      <c r="AD17" s="361">
        <f>-'Table 5D7 - Max'!S18</f>
        <v>0</v>
      </c>
      <c r="AE17" s="361">
        <f>-'Table 5D8 - Belle Chasse'!W18</f>
        <v>0</v>
      </c>
      <c r="AF17" s="361">
        <f>-'Table 5E_OJJ'!S18</f>
        <v>0</v>
      </c>
      <c r="AG17" s="361">
        <f>-'Table 5A2 LSMSA'!N18</f>
        <v>0</v>
      </c>
      <c r="AH17" s="361">
        <f>-'Table 5A3 NOCCA'!L18</f>
        <v>0</v>
      </c>
      <c r="AI17" s="361">
        <f>-'Table 5A4_LSDVI'!L18</f>
        <v>-537</v>
      </c>
      <c r="AJ17" s="361">
        <f>-'Table 5A5_SSD'!L18</f>
        <v>0</v>
      </c>
      <c r="AK17" s="361"/>
      <c r="AL17" s="750">
        <f t="shared" si="60"/>
        <v>274308</v>
      </c>
      <c r="AM17" s="361"/>
      <c r="AN17" s="361"/>
      <c r="AO17" s="361"/>
      <c r="AP17" s="361">
        <f>'Table 5C1A-Madison Prep'!R18</f>
        <v>0</v>
      </c>
      <c r="AQ17" s="361">
        <f>'Table 5C1B-DArbonne'!P18</f>
        <v>0</v>
      </c>
      <c r="AR17" s="361">
        <f>'Table 5C1C-Intl_VIBE'!P18</f>
        <v>0</v>
      </c>
      <c r="AS17" s="361">
        <f>'Table 5C1D-NOMMA'!P18</f>
        <v>0</v>
      </c>
      <c r="AT17" s="361">
        <f>'Table 5C1E-LFNO'!R18</f>
        <v>0</v>
      </c>
      <c r="AU17" s="361">
        <f>'Table 5C1F-Lake Charles Charter'!P18</f>
        <v>0</v>
      </c>
      <c r="AV17" s="361">
        <f>'Table 5C1G-JS Clark Academy'!P18</f>
        <v>0</v>
      </c>
      <c r="AW17" s="361">
        <f>'Table 5C1H-Southwest LA Charter'!P18</f>
        <v>0</v>
      </c>
      <c r="AX17" s="361">
        <f>'Table 5C1J-LA Key Academy'!P18</f>
        <v>0</v>
      </c>
      <c r="AY17" s="361">
        <f>'Table 5C1K-Jefferson Chamber'!P18</f>
        <v>0</v>
      </c>
      <c r="AZ17" s="361">
        <f>'Table 5C1L-Tallulah Charter'!P18</f>
        <v>0</v>
      </c>
      <c r="BA17" s="361">
        <f>'Table 5C1M-Northshore Charter'!P18</f>
        <v>0</v>
      </c>
      <c r="BB17" s="361">
        <f>'Table 5C1N-EBR Charter'!P18</f>
        <v>0</v>
      </c>
      <c r="BC17" s="361">
        <f>'Table 5C1O-Lake Charles HS'!P18</f>
        <v>0</v>
      </c>
      <c r="BD17" s="361">
        <f>'Table 5C1P-Delta Charter'!P18</f>
        <v>0</v>
      </c>
      <c r="BE17" s="361">
        <f>'Table 5C2 - LA Virtual Admy'!Q15</f>
        <v>0</v>
      </c>
      <c r="BF17" s="361">
        <f>'Table 5C3 - LA Connections EBR'!Q15</f>
        <v>-28</v>
      </c>
      <c r="BG17" s="361">
        <f>'Table 5D1 - New Vision'!O18</f>
        <v>0</v>
      </c>
      <c r="BH17" s="361">
        <f>'Table 5D2 - Glencoe'!O18</f>
        <v>0</v>
      </c>
      <c r="BI17" s="361">
        <f>'Table 5D3 - International'!Q18</f>
        <v>0</v>
      </c>
      <c r="BJ17" s="361">
        <f>'Table 5D4 - Avoyelles'!O18</f>
        <v>0</v>
      </c>
      <c r="BK17" s="361">
        <f>'Table 5D5 - Delhi'!O18</f>
        <v>0</v>
      </c>
      <c r="BL17" s="361">
        <f>'Table 5D6 - Milestone'!O18</f>
        <v>0</v>
      </c>
      <c r="BM17" s="361">
        <f>'Table 5D7 - Max'!O18</f>
        <v>0</v>
      </c>
      <c r="BN17" s="361">
        <f>'Table 5D8 - Belle Chasse'!S18</f>
        <v>0</v>
      </c>
      <c r="BO17" s="750">
        <f t="shared" si="61"/>
        <v>274280</v>
      </c>
      <c r="BP17" s="47"/>
      <c r="BV17"/>
      <c r="CE17"/>
    </row>
    <row r="18" spans="1:83">
      <c r="A18" s="99">
        <v>13</v>
      </c>
      <c r="B18" s="301" t="s">
        <v>107</v>
      </c>
      <c r="C18" s="310">
        <f>'Table 2_State Distrib and Adjs'!AI19</f>
        <v>868835</v>
      </c>
      <c r="D18" s="361"/>
      <c r="E18" s="361"/>
      <c r="F18" s="361">
        <f>-'Table 5C1A-Madison Prep'!V19</f>
        <v>0</v>
      </c>
      <c r="G18" s="361">
        <f>-'Table 5C1B-DArbonne'!T19</f>
        <v>0</v>
      </c>
      <c r="H18" s="361">
        <f>-'Table 5C1C-Intl_VIBE'!T19</f>
        <v>0</v>
      </c>
      <c r="I18" s="361">
        <f>-'Table 5C1D-NOMMA'!T19</f>
        <v>0</v>
      </c>
      <c r="J18" s="361"/>
      <c r="K18" s="361">
        <f>-'Table 5C1E-LFNO'!V19</f>
        <v>0</v>
      </c>
      <c r="L18" s="361">
        <f>-'Table 5C1F-Lake Charles Charter'!T19</f>
        <v>0</v>
      </c>
      <c r="M18" s="361">
        <f>-'Table 5C1G-JS Clark Academy'!T19</f>
        <v>0</v>
      </c>
      <c r="N18" s="361">
        <f>-'Table 5C1H-Southwest LA Charter'!T19</f>
        <v>0</v>
      </c>
      <c r="O18" s="361">
        <f>-'Table 5C1J-LA Key Academy'!T19</f>
        <v>0</v>
      </c>
      <c r="P18" s="361">
        <f>-'Table 5C1K-Jefferson Chamber'!T19</f>
        <v>0</v>
      </c>
      <c r="Q18" s="361">
        <f>-'Table 5C1L-Tallulah Charter'!T19</f>
        <v>0</v>
      </c>
      <c r="R18" s="361">
        <f>-'Table 5C1M-Northshore Charter'!T19</f>
        <v>0</v>
      </c>
      <c r="S18" s="361">
        <f>-'Table 5C1N-EBR Charter'!T19</f>
        <v>0</v>
      </c>
      <c r="T18" s="361">
        <f>-'Table 5C1O-Lake Charles HS'!T19</f>
        <v>0</v>
      </c>
      <c r="U18" s="361">
        <f>-'Table 5C1P-Delta Charter'!T19</f>
        <v>0</v>
      </c>
      <c r="V18" s="361">
        <f>-'Table 5C2 - LA Virtual Admy'!U16</f>
        <v>-845</v>
      </c>
      <c r="W18" s="361">
        <f>-'Table 5C3 - LA Connections EBR'!U16</f>
        <v>-358</v>
      </c>
      <c r="X18" s="361">
        <f>-'Table 5D1 - New Vision'!S19</f>
        <v>0</v>
      </c>
      <c r="Y18" s="361">
        <f>-'Table 5D2 - Glencoe'!S19</f>
        <v>0</v>
      </c>
      <c r="Z18" s="361">
        <f>-'Table 5D3 - International'!U19</f>
        <v>0</v>
      </c>
      <c r="AA18" s="361">
        <f>-'Table 5D4 - Avoyelles'!S19</f>
        <v>0</v>
      </c>
      <c r="AB18" s="361">
        <f>-'Table 5D5 - Delhi'!S19</f>
        <v>0</v>
      </c>
      <c r="AC18" s="361">
        <f>-'Table 5D6 - Milestone'!S19</f>
        <v>0</v>
      </c>
      <c r="AD18" s="361">
        <f>-'Table 5D7 - Max'!S19</f>
        <v>0</v>
      </c>
      <c r="AE18" s="361">
        <f>-'Table 5D8 - Belle Chasse'!W19</f>
        <v>0</v>
      </c>
      <c r="AF18" s="361">
        <f>-'Table 5E_OJJ'!S19</f>
        <v>0</v>
      </c>
      <c r="AG18" s="361">
        <f>-'Table 5A2 LSMSA'!N19</f>
        <v>0</v>
      </c>
      <c r="AH18" s="361">
        <f>-'Table 5A3 NOCCA'!L19</f>
        <v>0</v>
      </c>
      <c r="AI18" s="361">
        <f>-'Table 5A4_LSDVI'!L19</f>
        <v>0</v>
      </c>
      <c r="AJ18" s="361">
        <f>-'Table 5A5_SSD'!L19</f>
        <v>-421</v>
      </c>
      <c r="AK18" s="361"/>
      <c r="AL18" s="750">
        <f t="shared" si="60"/>
        <v>867211</v>
      </c>
      <c r="AM18" s="361"/>
      <c r="AN18" s="361"/>
      <c r="AO18" s="361"/>
      <c r="AP18" s="361">
        <f>'Table 5C1A-Madison Prep'!R19</f>
        <v>0</v>
      </c>
      <c r="AQ18" s="361">
        <f>'Table 5C1B-DArbonne'!P19</f>
        <v>0</v>
      </c>
      <c r="AR18" s="361">
        <f>'Table 5C1C-Intl_VIBE'!P19</f>
        <v>0</v>
      </c>
      <c r="AS18" s="361">
        <f>'Table 5C1D-NOMMA'!P19</f>
        <v>0</v>
      </c>
      <c r="AT18" s="361">
        <f>'Table 5C1E-LFNO'!R19</f>
        <v>0</v>
      </c>
      <c r="AU18" s="361">
        <f>'Table 5C1F-Lake Charles Charter'!P19</f>
        <v>0</v>
      </c>
      <c r="AV18" s="361">
        <f>'Table 5C1G-JS Clark Academy'!P19</f>
        <v>0</v>
      </c>
      <c r="AW18" s="361">
        <f>'Table 5C1H-Southwest LA Charter'!P19</f>
        <v>0</v>
      </c>
      <c r="AX18" s="361">
        <f>'Table 5C1J-LA Key Academy'!P19</f>
        <v>0</v>
      </c>
      <c r="AY18" s="361">
        <f>'Table 5C1K-Jefferson Chamber'!P19</f>
        <v>0</v>
      </c>
      <c r="AZ18" s="361">
        <f>'Table 5C1L-Tallulah Charter'!P19</f>
        <v>0</v>
      </c>
      <c r="BA18" s="361">
        <f>'Table 5C1M-Northshore Charter'!P19</f>
        <v>0</v>
      </c>
      <c r="BB18" s="361">
        <f>'Table 5C1N-EBR Charter'!P19</f>
        <v>0</v>
      </c>
      <c r="BC18" s="361">
        <f>'Table 5C1O-Lake Charles HS'!P19</f>
        <v>0</v>
      </c>
      <c r="BD18" s="361">
        <f>'Table 5C1P-Delta Charter'!P19</f>
        <v>0</v>
      </c>
      <c r="BE18" s="361">
        <f>'Table 5C2 - LA Virtual Admy'!Q16</f>
        <v>-57</v>
      </c>
      <c r="BF18" s="361">
        <f>'Table 5C3 - LA Connections EBR'!Q16</f>
        <v>-17</v>
      </c>
      <c r="BG18" s="361">
        <f>'Table 5D1 - New Vision'!O19</f>
        <v>0</v>
      </c>
      <c r="BH18" s="361">
        <f>'Table 5D2 - Glencoe'!O19</f>
        <v>0</v>
      </c>
      <c r="BI18" s="361">
        <f>'Table 5D3 - International'!Q19</f>
        <v>0</v>
      </c>
      <c r="BJ18" s="361">
        <f>'Table 5D4 - Avoyelles'!O19</f>
        <v>0</v>
      </c>
      <c r="BK18" s="361">
        <f>'Table 5D5 - Delhi'!O19</f>
        <v>0</v>
      </c>
      <c r="BL18" s="361">
        <f>'Table 5D6 - Milestone'!O19</f>
        <v>0</v>
      </c>
      <c r="BM18" s="361">
        <f>'Table 5D7 - Max'!O19</f>
        <v>0</v>
      </c>
      <c r="BN18" s="361">
        <f>'Table 5D8 - Belle Chasse'!S19</f>
        <v>0</v>
      </c>
      <c r="BO18" s="750">
        <f t="shared" si="61"/>
        <v>867137</v>
      </c>
      <c r="BP18" s="47"/>
      <c r="BV18"/>
      <c r="CE18"/>
    </row>
    <row r="19" spans="1:83">
      <c r="A19" s="99">
        <v>14</v>
      </c>
      <c r="B19" s="301" t="s">
        <v>108</v>
      </c>
      <c r="C19" s="310">
        <f>'Table 2_State Distrib and Adjs'!AI20</f>
        <v>950825</v>
      </c>
      <c r="D19" s="361"/>
      <c r="E19" s="361"/>
      <c r="F19" s="361">
        <f>-'Table 5C1A-Madison Prep'!V20</f>
        <v>0</v>
      </c>
      <c r="G19" s="361">
        <f>-'Table 5C1B-DArbonne'!T20</f>
        <v>-646.38</v>
      </c>
      <c r="H19" s="361">
        <f>-'Table 5C1C-Intl_VIBE'!T20</f>
        <v>0</v>
      </c>
      <c r="I19" s="361">
        <f>-'Table 5C1D-NOMMA'!T20</f>
        <v>0</v>
      </c>
      <c r="J19" s="361"/>
      <c r="K19" s="361">
        <f>-'Table 5C1E-LFNO'!V20</f>
        <v>0</v>
      </c>
      <c r="L19" s="361">
        <f>-'Table 5C1F-Lake Charles Charter'!T20</f>
        <v>0</v>
      </c>
      <c r="M19" s="361">
        <f>-'Table 5C1G-JS Clark Academy'!T20</f>
        <v>0</v>
      </c>
      <c r="N19" s="361">
        <f>-'Table 5C1H-Southwest LA Charter'!T20</f>
        <v>0</v>
      </c>
      <c r="O19" s="361">
        <f>-'Table 5C1J-LA Key Academy'!T20</f>
        <v>0</v>
      </c>
      <c r="P19" s="361">
        <f>-'Table 5C1K-Jefferson Chamber'!T20</f>
        <v>0</v>
      </c>
      <c r="Q19" s="361">
        <f>-'Table 5C1L-Tallulah Charter'!T20</f>
        <v>0</v>
      </c>
      <c r="R19" s="361">
        <f>-'Table 5C1M-Northshore Charter'!T20</f>
        <v>0</v>
      </c>
      <c r="S19" s="361">
        <f>-'Table 5C1N-EBR Charter'!T20</f>
        <v>0</v>
      </c>
      <c r="T19" s="361">
        <f>-'Table 5C1O-Lake Charles HS'!T20</f>
        <v>0</v>
      </c>
      <c r="U19" s="361">
        <f>-'Table 5C1P-Delta Charter'!T20</f>
        <v>0</v>
      </c>
      <c r="V19" s="361">
        <f>-'Table 5C2 - LA Virtual Admy'!U17</f>
        <v>-165</v>
      </c>
      <c r="W19" s="361">
        <f>-'Table 5C3 - LA Connections EBR'!U17</f>
        <v>-3200</v>
      </c>
      <c r="X19" s="361">
        <f>-'Table 5D1 - New Vision'!S20</f>
        <v>0</v>
      </c>
      <c r="Y19" s="361">
        <f>-'Table 5D2 - Glencoe'!S20</f>
        <v>0</v>
      </c>
      <c r="Z19" s="361">
        <f>-'Table 5D3 - International'!U20</f>
        <v>0</v>
      </c>
      <c r="AA19" s="361">
        <f>-'Table 5D4 - Avoyelles'!S20</f>
        <v>0</v>
      </c>
      <c r="AB19" s="361">
        <f>-'Table 5D5 - Delhi'!S20</f>
        <v>0</v>
      </c>
      <c r="AC19" s="361">
        <f>-'Table 5D6 - Milestone'!S20</f>
        <v>0</v>
      </c>
      <c r="AD19" s="361">
        <f>-'Table 5D7 - Max'!S20</f>
        <v>0</v>
      </c>
      <c r="AE19" s="361">
        <f>-'Table 5D8 - Belle Chasse'!W20</f>
        <v>0</v>
      </c>
      <c r="AF19" s="361">
        <f>-'Table 5E_OJJ'!S20</f>
        <v>0</v>
      </c>
      <c r="AG19" s="361">
        <f>-'Table 5A2 LSMSA'!N20</f>
        <v>-337</v>
      </c>
      <c r="AH19" s="361">
        <f>-'Table 5A3 NOCCA'!L20</f>
        <v>0</v>
      </c>
      <c r="AI19" s="361">
        <f>-'Table 5A4_LSDVI'!L20</f>
        <v>0</v>
      </c>
      <c r="AJ19" s="361">
        <f>-'Table 5A5_SSD'!L20</f>
        <v>0</v>
      </c>
      <c r="AK19" s="361"/>
      <c r="AL19" s="750">
        <f t="shared" si="60"/>
        <v>946476.62</v>
      </c>
      <c r="AM19" s="361"/>
      <c r="AN19" s="361"/>
      <c r="AO19" s="361"/>
      <c r="AP19" s="361">
        <f>'Table 5C1A-Madison Prep'!R20</f>
        <v>0</v>
      </c>
      <c r="AQ19" s="361">
        <f>'Table 5C1B-DArbonne'!P20</f>
        <v>-19.440000000000001</v>
      </c>
      <c r="AR19" s="361">
        <f>'Table 5C1C-Intl_VIBE'!P20</f>
        <v>0</v>
      </c>
      <c r="AS19" s="361">
        <f>'Table 5C1D-NOMMA'!P20</f>
        <v>0</v>
      </c>
      <c r="AT19" s="361">
        <f>'Table 5C1E-LFNO'!R20</f>
        <v>0</v>
      </c>
      <c r="AU19" s="361">
        <f>'Table 5C1F-Lake Charles Charter'!P20</f>
        <v>0</v>
      </c>
      <c r="AV19" s="361">
        <f>'Table 5C1G-JS Clark Academy'!P20</f>
        <v>0</v>
      </c>
      <c r="AW19" s="361">
        <f>'Table 5C1H-Southwest LA Charter'!P20</f>
        <v>0</v>
      </c>
      <c r="AX19" s="361">
        <f>'Table 5C1J-LA Key Academy'!P20</f>
        <v>0</v>
      </c>
      <c r="AY19" s="361">
        <f>'Table 5C1K-Jefferson Chamber'!P20</f>
        <v>0</v>
      </c>
      <c r="AZ19" s="361">
        <f>'Table 5C1L-Tallulah Charter'!P20</f>
        <v>0</v>
      </c>
      <c r="BA19" s="361">
        <f>'Table 5C1M-Northshore Charter'!P20</f>
        <v>0</v>
      </c>
      <c r="BB19" s="361">
        <f>'Table 5C1N-EBR Charter'!P20</f>
        <v>0</v>
      </c>
      <c r="BC19" s="361">
        <f>'Table 5C1O-Lake Charles HS'!P20</f>
        <v>0</v>
      </c>
      <c r="BD19" s="361">
        <f>'Table 5C1P-Delta Charter'!P20</f>
        <v>0</v>
      </c>
      <c r="BE19" s="361">
        <f>'Table 5C2 - LA Virtual Admy'!Q17</f>
        <v>-9</v>
      </c>
      <c r="BF19" s="361">
        <f>'Table 5C3 - LA Connections EBR'!Q17</f>
        <v>-96</v>
      </c>
      <c r="BG19" s="361">
        <f>'Table 5D1 - New Vision'!O20</f>
        <v>0</v>
      </c>
      <c r="BH19" s="361">
        <f>'Table 5D2 - Glencoe'!O20</f>
        <v>0</v>
      </c>
      <c r="BI19" s="361">
        <f>'Table 5D3 - International'!Q20</f>
        <v>0</v>
      </c>
      <c r="BJ19" s="361">
        <f>'Table 5D4 - Avoyelles'!O20</f>
        <v>0</v>
      </c>
      <c r="BK19" s="361">
        <f>'Table 5D5 - Delhi'!O20</f>
        <v>0</v>
      </c>
      <c r="BL19" s="361">
        <f>'Table 5D6 - Milestone'!O20</f>
        <v>0</v>
      </c>
      <c r="BM19" s="361">
        <f>'Table 5D7 - Max'!O20</f>
        <v>0</v>
      </c>
      <c r="BN19" s="361">
        <f>'Table 5D8 - Belle Chasse'!S20</f>
        <v>0</v>
      </c>
      <c r="BO19" s="750">
        <f t="shared" si="61"/>
        <v>946352.18</v>
      </c>
      <c r="BP19" s="47"/>
      <c r="BV19"/>
      <c r="CE19"/>
    </row>
    <row r="20" spans="1:83">
      <c r="A20" s="100">
        <v>15</v>
      </c>
      <c r="B20" s="302" t="s">
        <v>109</v>
      </c>
      <c r="C20" s="319">
        <f>'Table 2_State Distrib and Adjs'!AI21</f>
        <v>1823959</v>
      </c>
      <c r="D20" s="362"/>
      <c r="E20" s="362"/>
      <c r="F20" s="362">
        <f>-'Table 5C1A-Madison Prep'!V21</f>
        <v>0</v>
      </c>
      <c r="G20" s="362">
        <f>-'Table 5C1B-DArbonne'!T21</f>
        <v>0</v>
      </c>
      <c r="H20" s="362">
        <f>-'Table 5C1C-Intl_VIBE'!T21</f>
        <v>0</v>
      </c>
      <c r="I20" s="362">
        <f>-'Table 5C1D-NOMMA'!T21</f>
        <v>0</v>
      </c>
      <c r="J20" s="362"/>
      <c r="K20" s="362">
        <f>-'Table 5C1E-LFNO'!V21</f>
        <v>0</v>
      </c>
      <c r="L20" s="362">
        <f>-'Table 5C1F-Lake Charles Charter'!T21</f>
        <v>0</v>
      </c>
      <c r="M20" s="362">
        <f>-'Table 5C1G-JS Clark Academy'!T21</f>
        <v>0</v>
      </c>
      <c r="N20" s="362">
        <f>-'Table 5C1H-Southwest LA Charter'!T21</f>
        <v>0</v>
      </c>
      <c r="O20" s="362">
        <f>-'Table 5C1J-LA Key Academy'!T21</f>
        <v>0</v>
      </c>
      <c r="P20" s="362">
        <f>-'Table 5C1K-Jefferson Chamber'!T21</f>
        <v>0</v>
      </c>
      <c r="Q20" s="362">
        <f>-'Table 5C1L-Tallulah Charter'!T21</f>
        <v>0</v>
      </c>
      <c r="R20" s="362">
        <f>-'Table 5C1M-Northshore Charter'!T21</f>
        <v>0</v>
      </c>
      <c r="S20" s="362">
        <f>-'Table 5C1N-EBR Charter'!T21</f>
        <v>0</v>
      </c>
      <c r="T20" s="362">
        <f>-'Table 5C1O-Lake Charles HS'!T21</f>
        <v>0</v>
      </c>
      <c r="U20" s="362">
        <f>-'Table 5C1P-Delta Charter'!T21</f>
        <v>-52614.799999999996</v>
      </c>
      <c r="V20" s="362">
        <f>-'Table 5C2 - LA Virtual Admy'!U18</f>
        <v>-632</v>
      </c>
      <c r="W20" s="362">
        <f>-'Table 5C3 - LA Connections EBR'!U18</f>
        <v>-847</v>
      </c>
      <c r="X20" s="362">
        <f>-'Table 5D1 - New Vision'!S21</f>
        <v>0</v>
      </c>
      <c r="Y20" s="362">
        <f>-'Table 5D2 - Glencoe'!S21</f>
        <v>0</v>
      </c>
      <c r="Z20" s="362">
        <f>-'Table 5D3 - International'!U21</f>
        <v>0</v>
      </c>
      <c r="AA20" s="362">
        <f>-'Table 5D4 - Avoyelles'!S21</f>
        <v>0</v>
      </c>
      <c r="AB20" s="362">
        <f>-'Table 5D5 - Delhi'!S21</f>
        <v>0</v>
      </c>
      <c r="AC20" s="362">
        <f>-'Table 5D6 - Milestone'!S21</f>
        <v>0</v>
      </c>
      <c r="AD20" s="362">
        <f>-'Table 5D7 - Max'!S21</f>
        <v>0</v>
      </c>
      <c r="AE20" s="362">
        <f>-'Table 5D8 - Belle Chasse'!W21</f>
        <v>0</v>
      </c>
      <c r="AF20" s="362">
        <f>-'Table 5E_OJJ'!S21</f>
        <v>-545</v>
      </c>
      <c r="AG20" s="362">
        <f>-'Table 5A2 LSMSA'!N21</f>
        <v>-234</v>
      </c>
      <c r="AH20" s="362">
        <f>-'Table 5A3 NOCCA'!L21</f>
        <v>0</v>
      </c>
      <c r="AI20" s="362">
        <f>-'Table 5A4_LSDVI'!L21</f>
        <v>0</v>
      </c>
      <c r="AJ20" s="362">
        <f>-'Table 5A5_SSD'!L21</f>
        <v>0</v>
      </c>
      <c r="AK20" s="362"/>
      <c r="AL20" s="751">
        <f t="shared" si="60"/>
        <v>1769086.2</v>
      </c>
      <c r="AM20" s="362"/>
      <c r="AN20" s="362"/>
      <c r="AO20" s="362"/>
      <c r="AP20" s="362">
        <f>'Table 5C1A-Madison Prep'!R21</f>
        <v>0</v>
      </c>
      <c r="AQ20" s="362">
        <f>'Table 5C1B-DArbonne'!P21</f>
        <v>0</v>
      </c>
      <c r="AR20" s="362">
        <f>'Table 5C1C-Intl_VIBE'!P21</f>
        <v>0</v>
      </c>
      <c r="AS20" s="362">
        <f>'Table 5C1D-NOMMA'!P21</f>
        <v>0</v>
      </c>
      <c r="AT20" s="362">
        <f>'Table 5C1E-LFNO'!R21</f>
        <v>0</v>
      </c>
      <c r="AU20" s="362">
        <f>'Table 5C1F-Lake Charles Charter'!P21</f>
        <v>0</v>
      </c>
      <c r="AV20" s="362">
        <f>'Table 5C1G-JS Clark Academy'!P21</f>
        <v>0</v>
      </c>
      <c r="AW20" s="362">
        <f>'Table 5C1H-Southwest LA Charter'!P21</f>
        <v>0</v>
      </c>
      <c r="AX20" s="362">
        <f>'Table 5C1J-LA Key Academy'!P21</f>
        <v>0</v>
      </c>
      <c r="AY20" s="362">
        <f>'Table 5C1K-Jefferson Chamber'!P21</f>
        <v>0</v>
      </c>
      <c r="AZ20" s="362">
        <f>'Table 5C1L-Tallulah Charter'!P21</f>
        <v>0</v>
      </c>
      <c r="BA20" s="362">
        <f>'Table 5C1M-Northshore Charter'!P21</f>
        <v>0</v>
      </c>
      <c r="BB20" s="362">
        <f>'Table 5C1N-EBR Charter'!P21</f>
        <v>0</v>
      </c>
      <c r="BC20" s="362">
        <f>'Table 5C1O-Lake Charles HS'!P21</f>
        <v>0</v>
      </c>
      <c r="BD20" s="362">
        <f>'Table 5C1P-Delta Charter'!P21</f>
        <v>-1582.4</v>
      </c>
      <c r="BE20" s="362">
        <f>'Table 5C2 - LA Virtual Admy'!Q18</f>
        <v>-25</v>
      </c>
      <c r="BF20" s="362">
        <f>'Table 5C3 - LA Connections EBR'!Q18</f>
        <v>-19</v>
      </c>
      <c r="BG20" s="362">
        <f>'Table 5D1 - New Vision'!O21</f>
        <v>0</v>
      </c>
      <c r="BH20" s="362">
        <f>'Table 5D2 - Glencoe'!O21</f>
        <v>0</v>
      </c>
      <c r="BI20" s="362">
        <f>'Table 5D3 - International'!Q21</f>
        <v>0</v>
      </c>
      <c r="BJ20" s="362">
        <f>'Table 5D4 - Avoyelles'!O21</f>
        <v>0</v>
      </c>
      <c r="BK20" s="362">
        <f>'Table 5D5 - Delhi'!O21</f>
        <v>0</v>
      </c>
      <c r="BL20" s="362">
        <f>'Table 5D6 - Milestone'!O21</f>
        <v>0</v>
      </c>
      <c r="BM20" s="362">
        <f>'Table 5D7 - Max'!O21</f>
        <v>0</v>
      </c>
      <c r="BN20" s="362">
        <f>'Table 5D8 - Belle Chasse'!S21</f>
        <v>0</v>
      </c>
      <c r="BO20" s="751">
        <f t="shared" si="61"/>
        <v>1767459.8</v>
      </c>
      <c r="BP20" s="47"/>
      <c r="BV20"/>
      <c r="CE20"/>
    </row>
    <row r="21" spans="1:83">
      <c r="A21" s="99">
        <v>16</v>
      </c>
      <c r="B21" s="301" t="s">
        <v>110</v>
      </c>
      <c r="C21" s="310">
        <f>'Table 2_State Distrib and Adjs'!AI22</f>
        <v>902351</v>
      </c>
      <c r="D21" s="361"/>
      <c r="E21" s="361"/>
      <c r="F21" s="361">
        <f>-'Table 5C1A-Madison Prep'!V22</f>
        <v>0</v>
      </c>
      <c r="G21" s="361">
        <f>-'Table 5C1B-DArbonne'!T22</f>
        <v>0</v>
      </c>
      <c r="H21" s="361">
        <f>-'Table 5C1C-Intl_VIBE'!T22</f>
        <v>0</v>
      </c>
      <c r="I21" s="361">
        <f>-'Table 5C1D-NOMMA'!T22</f>
        <v>0</v>
      </c>
      <c r="J21" s="361"/>
      <c r="K21" s="361">
        <f>-'Table 5C1E-LFNO'!V22</f>
        <v>0</v>
      </c>
      <c r="L21" s="361">
        <f>-'Table 5C1F-Lake Charles Charter'!T22</f>
        <v>0</v>
      </c>
      <c r="M21" s="361">
        <f>-'Table 5C1G-JS Clark Academy'!T22</f>
        <v>0</v>
      </c>
      <c r="N21" s="361">
        <f>-'Table 5C1H-Southwest LA Charter'!T22</f>
        <v>0</v>
      </c>
      <c r="O21" s="361">
        <f>-'Table 5C1J-LA Key Academy'!T22</f>
        <v>0</v>
      </c>
      <c r="P21" s="361">
        <f>-'Table 5C1K-Jefferson Chamber'!T22</f>
        <v>0</v>
      </c>
      <c r="Q21" s="361">
        <f>-'Table 5C1L-Tallulah Charter'!T22</f>
        <v>0</v>
      </c>
      <c r="R21" s="361">
        <f>-'Table 5C1M-Northshore Charter'!T22</f>
        <v>0</v>
      </c>
      <c r="S21" s="361">
        <f>-'Table 5C1N-EBR Charter'!T22</f>
        <v>0</v>
      </c>
      <c r="T21" s="361">
        <f>-'Table 5C1O-Lake Charles HS'!T22</f>
        <v>0</v>
      </c>
      <c r="U21" s="361">
        <f>-'Table 5C1P-Delta Charter'!T22</f>
        <v>0</v>
      </c>
      <c r="V21" s="361">
        <f>-'Table 5C2 - LA Virtual Admy'!U19</f>
        <v>-12420</v>
      </c>
      <c r="W21" s="361">
        <f>-'Table 5C3 - LA Connections EBR'!U19</f>
        <v>-5517</v>
      </c>
      <c r="X21" s="361">
        <f>-'Table 5D1 - New Vision'!S22</f>
        <v>0</v>
      </c>
      <c r="Y21" s="361">
        <f>-'Table 5D2 - Glencoe'!S22</f>
        <v>0</v>
      </c>
      <c r="Z21" s="361">
        <f>-'Table 5D3 - International'!U22</f>
        <v>0</v>
      </c>
      <c r="AA21" s="361">
        <f>-'Table 5D4 - Avoyelles'!S22</f>
        <v>0</v>
      </c>
      <c r="AB21" s="361">
        <f>-'Table 5D5 - Delhi'!S22</f>
        <v>0</v>
      </c>
      <c r="AC21" s="361">
        <f>-'Table 5D6 - Milestone'!S22</f>
        <v>0</v>
      </c>
      <c r="AD21" s="361">
        <f>-'Table 5D7 - Max'!S22</f>
        <v>0</v>
      </c>
      <c r="AE21" s="361">
        <f>-'Table 5D8 - Belle Chasse'!W22</f>
        <v>0</v>
      </c>
      <c r="AF21" s="361">
        <f>-'Table 5E_OJJ'!S22</f>
        <v>-1116</v>
      </c>
      <c r="AG21" s="361">
        <f>-'Table 5A2 LSMSA'!N22</f>
        <v>0</v>
      </c>
      <c r="AH21" s="361">
        <f>-'Table 5A3 NOCCA'!L22</f>
        <v>0</v>
      </c>
      <c r="AI21" s="361">
        <f>-'Table 5A4_LSDVI'!L22</f>
        <v>0</v>
      </c>
      <c r="AJ21" s="361">
        <f>-'Table 5A5_SSD'!L22</f>
        <v>-2490</v>
      </c>
      <c r="AK21" s="361"/>
      <c r="AL21" s="750">
        <f t="shared" si="60"/>
        <v>880808</v>
      </c>
      <c r="AM21" s="361"/>
      <c r="AN21" s="361"/>
      <c r="AO21" s="361"/>
      <c r="AP21" s="361">
        <f>'Table 5C1A-Madison Prep'!R22</f>
        <v>0</v>
      </c>
      <c r="AQ21" s="361">
        <f>'Table 5C1B-DArbonne'!P22</f>
        <v>0</v>
      </c>
      <c r="AR21" s="361">
        <f>'Table 5C1C-Intl_VIBE'!P22</f>
        <v>0</v>
      </c>
      <c r="AS21" s="361">
        <f>'Table 5C1D-NOMMA'!P22</f>
        <v>0</v>
      </c>
      <c r="AT21" s="361">
        <f>'Table 5C1E-LFNO'!R22</f>
        <v>0</v>
      </c>
      <c r="AU21" s="361">
        <f>'Table 5C1F-Lake Charles Charter'!P22</f>
        <v>0</v>
      </c>
      <c r="AV21" s="361">
        <f>'Table 5C1G-JS Clark Academy'!P22</f>
        <v>0</v>
      </c>
      <c r="AW21" s="361">
        <f>'Table 5C1H-Southwest LA Charter'!P22</f>
        <v>0</v>
      </c>
      <c r="AX21" s="361">
        <f>'Table 5C1J-LA Key Academy'!P22</f>
        <v>0</v>
      </c>
      <c r="AY21" s="361">
        <f>'Table 5C1K-Jefferson Chamber'!P22</f>
        <v>0</v>
      </c>
      <c r="AZ21" s="361">
        <f>'Table 5C1L-Tallulah Charter'!P22</f>
        <v>0</v>
      </c>
      <c r="BA21" s="361">
        <f>'Table 5C1M-Northshore Charter'!P22</f>
        <v>0</v>
      </c>
      <c r="BB21" s="361">
        <f>'Table 5C1N-EBR Charter'!P22</f>
        <v>0</v>
      </c>
      <c r="BC21" s="361">
        <f>'Table 5C1O-Lake Charles HS'!P22</f>
        <v>0</v>
      </c>
      <c r="BD21" s="361">
        <f>'Table 5C1P-Delta Charter'!P22</f>
        <v>0</v>
      </c>
      <c r="BE21" s="361">
        <f>'Table 5C2 - LA Virtual Admy'!Q19</f>
        <v>-374</v>
      </c>
      <c r="BF21" s="361">
        <f>'Table 5C3 - LA Connections EBR'!Q19</f>
        <v>-204</v>
      </c>
      <c r="BG21" s="361">
        <f>'Table 5D1 - New Vision'!O22</f>
        <v>0</v>
      </c>
      <c r="BH21" s="361">
        <f>'Table 5D2 - Glencoe'!O22</f>
        <v>0</v>
      </c>
      <c r="BI21" s="361">
        <f>'Table 5D3 - International'!Q22</f>
        <v>0</v>
      </c>
      <c r="BJ21" s="361">
        <f>'Table 5D4 - Avoyelles'!O22</f>
        <v>0</v>
      </c>
      <c r="BK21" s="361">
        <f>'Table 5D5 - Delhi'!O22</f>
        <v>0</v>
      </c>
      <c r="BL21" s="361">
        <f>'Table 5D6 - Milestone'!O22</f>
        <v>0</v>
      </c>
      <c r="BM21" s="361">
        <f>'Table 5D7 - Max'!O22</f>
        <v>0</v>
      </c>
      <c r="BN21" s="361">
        <f>'Table 5D8 - Belle Chasse'!S22</f>
        <v>0</v>
      </c>
      <c r="BO21" s="750">
        <f t="shared" si="61"/>
        <v>880230</v>
      </c>
      <c r="BP21" s="47"/>
      <c r="BV21"/>
      <c r="CE21"/>
    </row>
    <row r="22" spans="1:83">
      <c r="A22" s="99">
        <v>17</v>
      </c>
      <c r="B22" s="301" t="s">
        <v>111</v>
      </c>
      <c r="C22" s="310">
        <f>'Table 2_State Distrib and Adjs'!AI23</f>
        <v>13826939</v>
      </c>
      <c r="D22" s="361">
        <f>-'Table 5B2_RSD_LA'!X18</f>
        <v>-1049030.1066666667</v>
      </c>
      <c r="E22" s="361"/>
      <c r="F22" s="361">
        <f>-'Table 5C1A-Madison Prep'!V23</f>
        <v>-112177.68625000001</v>
      </c>
      <c r="G22" s="361">
        <f>-'Table 5C1B-DArbonne'!T23</f>
        <v>0</v>
      </c>
      <c r="H22" s="361">
        <f>-'Table 5C1C-Intl_VIBE'!T23</f>
        <v>0</v>
      </c>
      <c r="I22" s="361">
        <f>-'Table 5C1D-NOMMA'!T23</f>
        <v>0</v>
      </c>
      <c r="J22" s="361"/>
      <c r="K22" s="361">
        <f>-'Table 5C1E-LFNO'!V23</f>
        <v>0</v>
      </c>
      <c r="L22" s="361">
        <f>-'Table 5C1F-Lake Charles Charter'!T23</f>
        <v>0</v>
      </c>
      <c r="M22" s="361">
        <f>-'Table 5C1G-JS Clark Academy'!T23</f>
        <v>0</v>
      </c>
      <c r="N22" s="361">
        <f>-'Table 5C1H-Southwest LA Charter'!T23</f>
        <v>0</v>
      </c>
      <c r="O22" s="361">
        <f>-'Table 5C1J-LA Key Academy'!T23</f>
        <v>-168266.52937500001</v>
      </c>
      <c r="P22" s="361">
        <f>-'Table 5C1K-Jefferson Chamber'!T23</f>
        <v>0</v>
      </c>
      <c r="Q22" s="361">
        <f>-'Table 5C1L-Tallulah Charter'!T23</f>
        <v>0</v>
      </c>
      <c r="R22" s="361">
        <f>-'Table 5C1M-Northshore Charter'!T23</f>
        <v>0</v>
      </c>
      <c r="S22" s="361">
        <f>-'Table 5C1N-EBR Charter'!T23</f>
        <v>-148118.11000000002</v>
      </c>
      <c r="T22" s="361">
        <f>-'Table 5C1O-Lake Charles HS'!T23</f>
        <v>0</v>
      </c>
      <c r="U22" s="361">
        <f>-'Table 5C1P-Delta Charter'!T23</f>
        <v>0</v>
      </c>
      <c r="V22" s="361">
        <f>-'Table 5C2 - LA Virtual Admy'!U20</f>
        <v>-36548</v>
      </c>
      <c r="W22" s="361">
        <f>-'Table 5C3 - LA Connections EBR'!U20</f>
        <v>-34518</v>
      </c>
      <c r="X22" s="361">
        <f>-'Table 5D1 - New Vision'!S23</f>
        <v>0</v>
      </c>
      <c r="Y22" s="361">
        <f>-'Table 5D2 - Glencoe'!S23</f>
        <v>0</v>
      </c>
      <c r="Z22" s="361">
        <f>-'Table 5D3 - International'!U23</f>
        <v>0</v>
      </c>
      <c r="AA22" s="361">
        <f>-'Table 5D4 - Avoyelles'!S23</f>
        <v>0</v>
      </c>
      <c r="AB22" s="361">
        <f>-'Table 5D5 - Delhi'!S23</f>
        <v>0</v>
      </c>
      <c r="AC22" s="361">
        <f>-'Table 5D6 - Milestone'!S23</f>
        <v>0</v>
      </c>
      <c r="AD22" s="361">
        <f>-'Table 5D7 - Max'!S23</f>
        <v>0</v>
      </c>
      <c r="AE22" s="361">
        <f>-'Table 5D8 - Belle Chasse'!W23</f>
        <v>0</v>
      </c>
      <c r="AF22" s="361">
        <f>-'Table 5E_OJJ'!S23</f>
        <v>-14991</v>
      </c>
      <c r="AG22" s="361">
        <f>-'Table 5A2 LSMSA'!N23</f>
        <v>-10294</v>
      </c>
      <c r="AH22" s="361">
        <f>-'Table 5A3 NOCCA'!L23</f>
        <v>0</v>
      </c>
      <c r="AI22" s="361">
        <f>-'Table 5A4_LSDVI'!L23</f>
        <v>-20207</v>
      </c>
      <c r="AJ22" s="361">
        <f>-'Table 5A5_SSD'!L23</f>
        <v>-6482</v>
      </c>
      <c r="AK22" s="361"/>
      <c r="AL22" s="750">
        <f t="shared" si="60"/>
        <v>12226306.567708334</v>
      </c>
      <c r="AM22" s="361">
        <f>'Table 5B2_RSD_LA'!R18</f>
        <v>-49471.380000000005</v>
      </c>
      <c r="AN22" s="361">
        <f>'Table 5B2_RSD_LA'!S18</f>
        <v>-7067.34</v>
      </c>
      <c r="AO22" s="361"/>
      <c r="AP22" s="361">
        <f>'Table 5C1A-Madison Prep'!R23</f>
        <v>-3373.7649999999999</v>
      </c>
      <c r="AQ22" s="361">
        <f>'Table 5C1B-DArbonne'!P23</f>
        <v>0</v>
      </c>
      <c r="AR22" s="361">
        <f>'Table 5C1C-Intl_VIBE'!P23</f>
        <v>0</v>
      </c>
      <c r="AS22" s="361">
        <f>'Table 5C1D-NOMMA'!P23</f>
        <v>0</v>
      </c>
      <c r="AT22" s="361">
        <f>'Table 5C1E-LFNO'!R23</f>
        <v>0</v>
      </c>
      <c r="AU22" s="361">
        <f>'Table 5C1F-Lake Charles Charter'!P23</f>
        <v>0</v>
      </c>
      <c r="AV22" s="361">
        <f>'Table 5C1G-JS Clark Academy'!P23</f>
        <v>0</v>
      </c>
      <c r="AW22" s="361">
        <f>'Table 5C1H-Southwest LA Charter'!P23</f>
        <v>0</v>
      </c>
      <c r="AX22" s="361">
        <f>'Table 5C1J-LA Key Academy'!P23</f>
        <v>-5060.6475</v>
      </c>
      <c r="AY22" s="361">
        <f>'Table 5C1K-Jefferson Chamber'!P23</f>
        <v>0</v>
      </c>
      <c r="AZ22" s="361">
        <f>'Table 5C1L-Tallulah Charter'!P23</f>
        <v>0</v>
      </c>
      <c r="BA22" s="361">
        <f>'Table 5C1M-Northshore Charter'!P23</f>
        <v>0</v>
      </c>
      <c r="BB22" s="361">
        <f>'Table 5C1N-EBR Charter'!P23</f>
        <v>-4454.68</v>
      </c>
      <c r="BC22" s="361">
        <f>'Table 5C1O-Lake Charles HS'!P23</f>
        <v>0</v>
      </c>
      <c r="BD22" s="361">
        <f>'Table 5C1P-Delta Charter'!P23</f>
        <v>0</v>
      </c>
      <c r="BE22" s="361">
        <f>'Table 5C2 - LA Virtual Admy'!Q20</f>
        <v>-1017</v>
      </c>
      <c r="BF22" s="361">
        <f>'Table 5C3 - LA Connections EBR'!Q20</f>
        <v>-1120</v>
      </c>
      <c r="BG22" s="361">
        <f>'Table 5D1 - New Vision'!O23</f>
        <v>0</v>
      </c>
      <c r="BH22" s="361">
        <f>'Table 5D2 - Glencoe'!O23</f>
        <v>0</v>
      </c>
      <c r="BI22" s="361">
        <f>'Table 5D3 - International'!Q23</f>
        <v>0</v>
      </c>
      <c r="BJ22" s="361">
        <f>'Table 5D4 - Avoyelles'!O23</f>
        <v>0</v>
      </c>
      <c r="BK22" s="361">
        <f>'Table 5D5 - Delhi'!O23</f>
        <v>0</v>
      </c>
      <c r="BL22" s="361">
        <f>'Table 5D6 - Milestone'!O23</f>
        <v>0</v>
      </c>
      <c r="BM22" s="361">
        <f>'Table 5D7 - Max'!O23</f>
        <v>0</v>
      </c>
      <c r="BN22" s="361">
        <f>'Table 5D8 - Belle Chasse'!S23</f>
        <v>0</v>
      </c>
      <c r="BO22" s="750">
        <f t="shared" si="61"/>
        <v>12154741.755208332</v>
      </c>
      <c r="BP22" s="47"/>
      <c r="BV22"/>
      <c r="CE22"/>
    </row>
    <row r="23" spans="1:83">
      <c r="A23" s="99">
        <v>18</v>
      </c>
      <c r="B23" s="301" t="s">
        <v>112</v>
      </c>
      <c r="C23" s="310">
        <f>'Table 2_State Distrib and Adjs'!AI24</f>
        <v>633155</v>
      </c>
      <c r="D23" s="361"/>
      <c r="E23" s="361"/>
      <c r="F23" s="361">
        <f>-'Table 5C1A-Madison Prep'!V24</f>
        <v>0</v>
      </c>
      <c r="G23" s="361">
        <f>-'Table 5C1B-DArbonne'!T24</f>
        <v>0</v>
      </c>
      <c r="H23" s="361">
        <f>-'Table 5C1C-Intl_VIBE'!T24</f>
        <v>0</v>
      </c>
      <c r="I23" s="361">
        <f>-'Table 5C1D-NOMMA'!T24</f>
        <v>0</v>
      </c>
      <c r="J23" s="361"/>
      <c r="K23" s="361">
        <f>-'Table 5C1E-LFNO'!V24</f>
        <v>0</v>
      </c>
      <c r="L23" s="361">
        <f>-'Table 5C1F-Lake Charles Charter'!T24</f>
        <v>0</v>
      </c>
      <c r="M23" s="361">
        <f>-'Table 5C1G-JS Clark Academy'!T24</f>
        <v>0</v>
      </c>
      <c r="N23" s="361">
        <f>-'Table 5C1H-Southwest LA Charter'!T24</f>
        <v>0</v>
      </c>
      <c r="O23" s="361">
        <f>-'Table 5C1J-LA Key Academy'!T24</f>
        <v>0</v>
      </c>
      <c r="P23" s="361">
        <f>-'Table 5C1K-Jefferson Chamber'!T24</f>
        <v>0</v>
      </c>
      <c r="Q23" s="361">
        <f>-'Table 5C1L-Tallulah Charter'!T24</f>
        <v>-1439.7250000000001</v>
      </c>
      <c r="R23" s="361">
        <f>-'Table 5C1M-Northshore Charter'!T24</f>
        <v>0</v>
      </c>
      <c r="S23" s="361">
        <f>-'Table 5C1N-EBR Charter'!T24</f>
        <v>0</v>
      </c>
      <c r="T23" s="361">
        <f>-'Table 5C1O-Lake Charles HS'!T24</f>
        <v>0</v>
      </c>
      <c r="U23" s="361">
        <f>-'Table 5C1P-Delta Charter'!T24</f>
        <v>0</v>
      </c>
      <c r="V23" s="361">
        <f>-'Table 5C2 - LA Virtual Admy'!U21</f>
        <v>-162</v>
      </c>
      <c r="W23" s="361">
        <f>-'Table 5C3 - LA Connections EBR'!U21</f>
        <v>0</v>
      </c>
      <c r="X23" s="361">
        <f>-'Table 5D1 - New Vision'!S24</f>
        <v>0</v>
      </c>
      <c r="Y23" s="361">
        <f>-'Table 5D2 - Glencoe'!S24</f>
        <v>0</v>
      </c>
      <c r="Z23" s="361">
        <f>-'Table 5D3 - International'!U24</f>
        <v>0</v>
      </c>
      <c r="AA23" s="361">
        <f>-'Table 5D4 - Avoyelles'!S24</f>
        <v>0</v>
      </c>
      <c r="AB23" s="361">
        <f>-'Table 5D5 - Delhi'!S24</f>
        <v>-1260</v>
      </c>
      <c r="AC23" s="361">
        <f>-'Table 5D6 - Milestone'!S24</f>
        <v>0</v>
      </c>
      <c r="AD23" s="361">
        <f>-'Table 5D7 - Max'!S24</f>
        <v>0</v>
      </c>
      <c r="AE23" s="361">
        <f>-'Table 5D8 - Belle Chasse'!W24</f>
        <v>0</v>
      </c>
      <c r="AF23" s="361">
        <f>-'Table 5E_OJJ'!S24</f>
        <v>-308</v>
      </c>
      <c r="AG23" s="361">
        <f>-'Table 5A2 LSMSA'!N24</f>
        <v>0</v>
      </c>
      <c r="AH23" s="361">
        <f>-'Table 5A3 NOCCA'!L24</f>
        <v>0</v>
      </c>
      <c r="AI23" s="361">
        <f>-'Table 5A4_LSDVI'!L24</f>
        <v>0</v>
      </c>
      <c r="AJ23" s="361">
        <f>-'Table 5A5_SSD'!L24</f>
        <v>-189</v>
      </c>
      <c r="AK23" s="361"/>
      <c r="AL23" s="750">
        <f t="shared" si="60"/>
        <v>629796.27500000002</v>
      </c>
      <c r="AM23" s="361"/>
      <c r="AN23" s="361"/>
      <c r="AO23" s="361"/>
      <c r="AP23" s="361">
        <f>'Table 5C1A-Madison Prep'!R24</f>
        <v>0</v>
      </c>
      <c r="AQ23" s="361">
        <f>'Table 5C1B-DArbonne'!P24</f>
        <v>0</v>
      </c>
      <c r="AR23" s="361">
        <f>'Table 5C1C-Intl_VIBE'!P24</f>
        <v>0</v>
      </c>
      <c r="AS23" s="361">
        <f>'Table 5C1D-NOMMA'!P24</f>
        <v>0</v>
      </c>
      <c r="AT23" s="361">
        <f>'Table 5C1E-LFNO'!R24</f>
        <v>0</v>
      </c>
      <c r="AU23" s="361">
        <f>'Table 5C1F-Lake Charles Charter'!P24</f>
        <v>0</v>
      </c>
      <c r="AV23" s="361">
        <f>'Table 5C1G-JS Clark Academy'!P24</f>
        <v>0</v>
      </c>
      <c r="AW23" s="361">
        <f>'Table 5C1H-Southwest LA Charter'!P24</f>
        <v>0</v>
      </c>
      <c r="AX23" s="361">
        <f>'Table 5C1J-LA Key Academy'!P24</f>
        <v>0</v>
      </c>
      <c r="AY23" s="361">
        <f>'Table 5C1K-Jefferson Chamber'!P24</f>
        <v>0</v>
      </c>
      <c r="AZ23" s="361">
        <f>'Table 5C1L-Tallulah Charter'!P24</f>
        <v>-43.300000000000004</v>
      </c>
      <c r="BA23" s="361">
        <f>'Table 5C1M-Northshore Charter'!P24</f>
        <v>0</v>
      </c>
      <c r="BB23" s="361">
        <f>'Table 5C1N-EBR Charter'!P24</f>
        <v>0</v>
      </c>
      <c r="BC23" s="361">
        <f>'Table 5C1O-Lake Charles HS'!P24</f>
        <v>0</v>
      </c>
      <c r="BD23" s="361">
        <f>'Table 5C1P-Delta Charter'!P24</f>
        <v>0</v>
      </c>
      <c r="BE23" s="361">
        <f>'Table 5C2 - LA Virtual Admy'!Q21</f>
        <v>-5</v>
      </c>
      <c r="BF23" s="361">
        <f>'Table 5C3 - LA Connections EBR'!Q21</f>
        <v>0</v>
      </c>
      <c r="BG23" s="361">
        <f>'Table 5D1 - New Vision'!O24</f>
        <v>0</v>
      </c>
      <c r="BH23" s="361">
        <f>'Table 5D2 - Glencoe'!O24</f>
        <v>0</v>
      </c>
      <c r="BI23" s="361">
        <f>'Table 5D3 - International'!Q24</f>
        <v>0</v>
      </c>
      <c r="BJ23" s="361">
        <f>'Table 5D4 - Avoyelles'!O24</f>
        <v>0</v>
      </c>
      <c r="BK23" s="361">
        <f>'Table 5D5 - Delhi'!O24</f>
        <v>-37.887500000000003</v>
      </c>
      <c r="BL23" s="361">
        <f>'Table 5D6 - Milestone'!O24</f>
        <v>0</v>
      </c>
      <c r="BM23" s="361">
        <f>'Table 5D7 - Max'!O24</f>
        <v>0</v>
      </c>
      <c r="BN23" s="361">
        <f>'Table 5D8 - Belle Chasse'!S24</f>
        <v>0</v>
      </c>
      <c r="BO23" s="750">
        <f t="shared" si="61"/>
        <v>629710.08750000002</v>
      </c>
      <c r="BP23" s="47"/>
      <c r="BV23"/>
      <c r="CE23"/>
    </row>
    <row r="24" spans="1:83">
      <c r="A24" s="99">
        <v>19</v>
      </c>
      <c r="B24" s="301" t="s">
        <v>113</v>
      </c>
      <c r="C24" s="310">
        <f>'Table 2_State Distrib and Adjs'!AI25</f>
        <v>980868</v>
      </c>
      <c r="D24" s="361"/>
      <c r="E24" s="361"/>
      <c r="F24" s="361">
        <f>-'Table 5C1A-Madison Prep'!V25</f>
        <v>0</v>
      </c>
      <c r="G24" s="361">
        <f>-'Table 5C1B-DArbonne'!T25</f>
        <v>0</v>
      </c>
      <c r="H24" s="361">
        <f>-'Table 5C1C-Intl_VIBE'!T25</f>
        <v>0</v>
      </c>
      <c r="I24" s="361">
        <f>-'Table 5C1D-NOMMA'!T25</f>
        <v>0</v>
      </c>
      <c r="J24" s="361"/>
      <c r="K24" s="361">
        <f>-'Table 5C1E-LFNO'!V25</f>
        <v>0</v>
      </c>
      <c r="L24" s="361">
        <f>-'Table 5C1F-Lake Charles Charter'!T25</f>
        <v>0</v>
      </c>
      <c r="M24" s="361">
        <f>-'Table 5C1G-JS Clark Academy'!T25</f>
        <v>0</v>
      </c>
      <c r="N24" s="361">
        <f>-'Table 5C1H-Southwest LA Charter'!T25</f>
        <v>0</v>
      </c>
      <c r="O24" s="361">
        <f>-'Table 5C1J-LA Key Academy'!T25</f>
        <v>0</v>
      </c>
      <c r="P24" s="361">
        <f>-'Table 5C1K-Jefferson Chamber'!T25</f>
        <v>0</v>
      </c>
      <c r="Q24" s="361">
        <f>-'Table 5C1L-Tallulah Charter'!T25</f>
        <v>0</v>
      </c>
      <c r="R24" s="361">
        <f>-'Table 5C1M-Northshore Charter'!T25</f>
        <v>0</v>
      </c>
      <c r="S24" s="361">
        <f>-'Table 5C1N-EBR Charter'!T25</f>
        <v>0</v>
      </c>
      <c r="T24" s="361">
        <f>-'Table 5C1O-Lake Charles HS'!T25</f>
        <v>0</v>
      </c>
      <c r="U24" s="361">
        <f>-'Table 5C1P-Delta Charter'!T25</f>
        <v>0</v>
      </c>
      <c r="V24" s="361">
        <f>-'Table 5C2 - LA Virtual Admy'!U22</f>
        <v>-1105</v>
      </c>
      <c r="W24" s="361">
        <f>-'Table 5C3 - LA Connections EBR'!U22</f>
        <v>-1225</v>
      </c>
      <c r="X24" s="361">
        <f>-'Table 5D1 - New Vision'!S25</f>
        <v>0</v>
      </c>
      <c r="Y24" s="361">
        <f>-'Table 5D2 - Glencoe'!S25</f>
        <v>0</v>
      </c>
      <c r="Z24" s="361">
        <f>-'Table 5D3 - International'!U25</f>
        <v>0</v>
      </c>
      <c r="AA24" s="361">
        <f>-'Table 5D4 - Avoyelles'!S25</f>
        <v>0</v>
      </c>
      <c r="AB24" s="361">
        <f>-'Table 5D5 - Delhi'!S25</f>
        <v>0</v>
      </c>
      <c r="AC24" s="361">
        <f>-'Table 5D6 - Milestone'!S25</f>
        <v>0</v>
      </c>
      <c r="AD24" s="361">
        <f>-'Table 5D7 - Max'!S25</f>
        <v>0</v>
      </c>
      <c r="AE24" s="361">
        <f>-'Table 5D8 - Belle Chasse'!W25</f>
        <v>0</v>
      </c>
      <c r="AF24" s="361">
        <f>-'Table 5E_OJJ'!S25</f>
        <v>-73</v>
      </c>
      <c r="AG24" s="361">
        <f>-'Table 5A2 LSMSA'!N25</f>
        <v>0</v>
      </c>
      <c r="AH24" s="361">
        <f>-'Table 5A3 NOCCA'!L25</f>
        <v>0</v>
      </c>
      <c r="AI24" s="361">
        <f>-'Table 5A4_LSDVI'!L25</f>
        <v>-919</v>
      </c>
      <c r="AJ24" s="361">
        <f>-'Table 5A5_SSD'!L25</f>
        <v>0</v>
      </c>
      <c r="AK24" s="361"/>
      <c r="AL24" s="750">
        <f t="shared" si="60"/>
        <v>977546</v>
      </c>
      <c r="AM24" s="361"/>
      <c r="AN24" s="361"/>
      <c r="AO24" s="361"/>
      <c r="AP24" s="361">
        <f>'Table 5C1A-Madison Prep'!R25</f>
        <v>0</v>
      </c>
      <c r="AQ24" s="361">
        <f>'Table 5C1B-DArbonne'!P25</f>
        <v>0</v>
      </c>
      <c r="AR24" s="361">
        <f>'Table 5C1C-Intl_VIBE'!P25</f>
        <v>0</v>
      </c>
      <c r="AS24" s="361">
        <f>'Table 5C1D-NOMMA'!P25</f>
        <v>0</v>
      </c>
      <c r="AT24" s="361">
        <f>'Table 5C1E-LFNO'!R25</f>
        <v>0</v>
      </c>
      <c r="AU24" s="361">
        <f>'Table 5C1F-Lake Charles Charter'!P25</f>
        <v>0</v>
      </c>
      <c r="AV24" s="361">
        <f>'Table 5C1G-JS Clark Academy'!P25</f>
        <v>0</v>
      </c>
      <c r="AW24" s="361">
        <f>'Table 5C1H-Southwest LA Charter'!P25</f>
        <v>0</v>
      </c>
      <c r="AX24" s="361">
        <f>'Table 5C1J-LA Key Academy'!P25</f>
        <v>0</v>
      </c>
      <c r="AY24" s="361">
        <f>'Table 5C1K-Jefferson Chamber'!P25</f>
        <v>0</v>
      </c>
      <c r="AZ24" s="361">
        <f>'Table 5C1L-Tallulah Charter'!P25</f>
        <v>0</v>
      </c>
      <c r="BA24" s="361">
        <f>'Table 5C1M-Northshore Charter'!P25</f>
        <v>0</v>
      </c>
      <c r="BB24" s="361">
        <f>'Table 5C1N-EBR Charter'!P25</f>
        <v>0</v>
      </c>
      <c r="BC24" s="361">
        <f>'Table 5C1O-Lake Charles HS'!P25</f>
        <v>0</v>
      </c>
      <c r="BD24" s="361">
        <f>'Table 5C1P-Delta Charter'!P25</f>
        <v>0</v>
      </c>
      <c r="BE24" s="361">
        <f>'Table 5C2 - LA Virtual Admy'!Q22</f>
        <v>-31</v>
      </c>
      <c r="BF24" s="361">
        <f>'Table 5C3 - LA Connections EBR'!Q22</f>
        <v>-37</v>
      </c>
      <c r="BG24" s="361">
        <f>'Table 5D1 - New Vision'!O25</f>
        <v>0</v>
      </c>
      <c r="BH24" s="361">
        <f>'Table 5D2 - Glencoe'!O25</f>
        <v>0</v>
      </c>
      <c r="BI24" s="361">
        <f>'Table 5D3 - International'!Q25</f>
        <v>0</v>
      </c>
      <c r="BJ24" s="361">
        <f>'Table 5D4 - Avoyelles'!O25</f>
        <v>0</v>
      </c>
      <c r="BK24" s="361">
        <f>'Table 5D5 - Delhi'!O25</f>
        <v>0</v>
      </c>
      <c r="BL24" s="361">
        <f>'Table 5D6 - Milestone'!O25</f>
        <v>0</v>
      </c>
      <c r="BM24" s="361">
        <f>'Table 5D7 - Max'!O25</f>
        <v>0</v>
      </c>
      <c r="BN24" s="361">
        <f>'Table 5D8 - Belle Chasse'!S25</f>
        <v>0</v>
      </c>
      <c r="BO24" s="750">
        <f t="shared" si="61"/>
        <v>977478</v>
      </c>
      <c r="BP24" s="47"/>
      <c r="BV24"/>
      <c r="CE24"/>
    </row>
    <row r="25" spans="1:83">
      <c r="A25" s="100">
        <v>20</v>
      </c>
      <c r="B25" s="302" t="s">
        <v>114</v>
      </c>
      <c r="C25" s="319">
        <f>'Table 2_State Distrib and Adjs'!AI26</f>
        <v>2929575</v>
      </c>
      <c r="D25" s="362"/>
      <c r="E25" s="362"/>
      <c r="F25" s="362">
        <f>-'Table 5C1A-Madison Prep'!V26</f>
        <v>0</v>
      </c>
      <c r="G25" s="362">
        <f>-'Table 5C1B-DArbonne'!T26</f>
        <v>0</v>
      </c>
      <c r="H25" s="362">
        <f>-'Table 5C1C-Intl_VIBE'!T26</f>
        <v>0</v>
      </c>
      <c r="I25" s="362">
        <f>-'Table 5C1D-NOMMA'!T26</f>
        <v>0</v>
      </c>
      <c r="J25" s="362"/>
      <c r="K25" s="362">
        <f>-'Table 5C1E-LFNO'!V26</f>
        <v>0</v>
      </c>
      <c r="L25" s="362">
        <f>-'Table 5C1F-Lake Charles Charter'!T26</f>
        <v>0</v>
      </c>
      <c r="M25" s="362">
        <f>-'Table 5C1G-JS Clark Academy'!T26</f>
        <v>0</v>
      </c>
      <c r="N25" s="362">
        <f>-'Table 5C1H-Southwest LA Charter'!T26</f>
        <v>0</v>
      </c>
      <c r="O25" s="362">
        <f>-'Table 5C1J-LA Key Academy'!T26</f>
        <v>0</v>
      </c>
      <c r="P25" s="362">
        <f>-'Table 5C1K-Jefferson Chamber'!T26</f>
        <v>0</v>
      </c>
      <c r="Q25" s="362">
        <f>-'Table 5C1L-Tallulah Charter'!T26</f>
        <v>0</v>
      </c>
      <c r="R25" s="362">
        <f>-'Table 5C1M-Northshore Charter'!T26</f>
        <v>0</v>
      </c>
      <c r="S25" s="362">
        <f>-'Table 5C1N-EBR Charter'!T26</f>
        <v>0</v>
      </c>
      <c r="T25" s="362">
        <f>-'Table 5C1O-Lake Charles HS'!T26</f>
        <v>0</v>
      </c>
      <c r="U25" s="362">
        <f>-'Table 5C1P-Delta Charter'!T26</f>
        <v>0</v>
      </c>
      <c r="V25" s="362">
        <f>-'Table 5C2 - LA Virtual Admy'!U23</f>
        <v>-1129</v>
      </c>
      <c r="W25" s="362">
        <f>-'Table 5C3 - LA Connections EBR'!U23</f>
        <v>-698</v>
      </c>
      <c r="X25" s="362">
        <f>-'Table 5D1 - New Vision'!S26</f>
        <v>0</v>
      </c>
      <c r="Y25" s="362">
        <f>-'Table 5D2 - Glencoe'!S26</f>
        <v>0</v>
      </c>
      <c r="Z25" s="362">
        <f>-'Table 5D3 - International'!U26</f>
        <v>0</v>
      </c>
      <c r="AA25" s="362">
        <f>-'Table 5D4 - Avoyelles'!S26</f>
        <v>0</v>
      </c>
      <c r="AB25" s="362">
        <f>-'Table 5D5 - Delhi'!S26</f>
        <v>0</v>
      </c>
      <c r="AC25" s="362">
        <f>-'Table 5D6 - Milestone'!S26</f>
        <v>0</v>
      </c>
      <c r="AD25" s="362">
        <f>-'Table 5D7 - Max'!S26</f>
        <v>0</v>
      </c>
      <c r="AE25" s="362">
        <f>-'Table 5D8 - Belle Chasse'!W26</f>
        <v>0</v>
      </c>
      <c r="AF25" s="362">
        <f>-'Table 5E_OJJ'!S26</f>
        <v>-952</v>
      </c>
      <c r="AG25" s="362">
        <f>-'Table 5A2 LSMSA'!N26</f>
        <v>-407</v>
      </c>
      <c r="AH25" s="362">
        <f>-'Table 5A3 NOCCA'!L26</f>
        <v>0</v>
      </c>
      <c r="AI25" s="362">
        <f>-'Table 5A4_LSDVI'!L26</f>
        <v>-813</v>
      </c>
      <c r="AJ25" s="362">
        <f>-'Table 5A5_SSD'!L26</f>
        <v>-610</v>
      </c>
      <c r="AK25" s="362"/>
      <c r="AL25" s="751">
        <f t="shared" si="60"/>
        <v>2924966</v>
      </c>
      <c r="AM25" s="362"/>
      <c r="AN25" s="362"/>
      <c r="AO25" s="362"/>
      <c r="AP25" s="362">
        <f>'Table 5C1A-Madison Prep'!R26</f>
        <v>0</v>
      </c>
      <c r="AQ25" s="362">
        <f>'Table 5C1B-DArbonne'!P26</f>
        <v>0</v>
      </c>
      <c r="AR25" s="362">
        <f>'Table 5C1C-Intl_VIBE'!P26</f>
        <v>0</v>
      </c>
      <c r="AS25" s="362">
        <f>'Table 5C1D-NOMMA'!P26</f>
        <v>0</v>
      </c>
      <c r="AT25" s="362">
        <f>'Table 5C1E-LFNO'!R26</f>
        <v>0</v>
      </c>
      <c r="AU25" s="362">
        <f>'Table 5C1F-Lake Charles Charter'!P26</f>
        <v>0</v>
      </c>
      <c r="AV25" s="362">
        <f>'Table 5C1G-JS Clark Academy'!P26</f>
        <v>0</v>
      </c>
      <c r="AW25" s="362">
        <f>'Table 5C1H-Southwest LA Charter'!P26</f>
        <v>0</v>
      </c>
      <c r="AX25" s="362">
        <f>'Table 5C1J-LA Key Academy'!P26</f>
        <v>0</v>
      </c>
      <c r="AY25" s="362">
        <f>'Table 5C1K-Jefferson Chamber'!P26</f>
        <v>0</v>
      </c>
      <c r="AZ25" s="362">
        <f>'Table 5C1L-Tallulah Charter'!P26</f>
        <v>0</v>
      </c>
      <c r="BA25" s="362">
        <f>'Table 5C1M-Northshore Charter'!P26</f>
        <v>0</v>
      </c>
      <c r="BB25" s="362">
        <f>'Table 5C1N-EBR Charter'!P26</f>
        <v>0</v>
      </c>
      <c r="BC25" s="362">
        <f>'Table 5C1O-Lake Charles HS'!P26</f>
        <v>0</v>
      </c>
      <c r="BD25" s="362">
        <f>'Table 5C1P-Delta Charter'!P26</f>
        <v>0</v>
      </c>
      <c r="BE25" s="362">
        <f>'Table 5C2 - LA Virtual Admy'!Q23</f>
        <v>-32</v>
      </c>
      <c r="BF25" s="362">
        <f>'Table 5C3 - LA Connections EBR'!Q23</f>
        <v>-21</v>
      </c>
      <c r="BG25" s="362">
        <f>'Table 5D1 - New Vision'!O26</f>
        <v>0</v>
      </c>
      <c r="BH25" s="362">
        <f>'Table 5D2 - Glencoe'!O26</f>
        <v>0</v>
      </c>
      <c r="BI25" s="362">
        <f>'Table 5D3 - International'!Q26</f>
        <v>0</v>
      </c>
      <c r="BJ25" s="362">
        <f>'Table 5D4 - Avoyelles'!O26</f>
        <v>0</v>
      </c>
      <c r="BK25" s="362">
        <f>'Table 5D5 - Delhi'!O26</f>
        <v>0</v>
      </c>
      <c r="BL25" s="362">
        <f>'Table 5D6 - Milestone'!O26</f>
        <v>0</v>
      </c>
      <c r="BM25" s="362">
        <f>'Table 5D7 - Max'!O26</f>
        <v>0</v>
      </c>
      <c r="BN25" s="362">
        <f>'Table 5D8 - Belle Chasse'!S26</f>
        <v>0</v>
      </c>
      <c r="BO25" s="751">
        <f t="shared" si="61"/>
        <v>2924913</v>
      </c>
      <c r="BP25" s="47"/>
      <c r="BV25"/>
      <c r="CE25"/>
    </row>
    <row r="26" spans="1:83">
      <c r="A26" s="99">
        <v>21</v>
      </c>
      <c r="B26" s="301" t="s">
        <v>115</v>
      </c>
      <c r="C26" s="310">
        <f>'Table 2_State Distrib and Adjs'!AI27</f>
        <v>1542493</v>
      </c>
      <c r="D26" s="361"/>
      <c r="E26" s="361"/>
      <c r="F26" s="361">
        <f>-'Table 5C1A-Madison Prep'!V27</f>
        <v>0</v>
      </c>
      <c r="G26" s="361">
        <f>-'Table 5C1B-DArbonne'!T27</f>
        <v>0</v>
      </c>
      <c r="H26" s="361">
        <f>-'Table 5C1C-Intl_VIBE'!T27</f>
        <v>0</v>
      </c>
      <c r="I26" s="361">
        <f>-'Table 5C1D-NOMMA'!T27</f>
        <v>0</v>
      </c>
      <c r="J26" s="361"/>
      <c r="K26" s="361">
        <f>-'Table 5C1E-LFNO'!V27</f>
        <v>0</v>
      </c>
      <c r="L26" s="361">
        <f>-'Table 5C1F-Lake Charles Charter'!T27</f>
        <v>0</v>
      </c>
      <c r="M26" s="361">
        <f>-'Table 5C1G-JS Clark Academy'!T27</f>
        <v>0</v>
      </c>
      <c r="N26" s="361">
        <f>-'Table 5C1H-Southwest LA Charter'!T27</f>
        <v>0</v>
      </c>
      <c r="O26" s="361">
        <f>-'Table 5C1J-LA Key Academy'!T27</f>
        <v>0</v>
      </c>
      <c r="P26" s="361">
        <f>-'Table 5C1K-Jefferson Chamber'!T27</f>
        <v>0</v>
      </c>
      <c r="Q26" s="361">
        <f>-'Table 5C1L-Tallulah Charter'!T27</f>
        <v>0</v>
      </c>
      <c r="R26" s="361">
        <f>-'Table 5C1M-Northshore Charter'!T27</f>
        <v>0</v>
      </c>
      <c r="S26" s="361">
        <f>-'Table 5C1N-EBR Charter'!T27</f>
        <v>0</v>
      </c>
      <c r="T26" s="361">
        <f>-'Table 5C1O-Lake Charles HS'!T27</f>
        <v>0</v>
      </c>
      <c r="U26" s="361">
        <f>-'Table 5C1P-Delta Charter'!T27</f>
        <v>0</v>
      </c>
      <c r="V26" s="361">
        <f>-'Table 5C2 - LA Virtual Admy'!U24</f>
        <v>-734</v>
      </c>
      <c r="W26" s="361">
        <f>-'Table 5C3 - LA Connections EBR'!U24</f>
        <v>-1671</v>
      </c>
      <c r="X26" s="361">
        <f>-'Table 5D1 - New Vision'!S27</f>
        <v>0</v>
      </c>
      <c r="Y26" s="361">
        <f>-'Table 5D2 - Glencoe'!S27</f>
        <v>0</v>
      </c>
      <c r="Z26" s="361">
        <f>-'Table 5D3 - International'!U27</f>
        <v>0</v>
      </c>
      <c r="AA26" s="361">
        <f>-'Table 5D4 - Avoyelles'!S27</f>
        <v>0</v>
      </c>
      <c r="AB26" s="361">
        <f>-'Table 5D5 - Delhi'!S27</f>
        <v>-12808</v>
      </c>
      <c r="AC26" s="361">
        <f>-'Table 5D6 - Milestone'!S27</f>
        <v>0</v>
      </c>
      <c r="AD26" s="361">
        <f>-'Table 5D7 - Max'!S27</f>
        <v>0</v>
      </c>
      <c r="AE26" s="361">
        <f>-'Table 5D8 - Belle Chasse'!W27</f>
        <v>0</v>
      </c>
      <c r="AF26" s="361">
        <f>-'Table 5E_OJJ'!S27</f>
        <v>-735</v>
      </c>
      <c r="AG26" s="361">
        <f>-'Table 5A2 LSMSA'!N27</f>
        <v>0</v>
      </c>
      <c r="AH26" s="361">
        <f>-'Table 5A3 NOCCA'!L27</f>
        <v>0</v>
      </c>
      <c r="AI26" s="361">
        <f>-'Table 5A4_LSDVI'!L27</f>
        <v>0</v>
      </c>
      <c r="AJ26" s="361">
        <f>-'Table 5A5_SSD'!L27</f>
        <v>-183</v>
      </c>
      <c r="AK26" s="361"/>
      <c r="AL26" s="750">
        <f t="shared" si="60"/>
        <v>1526362</v>
      </c>
      <c r="AM26" s="361"/>
      <c r="AN26" s="361"/>
      <c r="AO26" s="361"/>
      <c r="AP26" s="361">
        <f>'Table 5C1A-Madison Prep'!R27</f>
        <v>0</v>
      </c>
      <c r="AQ26" s="361">
        <f>'Table 5C1B-DArbonne'!P27</f>
        <v>0</v>
      </c>
      <c r="AR26" s="361">
        <f>'Table 5C1C-Intl_VIBE'!P27</f>
        <v>0</v>
      </c>
      <c r="AS26" s="361">
        <f>'Table 5C1D-NOMMA'!P27</f>
        <v>0</v>
      </c>
      <c r="AT26" s="361">
        <f>'Table 5C1E-LFNO'!R27</f>
        <v>0</v>
      </c>
      <c r="AU26" s="361">
        <f>'Table 5C1F-Lake Charles Charter'!P27</f>
        <v>0</v>
      </c>
      <c r="AV26" s="361">
        <f>'Table 5C1G-JS Clark Academy'!P27</f>
        <v>0</v>
      </c>
      <c r="AW26" s="361">
        <f>'Table 5C1H-Southwest LA Charter'!P27</f>
        <v>0</v>
      </c>
      <c r="AX26" s="361">
        <f>'Table 5C1J-LA Key Academy'!P27</f>
        <v>0</v>
      </c>
      <c r="AY26" s="361">
        <f>'Table 5C1K-Jefferson Chamber'!P27</f>
        <v>0</v>
      </c>
      <c r="AZ26" s="361">
        <f>'Table 5C1L-Tallulah Charter'!P27</f>
        <v>0</v>
      </c>
      <c r="BA26" s="361">
        <f>'Table 5C1M-Northshore Charter'!P27</f>
        <v>0</v>
      </c>
      <c r="BB26" s="361">
        <f>'Table 5C1N-EBR Charter'!P27</f>
        <v>0</v>
      </c>
      <c r="BC26" s="361">
        <f>'Table 5C1O-Lake Charles HS'!P27</f>
        <v>0</v>
      </c>
      <c r="BD26" s="361">
        <f>'Table 5C1P-Delta Charter'!P27</f>
        <v>0</v>
      </c>
      <c r="BE26" s="361">
        <f>'Table 5C2 - LA Virtual Admy'!Q24</f>
        <v>-15</v>
      </c>
      <c r="BF26" s="361">
        <f>'Table 5C3 - LA Connections EBR'!Q24</f>
        <v>-50</v>
      </c>
      <c r="BG26" s="361">
        <f>'Table 5D1 - New Vision'!O27</f>
        <v>0</v>
      </c>
      <c r="BH26" s="361">
        <f>'Table 5D2 - Glencoe'!O27</f>
        <v>0</v>
      </c>
      <c r="BI26" s="361">
        <f>'Table 5D3 - International'!Q27</f>
        <v>0</v>
      </c>
      <c r="BJ26" s="361">
        <f>'Table 5D4 - Avoyelles'!O27</f>
        <v>0</v>
      </c>
      <c r="BK26" s="361">
        <f>'Table 5D5 - Delhi'!O27</f>
        <v>-385.1925</v>
      </c>
      <c r="BL26" s="361">
        <f>'Table 5D6 - Milestone'!O27</f>
        <v>0</v>
      </c>
      <c r="BM26" s="361">
        <f>'Table 5D7 - Max'!O27</f>
        <v>0</v>
      </c>
      <c r="BN26" s="361">
        <f>'Table 5D8 - Belle Chasse'!S27</f>
        <v>0</v>
      </c>
      <c r="BO26" s="750">
        <f t="shared" si="61"/>
        <v>1525911.8075000001</v>
      </c>
      <c r="BP26" s="47"/>
      <c r="BV26"/>
      <c r="CE26"/>
    </row>
    <row r="27" spans="1:83">
      <c r="A27" s="99">
        <v>22</v>
      </c>
      <c r="B27" s="301" t="s">
        <v>116</v>
      </c>
      <c r="C27" s="310">
        <f>'Table 2_State Distrib and Adjs'!AI28</f>
        <v>1784992</v>
      </c>
      <c r="D27" s="361"/>
      <c r="E27" s="361"/>
      <c r="F27" s="361">
        <f>-'Table 5C1A-Madison Prep'!V28</f>
        <v>0</v>
      </c>
      <c r="G27" s="361">
        <f>-'Table 5C1B-DArbonne'!T28</f>
        <v>0</v>
      </c>
      <c r="H27" s="361">
        <f>-'Table 5C1C-Intl_VIBE'!T28</f>
        <v>0</v>
      </c>
      <c r="I27" s="361">
        <f>-'Table 5C1D-NOMMA'!T28</f>
        <v>0</v>
      </c>
      <c r="J27" s="361"/>
      <c r="K27" s="361">
        <f>-'Table 5C1E-LFNO'!V28</f>
        <v>0</v>
      </c>
      <c r="L27" s="361">
        <f>-'Table 5C1F-Lake Charles Charter'!T28</f>
        <v>0</v>
      </c>
      <c r="M27" s="361">
        <f>-'Table 5C1G-JS Clark Academy'!T28</f>
        <v>0</v>
      </c>
      <c r="N27" s="361">
        <f>-'Table 5C1H-Southwest LA Charter'!T28</f>
        <v>0</v>
      </c>
      <c r="O27" s="361">
        <f>-'Table 5C1J-LA Key Academy'!T28</f>
        <v>0</v>
      </c>
      <c r="P27" s="361">
        <f>-'Table 5C1K-Jefferson Chamber'!T28</f>
        <v>0</v>
      </c>
      <c r="Q27" s="361">
        <f>-'Table 5C1L-Tallulah Charter'!T28</f>
        <v>0</v>
      </c>
      <c r="R27" s="361">
        <f>-'Table 5C1M-Northshore Charter'!T28</f>
        <v>0</v>
      </c>
      <c r="S27" s="361">
        <f>-'Table 5C1N-EBR Charter'!T28</f>
        <v>0</v>
      </c>
      <c r="T27" s="361">
        <f>-'Table 5C1O-Lake Charles HS'!T28</f>
        <v>0</v>
      </c>
      <c r="U27" s="361">
        <f>-'Table 5C1P-Delta Charter'!T28</f>
        <v>0</v>
      </c>
      <c r="V27" s="361">
        <f>-'Table 5C2 - LA Virtual Admy'!U25</f>
        <v>-211</v>
      </c>
      <c r="W27" s="361">
        <f>-'Table 5C3 - LA Connections EBR'!U25</f>
        <v>-527</v>
      </c>
      <c r="X27" s="361">
        <f>-'Table 5D1 - New Vision'!S28</f>
        <v>0</v>
      </c>
      <c r="Y27" s="361">
        <f>-'Table 5D2 - Glencoe'!S28</f>
        <v>0</v>
      </c>
      <c r="Z27" s="361">
        <f>-'Table 5D3 - International'!U28</f>
        <v>0</v>
      </c>
      <c r="AA27" s="361">
        <f>-'Table 5D4 - Avoyelles'!S28</f>
        <v>0</v>
      </c>
      <c r="AB27" s="361">
        <f>-'Table 5D5 - Delhi'!S28</f>
        <v>0</v>
      </c>
      <c r="AC27" s="361">
        <f>-'Table 5D6 - Milestone'!S28</f>
        <v>0</v>
      </c>
      <c r="AD27" s="361">
        <f>-'Table 5D7 - Max'!S28</f>
        <v>0</v>
      </c>
      <c r="AE27" s="361">
        <f>-'Table 5D8 - Belle Chasse'!W28</f>
        <v>0</v>
      </c>
      <c r="AF27" s="361">
        <f>-'Table 5E_OJJ'!S28</f>
        <v>-31</v>
      </c>
      <c r="AG27" s="361">
        <f>-'Table 5A2 LSMSA'!N28</f>
        <v>0</v>
      </c>
      <c r="AH27" s="361">
        <f>-'Table 5A3 NOCCA'!L28</f>
        <v>0</v>
      </c>
      <c r="AI27" s="361">
        <f>-'Table 5A4_LSDVI'!L28</f>
        <v>-134</v>
      </c>
      <c r="AJ27" s="361">
        <f>-'Table 5A5_SSD'!L28</f>
        <v>-269</v>
      </c>
      <c r="AK27" s="361"/>
      <c r="AL27" s="750">
        <f t="shared" si="60"/>
        <v>1783820</v>
      </c>
      <c r="AM27" s="361"/>
      <c r="AN27" s="361"/>
      <c r="AO27" s="361"/>
      <c r="AP27" s="361">
        <f>'Table 5C1A-Madison Prep'!R28</f>
        <v>0</v>
      </c>
      <c r="AQ27" s="361">
        <f>'Table 5C1B-DArbonne'!P28</f>
        <v>0</v>
      </c>
      <c r="AR27" s="361">
        <f>'Table 5C1C-Intl_VIBE'!P28</f>
        <v>0</v>
      </c>
      <c r="AS27" s="361">
        <f>'Table 5C1D-NOMMA'!P28</f>
        <v>0</v>
      </c>
      <c r="AT27" s="361">
        <f>'Table 5C1E-LFNO'!R28</f>
        <v>0</v>
      </c>
      <c r="AU27" s="361">
        <f>'Table 5C1F-Lake Charles Charter'!P28</f>
        <v>0</v>
      </c>
      <c r="AV27" s="361">
        <f>'Table 5C1G-JS Clark Academy'!P28</f>
        <v>0</v>
      </c>
      <c r="AW27" s="361">
        <f>'Table 5C1H-Southwest LA Charter'!P28</f>
        <v>0</v>
      </c>
      <c r="AX27" s="361">
        <f>'Table 5C1J-LA Key Academy'!P28</f>
        <v>0</v>
      </c>
      <c r="AY27" s="361">
        <f>'Table 5C1K-Jefferson Chamber'!P28</f>
        <v>0</v>
      </c>
      <c r="AZ27" s="361">
        <f>'Table 5C1L-Tallulah Charter'!P28</f>
        <v>0</v>
      </c>
      <c r="BA27" s="361">
        <f>'Table 5C1M-Northshore Charter'!P28</f>
        <v>0</v>
      </c>
      <c r="BB27" s="361">
        <f>'Table 5C1N-EBR Charter'!P28</f>
        <v>0</v>
      </c>
      <c r="BC27" s="361">
        <f>'Table 5C1O-Lake Charles HS'!P28</f>
        <v>0</v>
      </c>
      <c r="BD27" s="361">
        <f>'Table 5C1P-Delta Charter'!P28</f>
        <v>0</v>
      </c>
      <c r="BE27" s="361">
        <f>'Table 5C2 - LA Virtual Admy'!Q25</f>
        <v>-6</v>
      </c>
      <c r="BF27" s="361">
        <f>'Table 5C3 - LA Connections EBR'!Q25</f>
        <v>-16</v>
      </c>
      <c r="BG27" s="361">
        <f>'Table 5D1 - New Vision'!O28</f>
        <v>0</v>
      </c>
      <c r="BH27" s="361">
        <f>'Table 5D2 - Glencoe'!O28</f>
        <v>0</v>
      </c>
      <c r="BI27" s="361">
        <f>'Table 5D3 - International'!Q28</f>
        <v>0</v>
      </c>
      <c r="BJ27" s="361">
        <f>'Table 5D4 - Avoyelles'!O28</f>
        <v>0</v>
      </c>
      <c r="BK27" s="361">
        <f>'Table 5D5 - Delhi'!O28</f>
        <v>0</v>
      </c>
      <c r="BL27" s="361">
        <f>'Table 5D6 - Milestone'!O28</f>
        <v>0</v>
      </c>
      <c r="BM27" s="361">
        <f>'Table 5D7 - Max'!O28</f>
        <v>0</v>
      </c>
      <c r="BN27" s="361">
        <f>'Table 5D8 - Belle Chasse'!S28</f>
        <v>0</v>
      </c>
      <c r="BO27" s="750">
        <f t="shared" si="61"/>
        <v>1783798</v>
      </c>
      <c r="BP27" s="47"/>
      <c r="BV27"/>
      <c r="CE27"/>
    </row>
    <row r="28" spans="1:83">
      <c r="A28" s="99">
        <v>23</v>
      </c>
      <c r="B28" s="301" t="s">
        <v>117</v>
      </c>
      <c r="C28" s="310">
        <f>'Table 2_State Distrib and Adjs'!AI29</f>
        <v>6114520</v>
      </c>
      <c r="D28" s="361"/>
      <c r="E28" s="361"/>
      <c r="F28" s="361">
        <f>-'Table 5C1A-Madison Prep'!V29</f>
        <v>0</v>
      </c>
      <c r="G28" s="361">
        <f>-'Table 5C1B-DArbonne'!T29</f>
        <v>0</v>
      </c>
      <c r="H28" s="361">
        <f>-'Table 5C1C-Intl_VIBE'!T29</f>
        <v>0</v>
      </c>
      <c r="I28" s="361">
        <f>-'Table 5C1D-NOMMA'!T29</f>
        <v>0</v>
      </c>
      <c r="J28" s="361"/>
      <c r="K28" s="361">
        <f>-'Table 5C1E-LFNO'!V29</f>
        <v>0</v>
      </c>
      <c r="L28" s="361">
        <f>-'Table 5C1F-Lake Charles Charter'!T29</f>
        <v>0</v>
      </c>
      <c r="M28" s="361">
        <f>-'Table 5C1G-JS Clark Academy'!T29</f>
        <v>0</v>
      </c>
      <c r="N28" s="361">
        <f>-'Table 5C1H-Southwest LA Charter'!T29</f>
        <v>0</v>
      </c>
      <c r="O28" s="361">
        <f>-'Table 5C1J-LA Key Academy'!T29</f>
        <v>0</v>
      </c>
      <c r="P28" s="361">
        <f>-'Table 5C1K-Jefferson Chamber'!T29</f>
        <v>0</v>
      </c>
      <c r="Q28" s="361">
        <f>-'Table 5C1L-Tallulah Charter'!T29</f>
        <v>0</v>
      </c>
      <c r="R28" s="361">
        <f>-'Table 5C1M-Northshore Charter'!T29</f>
        <v>0</v>
      </c>
      <c r="S28" s="361">
        <f>-'Table 5C1N-EBR Charter'!T29</f>
        <v>0</v>
      </c>
      <c r="T28" s="361">
        <f>-'Table 5C1O-Lake Charles HS'!T29</f>
        <v>0</v>
      </c>
      <c r="U28" s="361">
        <f>-'Table 5C1P-Delta Charter'!T29</f>
        <v>0</v>
      </c>
      <c r="V28" s="361">
        <f>-'Table 5C2 - LA Virtual Admy'!U26</f>
        <v>-3155</v>
      </c>
      <c r="W28" s="361">
        <f>-'Table 5C3 - LA Connections EBR'!U26</f>
        <v>-4659</v>
      </c>
      <c r="X28" s="361">
        <f>-'Table 5D1 - New Vision'!S29</f>
        <v>0</v>
      </c>
      <c r="Y28" s="361">
        <f>-'Table 5D2 - Glencoe'!S29</f>
        <v>-20041</v>
      </c>
      <c r="Z28" s="361">
        <f>-'Table 5D3 - International'!U29</f>
        <v>0</v>
      </c>
      <c r="AA28" s="361">
        <f>-'Table 5D4 - Avoyelles'!S29</f>
        <v>0</v>
      </c>
      <c r="AB28" s="361">
        <f>-'Table 5D5 - Delhi'!S29</f>
        <v>0</v>
      </c>
      <c r="AC28" s="361">
        <f>-'Table 5D6 - Milestone'!S29</f>
        <v>0</v>
      </c>
      <c r="AD28" s="361">
        <f>-'Table 5D7 - Max'!S29</f>
        <v>0</v>
      </c>
      <c r="AE28" s="361">
        <f>-'Table 5D8 - Belle Chasse'!W29</f>
        <v>0</v>
      </c>
      <c r="AF28" s="361">
        <f>-'Table 5E_OJJ'!S29</f>
        <v>-1676</v>
      </c>
      <c r="AG28" s="361">
        <f>-'Table 5A2 LSMSA'!N29</f>
        <v>-830</v>
      </c>
      <c r="AH28" s="361">
        <f>-'Table 5A3 NOCCA'!L29</f>
        <v>0</v>
      </c>
      <c r="AI28" s="361">
        <f>-'Table 5A4_LSDVI'!L29</f>
        <v>-553</v>
      </c>
      <c r="AJ28" s="361">
        <f>-'Table 5A5_SSD'!L29</f>
        <v>-2212</v>
      </c>
      <c r="AK28" s="361"/>
      <c r="AL28" s="750">
        <f t="shared" si="60"/>
        <v>6081394</v>
      </c>
      <c r="AM28" s="361"/>
      <c r="AN28" s="361"/>
      <c r="AO28" s="361"/>
      <c r="AP28" s="361">
        <f>'Table 5C1A-Madison Prep'!R29</f>
        <v>0</v>
      </c>
      <c r="AQ28" s="361">
        <f>'Table 5C1B-DArbonne'!P29</f>
        <v>0</v>
      </c>
      <c r="AR28" s="361">
        <f>'Table 5C1C-Intl_VIBE'!P29</f>
        <v>0</v>
      </c>
      <c r="AS28" s="361">
        <f>'Table 5C1D-NOMMA'!P29</f>
        <v>0</v>
      </c>
      <c r="AT28" s="361">
        <f>'Table 5C1E-LFNO'!R29</f>
        <v>0</v>
      </c>
      <c r="AU28" s="361">
        <f>'Table 5C1F-Lake Charles Charter'!P29</f>
        <v>0</v>
      </c>
      <c r="AV28" s="361">
        <f>'Table 5C1G-JS Clark Academy'!P29</f>
        <v>0</v>
      </c>
      <c r="AW28" s="361">
        <f>'Table 5C1H-Southwest LA Charter'!P29</f>
        <v>0</v>
      </c>
      <c r="AX28" s="361">
        <f>'Table 5C1J-LA Key Academy'!P29</f>
        <v>0</v>
      </c>
      <c r="AY28" s="361">
        <f>'Table 5C1K-Jefferson Chamber'!P29</f>
        <v>0</v>
      </c>
      <c r="AZ28" s="361">
        <f>'Table 5C1L-Tallulah Charter'!P29</f>
        <v>0</v>
      </c>
      <c r="BA28" s="361">
        <f>'Table 5C1M-Northshore Charter'!P29</f>
        <v>0</v>
      </c>
      <c r="BB28" s="361">
        <f>'Table 5C1N-EBR Charter'!P29</f>
        <v>0</v>
      </c>
      <c r="BC28" s="361">
        <f>'Table 5C1O-Lake Charles HS'!P29</f>
        <v>0</v>
      </c>
      <c r="BD28" s="361">
        <f>'Table 5C1P-Delta Charter'!P29</f>
        <v>0</v>
      </c>
      <c r="BE28" s="361">
        <f>'Table 5C2 - LA Virtual Admy'!Q26</f>
        <v>-88</v>
      </c>
      <c r="BF28" s="361">
        <f>'Table 5C3 - LA Connections EBR'!Q26</f>
        <v>-132</v>
      </c>
      <c r="BG28" s="361">
        <f>'Table 5D1 - New Vision'!O29</f>
        <v>0</v>
      </c>
      <c r="BH28" s="361">
        <f>'Table 5D2 - Glencoe'!O29</f>
        <v>-602.73</v>
      </c>
      <c r="BI28" s="361">
        <f>'Table 5D3 - International'!Q29</f>
        <v>0</v>
      </c>
      <c r="BJ28" s="361">
        <f>'Table 5D4 - Avoyelles'!O29</f>
        <v>0</v>
      </c>
      <c r="BK28" s="361">
        <f>'Table 5D5 - Delhi'!O29</f>
        <v>0</v>
      </c>
      <c r="BL28" s="361">
        <f>'Table 5D6 - Milestone'!O29</f>
        <v>0</v>
      </c>
      <c r="BM28" s="361">
        <f>'Table 5D7 - Max'!O29</f>
        <v>0</v>
      </c>
      <c r="BN28" s="361">
        <f>'Table 5D8 - Belle Chasse'!S29</f>
        <v>0</v>
      </c>
      <c r="BO28" s="750">
        <f t="shared" si="61"/>
        <v>6080571.2699999996</v>
      </c>
      <c r="BP28" s="47"/>
      <c r="BV28"/>
      <c r="CE28"/>
    </row>
    <row r="29" spans="1:83">
      <c r="A29" s="99">
        <v>24</v>
      </c>
      <c r="B29" s="301" t="s">
        <v>118</v>
      </c>
      <c r="C29" s="310">
        <f>'Table 2_State Distrib and Adjs'!AI30</f>
        <v>1348693</v>
      </c>
      <c r="D29" s="361"/>
      <c r="E29" s="361"/>
      <c r="F29" s="361">
        <f>-'Table 5C1A-Madison Prep'!V30</f>
        <v>0</v>
      </c>
      <c r="G29" s="361">
        <f>-'Table 5C1B-DArbonne'!T30</f>
        <v>0</v>
      </c>
      <c r="H29" s="361">
        <f>-'Table 5C1C-Intl_VIBE'!T30</f>
        <v>0</v>
      </c>
      <c r="I29" s="361">
        <f>-'Table 5C1D-NOMMA'!T30</f>
        <v>0</v>
      </c>
      <c r="J29" s="361"/>
      <c r="K29" s="361">
        <f>-'Table 5C1E-LFNO'!V30</f>
        <v>0</v>
      </c>
      <c r="L29" s="361">
        <f>-'Table 5C1F-Lake Charles Charter'!T30</f>
        <v>0</v>
      </c>
      <c r="M29" s="361">
        <f>-'Table 5C1G-JS Clark Academy'!T30</f>
        <v>0</v>
      </c>
      <c r="N29" s="361">
        <f>-'Table 5C1H-Southwest LA Charter'!T30</f>
        <v>0</v>
      </c>
      <c r="O29" s="361">
        <f>-'Table 5C1J-LA Key Academy'!T30</f>
        <v>0</v>
      </c>
      <c r="P29" s="361">
        <f>-'Table 5C1K-Jefferson Chamber'!T30</f>
        <v>0</v>
      </c>
      <c r="Q29" s="361">
        <f>-'Table 5C1L-Tallulah Charter'!T30</f>
        <v>0</v>
      </c>
      <c r="R29" s="361">
        <f>-'Table 5C1M-Northshore Charter'!T30</f>
        <v>0</v>
      </c>
      <c r="S29" s="361">
        <f>-'Table 5C1N-EBR Charter'!T30</f>
        <v>0</v>
      </c>
      <c r="T29" s="361">
        <f>-'Table 5C1O-Lake Charles HS'!T30</f>
        <v>0</v>
      </c>
      <c r="U29" s="361">
        <f>-'Table 5C1P-Delta Charter'!T30</f>
        <v>0</v>
      </c>
      <c r="V29" s="361">
        <f>-'Table 5C2 - LA Virtual Admy'!U27</f>
        <v>-6667</v>
      </c>
      <c r="W29" s="361">
        <f>-'Table 5C3 - LA Connections EBR'!U27</f>
        <v>79</v>
      </c>
      <c r="X29" s="361">
        <f>-'Table 5D1 - New Vision'!S30</f>
        <v>0</v>
      </c>
      <c r="Y29" s="361">
        <f>-'Table 5D2 - Glencoe'!S30</f>
        <v>0</v>
      </c>
      <c r="Z29" s="361">
        <f>-'Table 5D3 - International'!U30</f>
        <v>0</v>
      </c>
      <c r="AA29" s="361">
        <f>-'Table 5D4 - Avoyelles'!S30</f>
        <v>0</v>
      </c>
      <c r="AB29" s="361">
        <f>-'Table 5D5 - Delhi'!S30</f>
        <v>0</v>
      </c>
      <c r="AC29" s="361">
        <f>-'Table 5D6 - Milestone'!S30</f>
        <v>0</v>
      </c>
      <c r="AD29" s="361">
        <f>-'Table 5D7 - Max'!S30</f>
        <v>0</v>
      </c>
      <c r="AE29" s="361">
        <f>-'Table 5D8 - Belle Chasse'!W30</f>
        <v>0</v>
      </c>
      <c r="AF29" s="361">
        <f>-'Table 5E_OJJ'!S30</f>
        <v>-808</v>
      </c>
      <c r="AG29" s="361">
        <f>-'Table 5A2 LSMSA'!N30</f>
        <v>-1725</v>
      </c>
      <c r="AH29" s="361">
        <f>-'Table 5A3 NOCCA'!L30</f>
        <v>0</v>
      </c>
      <c r="AI29" s="361">
        <f>-'Table 5A4_LSDVI'!L30</f>
        <v>-1725</v>
      </c>
      <c r="AJ29" s="361">
        <f>-'Table 5A5_SSD'!L30</f>
        <v>-863</v>
      </c>
      <c r="AK29" s="361"/>
      <c r="AL29" s="750">
        <f t="shared" si="60"/>
        <v>1336984</v>
      </c>
      <c r="AM29" s="361"/>
      <c r="AN29" s="361"/>
      <c r="AO29" s="361"/>
      <c r="AP29" s="361">
        <f>'Table 5C1A-Madison Prep'!R30</f>
        <v>0</v>
      </c>
      <c r="AQ29" s="361">
        <f>'Table 5C1B-DArbonne'!P30</f>
        <v>0</v>
      </c>
      <c r="AR29" s="361">
        <f>'Table 5C1C-Intl_VIBE'!P30</f>
        <v>0</v>
      </c>
      <c r="AS29" s="361">
        <f>'Table 5C1D-NOMMA'!P30</f>
        <v>0</v>
      </c>
      <c r="AT29" s="361">
        <f>'Table 5C1E-LFNO'!R30</f>
        <v>0</v>
      </c>
      <c r="AU29" s="361">
        <f>'Table 5C1F-Lake Charles Charter'!P30</f>
        <v>0</v>
      </c>
      <c r="AV29" s="361">
        <f>'Table 5C1G-JS Clark Academy'!P30</f>
        <v>0</v>
      </c>
      <c r="AW29" s="361">
        <f>'Table 5C1H-Southwest LA Charter'!P30</f>
        <v>0</v>
      </c>
      <c r="AX29" s="361">
        <f>'Table 5C1J-LA Key Academy'!P30</f>
        <v>0</v>
      </c>
      <c r="AY29" s="361">
        <f>'Table 5C1K-Jefferson Chamber'!P30</f>
        <v>0</v>
      </c>
      <c r="AZ29" s="361">
        <f>'Table 5C1L-Tallulah Charter'!P30</f>
        <v>0</v>
      </c>
      <c r="BA29" s="361">
        <f>'Table 5C1M-Northshore Charter'!P30</f>
        <v>0</v>
      </c>
      <c r="BB29" s="361">
        <f>'Table 5C1N-EBR Charter'!P30</f>
        <v>0</v>
      </c>
      <c r="BC29" s="361">
        <f>'Table 5C1O-Lake Charles HS'!P30</f>
        <v>0</v>
      </c>
      <c r="BD29" s="361">
        <f>'Table 5C1P-Delta Charter'!P30</f>
        <v>0</v>
      </c>
      <c r="BE29" s="361">
        <f>'Table 5C2 - LA Virtual Admy'!Q27</f>
        <v>-209</v>
      </c>
      <c r="BF29" s="361">
        <f>'Table 5C3 - LA Connections EBR'!Q27</f>
        <v>-21</v>
      </c>
      <c r="BG29" s="361">
        <f>'Table 5D1 - New Vision'!O30</f>
        <v>0</v>
      </c>
      <c r="BH29" s="361">
        <f>'Table 5D2 - Glencoe'!O30</f>
        <v>0</v>
      </c>
      <c r="BI29" s="361">
        <f>'Table 5D3 - International'!Q30</f>
        <v>0</v>
      </c>
      <c r="BJ29" s="361">
        <f>'Table 5D4 - Avoyelles'!O30</f>
        <v>0</v>
      </c>
      <c r="BK29" s="361">
        <f>'Table 5D5 - Delhi'!O30</f>
        <v>0</v>
      </c>
      <c r="BL29" s="361">
        <f>'Table 5D6 - Milestone'!O30</f>
        <v>0</v>
      </c>
      <c r="BM29" s="361">
        <f>'Table 5D7 - Max'!O30</f>
        <v>0</v>
      </c>
      <c r="BN29" s="361">
        <f>'Table 5D8 - Belle Chasse'!S30</f>
        <v>0</v>
      </c>
      <c r="BO29" s="750">
        <f t="shared" si="61"/>
        <v>1336754</v>
      </c>
      <c r="BP29" s="47"/>
      <c r="BV29"/>
      <c r="CE29"/>
    </row>
    <row r="30" spans="1:83">
      <c r="A30" s="100">
        <v>25</v>
      </c>
      <c r="B30" s="302" t="s">
        <v>119</v>
      </c>
      <c r="C30" s="319">
        <f>'Table 2_State Distrib and Adjs'!AI31</f>
        <v>823082</v>
      </c>
      <c r="D30" s="362"/>
      <c r="E30" s="362"/>
      <c r="F30" s="362">
        <f>-'Table 5C1A-Madison Prep'!V31</f>
        <v>0</v>
      </c>
      <c r="G30" s="362">
        <f>-'Table 5C1B-DArbonne'!T31</f>
        <v>0</v>
      </c>
      <c r="H30" s="362">
        <f>-'Table 5C1C-Intl_VIBE'!T31</f>
        <v>0</v>
      </c>
      <c r="I30" s="362">
        <f>-'Table 5C1D-NOMMA'!T31</f>
        <v>0</v>
      </c>
      <c r="J30" s="362"/>
      <c r="K30" s="362">
        <f>-'Table 5C1E-LFNO'!V31</f>
        <v>0</v>
      </c>
      <c r="L30" s="362">
        <f>-'Table 5C1F-Lake Charles Charter'!T31</f>
        <v>0</v>
      </c>
      <c r="M30" s="362">
        <f>-'Table 5C1G-JS Clark Academy'!T31</f>
        <v>0</v>
      </c>
      <c r="N30" s="362">
        <f>-'Table 5C1H-Southwest LA Charter'!T31</f>
        <v>0</v>
      </c>
      <c r="O30" s="362">
        <f>-'Table 5C1J-LA Key Academy'!T31</f>
        <v>0</v>
      </c>
      <c r="P30" s="362">
        <f>-'Table 5C1K-Jefferson Chamber'!T31</f>
        <v>0</v>
      </c>
      <c r="Q30" s="362">
        <f>-'Table 5C1L-Tallulah Charter'!T31</f>
        <v>0</v>
      </c>
      <c r="R30" s="362">
        <f>-'Table 5C1M-Northshore Charter'!T31</f>
        <v>0</v>
      </c>
      <c r="S30" s="362">
        <f>-'Table 5C1N-EBR Charter'!T31</f>
        <v>0</v>
      </c>
      <c r="T30" s="362">
        <f>-'Table 5C1O-Lake Charles HS'!T31</f>
        <v>0</v>
      </c>
      <c r="U30" s="362">
        <f>-'Table 5C1P-Delta Charter'!T31</f>
        <v>0</v>
      </c>
      <c r="V30" s="362">
        <f>-'Table 5C2 - LA Virtual Admy'!U28</f>
        <v>-1412</v>
      </c>
      <c r="W30" s="362">
        <f>-'Table 5C3 - LA Connections EBR'!U28</f>
        <v>-400</v>
      </c>
      <c r="X30" s="362">
        <f>-'Table 5D1 - New Vision'!S31</f>
        <v>0</v>
      </c>
      <c r="Y30" s="362">
        <f>-'Table 5D2 - Glencoe'!S31</f>
        <v>0</v>
      </c>
      <c r="Z30" s="362">
        <f>-'Table 5D3 - International'!U31</f>
        <v>0</v>
      </c>
      <c r="AA30" s="362">
        <f>-'Table 5D4 - Avoyelles'!S31</f>
        <v>0</v>
      </c>
      <c r="AB30" s="362">
        <f>-'Table 5D5 - Delhi'!S31</f>
        <v>0</v>
      </c>
      <c r="AC30" s="362">
        <f>-'Table 5D6 - Milestone'!S31</f>
        <v>0</v>
      </c>
      <c r="AD30" s="362">
        <f>-'Table 5D7 - Max'!S31</f>
        <v>0</v>
      </c>
      <c r="AE30" s="362">
        <f>-'Table 5D8 - Belle Chasse'!W31</f>
        <v>0</v>
      </c>
      <c r="AF30" s="362">
        <f>-'Table 5E_OJJ'!S31</f>
        <v>-147</v>
      </c>
      <c r="AG30" s="362">
        <f>-'Table 5A2 LSMSA'!N31</f>
        <v>0</v>
      </c>
      <c r="AH30" s="362">
        <f>-'Table 5A3 NOCCA'!L31</f>
        <v>0</v>
      </c>
      <c r="AI30" s="362">
        <f>-'Table 5A4_LSDVI'!L31</f>
        <v>0</v>
      </c>
      <c r="AJ30" s="362">
        <f>-'Table 5A5_SSD'!L31</f>
        <v>0</v>
      </c>
      <c r="AK30" s="362"/>
      <c r="AL30" s="751">
        <f t="shared" si="60"/>
        <v>821123</v>
      </c>
      <c r="AM30" s="362"/>
      <c r="AN30" s="362"/>
      <c r="AO30" s="362"/>
      <c r="AP30" s="362">
        <f>'Table 5C1A-Madison Prep'!R31</f>
        <v>0</v>
      </c>
      <c r="AQ30" s="362">
        <f>'Table 5C1B-DArbonne'!P31</f>
        <v>0</v>
      </c>
      <c r="AR30" s="362">
        <f>'Table 5C1C-Intl_VIBE'!P31</f>
        <v>0</v>
      </c>
      <c r="AS30" s="362">
        <f>'Table 5C1D-NOMMA'!P31</f>
        <v>0</v>
      </c>
      <c r="AT30" s="362">
        <f>'Table 5C1E-LFNO'!R31</f>
        <v>0</v>
      </c>
      <c r="AU30" s="362">
        <f>'Table 5C1F-Lake Charles Charter'!P31</f>
        <v>0</v>
      </c>
      <c r="AV30" s="362">
        <f>'Table 5C1G-JS Clark Academy'!P31</f>
        <v>0</v>
      </c>
      <c r="AW30" s="362">
        <f>'Table 5C1H-Southwest LA Charter'!P31</f>
        <v>0</v>
      </c>
      <c r="AX30" s="362">
        <f>'Table 5C1J-LA Key Academy'!P31</f>
        <v>0</v>
      </c>
      <c r="AY30" s="362">
        <f>'Table 5C1K-Jefferson Chamber'!P31</f>
        <v>0</v>
      </c>
      <c r="AZ30" s="362">
        <f>'Table 5C1L-Tallulah Charter'!P31</f>
        <v>0</v>
      </c>
      <c r="BA30" s="362">
        <f>'Table 5C1M-Northshore Charter'!P31</f>
        <v>0</v>
      </c>
      <c r="BB30" s="362">
        <f>'Table 5C1N-EBR Charter'!P31</f>
        <v>0</v>
      </c>
      <c r="BC30" s="362">
        <f>'Table 5C1O-Lake Charles HS'!P31</f>
        <v>0</v>
      </c>
      <c r="BD30" s="362">
        <f>'Table 5C1P-Delta Charter'!P31</f>
        <v>0</v>
      </c>
      <c r="BE30" s="362">
        <f>'Table 5C2 - LA Virtual Admy'!Q28</f>
        <v>-48</v>
      </c>
      <c r="BF30" s="362">
        <f>'Table 5C3 - LA Connections EBR'!Q28</f>
        <v>-12</v>
      </c>
      <c r="BG30" s="362">
        <f>'Table 5D1 - New Vision'!O31</f>
        <v>0</v>
      </c>
      <c r="BH30" s="362">
        <f>'Table 5D2 - Glencoe'!O31</f>
        <v>0</v>
      </c>
      <c r="BI30" s="362">
        <f>'Table 5D3 - International'!Q31</f>
        <v>0</v>
      </c>
      <c r="BJ30" s="362">
        <f>'Table 5D4 - Avoyelles'!O31</f>
        <v>0</v>
      </c>
      <c r="BK30" s="362">
        <f>'Table 5D5 - Delhi'!O31</f>
        <v>0</v>
      </c>
      <c r="BL30" s="362">
        <f>'Table 5D6 - Milestone'!O31</f>
        <v>0</v>
      </c>
      <c r="BM30" s="362">
        <f>'Table 5D7 - Max'!O31</f>
        <v>0</v>
      </c>
      <c r="BN30" s="362">
        <f>'Table 5D8 - Belle Chasse'!S31</f>
        <v>0</v>
      </c>
      <c r="BO30" s="751">
        <f t="shared" si="61"/>
        <v>821063</v>
      </c>
      <c r="BP30" s="47"/>
      <c r="BV30"/>
      <c r="CE30"/>
    </row>
    <row r="31" spans="1:83">
      <c r="A31" s="99">
        <v>26</v>
      </c>
      <c r="B31" s="301" t="s">
        <v>120</v>
      </c>
      <c r="C31" s="310">
        <f>'Table 2_State Distrib and Adjs'!AI32</f>
        <v>15042893</v>
      </c>
      <c r="D31" s="361"/>
      <c r="E31" s="361"/>
      <c r="F31" s="361">
        <f>-'Table 5C1A-Madison Prep'!V32</f>
        <v>0</v>
      </c>
      <c r="G31" s="361">
        <f>-'Table 5C1B-DArbonne'!T32</f>
        <v>0</v>
      </c>
      <c r="H31" s="361">
        <f>-'Table 5C1C-Intl_VIBE'!T32</f>
        <v>-17233.641250000001</v>
      </c>
      <c r="I31" s="361">
        <f>-'Table 5C1D-NOMMA'!T32</f>
        <v>-47020.458333333336</v>
      </c>
      <c r="J31" s="361"/>
      <c r="K31" s="361">
        <f>-'Table 5C1E-LFNO'!V32</f>
        <v>-20772.9375</v>
      </c>
      <c r="L31" s="361">
        <f>-'Table 5C1F-Lake Charles Charter'!T32</f>
        <v>0</v>
      </c>
      <c r="M31" s="361">
        <f>-'Table 5C1G-JS Clark Academy'!T32</f>
        <v>0</v>
      </c>
      <c r="N31" s="361">
        <f>-'Table 5C1H-Southwest LA Charter'!T32</f>
        <v>0</v>
      </c>
      <c r="O31" s="361">
        <f>-'Table 5C1J-LA Key Academy'!T32</f>
        <v>0</v>
      </c>
      <c r="P31" s="361">
        <f>-'Table 5C1K-Jefferson Chamber'!T32</f>
        <v>-43241.625</v>
      </c>
      <c r="Q31" s="361">
        <f>-'Table 5C1L-Tallulah Charter'!T32</f>
        <v>0</v>
      </c>
      <c r="R31" s="361">
        <f>-'Table 5C1M-Northshore Charter'!T32</f>
        <v>0</v>
      </c>
      <c r="S31" s="361">
        <f>-'Table 5C1N-EBR Charter'!T32</f>
        <v>0</v>
      </c>
      <c r="T31" s="361">
        <f>-'Table 5C1O-Lake Charles HS'!T32</f>
        <v>0</v>
      </c>
      <c r="U31" s="361">
        <f>-'Table 5C1P-Delta Charter'!T32</f>
        <v>0</v>
      </c>
      <c r="V31" s="361">
        <f>-'Table 5C2 - LA Virtual Admy'!U29</f>
        <v>-39419</v>
      </c>
      <c r="W31" s="361">
        <f>-'Table 5C3 - LA Connections EBR'!U29</f>
        <v>-37391</v>
      </c>
      <c r="X31" s="361">
        <f>-'Table 5D1 - New Vision'!S32</f>
        <v>0</v>
      </c>
      <c r="Y31" s="361">
        <f>-'Table 5D2 - Glencoe'!S32</f>
        <v>0</v>
      </c>
      <c r="Z31" s="361">
        <f>-'Table 5D3 - International'!U32</f>
        <v>-85794</v>
      </c>
      <c r="AA31" s="361">
        <f>-'Table 5D4 - Avoyelles'!S32</f>
        <v>0</v>
      </c>
      <c r="AB31" s="361">
        <f>-'Table 5D5 - Delhi'!S32</f>
        <v>0</v>
      </c>
      <c r="AC31" s="361">
        <f>-'Table 5D6 - Milestone'!S32</f>
        <v>-49601</v>
      </c>
      <c r="AD31" s="361">
        <f>-'Table 5D7 - Max'!S32</f>
        <v>0</v>
      </c>
      <c r="AE31" s="361">
        <f>-'Table 5D8 - Belle Chasse'!W32</f>
        <v>-111072</v>
      </c>
      <c r="AF31" s="361">
        <f>-'Table 5E_OJJ'!S32</f>
        <v>-13623</v>
      </c>
      <c r="AG31" s="361">
        <f>-'Table 5A2 LSMSA'!N32</f>
        <v>-3922</v>
      </c>
      <c r="AH31" s="361">
        <f>-'Table 5A3 NOCCA'!L32</f>
        <v>-12550</v>
      </c>
      <c r="AI31" s="361">
        <f>-'Table 5A4_LSDVI'!L32</f>
        <v>-2353</v>
      </c>
      <c r="AJ31" s="361">
        <f>-'Table 5A5_SSD'!L32</f>
        <v>-10981</v>
      </c>
      <c r="AK31" s="361"/>
      <c r="AL31" s="750">
        <f t="shared" si="60"/>
        <v>14547918.337916667</v>
      </c>
      <c r="AM31" s="361"/>
      <c r="AN31" s="361"/>
      <c r="AO31" s="361"/>
      <c r="AP31" s="361">
        <f>'Table 5C1A-Madison Prep'!R32</f>
        <v>0</v>
      </c>
      <c r="AQ31" s="361">
        <f>'Table 5C1B-DArbonne'!P32</f>
        <v>0</v>
      </c>
      <c r="AR31" s="361">
        <f>'Table 5C1C-Intl_VIBE'!P32</f>
        <v>-518.30500000000006</v>
      </c>
      <c r="AS31" s="361">
        <f>'Table 5C1D-NOMMA'!P32</f>
        <v>-1402.5</v>
      </c>
      <c r="AT31" s="361">
        <f>'Table 5C1E-LFNO'!R32</f>
        <v>-624.75</v>
      </c>
      <c r="AU31" s="361">
        <f>'Table 5C1F-Lake Charles Charter'!P32</f>
        <v>0</v>
      </c>
      <c r="AV31" s="361">
        <f>'Table 5C1G-JS Clark Academy'!P32</f>
        <v>0</v>
      </c>
      <c r="AW31" s="361">
        <f>'Table 5C1H-Southwest LA Charter'!P32</f>
        <v>0</v>
      </c>
      <c r="AX31" s="361">
        <f>'Table 5C1J-LA Key Academy'!P32</f>
        <v>0</v>
      </c>
      <c r="AY31" s="361">
        <f>'Table 5C1K-Jefferson Chamber'!P32</f>
        <v>-1300.5</v>
      </c>
      <c r="AZ31" s="361">
        <f>'Table 5C1L-Tallulah Charter'!P32</f>
        <v>0</v>
      </c>
      <c r="BA31" s="361">
        <f>'Table 5C1M-Northshore Charter'!P32</f>
        <v>0</v>
      </c>
      <c r="BB31" s="361">
        <f>'Table 5C1N-EBR Charter'!P32</f>
        <v>0</v>
      </c>
      <c r="BC31" s="361">
        <f>'Table 5C1O-Lake Charles HS'!P32</f>
        <v>0</v>
      </c>
      <c r="BD31" s="361">
        <f>'Table 5C1P-Delta Charter'!P32</f>
        <v>0</v>
      </c>
      <c r="BE31" s="361">
        <f>'Table 5C2 - LA Virtual Admy'!Q29</f>
        <v>-1102</v>
      </c>
      <c r="BF31" s="361">
        <f>'Table 5C3 - LA Connections EBR'!Q29</f>
        <v>-1125</v>
      </c>
      <c r="BG31" s="361">
        <f>'Table 5D1 - New Vision'!O32</f>
        <v>0</v>
      </c>
      <c r="BH31" s="361">
        <f>'Table 5D2 - Glencoe'!O32</f>
        <v>0</v>
      </c>
      <c r="BI31" s="361">
        <f>'Table 5D3 - International'!Q32</f>
        <v>-2580.2575000000002</v>
      </c>
      <c r="BJ31" s="361">
        <f>'Table 5D4 - Avoyelles'!O32</f>
        <v>0</v>
      </c>
      <c r="BK31" s="361">
        <f>'Table 5D5 - Delhi'!O32</f>
        <v>0</v>
      </c>
      <c r="BL31" s="361">
        <f>'Table 5D6 - Milestone'!O32</f>
        <v>-1491.75</v>
      </c>
      <c r="BM31" s="361">
        <f>'Table 5D7 - Max'!O32</f>
        <v>0</v>
      </c>
      <c r="BN31" s="361">
        <f>'Table 5D8 - Belle Chasse'!S32</f>
        <v>-3340.5</v>
      </c>
      <c r="BO31" s="750">
        <f t="shared" si="61"/>
        <v>14534432.775416667</v>
      </c>
      <c r="BP31" s="47"/>
      <c r="BV31"/>
      <c r="CE31"/>
    </row>
    <row r="32" spans="1:83">
      <c r="A32" s="99">
        <v>27</v>
      </c>
      <c r="B32" s="301" t="s">
        <v>121</v>
      </c>
      <c r="C32" s="310">
        <f>'Table 2_State Distrib and Adjs'!AI33</f>
        <v>2951670</v>
      </c>
      <c r="D32" s="361"/>
      <c r="E32" s="361"/>
      <c r="F32" s="361">
        <f>-'Table 5C1A-Madison Prep'!V33</f>
        <v>0</v>
      </c>
      <c r="G32" s="361">
        <f>-'Table 5C1B-DArbonne'!T33</f>
        <v>0</v>
      </c>
      <c r="H32" s="361">
        <f>-'Table 5C1C-Intl_VIBE'!T33</f>
        <v>0</v>
      </c>
      <c r="I32" s="361">
        <f>-'Table 5C1D-NOMMA'!T33</f>
        <v>0</v>
      </c>
      <c r="J32" s="361"/>
      <c r="K32" s="361">
        <f>-'Table 5C1E-LFNO'!V33</f>
        <v>0</v>
      </c>
      <c r="L32" s="361">
        <f>-'Table 5C1F-Lake Charles Charter'!T33</f>
        <v>0</v>
      </c>
      <c r="M32" s="361">
        <f>-'Table 5C1G-JS Clark Academy'!T33</f>
        <v>0</v>
      </c>
      <c r="N32" s="361">
        <f>-'Table 5C1H-Southwest LA Charter'!T33</f>
        <v>-2055.5149999999999</v>
      </c>
      <c r="O32" s="361">
        <f>-'Table 5C1J-LA Key Academy'!T33</f>
        <v>0</v>
      </c>
      <c r="P32" s="361">
        <f>-'Table 5C1K-Jefferson Chamber'!T33</f>
        <v>0</v>
      </c>
      <c r="Q32" s="361">
        <f>-'Table 5C1L-Tallulah Charter'!T33</f>
        <v>0</v>
      </c>
      <c r="R32" s="361">
        <f>-'Table 5C1M-Northshore Charter'!T33</f>
        <v>0</v>
      </c>
      <c r="S32" s="361">
        <f>-'Table 5C1N-EBR Charter'!T33</f>
        <v>0</v>
      </c>
      <c r="T32" s="361">
        <f>-'Table 5C1O-Lake Charles HS'!T33</f>
        <v>0</v>
      </c>
      <c r="U32" s="361">
        <f>-'Table 5C1P-Delta Charter'!T33</f>
        <v>0</v>
      </c>
      <c r="V32" s="361">
        <f>-'Table 5C2 - LA Virtual Admy'!U30</f>
        <v>-1247</v>
      </c>
      <c r="W32" s="361">
        <f>-'Table 5C3 - LA Connections EBR'!U30</f>
        <v>-1619</v>
      </c>
      <c r="X32" s="361">
        <f>-'Table 5D1 - New Vision'!S33</f>
        <v>0</v>
      </c>
      <c r="Y32" s="361">
        <f>-'Table 5D2 - Glencoe'!S33</f>
        <v>0</v>
      </c>
      <c r="Z32" s="361">
        <f>-'Table 5D3 - International'!U33</f>
        <v>0</v>
      </c>
      <c r="AA32" s="361">
        <f>-'Table 5D4 - Avoyelles'!S33</f>
        <v>0</v>
      </c>
      <c r="AB32" s="361">
        <f>-'Table 5D5 - Delhi'!S33</f>
        <v>0</v>
      </c>
      <c r="AC32" s="361">
        <f>-'Table 5D6 - Milestone'!S33</f>
        <v>0</v>
      </c>
      <c r="AD32" s="361">
        <f>-'Table 5D7 - Max'!S33</f>
        <v>0</v>
      </c>
      <c r="AE32" s="361">
        <f>-'Table 5D8 - Belle Chasse'!W33</f>
        <v>0</v>
      </c>
      <c r="AF32" s="361">
        <f>-'Table 5E_OJJ'!S33</f>
        <v>-676</v>
      </c>
      <c r="AG32" s="361">
        <f>-'Table 5A2 LSMSA'!N33</f>
        <v>0</v>
      </c>
      <c r="AH32" s="361">
        <f>-'Table 5A3 NOCCA'!L33</f>
        <v>0</v>
      </c>
      <c r="AI32" s="361">
        <f>-'Table 5A4_LSDVI'!L33</f>
        <v>-512</v>
      </c>
      <c r="AJ32" s="361">
        <f>-'Table 5A5_SSD'!L33</f>
        <v>-512</v>
      </c>
      <c r="AK32" s="361"/>
      <c r="AL32" s="750">
        <f t="shared" si="60"/>
        <v>2945048.4849999999</v>
      </c>
      <c r="AM32" s="361"/>
      <c r="AN32" s="361"/>
      <c r="AO32" s="361"/>
      <c r="AP32" s="361">
        <f>'Table 5C1A-Madison Prep'!R33</f>
        <v>0</v>
      </c>
      <c r="AQ32" s="361">
        <f>'Table 5C1B-DArbonne'!P33</f>
        <v>0</v>
      </c>
      <c r="AR32" s="361">
        <f>'Table 5C1C-Intl_VIBE'!P33</f>
        <v>0</v>
      </c>
      <c r="AS32" s="361">
        <f>'Table 5C1D-NOMMA'!P33</f>
        <v>0</v>
      </c>
      <c r="AT32" s="361">
        <f>'Table 5C1E-LFNO'!R33</f>
        <v>0</v>
      </c>
      <c r="AU32" s="361">
        <f>'Table 5C1F-Lake Charles Charter'!P33</f>
        <v>0</v>
      </c>
      <c r="AV32" s="361">
        <f>'Table 5C1G-JS Clark Academy'!P33</f>
        <v>0</v>
      </c>
      <c r="AW32" s="361">
        <f>'Table 5C1H-Southwest LA Charter'!P33</f>
        <v>-61.82</v>
      </c>
      <c r="AX32" s="361">
        <f>'Table 5C1J-LA Key Academy'!P33</f>
        <v>0</v>
      </c>
      <c r="AY32" s="361">
        <f>'Table 5C1K-Jefferson Chamber'!P33</f>
        <v>0</v>
      </c>
      <c r="AZ32" s="361">
        <f>'Table 5C1L-Tallulah Charter'!P33</f>
        <v>0</v>
      </c>
      <c r="BA32" s="361">
        <f>'Table 5C1M-Northshore Charter'!P33</f>
        <v>0</v>
      </c>
      <c r="BB32" s="361">
        <f>'Table 5C1N-EBR Charter'!P33</f>
        <v>0</v>
      </c>
      <c r="BC32" s="361">
        <f>'Table 5C1O-Lake Charles HS'!P33</f>
        <v>0</v>
      </c>
      <c r="BD32" s="361">
        <f>'Table 5C1P-Delta Charter'!P33</f>
        <v>0</v>
      </c>
      <c r="BE32" s="361">
        <f>'Table 5C2 - LA Virtual Admy'!Q30</f>
        <v>-21</v>
      </c>
      <c r="BF32" s="361">
        <f>'Table 5C3 - LA Connections EBR'!Q30</f>
        <v>-49</v>
      </c>
      <c r="BG32" s="361">
        <f>'Table 5D1 - New Vision'!O33</f>
        <v>0</v>
      </c>
      <c r="BH32" s="361">
        <f>'Table 5D2 - Glencoe'!O33</f>
        <v>0</v>
      </c>
      <c r="BI32" s="361">
        <f>'Table 5D3 - International'!Q33</f>
        <v>0</v>
      </c>
      <c r="BJ32" s="361">
        <f>'Table 5D4 - Avoyelles'!O33</f>
        <v>0</v>
      </c>
      <c r="BK32" s="361">
        <f>'Table 5D5 - Delhi'!O33</f>
        <v>0</v>
      </c>
      <c r="BL32" s="361">
        <f>'Table 5D6 - Milestone'!O33</f>
        <v>0</v>
      </c>
      <c r="BM32" s="361">
        <f>'Table 5D7 - Max'!O33</f>
        <v>0</v>
      </c>
      <c r="BN32" s="361">
        <f>'Table 5D8 - Belle Chasse'!S33</f>
        <v>0</v>
      </c>
      <c r="BO32" s="750">
        <f t="shared" si="61"/>
        <v>2944916.665</v>
      </c>
      <c r="BP32" s="47"/>
      <c r="BV32"/>
      <c r="CE32"/>
    </row>
    <row r="33" spans="1:83">
      <c r="A33" s="99">
        <v>28</v>
      </c>
      <c r="B33" s="301" t="s">
        <v>122</v>
      </c>
      <c r="C33" s="310">
        <f>'Table 2_State Distrib and Adjs'!AI34</f>
        <v>9477041</v>
      </c>
      <c r="D33" s="361"/>
      <c r="E33" s="361"/>
      <c r="F33" s="361">
        <f>-'Table 5C1A-Madison Prep'!V34</f>
        <v>0</v>
      </c>
      <c r="G33" s="361">
        <f>-'Table 5C1B-DArbonne'!T34</f>
        <v>0</v>
      </c>
      <c r="H33" s="361">
        <f>-'Table 5C1C-Intl_VIBE'!T34</f>
        <v>0</v>
      </c>
      <c r="I33" s="361">
        <f>-'Table 5C1D-NOMMA'!T34</f>
        <v>0</v>
      </c>
      <c r="J33" s="361"/>
      <c r="K33" s="361">
        <f>-'Table 5C1E-LFNO'!V34</f>
        <v>0</v>
      </c>
      <c r="L33" s="361">
        <f>-'Table 5C1F-Lake Charles Charter'!T34</f>
        <v>0</v>
      </c>
      <c r="M33" s="361">
        <f>-'Table 5C1G-JS Clark Academy'!T34</f>
        <v>-442.47437500000001</v>
      </c>
      <c r="N33" s="361">
        <f>-'Table 5C1H-Southwest LA Charter'!T34</f>
        <v>0</v>
      </c>
      <c r="O33" s="361">
        <f>-'Table 5C1J-LA Key Academy'!T34</f>
        <v>0</v>
      </c>
      <c r="P33" s="361">
        <f>-'Table 5C1K-Jefferson Chamber'!T34</f>
        <v>0</v>
      </c>
      <c r="Q33" s="361">
        <f>-'Table 5C1L-Tallulah Charter'!T34</f>
        <v>0</v>
      </c>
      <c r="R33" s="361">
        <f>-'Table 5C1M-Northshore Charter'!T34</f>
        <v>0</v>
      </c>
      <c r="S33" s="361">
        <f>-'Table 5C1N-EBR Charter'!T34</f>
        <v>0</v>
      </c>
      <c r="T33" s="361">
        <f>-'Table 5C1O-Lake Charles HS'!T34</f>
        <v>0</v>
      </c>
      <c r="U33" s="361">
        <f>-'Table 5C1P-Delta Charter'!T34</f>
        <v>0</v>
      </c>
      <c r="V33" s="361">
        <f>-'Table 5C2 - LA Virtual Admy'!U31</f>
        <v>-16163</v>
      </c>
      <c r="W33" s="361">
        <f>-'Table 5C3 - LA Connections EBR'!U31</f>
        <v>-17875</v>
      </c>
      <c r="X33" s="361">
        <f>-'Table 5D1 - New Vision'!S34</f>
        <v>0</v>
      </c>
      <c r="Y33" s="361">
        <f>-'Table 5D2 - Glencoe'!S34</f>
        <v>0</v>
      </c>
      <c r="Z33" s="361">
        <f>-'Table 5D3 - International'!U34</f>
        <v>0</v>
      </c>
      <c r="AA33" s="361">
        <f>-'Table 5D4 - Avoyelles'!S34</f>
        <v>0</v>
      </c>
      <c r="AB33" s="361">
        <f>-'Table 5D5 - Delhi'!S34</f>
        <v>0</v>
      </c>
      <c r="AC33" s="361">
        <f>-'Table 5D6 - Milestone'!S34</f>
        <v>0</v>
      </c>
      <c r="AD33" s="361">
        <f>-'Table 5D7 - Max'!S34</f>
        <v>0</v>
      </c>
      <c r="AE33" s="361">
        <f>-'Table 5D8 - Belle Chasse'!W34</f>
        <v>0</v>
      </c>
      <c r="AF33" s="361">
        <f>-'Table 5E_OJJ'!S34</f>
        <v>-2618</v>
      </c>
      <c r="AG33" s="361">
        <f>-'Table 5A2 LSMSA'!N34</f>
        <v>-4169</v>
      </c>
      <c r="AH33" s="361">
        <f>-'Table 5A3 NOCCA'!L34</f>
        <v>0</v>
      </c>
      <c r="AI33" s="361">
        <f>-'Table 5A4_LSDVI'!L34</f>
        <v>-347</v>
      </c>
      <c r="AJ33" s="361">
        <f>-'Table 5A5_SSD'!L34</f>
        <v>-3474</v>
      </c>
      <c r="AK33" s="361"/>
      <c r="AL33" s="750">
        <f t="shared" si="60"/>
        <v>9431952.5256249998</v>
      </c>
      <c r="AM33" s="361"/>
      <c r="AN33" s="361"/>
      <c r="AO33" s="361"/>
      <c r="AP33" s="361">
        <f>'Table 5C1A-Madison Prep'!R34</f>
        <v>0</v>
      </c>
      <c r="AQ33" s="361">
        <f>'Table 5C1B-DArbonne'!P34</f>
        <v>0</v>
      </c>
      <c r="AR33" s="361">
        <f>'Table 5C1C-Intl_VIBE'!P34</f>
        <v>0</v>
      </c>
      <c r="AS33" s="361">
        <f>'Table 5C1D-NOMMA'!P34</f>
        <v>0</v>
      </c>
      <c r="AT33" s="361">
        <f>'Table 5C1E-LFNO'!R34</f>
        <v>0</v>
      </c>
      <c r="AU33" s="361">
        <f>'Table 5C1F-Lake Charles Charter'!P34</f>
        <v>0</v>
      </c>
      <c r="AV33" s="361">
        <f>'Table 5C1G-JS Clark Academy'!P34</f>
        <v>-13.307500000000001</v>
      </c>
      <c r="AW33" s="361">
        <f>'Table 5C1H-Southwest LA Charter'!P34</f>
        <v>0</v>
      </c>
      <c r="AX33" s="361">
        <f>'Table 5C1J-LA Key Academy'!P34</f>
        <v>0</v>
      </c>
      <c r="AY33" s="361">
        <f>'Table 5C1K-Jefferson Chamber'!P34</f>
        <v>0</v>
      </c>
      <c r="AZ33" s="361">
        <f>'Table 5C1L-Tallulah Charter'!P34</f>
        <v>0</v>
      </c>
      <c r="BA33" s="361">
        <f>'Table 5C1M-Northshore Charter'!P34</f>
        <v>0</v>
      </c>
      <c r="BB33" s="361">
        <f>'Table 5C1N-EBR Charter'!P34</f>
        <v>0</v>
      </c>
      <c r="BC33" s="361">
        <f>'Table 5C1O-Lake Charles HS'!P34</f>
        <v>0</v>
      </c>
      <c r="BD33" s="361">
        <f>'Table 5C1P-Delta Charter'!P34</f>
        <v>0</v>
      </c>
      <c r="BE33" s="361">
        <f>'Table 5C2 - LA Virtual Admy'!Q31</f>
        <v>-467</v>
      </c>
      <c r="BF33" s="361">
        <f>'Table 5C3 - LA Connections EBR'!Q31</f>
        <v>-551</v>
      </c>
      <c r="BG33" s="361">
        <f>'Table 5D1 - New Vision'!O34</f>
        <v>0</v>
      </c>
      <c r="BH33" s="361">
        <f>'Table 5D2 - Glencoe'!O34</f>
        <v>0</v>
      </c>
      <c r="BI33" s="361">
        <f>'Table 5D3 - International'!Q34</f>
        <v>0</v>
      </c>
      <c r="BJ33" s="361">
        <f>'Table 5D4 - Avoyelles'!O34</f>
        <v>0</v>
      </c>
      <c r="BK33" s="361">
        <f>'Table 5D5 - Delhi'!O34</f>
        <v>0</v>
      </c>
      <c r="BL33" s="361">
        <f>'Table 5D6 - Milestone'!O34</f>
        <v>0</v>
      </c>
      <c r="BM33" s="361">
        <f>'Table 5D7 - Max'!O34</f>
        <v>0</v>
      </c>
      <c r="BN33" s="361">
        <f>'Table 5D8 - Belle Chasse'!S34</f>
        <v>0</v>
      </c>
      <c r="BO33" s="750">
        <f t="shared" si="61"/>
        <v>9430921.2181250006</v>
      </c>
      <c r="BP33" s="47"/>
      <c r="BV33"/>
      <c r="CE33"/>
    </row>
    <row r="34" spans="1:83">
      <c r="A34" s="99">
        <v>29</v>
      </c>
      <c r="B34" s="301" t="s">
        <v>123</v>
      </c>
      <c r="C34" s="310">
        <f>'Table 2_State Distrib and Adjs'!AI35</f>
        <v>5311317</v>
      </c>
      <c r="D34" s="361"/>
      <c r="E34" s="361"/>
      <c r="F34" s="361">
        <f>-'Table 5C1A-Madison Prep'!V35</f>
        <v>0</v>
      </c>
      <c r="G34" s="361">
        <f>-'Table 5C1B-DArbonne'!T35</f>
        <v>0</v>
      </c>
      <c r="H34" s="361">
        <f>-'Table 5C1C-Intl_VIBE'!T35</f>
        <v>0</v>
      </c>
      <c r="I34" s="361">
        <f>-'Table 5C1D-NOMMA'!T35</f>
        <v>0</v>
      </c>
      <c r="J34" s="361"/>
      <c r="K34" s="361">
        <f>-'Table 5C1E-LFNO'!V35</f>
        <v>0</v>
      </c>
      <c r="L34" s="361">
        <f>-'Table 5C1F-Lake Charles Charter'!T35</f>
        <v>0</v>
      </c>
      <c r="M34" s="361">
        <f>-'Table 5C1G-JS Clark Academy'!T35</f>
        <v>0</v>
      </c>
      <c r="N34" s="361">
        <f>-'Table 5C1H-Southwest LA Charter'!T35</f>
        <v>0</v>
      </c>
      <c r="O34" s="361">
        <f>-'Table 5C1J-LA Key Academy'!T35</f>
        <v>0</v>
      </c>
      <c r="P34" s="361">
        <f>-'Table 5C1K-Jefferson Chamber'!T35</f>
        <v>0</v>
      </c>
      <c r="Q34" s="361">
        <f>-'Table 5C1L-Tallulah Charter'!T35</f>
        <v>0</v>
      </c>
      <c r="R34" s="361">
        <f>-'Table 5C1M-Northshore Charter'!T35</f>
        <v>0</v>
      </c>
      <c r="S34" s="361">
        <f>-'Table 5C1N-EBR Charter'!T35</f>
        <v>0</v>
      </c>
      <c r="T34" s="361">
        <f>-'Table 5C1O-Lake Charles HS'!T35</f>
        <v>0</v>
      </c>
      <c r="U34" s="361">
        <f>-'Table 5C1P-Delta Charter'!T35</f>
        <v>0</v>
      </c>
      <c r="V34" s="361">
        <f>-'Table 5C2 - LA Virtual Admy'!U32</f>
        <v>-4305</v>
      </c>
      <c r="W34" s="361">
        <f>-'Table 5C3 - LA Connections EBR'!U32</f>
        <v>-2626</v>
      </c>
      <c r="X34" s="361">
        <f>-'Table 5D1 - New Vision'!S35</f>
        <v>0</v>
      </c>
      <c r="Y34" s="361">
        <f>-'Table 5D2 - Glencoe'!S35</f>
        <v>0</v>
      </c>
      <c r="Z34" s="361">
        <f>-'Table 5D3 - International'!U35</f>
        <v>0</v>
      </c>
      <c r="AA34" s="361">
        <f>-'Table 5D4 - Avoyelles'!S35</f>
        <v>0</v>
      </c>
      <c r="AB34" s="361">
        <f>-'Table 5D5 - Delhi'!S35</f>
        <v>0</v>
      </c>
      <c r="AC34" s="361">
        <f>-'Table 5D6 - Milestone'!S35</f>
        <v>0</v>
      </c>
      <c r="AD34" s="361">
        <f>-'Table 5D7 - Max'!S35</f>
        <v>-21520</v>
      </c>
      <c r="AE34" s="361">
        <f>-'Table 5D8 - Belle Chasse'!W35</f>
        <v>0</v>
      </c>
      <c r="AF34" s="361">
        <f>-'Table 5E_OJJ'!S35</f>
        <v>-5551</v>
      </c>
      <c r="AG34" s="361">
        <f>-'Table 5A2 LSMSA'!N35</f>
        <v>-884</v>
      </c>
      <c r="AH34" s="361">
        <f>-'Table 5A3 NOCCA'!L35</f>
        <v>-295</v>
      </c>
      <c r="AI34" s="361">
        <f>-'Table 5A4_LSDVI'!L35</f>
        <v>-295</v>
      </c>
      <c r="AJ34" s="361">
        <f>-'Table 5A5_SSD'!L35</f>
        <v>-1179</v>
      </c>
      <c r="AK34" s="361"/>
      <c r="AL34" s="750">
        <f t="shared" si="60"/>
        <v>5274662</v>
      </c>
      <c r="AM34" s="361"/>
      <c r="AN34" s="361"/>
      <c r="AO34" s="361"/>
      <c r="AP34" s="361">
        <f>'Table 5C1A-Madison Prep'!R35</f>
        <v>0</v>
      </c>
      <c r="AQ34" s="361">
        <f>'Table 5C1B-DArbonne'!P35</f>
        <v>0</v>
      </c>
      <c r="AR34" s="361">
        <f>'Table 5C1C-Intl_VIBE'!P35</f>
        <v>0</v>
      </c>
      <c r="AS34" s="361">
        <f>'Table 5C1D-NOMMA'!P35</f>
        <v>0</v>
      </c>
      <c r="AT34" s="361">
        <f>'Table 5C1E-LFNO'!R35</f>
        <v>0</v>
      </c>
      <c r="AU34" s="361">
        <f>'Table 5C1F-Lake Charles Charter'!P35</f>
        <v>0</v>
      </c>
      <c r="AV34" s="361">
        <f>'Table 5C1G-JS Clark Academy'!P35</f>
        <v>0</v>
      </c>
      <c r="AW34" s="361">
        <f>'Table 5C1H-Southwest LA Charter'!P35</f>
        <v>0</v>
      </c>
      <c r="AX34" s="361">
        <f>'Table 5C1J-LA Key Academy'!P35</f>
        <v>0</v>
      </c>
      <c r="AY34" s="361">
        <f>'Table 5C1K-Jefferson Chamber'!P35</f>
        <v>0</v>
      </c>
      <c r="AZ34" s="361">
        <f>'Table 5C1L-Tallulah Charter'!P35</f>
        <v>0</v>
      </c>
      <c r="BA34" s="361">
        <f>'Table 5C1M-Northshore Charter'!P35</f>
        <v>0</v>
      </c>
      <c r="BB34" s="361">
        <f>'Table 5C1N-EBR Charter'!P35</f>
        <v>0</v>
      </c>
      <c r="BC34" s="361">
        <f>'Table 5C1O-Lake Charles HS'!P35</f>
        <v>0</v>
      </c>
      <c r="BD34" s="361">
        <f>'Table 5C1P-Delta Charter'!P35</f>
        <v>0</v>
      </c>
      <c r="BE34" s="361">
        <f>'Table 5C2 - LA Virtual Admy'!Q32</f>
        <v>-118</v>
      </c>
      <c r="BF34" s="361">
        <f>'Table 5C3 - LA Connections EBR'!Q32</f>
        <v>-79</v>
      </c>
      <c r="BG34" s="361">
        <f>'Table 5D1 - New Vision'!O35</f>
        <v>0</v>
      </c>
      <c r="BH34" s="361">
        <f>'Table 5D2 - Glencoe'!O35</f>
        <v>0</v>
      </c>
      <c r="BI34" s="361">
        <f>'Table 5D3 - International'!Q35</f>
        <v>0</v>
      </c>
      <c r="BJ34" s="361">
        <f>'Table 5D4 - Avoyelles'!O35</f>
        <v>0</v>
      </c>
      <c r="BK34" s="361">
        <f>'Table 5D5 - Delhi'!O35</f>
        <v>0</v>
      </c>
      <c r="BL34" s="361">
        <f>'Table 5D6 - Milestone'!O35</f>
        <v>0</v>
      </c>
      <c r="BM34" s="361">
        <f>'Table 5D7 - Max'!O35</f>
        <v>-647.23</v>
      </c>
      <c r="BN34" s="361">
        <f>'Table 5D8 - Belle Chasse'!S35</f>
        <v>0</v>
      </c>
      <c r="BO34" s="750">
        <f t="shared" si="61"/>
        <v>5273817.7699999996</v>
      </c>
      <c r="BP34" s="47"/>
      <c r="BV34"/>
      <c r="CE34"/>
    </row>
    <row r="35" spans="1:83">
      <c r="A35" s="100">
        <v>30</v>
      </c>
      <c r="B35" s="302" t="s">
        <v>124</v>
      </c>
      <c r="C35" s="319">
        <f>'Table 2_State Distrib and Adjs'!AI36</f>
        <v>1301073</v>
      </c>
      <c r="D35" s="362"/>
      <c r="E35" s="362"/>
      <c r="F35" s="362">
        <f>-'Table 5C1A-Madison Prep'!V36</f>
        <v>0</v>
      </c>
      <c r="G35" s="362">
        <f>-'Table 5C1B-DArbonne'!T36</f>
        <v>0</v>
      </c>
      <c r="H35" s="362">
        <f>-'Table 5C1C-Intl_VIBE'!T36</f>
        <v>0</v>
      </c>
      <c r="I35" s="362">
        <f>-'Table 5C1D-NOMMA'!T36</f>
        <v>0</v>
      </c>
      <c r="J35" s="362"/>
      <c r="K35" s="362">
        <f>-'Table 5C1E-LFNO'!V36</f>
        <v>0</v>
      </c>
      <c r="L35" s="362">
        <f>-'Table 5C1F-Lake Charles Charter'!T36</f>
        <v>0</v>
      </c>
      <c r="M35" s="362">
        <f>-'Table 5C1G-JS Clark Academy'!T36</f>
        <v>0</v>
      </c>
      <c r="N35" s="362">
        <f>-'Table 5C1H-Southwest LA Charter'!T36</f>
        <v>0</v>
      </c>
      <c r="O35" s="362">
        <f>-'Table 5C1J-LA Key Academy'!T36</f>
        <v>0</v>
      </c>
      <c r="P35" s="362">
        <f>-'Table 5C1K-Jefferson Chamber'!T36</f>
        <v>0</v>
      </c>
      <c r="Q35" s="362">
        <f>-'Table 5C1L-Tallulah Charter'!T36</f>
        <v>0</v>
      </c>
      <c r="R35" s="362">
        <f>-'Table 5C1M-Northshore Charter'!T36</f>
        <v>0</v>
      </c>
      <c r="S35" s="362">
        <f>-'Table 5C1N-EBR Charter'!T36</f>
        <v>0</v>
      </c>
      <c r="T35" s="362">
        <f>-'Table 5C1O-Lake Charles HS'!T36</f>
        <v>0</v>
      </c>
      <c r="U35" s="362">
        <f>-'Table 5C1P-Delta Charter'!T36</f>
        <v>0</v>
      </c>
      <c r="V35" s="362">
        <f>-'Table 5C2 - LA Virtual Admy'!U33</f>
        <v>-1108</v>
      </c>
      <c r="W35" s="362">
        <f>-'Table 5C3 - LA Connections EBR'!U33</f>
        <v>-554</v>
      </c>
      <c r="X35" s="362">
        <f>-'Table 5D1 - New Vision'!S36</f>
        <v>0</v>
      </c>
      <c r="Y35" s="362">
        <f>-'Table 5D2 - Glencoe'!S36</f>
        <v>0</v>
      </c>
      <c r="Z35" s="362">
        <f>-'Table 5D3 - International'!U36</f>
        <v>0</v>
      </c>
      <c r="AA35" s="362">
        <f>-'Table 5D4 - Avoyelles'!S36</f>
        <v>0</v>
      </c>
      <c r="AB35" s="362">
        <f>-'Table 5D5 - Delhi'!S36</f>
        <v>0</v>
      </c>
      <c r="AC35" s="362">
        <f>-'Table 5D6 - Milestone'!S36</f>
        <v>0</v>
      </c>
      <c r="AD35" s="362">
        <f>-'Table 5D7 - Max'!S36</f>
        <v>0</v>
      </c>
      <c r="AE35" s="362">
        <f>-'Table 5D8 - Belle Chasse'!W36</f>
        <v>0</v>
      </c>
      <c r="AF35" s="362">
        <f>-'Table 5E_OJJ'!S36</f>
        <v>0</v>
      </c>
      <c r="AG35" s="362">
        <f>-'Table 5A2 LSMSA'!N36</f>
        <v>-255</v>
      </c>
      <c r="AH35" s="362">
        <f>-'Table 5A3 NOCCA'!L36</f>
        <v>0</v>
      </c>
      <c r="AI35" s="362">
        <f>-'Table 5A4_LSDVI'!L36</f>
        <v>0</v>
      </c>
      <c r="AJ35" s="362">
        <f>-'Table 5A5_SSD'!L36</f>
        <v>0</v>
      </c>
      <c r="AK35" s="362"/>
      <c r="AL35" s="751">
        <f t="shared" si="60"/>
        <v>1299156</v>
      </c>
      <c r="AM35" s="362"/>
      <c r="AN35" s="362"/>
      <c r="AO35" s="362"/>
      <c r="AP35" s="362">
        <f>'Table 5C1A-Madison Prep'!R36</f>
        <v>0</v>
      </c>
      <c r="AQ35" s="362">
        <f>'Table 5C1B-DArbonne'!P36</f>
        <v>0</v>
      </c>
      <c r="AR35" s="362">
        <f>'Table 5C1C-Intl_VIBE'!P36</f>
        <v>0</v>
      </c>
      <c r="AS35" s="362">
        <f>'Table 5C1D-NOMMA'!P36</f>
        <v>0</v>
      </c>
      <c r="AT35" s="362">
        <f>'Table 5C1E-LFNO'!R36</f>
        <v>0</v>
      </c>
      <c r="AU35" s="362">
        <f>'Table 5C1F-Lake Charles Charter'!P36</f>
        <v>0</v>
      </c>
      <c r="AV35" s="362">
        <f>'Table 5C1G-JS Clark Academy'!P36</f>
        <v>0</v>
      </c>
      <c r="AW35" s="362">
        <f>'Table 5C1H-Southwest LA Charter'!P36</f>
        <v>0</v>
      </c>
      <c r="AX35" s="362">
        <f>'Table 5C1J-LA Key Academy'!P36</f>
        <v>0</v>
      </c>
      <c r="AY35" s="362">
        <f>'Table 5C1K-Jefferson Chamber'!P36</f>
        <v>0</v>
      </c>
      <c r="AZ35" s="362">
        <f>'Table 5C1L-Tallulah Charter'!P36</f>
        <v>0</v>
      </c>
      <c r="BA35" s="362">
        <f>'Table 5C1M-Northshore Charter'!P36</f>
        <v>0</v>
      </c>
      <c r="BB35" s="362">
        <f>'Table 5C1N-EBR Charter'!P36</f>
        <v>0</v>
      </c>
      <c r="BC35" s="362">
        <f>'Table 5C1O-Lake Charles HS'!P36</f>
        <v>0</v>
      </c>
      <c r="BD35" s="362">
        <f>'Table 5C1P-Delta Charter'!P36</f>
        <v>0</v>
      </c>
      <c r="BE35" s="362">
        <f>'Table 5C2 - LA Virtual Admy'!Q33</f>
        <v>-33</v>
      </c>
      <c r="BF35" s="362">
        <f>'Table 5C3 - LA Connections EBR'!Q33</f>
        <v>-17</v>
      </c>
      <c r="BG35" s="362">
        <f>'Table 5D1 - New Vision'!O36</f>
        <v>0</v>
      </c>
      <c r="BH35" s="362">
        <f>'Table 5D2 - Glencoe'!O36</f>
        <v>0</v>
      </c>
      <c r="BI35" s="362">
        <f>'Table 5D3 - International'!Q36</f>
        <v>0</v>
      </c>
      <c r="BJ35" s="362">
        <f>'Table 5D4 - Avoyelles'!O36</f>
        <v>0</v>
      </c>
      <c r="BK35" s="362">
        <f>'Table 5D5 - Delhi'!O36</f>
        <v>0</v>
      </c>
      <c r="BL35" s="362">
        <f>'Table 5D6 - Milestone'!O36</f>
        <v>0</v>
      </c>
      <c r="BM35" s="362">
        <f>'Table 5D7 - Max'!O36</f>
        <v>0</v>
      </c>
      <c r="BN35" s="362">
        <f>'Table 5D8 - Belle Chasse'!S36</f>
        <v>0</v>
      </c>
      <c r="BO35" s="751">
        <f t="shared" si="61"/>
        <v>1299106</v>
      </c>
      <c r="BP35" s="47"/>
      <c r="BV35"/>
      <c r="CE35"/>
    </row>
    <row r="36" spans="1:83">
      <c r="A36" s="99">
        <v>31</v>
      </c>
      <c r="B36" s="301" t="s">
        <v>125</v>
      </c>
      <c r="C36" s="310">
        <f>'Table 2_State Distrib and Adjs'!AI37</f>
        <v>2630719</v>
      </c>
      <c r="D36" s="361"/>
      <c r="E36" s="361"/>
      <c r="F36" s="361">
        <f>-'Table 5C1A-Madison Prep'!V37</f>
        <v>0</v>
      </c>
      <c r="G36" s="361">
        <f>-'Table 5C1B-DArbonne'!T37</f>
        <v>-3104.8850000000002</v>
      </c>
      <c r="H36" s="361">
        <f>-'Table 5C1C-Intl_VIBE'!T37</f>
        <v>0</v>
      </c>
      <c r="I36" s="361">
        <f>-'Table 5C1D-NOMMA'!T37</f>
        <v>0</v>
      </c>
      <c r="J36" s="361"/>
      <c r="K36" s="361">
        <f>-'Table 5C1E-LFNO'!V37</f>
        <v>0</v>
      </c>
      <c r="L36" s="361">
        <f>-'Table 5C1F-Lake Charles Charter'!T37</f>
        <v>0</v>
      </c>
      <c r="M36" s="361">
        <f>-'Table 5C1G-JS Clark Academy'!T37</f>
        <v>0</v>
      </c>
      <c r="N36" s="361">
        <f>-'Table 5C1H-Southwest LA Charter'!T37</f>
        <v>0</v>
      </c>
      <c r="O36" s="361">
        <f>-'Table 5C1J-LA Key Academy'!T37</f>
        <v>0</v>
      </c>
      <c r="P36" s="361">
        <f>-'Table 5C1K-Jefferson Chamber'!T37</f>
        <v>0</v>
      </c>
      <c r="Q36" s="361">
        <f>-'Table 5C1L-Tallulah Charter'!T37</f>
        <v>0</v>
      </c>
      <c r="R36" s="361">
        <f>-'Table 5C1M-Northshore Charter'!T37</f>
        <v>0</v>
      </c>
      <c r="S36" s="361">
        <f>-'Table 5C1N-EBR Charter'!T37</f>
        <v>0</v>
      </c>
      <c r="T36" s="361">
        <f>-'Table 5C1O-Lake Charles HS'!T37</f>
        <v>0</v>
      </c>
      <c r="U36" s="361">
        <f>-'Table 5C1P-Delta Charter'!T37</f>
        <v>0</v>
      </c>
      <c r="V36" s="361">
        <f>-'Table 5C2 - LA Virtual Admy'!U34</f>
        <v>-172</v>
      </c>
      <c r="W36" s="361">
        <f>-'Table 5C3 - LA Connections EBR'!U34</f>
        <v>-1397</v>
      </c>
      <c r="X36" s="361">
        <f>-'Table 5D1 - New Vision'!S37</f>
        <v>0</v>
      </c>
      <c r="Y36" s="361">
        <f>-'Table 5D2 - Glencoe'!S37</f>
        <v>0</v>
      </c>
      <c r="Z36" s="361">
        <f>-'Table 5D3 - International'!U37</f>
        <v>0</v>
      </c>
      <c r="AA36" s="361">
        <f>-'Table 5D4 - Avoyelles'!S37</f>
        <v>0</v>
      </c>
      <c r="AB36" s="361">
        <f>-'Table 5D5 - Delhi'!S37</f>
        <v>0</v>
      </c>
      <c r="AC36" s="361">
        <f>-'Table 5D6 - Milestone'!S37</f>
        <v>0</v>
      </c>
      <c r="AD36" s="361">
        <f>-'Table 5D7 - Max'!S37</f>
        <v>0</v>
      </c>
      <c r="AE36" s="361">
        <f>-'Table 5D8 - Belle Chasse'!W37</f>
        <v>0</v>
      </c>
      <c r="AF36" s="361">
        <f>-'Table 5E_OJJ'!S37</f>
        <v>-466</v>
      </c>
      <c r="AG36" s="361">
        <f>-'Table 5A2 LSMSA'!N37</f>
        <v>-311</v>
      </c>
      <c r="AH36" s="361">
        <f>-'Table 5A3 NOCCA'!L37</f>
        <v>0</v>
      </c>
      <c r="AI36" s="361">
        <f>-'Table 5A4_LSDVI'!L37</f>
        <v>-934</v>
      </c>
      <c r="AJ36" s="361">
        <f>-'Table 5A5_SSD'!L37</f>
        <v>-1246</v>
      </c>
      <c r="AK36" s="361"/>
      <c r="AL36" s="750">
        <f t="shared" si="60"/>
        <v>2623088.1150000002</v>
      </c>
      <c r="AM36" s="361"/>
      <c r="AN36" s="361"/>
      <c r="AO36" s="361"/>
      <c r="AP36" s="361">
        <f>'Table 5C1A-Madison Prep'!R37</f>
        <v>0</v>
      </c>
      <c r="AQ36" s="361">
        <f>'Table 5C1B-DArbonne'!P37</f>
        <v>-93.38</v>
      </c>
      <c r="AR36" s="361">
        <f>'Table 5C1C-Intl_VIBE'!P37</f>
        <v>0</v>
      </c>
      <c r="AS36" s="361">
        <f>'Table 5C1D-NOMMA'!P37</f>
        <v>0</v>
      </c>
      <c r="AT36" s="361">
        <f>'Table 5C1E-LFNO'!R37</f>
        <v>0</v>
      </c>
      <c r="AU36" s="361">
        <f>'Table 5C1F-Lake Charles Charter'!P37</f>
        <v>0</v>
      </c>
      <c r="AV36" s="361">
        <f>'Table 5C1G-JS Clark Academy'!P37</f>
        <v>0</v>
      </c>
      <c r="AW36" s="361">
        <f>'Table 5C1H-Southwest LA Charter'!P37</f>
        <v>0</v>
      </c>
      <c r="AX36" s="361">
        <f>'Table 5C1J-LA Key Academy'!P37</f>
        <v>0</v>
      </c>
      <c r="AY36" s="361">
        <f>'Table 5C1K-Jefferson Chamber'!P37</f>
        <v>0</v>
      </c>
      <c r="AZ36" s="361">
        <f>'Table 5C1L-Tallulah Charter'!P37</f>
        <v>0</v>
      </c>
      <c r="BA36" s="361">
        <f>'Table 5C1M-Northshore Charter'!P37</f>
        <v>0</v>
      </c>
      <c r="BB36" s="361">
        <f>'Table 5C1N-EBR Charter'!P37</f>
        <v>0</v>
      </c>
      <c r="BC36" s="361">
        <f>'Table 5C1O-Lake Charles HS'!P37</f>
        <v>0</v>
      </c>
      <c r="BD36" s="361">
        <f>'Table 5C1P-Delta Charter'!P37</f>
        <v>0</v>
      </c>
      <c r="BE36" s="361">
        <f>'Table 5C2 - LA Virtual Admy'!Q34</f>
        <v>-21</v>
      </c>
      <c r="BF36" s="361">
        <f>'Table 5C3 - LA Connections EBR'!Q34</f>
        <v>-42</v>
      </c>
      <c r="BG36" s="361">
        <f>'Table 5D1 - New Vision'!O37</f>
        <v>0</v>
      </c>
      <c r="BH36" s="361">
        <f>'Table 5D2 - Glencoe'!O37</f>
        <v>0</v>
      </c>
      <c r="BI36" s="361">
        <f>'Table 5D3 - International'!Q37</f>
        <v>0</v>
      </c>
      <c r="BJ36" s="361">
        <f>'Table 5D4 - Avoyelles'!O37</f>
        <v>0</v>
      </c>
      <c r="BK36" s="361">
        <f>'Table 5D5 - Delhi'!O37</f>
        <v>0</v>
      </c>
      <c r="BL36" s="361">
        <f>'Table 5D6 - Milestone'!O37</f>
        <v>0</v>
      </c>
      <c r="BM36" s="361">
        <f>'Table 5D7 - Max'!O37</f>
        <v>0</v>
      </c>
      <c r="BN36" s="361">
        <f>'Table 5D8 - Belle Chasse'!S37</f>
        <v>0</v>
      </c>
      <c r="BO36" s="750">
        <f t="shared" si="61"/>
        <v>2622931.7350000003</v>
      </c>
      <c r="BP36" s="47"/>
      <c r="BV36"/>
      <c r="CE36"/>
    </row>
    <row r="37" spans="1:83">
      <c r="A37" s="99">
        <v>32</v>
      </c>
      <c r="B37" s="301" t="s">
        <v>126</v>
      </c>
      <c r="C37" s="310">
        <f>'Table 2_State Distrib and Adjs'!AI38</f>
        <v>12484716</v>
      </c>
      <c r="D37" s="361"/>
      <c r="E37" s="361"/>
      <c r="F37" s="361">
        <f>-'Table 5C1A-Madison Prep'!V38</f>
        <v>0</v>
      </c>
      <c r="G37" s="361">
        <f>-'Table 5C1B-DArbonne'!T38</f>
        <v>0</v>
      </c>
      <c r="H37" s="361">
        <f>-'Table 5C1C-Intl_VIBE'!T38</f>
        <v>0</v>
      </c>
      <c r="I37" s="361">
        <f>-'Table 5C1D-NOMMA'!T38</f>
        <v>0</v>
      </c>
      <c r="J37" s="361"/>
      <c r="K37" s="361">
        <f>-'Table 5C1E-LFNO'!V38</f>
        <v>0</v>
      </c>
      <c r="L37" s="361">
        <f>-'Table 5C1F-Lake Charles Charter'!T38</f>
        <v>0</v>
      </c>
      <c r="M37" s="361">
        <f>-'Table 5C1G-JS Clark Academy'!T38</f>
        <v>0</v>
      </c>
      <c r="N37" s="361">
        <f>-'Table 5C1H-Southwest LA Charter'!T38</f>
        <v>0</v>
      </c>
      <c r="O37" s="361">
        <f>-'Table 5C1J-LA Key Academy'!T38</f>
        <v>-3364.816875</v>
      </c>
      <c r="P37" s="361">
        <f>-'Table 5C1K-Jefferson Chamber'!T38</f>
        <v>0</v>
      </c>
      <c r="Q37" s="361">
        <f>-'Table 5C1L-Tallulah Charter'!T38</f>
        <v>0</v>
      </c>
      <c r="R37" s="361">
        <f>-'Table 5C1M-Northshore Charter'!T38</f>
        <v>0</v>
      </c>
      <c r="S37" s="361">
        <f>-'Table 5C1N-EBR Charter'!T38</f>
        <v>0</v>
      </c>
      <c r="T37" s="361">
        <f>-'Table 5C1O-Lake Charles HS'!T38</f>
        <v>0</v>
      </c>
      <c r="U37" s="361">
        <f>-'Table 5C1P-Delta Charter'!T38</f>
        <v>0</v>
      </c>
      <c r="V37" s="361">
        <f>-'Table 5C2 - LA Virtual Admy'!U35</f>
        <v>-4915</v>
      </c>
      <c r="W37" s="361">
        <f>-'Table 5C3 - LA Connections EBR'!U35</f>
        <v>-11828</v>
      </c>
      <c r="X37" s="361">
        <f>-'Table 5D1 - New Vision'!S38</f>
        <v>0</v>
      </c>
      <c r="Y37" s="361">
        <f>-'Table 5D2 - Glencoe'!S38</f>
        <v>0</v>
      </c>
      <c r="Z37" s="361">
        <f>-'Table 5D3 - International'!U38</f>
        <v>0</v>
      </c>
      <c r="AA37" s="361">
        <f>-'Table 5D4 - Avoyelles'!S38</f>
        <v>0</v>
      </c>
      <c r="AB37" s="361">
        <f>-'Table 5D5 - Delhi'!S38</f>
        <v>0</v>
      </c>
      <c r="AC37" s="361">
        <f>-'Table 5D6 - Milestone'!S38</f>
        <v>0</v>
      </c>
      <c r="AD37" s="361">
        <f>-'Table 5D7 - Max'!S38</f>
        <v>-163</v>
      </c>
      <c r="AE37" s="361">
        <f>-'Table 5D8 - Belle Chasse'!W38</f>
        <v>0</v>
      </c>
      <c r="AF37" s="361">
        <f>-'Table 5E_OJJ'!S38</f>
        <v>-543</v>
      </c>
      <c r="AG37" s="361">
        <f>-'Table 5A2 LSMSA'!N38</f>
        <v>-2172</v>
      </c>
      <c r="AH37" s="361">
        <f>-'Table 5A3 NOCCA'!L38</f>
        <v>-167</v>
      </c>
      <c r="AI37" s="361">
        <f>-'Table 5A4_LSDVI'!L38</f>
        <v>-2506</v>
      </c>
      <c r="AJ37" s="361">
        <f>-'Table 5A5_SSD'!L38</f>
        <v>-1336</v>
      </c>
      <c r="AK37" s="361"/>
      <c r="AL37" s="750">
        <f t="shared" si="60"/>
        <v>12457721.183125</v>
      </c>
      <c r="AM37" s="361"/>
      <c r="AN37" s="361"/>
      <c r="AO37" s="361"/>
      <c r="AP37" s="361">
        <f>'Table 5C1A-Madison Prep'!R38</f>
        <v>0</v>
      </c>
      <c r="AQ37" s="361">
        <f>'Table 5C1B-DArbonne'!P38</f>
        <v>0</v>
      </c>
      <c r="AR37" s="361">
        <f>'Table 5C1C-Intl_VIBE'!P38</f>
        <v>0</v>
      </c>
      <c r="AS37" s="361">
        <f>'Table 5C1D-NOMMA'!P38</f>
        <v>0</v>
      </c>
      <c r="AT37" s="361">
        <f>'Table 5C1E-LFNO'!R38</f>
        <v>0</v>
      </c>
      <c r="AU37" s="361">
        <f>'Table 5C1F-Lake Charles Charter'!P38</f>
        <v>0</v>
      </c>
      <c r="AV37" s="361">
        <f>'Table 5C1G-JS Clark Academy'!P38</f>
        <v>0</v>
      </c>
      <c r="AW37" s="361">
        <f>'Table 5C1H-Southwest LA Charter'!P38</f>
        <v>0</v>
      </c>
      <c r="AX37" s="361">
        <f>'Table 5C1J-LA Key Academy'!P38</f>
        <v>-101.19750000000001</v>
      </c>
      <c r="AY37" s="361">
        <f>'Table 5C1K-Jefferson Chamber'!P38</f>
        <v>0</v>
      </c>
      <c r="AZ37" s="361">
        <f>'Table 5C1L-Tallulah Charter'!P38</f>
        <v>0</v>
      </c>
      <c r="BA37" s="361">
        <f>'Table 5C1M-Northshore Charter'!P38</f>
        <v>0</v>
      </c>
      <c r="BB37" s="361">
        <f>'Table 5C1N-EBR Charter'!P38</f>
        <v>0</v>
      </c>
      <c r="BC37" s="361">
        <f>'Table 5C1O-Lake Charles HS'!P38</f>
        <v>0</v>
      </c>
      <c r="BD37" s="361">
        <f>'Table 5C1P-Delta Charter'!P38</f>
        <v>0</v>
      </c>
      <c r="BE37" s="361">
        <f>'Table 5C2 - LA Virtual Admy'!Q35</f>
        <v>-141</v>
      </c>
      <c r="BF37" s="361">
        <f>'Table 5C3 - LA Connections EBR'!Q35</f>
        <v>-336</v>
      </c>
      <c r="BG37" s="361">
        <f>'Table 5D1 - New Vision'!O38</f>
        <v>0</v>
      </c>
      <c r="BH37" s="361">
        <f>'Table 5D2 - Glencoe'!O38</f>
        <v>0</v>
      </c>
      <c r="BI37" s="361">
        <f>'Table 5D3 - International'!Q38</f>
        <v>0</v>
      </c>
      <c r="BJ37" s="361">
        <f>'Table 5D4 - Avoyelles'!O38</f>
        <v>0</v>
      </c>
      <c r="BK37" s="361">
        <f>'Table 5D5 - Delhi'!O38</f>
        <v>0</v>
      </c>
      <c r="BL37" s="361">
        <f>'Table 5D6 - Milestone'!O38</f>
        <v>0</v>
      </c>
      <c r="BM37" s="361">
        <f>'Table 5D7 - Max'!O38</f>
        <v>-4.9125000000000005</v>
      </c>
      <c r="BN37" s="361">
        <f>'Table 5D8 - Belle Chasse'!S38</f>
        <v>0</v>
      </c>
      <c r="BO37" s="750">
        <f t="shared" si="61"/>
        <v>12457138.073125001</v>
      </c>
      <c r="BP37" s="47"/>
      <c r="BV37"/>
      <c r="CE37"/>
    </row>
    <row r="38" spans="1:83">
      <c r="A38" s="99">
        <v>33</v>
      </c>
      <c r="B38" s="301" t="s">
        <v>127</v>
      </c>
      <c r="C38" s="310">
        <f>'Table 2_State Distrib and Adjs'!AI39</f>
        <v>885053</v>
      </c>
      <c r="D38" s="361"/>
      <c r="E38" s="361"/>
      <c r="F38" s="361">
        <f>-'Table 5C1A-Madison Prep'!V39</f>
        <v>0</v>
      </c>
      <c r="G38" s="361">
        <f>-'Table 5C1B-DArbonne'!T39</f>
        <v>0</v>
      </c>
      <c r="H38" s="361">
        <f>-'Table 5C1C-Intl_VIBE'!T39</f>
        <v>0</v>
      </c>
      <c r="I38" s="361">
        <f>-'Table 5C1D-NOMMA'!T39</f>
        <v>0</v>
      </c>
      <c r="J38" s="361"/>
      <c r="K38" s="361">
        <f>-'Table 5C1E-LFNO'!V39</f>
        <v>0</v>
      </c>
      <c r="L38" s="361">
        <f>-'Table 5C1F-Lake Charles Charter'!T39</f>
        <v>0</v>
      </c>
      <c r="M38" s="361">
        <f>-'Table 5C1G-JS Clark Academy'!T39</f>
        <v>0</v>
      </c>
      <c r="N38" s="361">
        <f>-'Table 5C1H-Southwest LA Charter'!T39</f>
        <v>0</v>
      </c>
      <c r="O38" s="361">
        <f>-'Table 5C1J-LA Key Academy'!T39</f>
        <v>0</v>
      </c>
      <c r="P38" s="361">
        <f>-'Table 5C1K-Jefferson Chamber'!T39</f>
        <v>0</v>
      </c>
      <c r="Q38" s="361">
        <f>-'Table 5C1L-Tallulah Charter'!T39</f>
        <v>-60809.595000000001</v>
      </c>
      <c r="R38" s="361">
        <f>-'Table 5C1M-Northshore Charter'!T39</f>
        <v>0</v>
      </c>
      <c r="S38" s="361">
        <f>-'Table 5C1N-EBR Charter'!T39</f>
        <v>0</v>
      </c>
      <c r="T38" s="361">
        <f>-'Table 5C1O-Lake Charles HS'!T39</f>
        <v>0</v>
      </c>
      <c r="U38" s="361">
        <f>-'Table 5C1P-Delta Charter'!T39</f>
        <v>0</v>
      </c>
      <c r="V38" s="361">
        <f>-'Table 5C2 - LA Virtual Admy'!U36</f>
        <v>40</v>
      </c>
      <c r="W38" s="361">
        <f>-'Table 5C3 - LA Connections EBR'!U36</f>
        <v>-829</v>
      </c>
      <c r="X38" s="361">
        <f>-'Table 5D1 - New Vision'!S39</f>
        <v>0</v>
      </c>
      <c r="Y38" s="361">
        <f>-'Table 5D2 - Glencoe'!S39</f>
        <v>0</v>
      </c>
      <c r="Z38" s="361">
        <f>-'Table 5D3 - International'!U39</f>
        <v>0</v>
      </c>
      <c r="AA38" s="361">
        <f>-'Table 5D4 - Avoyelles'!S39</f>
        <v>0</v>
      </c>
      <c r="AB38" s="361">
        <f>-'Table 5D5 - Delhi'!S39</f>
        <v>-32248</v>
      </c>
      <c r="AC38" s="361">
        <f>-'Table 5D6 - Milestone'!S39</f>
        <v>0</v>
      </c>
      <c r="AD38" s="361">
        <f>-'Table 5D7 - Max'!S39</f>
        <v>0</v>
      </c>
      <c r="AE38" s="361">
        <f>-'Table 5D8 - Belle Chasse'!W39</f>
        <v>0</v>
      </c>
      <c r="AF38" s="361">
        <f>-'Table 5E_OJJ'!S39</f>
        <v>-1175</v>
      </c>
      <c r="AG38" s="361">
        <f>-'Table 5A2 LSMSA'!N39</f>
        <v>0</v>
      </c>
      <c r="AH38" s="361">
        <f>-'Table 5A3 NOCCA'!L39</f>
        <v>0</v>
      </c>
      <c r="AI38" s="361">
        <f>-'Table 5A4_LSDVI'!L39</f>
        <v>-687</v>
      </c>
      <c r="AJ38" s="361">
        <f>-'Table 5A5_SSD'!L39</f>
        <v>0</v>
      </c>
      <c r="AK38" s="361"/>
      <c r="AL38" s="750">
        <f t="shared" si="60"/>
        <v>789344.40500000003</v>
      </c>
      <c r="AM38" s="361"/>
      <c r="AN38" s="361"/>
      <c r="AO38" s="361"/>
      <c r="AP38" s="361">
        <f>'Table 5C1A-Madison Prep'!R39</f>
        <v>0</v>
      </c>
      <c r="AQ38" s="361">
        <f>'Table 5C1B-DArbonne'!P39</f>
        <v>0</v>
      </c>
      <c r="AR38" s="361">
        <f>'Table 5C1C-Intl_VIBE'!P39</f>
        <v>0</v>
      </c>
      <c r="AS38" s="361">
        <f>'Table 5C1D-NOMMA'!P39</f>
        <v>0</v>
      </c>
      <c r="AT38" s="361">
        <f>'Table 5C1E-LFNO'!R39</f>
        <v>0</v>
      </c>
      <c r="AU38" s="361">
        <f>'Table 5C1F-Lake Charles Charter'!P39</f>
        <v>0</v>
      </c>
      <c r="AV38" s="361">
        <f>'Table 5C1G-JS Clark Academy'!P39</f>
        <v>0</v>
      </c>
      <c r="AW38" s="361">
        <f>'Table 5C1H-Southwest LA Charter'!P39</f>
        <v>0</v>
      </c>
      <c r="AX38" s="361">
        <f>'Table 5C1J-LA Key Academy'!P39</f>
        <v>0</v>
      </c>
      <c r="AY38" s="361">
        <f>'Table 5C1K-Jefferson Chamber'!P39</f>
        <v>0</v>
      </c>
      <c r="AZ38" s="361">
        <f>'Table 5C1L-Tallulah Charter'!P39</f>
        <v>-1828.8600000000001</v>
      </c>
      <c r="BA38" s="361">
        <f>'Table 5C1M-Northshore Charter'!P39</f>
        <v>0</v>
      </c>
      <c r="BB38" s="361">
        <f>'Table 5C1N-EBR Charter'!P39</f>
        <v>0</v>
      </c>
      <c r="BC38" s="361">
        <f>'Table 5C1O-Lake Charles HS'!P39</f>
        <v>0</v>
      </c>
      <c r="BD38" s="361">
        <f>'Table 5C1P-Delta Charter'!P39</f>
        <v>0</v>
      </c>
      <c r="BE38" s="361">
        <f>'Table 5C2 - LA Virtual Admy'!Q36</f>
        <v>-12</v>
      </c>
      <c r="BF38" s="361">
        <f>'Table 5C3 - LA Connections EBR'!Q36</f>
        <v>-25</v>
      </c>
      <c r="BG38" s="361">
        <f>'Table 5D1 - New Vision'!O39</f>
        <v>0</v>
      </c>
      <c r="BH38" s="361">
        <f>'Table 5D2 - Glencoe'!O39</f>
        <v>0</v>
      </c>
      <c r="BI38" s="361">
        <f>'Table 5D3 - International'!Q39</f>
        <v>0</v>
      </c>
      <c r="BJ38" s="361">
        <f>'Table 5D4 - Avoyelles'!O39</f>
        <v>0</v>
      </c>
      <c r="BK38" s="361">
        <f>'Table 5D5 - Delhi'!O39</f>
        <v>-969.85</v>
      </c>
      <c r="BL38" s="361">
        <f>'Table 5D6 - Milestone'!O39</f>
        <v>0</v>
      </c>
      <c r="BM38" s="361">
        <f>'Table 5D7 - Max'!O39</f>
        <v>0</v>
      </c>
      <c r="BN38" s="361">
        <f>'Table 5D8 - Belle Chasse'!S39</f>
        <v>0</v>
      </c>
      <c r="BO38" s="750">
        <f t="shared" si="61"/>
        <v>786508.69500000007</v>
      </c>
      <c r="BP38" s="47"/>
      <c r="BV38"/>
      <c r="CE38"/>
    </row>
    <row r="39" spans="1:83">
      <c r="A39" s="99">
        <v>34</v>
      </c>
      <c r="B39" s="301" t="s">
        <v>128</v>
      </c>
      <c r="C39" s="310">
        <f>'Table 2_State Distrib and Adjs'!AI40</f>
        <v>2338348</v>
      </c>
      <c r="D39" s="361"/>
      <c r="E39" s="361"/>
      <c r="F39" s="361">
        <f>-'Table 5C1A-Madison Prep'!V40</f>
        <v>0</v>
      </c>
      <c r="G39" s="361">
        <f>-'Table 5C1B-DArbonne'!T40</f>
        <v>0</v>
      </c>
      <c r="H39" s="361">
        <f>-'Table 5C1C-Intl_VIBE'!T40</f>
        <v>0</v>
      </c>
      <c r="I39" s="361">
        <f>-'Table 5C1D-NOMMA'!T40</f>
        <v>0</v>
      </c>
      <c r="J39" s="361"/>
      <c r="K39" s="361">
        <f>-'Table 5C1E-LFNO'!V40</f>
        <v>0</v>
      </c>
      <c r="L39" s="361">
        <f>-'Table 5C1F-Lake Charles Charter'!T40</f>
        <v>0</v>
      </c>
      <c r="M39" s="361">
        <f>-'Table 5C1G-JS Clark Academy'!T40</f>
        <v>0</v>
      </c>
      <c r="N39" s="361">
        <f>-'Table 5C1H-Southwest LA Charter'!T40</f>
        <v>0</v>
      </c>
      <c r="O39" s="361">
        <f>-'Table 5C1J-LA Key Academy'!T40</f>
        <v>0</v>
      </c>
      <c r="P39" s="361">
        <f>-'Table 5C1K-Jefferson Chamber'!T40</f>
        <v>0</v>
      </c>
      <c r="Q39" s="361">
        <f>-'Table 5C1L-Tallulah Charter'!T40</f>
        <v>0</v>
      </c>
      <c r="R39" s="361">
        <f>-'Table 5C1M-Northshore Charter'!T40</f>
        <v>0</v>
      </c>
      <c r="S39" s="361">
        <f>-'Table 5C1N-EBR Charter'!T40</f>
        <v>0</v>
      </c>
      <c r="T39" s="361">
        <f>-'Table 5C1O-Lake Charles HS'!T40</f>
        <v>0</v>
      </c>
      <c r="U39" s="361">
        <f>-'Table 5C1P-Delta Charter'!T40</f>
        <v>0</v>
      </c>
      <c r="V39" s="361">
        <f>-'Table 5C2 - LA Virtual Admy'!U37</f>
        <v>-3196</v>
      </c>
      <c r="W39" s="361">
        <f>-'Table 5C3 - LA Connections EBR'!U37</f>
        <v>-1444</v>
      </c>
      <c r="X39" s="361">
        <f>-'Table 5D1 - New Vision'!S40</f>
        <v>-1834</v>
      </c>
      <c r="Y39" s="361">
        <f>-'Table 5D2 - Glencoe'!S40</f>
        <v>0</v>
      </c>
      <c r="Z39" s="361">
        <f>-'Table 5D3 - International'!U40</f>
        <v>0</v>
      </c>
      <c r="AA39" s="361">
        <f>-'Table 5D4 - Avoyelles'!S40</f>
        <v>0</v>
      </c>
      <c r="AB39" s="361">
        <f>-'Table 5D5 - Delhi'!S40</f>
        <v>-459</v>
      </c>
      <c r="AC39" s="361">
        <f>-'Table 5D6 - Milestone'!S40</f>
        <v>0</v>
      </c>
      <c r="AD39" s="361">
        <f>-'Table 5D7 - Max'!S40</f>
        <v>0</v>
      </c>
      <c r="AE39" s="361">
        <f>-'Table 5D8 - Belle Chasse'!W40</f>
        <v>0</v>
      </c>
      <c r="AF39" s="361">
        <f>-'Table 5E_OJJ'!S40</f>
        <v>-497</v>
      </c>
      <c r="AG39" s="361">
        <f>-'Table 5A2 LSMSA'!N40</f>
        <v>-478</v>
      </c>
      <c r="AH39" s="361">
        <f>-'Table 5A3 NOCCA'!L40</f>
        <v>0</v>
      </c>
      <c r="AI39" s="361">
        <f>-'Table 5A4_LSDVI'!L40</f>
        <v>0</v>
      </c>
      <c r="AJ39" s="361">
        <f>-'Table 5A5_SSD'!L40</f>
        <v>-239</v>
      </c>
      <c r="AK39" s="361"/>
      <c r="AL39" s="750">
        <f t="shared" si="60"/>
        <v>2330201</v>
      </c>
      <c r="AM39" s="361"/>
      <c r="AN39" s="361"/>
      <c r="AO39" s="361"/>
      <c r="AP39" s="361">
        <f>'Table 5C1A-Madison Prep'!R40</f>
        <v>0</v>
      </c>
      <c r="AQ39" s="361">
        <f>'Table 5C1B-DArbonne'!P40</f>
        <v>0</v>
      </c>
      <c r="AR39" s="361">
        <f>'Table 5C1C-Intl_VIBE'!P40</f>
        <v>0</v>
      </c>
      <c r="AS39" s="361">
        <f>'Table 5C1D-NOMMA'!P40</f>
        <v>0</v>
      </c>
      <c r="AT39" s="361">
        <f>'Table 5C1E-LFNO'!R40</f>
        <v>0</v>
      </c>
      <c r="AU39" s="361">
        <f>'Table 5C1F-Lake Charles Charter'!P40</f>
        <v>0</v>
      </c>
      <c r="AV39" s="361">
        <f>'Table 5C1G-JS Clark Academy'!P40</f>
        <v>0</v>
      </c>
      <c r="AW39" s="361">
        <f>'Table 5C1H-Southwest LA Charter'!P40</f>
        <v>0</v>
      </c>
      <c r="AX39" s="361">
        <f>'Table 5C1J-LA Key Academy'!P40</f>
        <v>0</v>
      </c>
      <c r="AY39" s="361">
        <f>'Table 5C1K-Jefferson Chamber'!P40</f>
        <v>0</v>
      </c>
      <c r="AZ39" s="361">
        <f>'Table 5C1L-Tallulah Charter'!P40</f>
        <v>0</v>
      </c>
      <c r="BA39" s="361">
        <f>'Table 5C1M-Northshore Charter'!P40</f>
        <v>0</v>
      </c>
      <c r="BB39" s="361">
        <f>'Table 5C1N-EBR Charter'!P40</f>
        <v>0</v>
      </c>
      <c r="BC39" s="361">
        <f>'Table 5C1O-Lake Charles HS'!P40</f>
        <v>0</v>
      </c>
      <c r="BD39" s="361">
        <f>'Table 5C1P-Delta Charter'!P40</f>
        <v>0</v>
      </c>
      <c r="BE39" s="361">
        <f>'Table 5C2 - LA Virtual Admy'!Q37</f>
        <v>-93</v>
      </c>
      <c r="BF39" s="361">
        <f>'Table 5C3 - LA Connections EBR'!Q37</f>
        <v>-43</v>
      </c>
      <c r="BG39" s="361">
        <f>'Table 5D1 - New Vision'!O40</f>
        <v>-55.160000000000004</v>
      </c>
      <c r="BH39" s="361">
        <f>'Table 5D2 - Glencoe'!O40</f>
        <v>0</v>
      </c>
      <c r="BI39" s="361">
        <f>'Table 5D3 - International'!Q40</f>
        <v>0</v>
      </c>
      <c r="BJ39" s="361">
        <f>'Table 5D4 - Avoyelles'!O40</f>
        <v>0</v>
      </c>
      <c r="BK39" s="361">
        <f>'Table 5D5 - Delhi'!O40</f>
        <v>-13.790000000000001</v>
      </c>
      <c r="BL39" s="361">
        <f>'Table 5D6 - Milestone'!O40</f>
        <v>0</v>
      </c>
      <c r="BM39" s="361">
        <f>'Table 5D7 - Max'!O40</f>
        <v>0</v>
      </c>
      <c r="BN39" s="361">
        <f>'Table 5D8 - Belle Chasse'!S40</f>
        <v>0</v>
      </c>
      <c r="BO39" s="750">
        <f t="shared" si="61"/>
        <v>2329996.0499999998</v>
      </c>
      <c r="BP39" s="47"/>
      <c r="BV39"/>
      <c r="CE39"/>
    </row>
    <row r="40" spans="1:83">
      <c r="A40" s="100">
        <v>35</v>
      </c>
      <c r="B40" s="302" t="s">
        <v>129</v>
      </c>
      <c r="C40" s="319">
        <f>'Table 2_State Distrib and Adjs'!AI41</f>
        <v>2749289</v>
      </c>
      <c r="D40" s="362"/>
      <c r="E40" s="362"/>
      <c r="F40" s="362">
        <f>-'Table 5C1A-Madison Prep'!V41</f>
        <v>0</v>
      </c>
      <c r="G40" s="362">
        <f>-'Table 5C1B-DArbonne'!T41</f>
        <v>0</v>
      </c>
      <c r="H40" s="362">
        <f>-'Table 5C1C-Intl_VIBE'!T41</f>
        <v>0</v>
      </c>
      <c r="I40" s="362">
        <f>-'Table 5C1D-NOMMA'!T41</f>
        <v>0</v>
      </c>
      <c r="J40" s="362"/>
      <c r="K40" s="362">
        <f>-'Table 5C1E-LFNO'!V41</f>
        <v>0</v>
      </c>
      <c r="L40" s="362">
        <f>-'Table 5C1F-Lake Charles Charter'!T41</f>
        <v>0</v>
      </c>
      <c r="M40" s="362">
        <f>-'Table 5C1G-JS Clark Academy'!T41</f>
        <v>0</v>
      </c>
      <c r="N40" s="362">
        <f>-'Table 5C1H-Southwest LA Charter'!T41</f>
        <v>0</v>
      </c>
      <c r="O40" s="362">
        <f>-'Table 5C1J-LA Key Academy'!T41</f>
        <v>0</v>
      </c>
      <c r="P40" s="362">
        <f>-'Table 5C1K-Jefferson Chamber'!T41</f>
        <v>0</v>
      </c>
      <c r="Q40" s="362">
        <f>-'Table 5C1L-Tallulah Charter'!T41</f>
        <v>0</v>
      </c>
      <c r="R40" s="362">
        <f>-'Table 5C1M-Northshore Charter'!T41</f>
        <v>0</v>
      </c>
      <c r="S40" s="362">
        <f>-'Table 5C1N-EBR Charter'!T41</f>
        <v>0</v>
      </c>
      <c r="T40" s="362">
        <f>-'Table 5C1O-Lake Charles HS'!T41</f>
        <v>0</v>
      </c>
      <c r="U40" s="362">
        <f>-'Table 5C1P-Delta Charter'!T41</f>
        <v>0</v>
      </c>
      <c r="V40" s="362">
        <f>-'Table 5C2 - LA Virtual Admy'!U38</f>
        <v>-4936</v>
      </c>
      <c r="W40" s="362">
        <f>-'Table 5C3 - LA Connections EBR'!U38</f>
        <v>-4313</v>
      </c>
      <c r="X40" s="362">
        <f>-'Table 5D1 - New Vision'!S41</f>
        <v>0</v>
      </c>
      <c r="Y40" s="362">
        <f>-'Table 5D2 - Glencoe'!S41</f>
        <v>0</v>
      </c>
      <c r="Z40" s="362">
        <f>-'Table 5D3 - International'!U41</f>
        <v>0</v>
      </c>
      <c r="AA40" s="362">
        <f>-'Table 5D4 - Avoyelles'!S41</f>
        <v>0</v>
      </c>
      <c r="AB40" s="362">
        <f>-'Table 5D5 - Delhi'!S41</f>
        <v>0</v>
      </c>
      <c r="AC40" s="362">
        <f>-'Table 5D6 - Milestone'!S41</f>
        <v>0</v>
      </c>
      <c r="AD40" s="362">
        <f>-'Table 5D7 - Max'!S41</f>
        <v>0</v>
      </c>
      <c r="AE40" s="362">
        <f>-'Table 5D8 - Belle Chasse'!W41</f>
        <v>0</v>
      </c>
      <c r="AF40" s="362">
        <f>-'Table 5E_OJJ'!S41</f>
        <v>-389</v>
      </c>
      <c r="AG40" s="362">
        <f>-'Table 5A2 LSMSA'!N41</f>
        <v>-3899</v>
      </c>
      <c r="AH40" s="362">
        <f>-'Table 5A3 NOCCA'!L41</f>
        <v>0</v>
      </c>
      <c r="AI40" s="362">
        <f>-'Table 5A4_LSDVI'!L41</f>
        <v>-900</v>
      </c>
      <c r="AJ40" s="362">
        <f>-'Table 5A5_SSD'!L41</f>
        <v>-1800</v>
      </c>
      <c r="AK40" s="362"/>
      <c r="AL40" s="751">
        <f t="shared" si="60"/>
        <v>2733052</v>
      </c>
      <c r="AM40" s="362"/>
      <c r="AN40" s="362"/>
      <c r="AO40" s="362"/>
      <c r="AP40" s="362">
        <f>'Table 5C1A-Madison Prep'!R41</f>
        <v>0</v>
      </c>
      <c r="AQ40" s="362">
        <f>'Table 5C1B-DArbonne'!P41</f>
        <v>0</v>
      </c>
      <c r="AR40" s="362">
        <f>'Table 5C1C-Intl_VIBE'!P41</f>
        <v>0</v>
      </c>
      <c r="AS40" s="362">
        <f>'Table 5C1D-NOMMA'!P41</f>
        <v>0</v>
      </c>
      <c r="AT40" s="362">
        <f>'Table 5C1E-LFNO'!R41</f>
        <v>0</v>
      </c>
      <c r="AU40" s="362">
        <f>'Table 5C1F-Lake Charles Charter'!P41</f>
        <v>0</v>
      </c>
      <c r="AV40" s="362">
        <f>'Table 5C1G-JS Clark Academy'!P41</f>
        <v>0</v>
      </c>
      <c r="AW40" s="362">
        <f>'Table 5C1H-Southwest LA Charter'!P41</f>
        <v>0</v>
      </c>
      <c r="AX40" s="362">
        <f>'Table 5C1J-LA Key Academy'!P41</f>
        <v>0</v>
      </c>
      <c r="AY40" s="362">
        <f>'Table 5C1K-Jefferson Chamber'!P41</f>
        <v>0</v>
      </c>
      <c r="AZ40" s="362">
        <f>'Table 5C1L-Tallulah Charter'!P41</f>
        <v>0</v>
      </c>
      <c r="BA40" s="362">
        <f>'Table 5C1M-Northshore Charter'!P41</f>
        <v>0</v>
      </c>
      <c r="BB40" s="362">
        <f>'Table 5C1N-EBR Charter'!P41</f>
        <v>0</v>
      </c>
      <c r="BC40" s="362">
        <f>'Table 5C1O-Lake Charles HS'!P41</f>
        <v>0</v>
      </c>
      <c r="BD40" s="362">
        <f>'Table 5C1P-Delta Charter'!P41</f>
        <v>0</v>
      </c>
      <c r="BE40" s="362">
        <f>'Table 5C2 - LA Virtual Admy'!Q38</f>
        <v>-138</v>
      </c>
      <c r="BF40" s="362">
        <f>'Table 5C3 - LA Connections EBR'!Q38</f>
        <v>-130</v>
      </c>
      <c r="BG40" s="362">
        <f>'Table 5D1 - New Vision'!O41</f>
        <v>0</v>
      </c>
      <c r="BH40" s="362">
        <f>'Table 5D2 - Glencoe'!O41</f>
        <v>0</v>
      </c>
      <c r="BI40" s="362">
        <f>'Table 5D3 - International'!Q41</f>
        <v>0</v>
      </c>
      <c r="BJ40" s="362">
        <f>'Table 5D4 - Avoyelles'!O41</f>
        <v>0</v>
      </c>
      <c r="BK40" s="362">
        <f>'Table 5D5 - Delhi'!O41</f>
        <v>0</v>
      </c>
      <c r="BL40" s="362">
        <f>'Table 5D6 - Milestone'!O41</f>
        <v>0</v>
      </c>
      <c r="BM40" s="362">
        <f>'Table 5D7 - Max'!O41</f>
        <v>0</v>
      </c>
      <c r="BN40" s="362">
        <f>'Table 5D8 - Belle Chasse'!S41</f>
        <v>0</v>
      </c>
      <c r="BO40" s="751">
        <f t="shared" si="61"/>
        <v>2732784</v>
      </c>
      <c r="BP40" s="47"/>
      <c r="BV40"/>
      <c r="CE40"/>
    </row>
    <row r="41" spans="1:83">
      <c r="A41" s="99">
        <v>36</v>
      </c>
      <c r="B41" s="301" t="s">
        <v>130</v>
      </c>
      <c r="C41" s="310">
        <f>'Table 2_State Distrib and Adjs'!AI42</f>
        <v>4018204</v>
      </c>
      <c r="D41" s="361"/>
      <c r="E41" s="1076">
        <f>-'Table 5B1_RSD_Orleans'!S70</f>
        <v>-9505011.6816666666</v>
      </c>
      <c r="F41" s="361">
        <f>-'Table 5C1A-Madison Prep'!V42</f>
        <v>0</v>
      </c>
      <c r="G41" s="361">
        <f>-'Table 5C1B-DArbonne'!T42</f>
        <v>0</v>
      </c>
      <c r="H41" s="361">
        <f>-'Table 5C1C-Intl_VIBE'!T42</f>
        <v>-126066.87624999999</v>
      </c>
      <c r="I41" s="361">
        <f>-'Table 5C1D-NOMMA'!T42</f>
        <v>-39775.644999999997</v>
      </c>
      <c r="J41" s="361"/>
      <c r="K41" s="361">
        <f>-'Table 5C1E-LFNO'!V42</f>
        <v>-55838.886250000003</v>
      </c>
      <c r="L41" s="361">
        <f>-'Table 5C1F-Lake Charles Charter'!T42</f>
        <v>0</v>
      </c>
      <c r="M41" s="361">
        <f>-'Table 5C1G-JS Clark Academy'!T42</f>
        <v>0</v>
      </c>
      <c r="N41" s="361">
        <f>-'Table 5C1H-Southwest LA Charter'!T42</f>
        <v>0</v>
      </c>
      <c r="O41" s="361">
        <f>-'Table 5C1J-LA Key Academy'!T42</f>
        <v>0</v>
      </c>
      <c r="P41" s="361">
        <f>-'Table 5C1K-Jefferson Chamber'!T42</f>
        <v>-2294.7487500000002</v>
      </c>
      <c r="Q41" s="361">
        <f>-'Table 5C1L-Tallulah Charter'!T42</f>
        <v>0</v>
      </c>
      <c r="R41" s="361">
        <f>-'Table 5C1M-Northshore Charter'!T42</f>
        <v>0</v>
      </c>
      <c r="S41" s="361">
        <f>-'Table 5C1N-EBR Charter'!T42</f>
        <v>0</v>
      </c>
      <c r="T41" s="361">
        <f>-'Table 5C1O-Lake Charles HS'!T42</f>
        <v>0</v>
      </c>
      <c r="U41" s="361">
        <f>-'Table 5C1P-Delta Charter'!T42</f>
        <v>0</v>
      </c>
      <c r="V41" s="361">
        <f>-'Table 5C2 - LA Virtual Admy'!U39</f>
        <v>-17555</v>
      </c>
      <c r="W41" s="361">
        <f>-'Table 5C3 - LA Connections EBR'!U39</f>
        <v>-14801</v>
      </c>
      <c r="X41" s="361">
        <f>-'Table 5D1 - New Vision'!S42</f>
        <v>0</v>
      </c>
      <c r="Y41" s="361">
        <f>-'Table 5D2 - Glencoe'!S42</f>
        <v>0</v>
      </c>
      <c r="Z41" s="361">
        <f>-'Table 5D3 - International'!U42</f>
        <v>-152521</v>
      </c>
      <c r="AA41" s="361">
        <f>-'Table 5D4 - Avoyelles'!S42</f>
        <v>0</v>
      </c>
      <c r="AB41" s="361">
        <f>-'Table 5D5 - Delhi'!S42</f>
        <v>0</v>
      </c>
      <c r="AC41" s="361">
        <f>-'Table 5D6 - Milestone'!S42</f>
        <v>-130036</v>
      </c>
      <c r="AD41" s="361">
        <f>-'Table 5D7 - Max'!S42</f>
        <v>0</v>
      </c>
      <c r="AE41" s="361">
        <f>-'Table 5D8 - Belle Chasse'!W42</f>
        <v>-48955</v>
      </c>
      <c r="AF41" s="361">
        <f>-'Table 5E_OJJ'!S42</f>
        <v>-11466</v>
      </c>
      <c r="AG41" s="361">
        <f>-'Table 5A2 LSMSA'!N42</f>
        <v>-2075</v>
      </c>
      <c r="AH41" s="361">
        <f>-'Table 5A3 NOCCA'!L42</f>
        <v>-17983</v>
      </c>
      <c r="AI41" s="361">
        <f>-'Table 5A4_LSDVI'!L42</f>
        <v>-3804</v>
      </c>
      <c r="AJ41" s="361">
        <f>-'Table 5A5_SSD'!L42</f>
        <v>-9683</v>
      </c>
      <c r="AK41" s="1147"/>
      <c r="AL41" s="750">
        <f t="shared" si="60"/>
        <v>-6119662.8379166666</v>
      </c>
      <c r="AM41" s="361"/>
      <c r="AN41" s="361"/>
      <c r="AO41" s="361">
        <f>'Table 5B1_RSD_Orleans'!N70</f>
        <v>-264925.82</v>
      </c>
      <c r="AP41" s="361">
        <f>'Table 5C1A-Madison Prep'!R42</f>
        <v>0</v>
      </c>
      <c r="AQ41" s="361">
        <f>'Table 5C1B-DArbonne'!P42</f>
        <v>0</v>
      </c>
      <c r="AR41" s="361">
        <f>'Table 5C1C-Intl_VIBE'!P42</f>
        <v>-3791.4850000000001</v>
      </c>
      <c r="AS41" s="361">
        <f>'Table 5C1D-NOMMA'!P42</f>
        <v>-1196.26</v>
      </c>
      <c r="AT41" s="361">
        <f>'Table 5C1E-LFNO'!R42</f>
        <v>-1679.365</v>
      </c>
      <c r="AU41" s="361">
        <f>'Table 5C1F-Lake Charles Charter'!P42</f>
        <v>0</v>
      </c>
      <c r="AV41" s="361">
        <f>'Table 5C1G-JS Clark Academy'!P42</f>
        <v>0</v>
      </c>
      <c r="AW41" s="361">
        <f>'Table 5C1H-Southwest LA Charter'!P42</f>
        <v>0</v>
      </c>
      <c r="AX41" s="361">
        <f>'Table 5C1J-LA Key Academy'!P42</f>
        <v>0</v>
      </c>
      <c r="AY41" s="361">
        <f>'Table 5C1K-Jefferson Chamber'!P42</f>
        <v>-69.015000000000001</v>
      </c>
      <c r="AZ41" s="361">
        <f>'Table 5C1L-Tallulah Charter'!P42</f>
        <v>0</v>
      </c>
      <c r="BA41" s="361">
        <f>'Table 5C1M-Northshore Charter'!P42</f>
        <v>0</v>
      </c>
      <c r="BB41" s="361">
        <f>'Table 5C1N-EBR Charter'!P42</f>
        <v>0</v>
      </c>
      <c r="BC41" s="361">
        <f>'Table 5C1O-Lake Charles HS'!P42</f>
        <v>0</v>
      </c>
      <c r="BD41" s="361">
        <f>'Table 5C1P-Delta Charter'!P42</f>
        <v>0</v>
      </c>
      <c r="BE41" s="361">
        <f>'Table 5C2 - LA Virtual Admy'!Q39</f>
        <v>-538</v>
      </c>
      <c r="BF41" s="361">
        <f>'Table 5C3 - LA Connections EBR'!Q39</f>
        <v>-445</v>
      </c>
      <c r="BG41" s="361">
        <f>'Table 5D1 - New Vision'!O42</f>
        <v>0</v>
      </c>
      <c r="BH41" s="361">
        <f>'Table 5D2 - Glencoe'!O42</f>
        <v>0</v>
      </c>
      <c r="BI41" s="361">
        <f>'Table 5D3 - International'!Q42</f>
        <v>-4587.1075000000001</v>
      </c>
      <c r="BJ41" s="361">
        <f>'Table 5D4 - Avoyelles'!O42</f>
        <v>0</v>
      </c>
      <c r="BK41" s="361">
        <f>'Table 5D5 - Delhi'!O42</f>
        <v>0</v>
      </c>
      <c r="BL41" s="361">
        <f>'Table 5D6 - Milestone'!O42</f>
        <v>-3910.85</v>
      </c>
      <c r="BM41" s="361">
        <f>'Table 5D7 - Max'!O42</f>
        <v>0</v>
      </c>
      <c r="BN41" s="361">
        <f>'Table 5D8 - Belle Chasse'!S42</f>
        <v>-1472.32</v>
      </c>
      <c r="BO41" s="750">
        <f t="shared" si="61"/>
        <v>-6402278.0604166668</v>
      </c>
      <c r="BP41" s="744"/>
      <c r="BR41" s="744"/>
      <c r="BS41" s="744"/>
      <c r="BT41" s="744"/>
      <c r="BV41"/>
      <c r="CE41"/>
    </row>
    <row r="42" spans="1:83">
      <c r="A42" s="99">
        <v>37</v>
      </c>
      <c r="B42" s="301" t="s">
        <v>131</v>
      </c>
      <c r="C42" s="310">
        <f>'Table 2_State Distrib and Adjs'!AI43</f>
        <v>9995772</v>
      </c>
      <c r="D42" s="361"/>
      <c r="E42" s="361"/>
      <c r="F42" s="361">
        <f>-'Table 5C1A-Madison Prep'!V43</f>
        <v>0</v>
      </c>
      <c r="G42" s="361">
        <f>-'Table 5C1B-DArbonne'!T43</f>
        <v>-772.81312500000001</v>
      </c>
      <c r="H42" s="361">
        <f>-'Table 5C1C-Intl_VIBE'!T43</f>
        <v>0</v>
      </c>
      <c r="I42" s="361">
        <f>-'Table 5C1D-NOMMA'!T43</f>
        <v>0</v>
      </c>
      <c r="J42" s="361"/>
      <c r="K42" s="361">
        <f>-'Table 5C1E-LFNO'!V43</f>
        <v>0</v>
      </c>
      <c r="L42" s="361">
        <f>-'Table 5C1F-Lake Charles Charter'!T43</f>
        <v>0</v>
      </c>
      <c r="M42" s="361">
        <f>-'Table 5C1G-JS Clark Academy'!T43</f>
        <v>0</v>
      </c>
      <c r="N42" s="361">
        <f>-'Table 5C1H-Southwest LA Charter'!T43</f>
        <v>0</v>
      </c>
      <c r="O42" s="361">
        <f>-'Table 5C1J-LA Key Academy'!T43</f>
        <v>0</v>
      </c>
      <c r="P42" s="361">
        <f>-'Table 5C1K-Jefferson Chamber'!T43</f>
        <v>0</v>
      </c>
      <c r="Q42" s="361">
        <f>-'Table 5C1L-Tallulah Charter'!T43</f>
        <v>0</v>
      </c>
      <c r="R42" s="361">
        <f>-'Table 5C1M-Northshore Charter'!T43</f>
        <v>0</v>
      </c>
      <c r="S42" s="361">
        <f>-'Table 5C1N-EBR Charter'!T43</f>
        <v>0</v>
      </c>
      <c r="T42" s="361">
        <f>-'Table 5C1O-Lake Charles HS'!T43</f>
        <v>0</v>
      </c>
      <c r="U42" s="361">
        <f>-'Table 5C1P-Delta Charter'!T43</f>
        <v>0</v>
      </c>
      <c r="V42" s="361">
        <f>-'Table 5C2 - LA Virtual Admy'!U40</f>
        <v>-9260</v>
      </c>
      <c r="W42" s="361">
        <f>-'Table 5C3 - LA Connections EBR'!U40</f>
        <v>-3425</v>
      </c>
      <c r="X42" s="361">
        <f>-'Table 5D1 - New Vision'!S43</f>
        <v>-31428</v>
      </c>
      <c r="Y42" s="361">
        <f>-'Table 5D2 - Glencoe'!S43</f>
        <v>0</v>
      </c>
      <c r="Z42" s="361">
        <f>-'Table 5D3 - International'!U43</f>
        <v>0</v>
      </c>
      <c r="AA42" s="361">
        <f>-'Table 5D4 - Avoyelles'!S43</f>
        <v>0</v>
      </c>
      <c r="AB42" s="361">
        <f>-'Table 5D5 - Delhi'!S43</f>
        <v>-773</v>
      </c>
      <c r="AC42" s="361">
        <f>-'Table 5D6 - Milestone'!S43</f>
        <v>0</v>
      </c>
      <c r="AD42" s="361">
        <f>-'Table 5D7 - Max'!S43</f>
        <v>0</v>
      </c>
      <c r="AE42" s="361">
        <f>-'Table 5D8 - Belle Chasse'!W43</f>
        <v>0</v>
      </c>
      <c r="AF42" s="361">
        <f>-'Table 5E_OJJ'!S43</f>
        <v>-630</v>
      </c>
      <c r="AG42" s="361">
        <f>-'Table 5A2 LSMSA'!N43</f>
        <v>-1428</v>
      </c>
      <c r="AH42" s="361">
        <f>-'Table 5A3 NOCCA'!L43</f>
        <v>0</v>
      </c>
      <c r="AI42" s="361">
        <f>-'Table 5A4_LSDVI'!L43</f>
        <v>-952</v>
      </c>
      <c r="AJ42" s="361">
        <f>-'Table 5A5_SSD'!L43</f>
        <v>-2381</v>
      </c>
      <c r="AK42" s="361"/>
      <c r="AL42" s="750">
        <f t="shared" si="60"/>
        <v>9944722.1868750006</v>
      </c>
      <c r="AM42" s="361"/>
      <c r="AN42" s="361"/>
      <c r="AO42" s="361"/>
      <c r="AP42" s="361">
        <f>'Table 5C1A-Madison Prep'!R43</f>
        <v>0</v>
      </c>
      <c r="AQ42" s="361">
        <f>'Table 5C1B-DArbonne'!P43</f>
        <v>-23.2425</v>
      </c>
      <c r="AR42" s="361">
        <f>'Table 5C1C-Intl_VIBE'!P43</f>
        <v>0</v>
      </c>
      <c r="AS42" s="361">
        <f>'Table 5C1D-NOMMA'!P43</f>
        <v>0</v>
      </c>
      <c r="AT42" s="361">
        <f>'Table 5C1E-LFNO'!R43</f>
        <v>0</v>
      </c>
      <c r="AU42" s="361">
        <f>'Table 5C1F-Lake Charles Charter'!P43</f>
        <v>0</v>
      </c>
      <c r="AV42" s="361">
        <f>'Table 5C1G-JS Clark Academy'!P43</f>
        <v>0</v>
      </c>
      <c r="AW42" s="361">
        <f>'Table 5C1H-Southwest LA Charter'!P43</f>
        <v>0</v>
      </c>
      <c r="AX42" s="361">
        <f>'Table 5C1J-LA Key Academy'!P43</f>
        <v>0</v>
      </c>
      <c r="AY42" s="361">
        <f>'Table 5C1K-Jefferson Chamber'!P43</f>
        <v>0</v>
      </c>
      <c r="AZ42" s="361">
        <f>'Table 5C1L-Tallulah Charter'!P43</f>
        <v>0</v>
      </c>
      <c r="BA42" s="361">
        <f>'Table 5C1M-Northshore Charter'!P43</f>
        <v>0</v>
      </c>
      <c r="BB42" s="361">
        <f>'Table 5C1N-EBR Charter'!P43</f>
        <v>0</v>
      </c>
      <c r="BC42" s="361">
        <f>'Table 5C1O-Lake Charles HS'!P43</f>
        <v>0</v>
      </c>
      <c r="BD42" s="361">
        <f>'Table 5C1P-Delta Charter'!P43</f>
        <v>0</v>
      </c>
      <c r="BE42" s="361">
        <f>'Table 5C2 - LA Virtual Admy'!Q40</f>
        <v>-258</v>
      </c>
      <c r="BF42" s="361">
        <f>'Table 5C3 - LA Connections EBR'!Q40</f>
        <v>-119</v>
      </c>
      <c r="BG42" s="361">
        <f>'Table 5D1 - New Vision'!O43</f>
        <v>-945.19500000000005</v>
      </c>
      <c r="BH42" s="361">
        <f>'Table 5D2 - Glencoe'!O43</f>
        <v>0</v>
      </c>
      <c r="BI42" s="361">
        <f>'Table 5D3 - International'!Q43</f>
        <v>0</v>
      </c>
      <c r="BJ42" s="361">
        <f>'Table 5D4 - Avoyelles'!O43</f>
        <v>0</v>
      </c>
      <c r="BK42" s="361">
        <f>'Table 5D5 - Delhi'!O43</f>
        <v>-23.2425</v>
      </c>
      <c r="BL42" s="361">
        <f>'Table 5D6 - Milestone'!O43</f>
        <v>0</v>
      </c>
      <c r="BM42" s="361">
        <f>'Table 5D7 - Max'!O43</f>
        <v>0</v>
      </c>
      <c r="BN42" s="361">
        <f>'Table 5D8 - Belle Chasse'!S43</f>
        <v>0</v>
      </c>
      <c r="BO42" s="750">
        <f t="shared" si="61"/>
        <v>9943353.5068750009</v>
      </c>
      <c r="BP42" s="744"/>
      <c r="BR42" s="744"/>
      <c r="BS42" s="744"/>
      <c r="BT42" s="744"/>
      <c r="BV42"/>
      <c r="CE42"/>
    </row>
    <row r="43" spans="1:83">
      <c r="A43" s="99">
        <v>38</v>
      </c>
      <c r="B43" s="301" t="s">
        <v>132</v>
      </c>
      <c r="C43" s="310">
        <f>'Table 2_State Distrib and Adjs'!AI44</f>
        <v>914686</v>
      </c>
      <c r="D43" s="361"/>
      <c r="E43" s="361"/>
      <c r="F43" s="361">
        <f>-'Table 5C1A-Madison Prep'!V44</f>
        <v>0</v>
      </c>
      <c r="G43" s="361">
        <f>-'Table 5C1B-DArbonne'!T44</f>
        <v>0</v>
      </c>
      <c r="H43" s="361">
        <f>-'Table 5C1C-Intl_VIBE'!T44</f>
        <v>0</v>
      </c>
      <c r="I43" s="361">
        <f>-'Table 5C1D-NOMMA'!T44</f>
        <v>-6433.21</v>
      </c>
      <c r="J43" s="361"/>
      <c r="K43" s="361">
        <f>-'Table 5C1E-LFNO'!V44</f>
        <v>-2412.4537500000001</v>
      </c>
      <c r="L43" s="361">
        <f>-'Table 5C1F-Lake Charles Charter'!T44</f>
        <v>0</v>
      </c>
      <c r="M43" s="361">
        <f>-'Table 5C1G-JS Clark Academy'!T44</f>
        <v>0</v>
      </c>
      <c r="N43" s="361">
        <f>-'Table 5C1H-Southwest LA Charter'!T44</f>
        <v>0</v>
      </c>
      <c r="O43" s="361">
        <f>-'Table 5C1J-LA Key Academy'!T44</f>
        <v>0</v>
      </c>
      <c r="P43" s="361">
        <f>-'Table 5C1K-Jefferson Chamber'!T44</f>
        <v>0</v>
      </c>
      <c r="Q43" s="361">
        <f>-'Table 5C1L-Tallulah Charter'!T44</f>
        <v>0</v>
      </c>
      <c r="R43" s="361">
        <f>-'Table 5C1M-Northshore Charter'!T44</f>
        <v>0</v>
      </c>
      <c r="S43" s="361">
        <f>-'Table 5C1N-EBR Charter'!T44</f>
        <v>0</v>
      </c>
      <c r="T43" s="361">
        <f>-'Table 5C1O-Lake Charles HS'!T44</f>
        <v>0</v>
      </c>
      <c r="U43" s="361">
        <f>-'Table 5C1P-Delta Charter'!T44</f>
        <v>0</v>
      </c>
      <c r="V43" s="361">
        <f>-'Table 5C2 - LA Virtual Admy'!U41</f>
        <v>-1825</v>
      </c>
      <c r="W43" s="361">
        <f>-'Table 5C3 - LA Connections EBR'!U41</f>
        <v>-4342</v>
      </c>
      <c r="X43" s="361">
        <f>-'Table 5D1 - New Vision'!S44</f>
        <v>0</v>
      </c>
      <c r="Y43" s="361">
        <f>-'Table 5D2 - Glencoe'!S44</f>
        <v>0</v>
      </c>
      <c r="Z43" s="361">
        <f>-'Table 5D3 - International'!U44</f>
        <v>-804</v>
      </c>
      <c r="AA43" s="361">
        <f>-'Table 5D4 - Avoyelles'!S44</f>
        <v>0</v>
      </c>
      <c r="AB43" s="361">
        <f>-'Table 5D5 - Delhi'!S44</f>
        <v>0</v>
      </c>
      <c r="AC43" s="361">
        <f>-'Table 5D6 - Milestone'!S44</f>
        <v>0</v>
      </c>
      <c r="AD43" s="361">
        <f>-'Table 5D7 - Max'!S44</f>
        <v>0</v>
      </c>
      <c r="AE43" s="361">
        <f>-'Table 5D8 - Belle Chasse'!W44</f>
        <v>-56291</v>
      </c>
      <c r="AF43" s="361">
        <f>-'Table 5E_OJJ'!S44</f>
        <v>-250</v>
      </c>
      <c r="AG43" s="361">
        <f>-'Table 5A2 LSMSA'!N44</f>
        <v>-1015</v>
      </c>
      <c r="AH43" s="361">
        <f>-'Table 5A3 NOCCA'!L44</f>
        <v>-507</v>
      </c>
      <c r="AI43" s="361">
        <f>-'Table 5A4_LSDVI'!L44</f>
        <v>0</v>
      </c>
      <c r="AJ43" s="361">
        <f>-'Table 5A5_SSD'!L44</f>
        <v>0</v>
      </c>
      <c r="AK43" s="361"/>
      <c r="AL43" s="750">
        <f t="shared" si="60"/>
        <v>840806.33625000005</v>
      </c>
      <c r="AM43" s="361"/>
      <c r="AN43" s="361"/>
      <c r="AO43" s="361"/>
      <c r="AP43" s="361">
        <f>'Table 5C1A-Madison Prep'!R44</f>
        <v>0</v>
      </c>
      <c r="AQ43" s="361">
        <f>'Table 5C1B-DArbonne'!P44</f>
        <v>0</v>
      </c>
      <c r="AR43" s="361">
        <f>'Table 5C1C-Intl_VIBE'!P44</f>
        <v>0</v>
      </c>
      <c r="AS43" s="361">
        <f>'Table 5C1D-NOMMA'!P44</f>
        <v>-193.48000000000002</v>
      </c>
      <c r="AT43" s="361">
        <f>'Table 5C1E-LFNO'!R44</f>
        <v>-72.555000000000007</v>
      </c>
      <c r="AU43" s="361">
        <f>'Table 5C1F-Lake Charles Charter'!P44</f>
        <v>0</v>
      </c>
      <c r="AV43" s="361">
        <f>'Table 5C1G-JS Clark Academy'!P44</f>
        <v>0</v>
      </c>
      <c r="AW43" s="361">
        <f>'Table 5C1H-Southwest LA Charter'!P44</f>
        <v>0</v>
      </c>
      <c r="AX43" s="361">
        <f>'Table 5C1J-LA Key Academy'!P44</f>
        <v>0</v>
      </c>
      <c r="AY43" s="361">
        <f>'Table 5C1K-Jefferson Chamber'!P44</f>
        <v>0</v>
      </c>
      <c r="AZ43" s="361">
        <f>'Table 5C1L-Tallulah Charter'!P44</f>
        <v>0</v>
      </c>
      <c r="BA43" s="361">
        <f>'Table 5C1M-Northshore Charter'!P44</f>
        <v>0</v>
      </c>
      <c r="BB43" s="361">
        <f>'Table 5C1N-EBR Charter'!P44</f>
        <v>0</v>
      </c>
      <c r="BC43" s="361">
        <f>'Table 5C1O-Lake Charles HS'!P44</f>
        <v>0</v>
      </c>
      <c r="BD43" s="361">
        <f>'Table 5C1P-Delta Charter'!P44</f>
        <v>0</v>
      </c>
      <c r="BE43" s="361">
        <f>'Table 5C2 - LA Virtual Admy'!Q41</f>
        <v>-44</v>
      </c>
      <c r="BF43" s="361">
        <f>'Table 5C3 - LA Connections EBR'!Q41</f>
        <v>-131</v>
      </c>
      <c r="BG43" s="361">
        <f>'Table 5D1 - New Vision'!O44</f>
        <v>0</v>
      </c>
      <c r="BH43" s="361">
        <f>'Table 5D2 - Glencoe'!O44</f>
        <v>0</v>
      </c>
      <c r="BI43" s="361">
        <f>'Table 5D3 - International'!Q44</f>
        <v>-24.185000000000002</v>
      </c>
      <c r="BJ43" s="361">
        <f>'Table 5D4 - Avoyelles'!O44</f>
        <v>0</v>
      </c>
      <c r="BK43" s="361">
        <f>'Table 5D5 - Delhi'!O44</f>
        <v>0</v>
      </c>
      <c r="BL43" s="361">
        <f>'Table 5D6 - Milestone'!O44</f>
        <v>0</v>
      </c>
      <c r="BM43" s="361">
        <f>'Table 5D7 - Max'!O44</f>
        <v>0</v>
      </c>
      <c r="BN43" s="361">
        <f>'Table 5D8 - Belle Chasse'!S44</f>
        <v>-1692.95</v>
      </c>
      <c r="BO43" s="750">
        <f t="shared" si="61"/>
        <v>838648.16625000001</v>
      </c>
      <c r="BP43" s="744"/>
      <c r="BR43" s="744"/>
      <c r="BS43" s="744"/>
      <c r="BT43" s="744"/>
      <c r="BV43"/>
      <c r="CE43"/>
    </row>
    <row r="44" spans="1:83">
      <c r="A44" s="99">
        <v>39</v>
      </c>
      <c r="B44" s="301" t="s">
        <v>133</v>
      </c>
      <c r="C44" s="310">
        <f>'Table 2_State Distrib and Adjs'!AI45</f>
        <v>953598</v>
      </c>
      <c r="D44" s="361">
        <f>-'Table 5B2_RSD_LA'!X23</f>
        <v>-79100.416666666672</v>
      </c>
      <c r="E44" s="361"/>
      <c r="F44" s="361">
        <f>-'Table 5C1A-Madison Prep'!V45</f>
        <v>0</v>
      </c>
      <c r="G44" s="361">
        <f>-'Table 5C1B-DArbonne'!T45</f>
        <v>0</v>
      </c>
      <c r="H44" s="361">
        <f>-'Table 5C1C-Intl_VIBE'!T45</f>
        <v>0</v>
      </c>
      <c r="I44" s="361">
        <f>-'Table 5C1D-NOMMA'!T45</f>
        <v>0</v>
      </c>
      <c r="J44" s="361"/>
      <c r="K44" s="361">
        <f>-'Table 5C1E-LFNO'!V45</f>
        <v>0</v>
      </c>
      <c r="L44" s="361">
        <f>-'Table 5C1F-Lake Charles Charter'!T45</f>
        <v>0</v>
      </c>
      <c r="M44" s="361">
        <f>-'Table 5C1G-JS Clark Academy'!T45</f>
        <v>0</v>
      </c>
      <c r="N44" s="361">
        <f>-'Table 5C1H-Southwest LA Charter'!T45</f>
        <v>0</v>
      </c>
      <c r="O44" s="361">
        <f>-'Table 5C1J-LA Key Academy'!T45</f>
        <v>-7323.8278750000018</v>
      </c>
      <c r="P44" s="361">
        <f>-'Table 5C1K-Jefferson Chamber'!T45</f>
        <v>0</v>
      </c>
      <c r="Q44" s="361">
        <f>-'Table 5C1L-Tallulah Charter'!T45</f>
        <v>0</v>
      </c>
      <c r="R44" s="361">
        <f>-'Table 5C1M-Northshore Charter'!T45</f>
        <v>0</v>
      </c>
      <c r="S44" s="361">
        <f>-'Table 5C1N-EBR Charter'!T45</f>
        <v>0</v>
      </c>
      <c r="T44" s="361">
        <f>-'Table 5C1O-Lake Charles HS'!T45</f>
        <v>0</v>
      </c>
      <c r="U44" s="361">
        <f>-'Table 5C1P-Delta Charter'!T45</f>
        <v>0</v>
      </c>
      <c r="V44" s="361">
        <f>-'Table 5C2 - LA Virtual Admy'!U42</f>
        <v>-1018</v>
      </c>
      <c r="W44" s="361">
        <f>-'Table 5C3 - LA Connections EBR'!U42</f>
        <v>-1956</v>
      </c>
      <c r="X44" s="361">
        <f>-'Table 5D1 - New Vision'!S45</f>
        <v>0</v>
      </c>
      <c r="Y44" s="361">
        <f>-'Table 5D2 - Glencoe'!S45</f>
        <v>0</v>
      </c>
      <c r="Z44" s="361">
        <f>-'Table 5D3 - International'!U45</f>
        <v>0</v>
      </c>
      <c r="AA44" s="361">
        <f>-'Table 5D4 - Avoyelles'!S45</f>
        <v>-356</v>
      </c>
      <c r="AB44" s="361">
        <f>-'Table 5D5 - Delhi'!S45</f>
        <v>0</v>
      </c>
      <c r="AC44" s="361">
        <f>-'Table 5D6 - Milestone'!S45</f>
        <v>0</v>
      </c>
      <c r="AD44" s="361">
        <f>-'Table 5D7 - Max'!S45</f>
        <v>0</v>
      </c>
      <c r="AE44" s="361">
        <f>-'Table 5D8 - Belle Chasse'!W45</f>
        <v>0</v>
      </c>
      <c r="AF44" s="361">
        <f>-'Table 5E_OJJ'!S45</f>
        <v>-695</v>
      </c>
      <c r="AG44" s="361">
        <f>-'Table 5A2 LSMSA'!N45</f>
        <v>-2210</v>
      </c>
      <c r="AH44" s="361">
        <f>-'Table 5A3 NOCCA'!L45</f>
        <v>0</v>
      </c>
      <c r="AI44" s="361">
        <f>-'Table 5A4_LSDVI'!L45</f>
        <v>-2210</v>
      </c>
      <c r="AJ44" s="361">
        <f>-'Table 5A5_SSD'!L45</f>
        <v>-368</v>
      </c>
      <c r="AK44" s="361"/>
      <c r="AL44" s="750">
        <f t="shared" si="60"/>
        <v>858360.75545833341</v>
      </c>
      <c r="AM44" s="361" t="str">
        <f>'Table 5B2_RSD_LA'!R23</f>
        <v>N/A</v>
      </c>
      <c r="AN44" s="361" t="str">
        <f>'Table 5B2_RSD_LA'!S23</f>
        <v>N/A</v>
      </c>
      <c r="AO44" s="361"/>
      <c r="AP44" s="361">
        <f>'Table 5C1A-Madison Prep'!R45</f>
        <v>0</v>
      </c>
      <c r="AQ44" s="361">
        <f>'Table 5C1B-DArbonne'!P45</f>
        <v>0</v>
      </c>
      <c r="AR44" s="361">
        <f>'Table 5C1C-Intl_VIBE'!P45</f>
        <v>0</v>
      </c>
      <c r="AS44" s="361">
        <f>'Table 5C1D-NOMMA'!P45</f>
        <v>0</v>
      </c>
      <c r="AT44" s="361">
        <f>'Table 5C1E-LFNO'!R45</f>
        <v>0</v>
      </c>
      <c r="AU44" s="361">
        <f>'Table 5C1F-Lake Charles Charter'!P45</f>
        <v>0</v>
      </c>
      <c r="AV44" s="361">
        <f>'Table 5C1G-JS Clark Academy'!P45</f>
        <v>0</v>
      </c>
      <c r="AW44" s="361">
        <f>'Table 5C1H-Southwest LA Charter'!P45</f>
        <v>0</v>
      </c>
      <c r="AX44" s="361">
        <f>'Table 5C1J-LA Key Academy'!P45</f>
        <v>-220.26550000000003</v>
      </c>
      <c r="AY44" s="361">
        <f>'Table 5C1K-Jefferson Chamber'!P45</f>
        <v>0</v>
      </c>
      <c r="AZ44" s="361">
        <f>'Table 5C1L-Tallulah Charter'!P45</f>
        <v>0</v>
      </c>
      <c r="BA44" s="361">
        <f>'Table 5C1M-Northshore Charter'!P45</f>
        <v>0</v>
      </c>
      <c r="BB44" s="361">
        <f>'Table 5C1N-EBR Charter'!P45</f>
        <v>0</v>
      </c>
      <c r="BC44" s="361">
        <f>'Table 5C1O-Lake Charles HS'!P45</f>
        <v>0</v>
      </c>
      <c r="BD44" s="361">
        <f>'Table 5C1P-Delta Charter'!P45</f>
        <v>0</v>
      </c>
      <c r="BE44" s="361">
        <f>'Table 5C2 - LA Virtual Admy'!Q42</f>
        <v>-29</v>
      </c>
      <c r="BF44" s="361">
        <f>'Table 5C3 - LA Connections EBR'!Q42</f>
        <v>-48</v>
      </c>
      <c r="BG44" s="361">
        <f>'Table 5D1 - New Vision'!O45</f>
        <v>0</v>
      </c>
      <c r="BH44" s="361">
        <f>'Table 5D2 - Glencoe'!O45</f>
        <v>0</v>
      </c>
      <c r="BI44" s="361">
        <f>'Table 5D3 - International'!Q45</f>
        <v>0</v>
      </c>
      <c r="BJ44" s="361">
        <f>'Table 5D4 - Avoyelles'!O45</f>
        <v>-10.692500000000001</v>
      </c>
      <c r="BK44" s="361">
        <f>'Table 5D5 - Delhi'!O45</f>
        <v>0</v>
      </c>
      <c r="BL44" s="361">
        <f>'Table 5D6 - Milestone'!O45</f>
        <v>0</v>
      </c>
      <c r="BM44" s="361">
        <f>'Table 5D7 - Max'!O45</f>
        <v>0</v>
      </c>
      <c r="BN44" s="361">
        <f>'Table 5D8 - Belle Chasse'!S45</f>
        <v>0</v>
      </c>
      <c r="BO44" s="750">
        <f t="shared" si="61"/>
        <v>858052.79745833343</v>
      </c>
      <c r="BP44" s="752"/>
      <c r="BR44" s="570"/>
      <c r="BS44" s="570"/>
      <c r="BT44" s="570"/>
      <c r="BV44"/>
      <c r="CE44"/>
    </row>
    <row r="45" spans="1:83">
      <c r="A45" s="100">
        <v>40</v>
      </c>
      <c r="B45" s="302" t="s">
        <v>134</v>
      </c>
      <c r="C45" s="319">
        <f>'Table 2_State Distrib and Adjs'!AI46</f>
        <v>10653640</v>
      </c>
      <c r="D45" s="362"/>
      <c r="E45" s="362"/>
      <c r="F45" s="362">
        <f>-'Table 5C1A-Madison Prep'!V46</f>
        <v>0</v>
      </c>
      <c r="G45" s="362">
        <f>-'Table 5C1B-DArbonne'!T46</f>
        <v>0</v>
      </c>
      <c r="H45" s="362">
        <f>-'Table 5C1C-Intl_VIBE'!T46</f>
        <v>0</v>
      </c>
      <c r="I45" s="362">
        <f>-'Table 5C1D-NOMMA'!T46</f>
        <v>0</v>
      </c>
      <c r="J45" s="362"/>
      <c r="K45" s="362">
        <f>-'Table 5C1E-LFNO'!V46</f>
        <v>0</v>
      </c>
      <c r="L45" s="362">
        <f>-'Table 5C1F-Lake Charles Charter'!T46</f>
        <v>0</v>
      </c>
      <c r="M45" s="362">
        <f>-'Table 5C1G-JS Clark Academy'!T46</f>
        <v>0</v>
      </c>
      <c r="N45" s="362">
        <f>-'Table 5C1H-Southwest LA Charter'!T46</f>
        <v>0</v>
      </c>
      <c r="O45" s="362">
        <f>-'Table 5C1J-LA Key Academy'!T46</f>
        <v>0</v>
      </c>
      <c r="P45" s="362">
        <f>-'Table 5C1K-Jefferson Chamber'!T46</f>
        <v>0</v>
      </c>
      <c r="Q45" s="362">
        <f>-'Table 5C1L-Tallulah Charter'!T46</f>
        <v>0</v>
      </c>
      <c r="R45" s="362">
        <f>-'Table 5C1M-Northshore Charter'!T46</f>
        <v>0</v>
      </c>
      <c r="S45" s="362">
        <f>-'Table 5C1N-EBR Charter'!T46</f>
        <v>0</v>
      </c>
      <c r="T45" s="362">
        <f>-'Table 5C1O-Lake Charles HS'!T46</f>
        <v>0</v>
      </c>
      <c r="U45" s="362">
        <f>-'Table 5C1P-Delta Charter'!T46</f>
        <v>0</v>
      </c>
      <c r="V45" s="362">
        <f>-'Table 5C2 - LA Virtual Admy'!U43</f>
        <v>-6176</v>
      </c>
      <c r="W45" s="362">
        <f>-'Table 5C3 - LA Connections EBR'!U43</f>
        <v>-5900</v>
      </c>
      <c r="X45" s="362">
        <f>-'Table 5D1 - New Vision'!S46</f>
        <v>0</v>
      </c>
      <c r="Y45" s="362">
        <f>-'Table 5D2 - Glencoe'!S46</f>
        <v>0</v>
      </c>
      <c r="Z45" s="362">
        <f>-'Table 5D3 - International'!U46</f>
        <v>0</v>
      </c>
      <c r="AA45" s="362">
        <f>-'Table 5D4 - Avoyelles'!S46</f>
        <v>-971</v>
      </c>
      <c r="AB45" s="362">
        <f>-'Table 5D5 - Delhi'!S46</f>
        <v>0</v>
      </c>
      <c r="AC45" s="362">
        <f>-'Table 5D6 - Milestone'!S46</f>
        <v>0</v>
      </c>
      <c r="AD45" s="362">
        <f>-'Table 5D7 - Max'!S46</f>
        <v>0</v>
      </c>
      <c r="AE45" s="362">
        <f>-'Table 5D8 - Belle Chasse'!W46</f>
        <v>0</v>
      </c>
      <c r="AF45" s="362">
        <f>-'Table 5E_OJJ'!S46</f>
        <v>-930</v>
      </c>
      <c r="AG45" s="362">
        <f>-'Table 5A2 LSMSA'!N46</f>
        <v>-2000</v>
      </c>
      <c r="AH45" s="362">
        <f>-'Table 5A3 NOCCA'!L46</f>
        <v>0</v>
      </c>
      <c r="AI45" s="362">
        <f>-'Table 5A4_LSDVI'!L46</f>
        <v>-750</v>
      </c>
      <c r="AJ45" s="362">
        <f>-'Table 5A5_SSD'!L46</f>
        <v>-7749</v>
      </c>
      <c r="AK45" s="362"/>
      <c r="AL45" s="751">
        <f t="shared" si="60"/>
        <v>10629164</v>
      </c>
      <c r="AM45" s="362"/>
      <c r="AN45" s="362"/>
      <c r="AO45" s="362"/>
      <c r="AP45" s="362">
        <f>'Table 5C1A-Madison Prep'!R46</f>
        <v>0</v>
      </c>
      <c r="AQ45" s="362">
        <f>'Table 5C1B-DArbonne'!P46</f>
        <v>0</v>
      </c>
      <c r="AR45" s="362">
        <f>'Table 5C1C-Intl_VIBE'!P46</f>
        <v>0</v>
      </c>
      <c r="AS45" s="362">
        <f>'Table 5C1D-NOMMA'!P46</f>
        <v>0</v>
      </c>
      <c r="AT45" s="362">
        <f>'Table 5C1E-LFNO'!R46</f>
        <v>0</v>
      </c>
      <c r="AU45" s="362">
        <f>'Table 5C1F-Lake Charles Charter'!P46</f>
        <v>0</v>
      </c>
      <c r="AV45" s="362">
        <f>'Table 5C1G-JS Clark Academy'!P46</f>
        <v>0</v>
      </c>
      <c r="AW45" s="362">
        <f>'Table 5C1H-Southwest LA Charter'!P46</f>
        <v>0</v>
      </c>
      <c r="AX45" s="362">
        <f>'Table 5C1J-LA Key Academy'!P46</f>
        <v>0</v>
      </c>
      <c r="AY45" s="362">
        <f>'Table 5C1K-Jefferson Chamber'!P46</f>
        <v>0</v>
      </c>
      <c r="AZ45" s="362">
        <f>'Table 5C1L-Tallulah Charter'!P46</f>
        <v>0</v>
      </c>
      <c r="BA45" s="362">
        <f>'Table 5C1M-Northshore Charter'!P46</f>
        <v>0</v>
      </c>
      <c r="BB45" s="362">
        <f>'Table 5C1N-EBR Charter'!P46</f>
        <v>0</v>
      </c>
      <c r="BC45" s="362">
        <f>'Table 5C1O-Lake Charles HS'!P46</f>
        <v>0</v>
      </c>
      <c r="BD45" s="362">
        <f>'Table 5C1P-Delta Charter'!P46</f>
        <v>0</v>
      </c>
      <c r="BE45" s="362">
        <f>'Table 5C2 - LA Virtual Admy'!Q43</f>
        <v>-210</v>
      </c>
      <c r="BF45" s="362">
        <f>'Table 5C3 - LA Connections EBR'!Q43</f>
        <v>-177</v>
      </c>
      <c r="BG45" s="362">
        <f>'Table 5D1 - New Vision'!O46</f>
        <v>0</v>
      </c>
      <c r="BH45" s="362">
        <f>'Table 5D2 - Glencoe'!O46</f>
        <v>0</v>
      </c>
      <c r="BI45" s="362">
        <f>'Table 5D3 - International'!Q46</f>
        <v>0</v>
      </c>
      <c r="BJ45" s="362">
        <f>'Table 5D4 - Avoyelles'!O46</f>
        <v>-29.21</v>
      </c>
      <c r="BK45" s="362">
        <f>'Table 5D5 - Delhi'!O46</f>
        <v>0</v>
      </c>
      <c r="BL45" s="362">
        <f>'Table 5D6 - Milestone'!O46</f>
        <v>0</v>
      </c>
      <c r="BM45" s="362">
        <f>'Table 5D7 - Max'!O46</f>
        <v>0</v>
      </c>
      <c r="BN45" s="362">
        <f>'Table 5D8 - Belle Chasse'!S46</f>
        <v>0</v>
      </c>
      <c r="BO45" s="751">
        <f t="shared" si="61"/>
        <v>10628747.789999999</v>
      </c>
      <c r="BP45" s="47"/>
      <c r="BV45"/>
      <c r="CE45"/>
    </row>
    <row r="46" spans="1:83">
      <c r="A46" s="99">
        <v>41</v>
      </c>
      <c r="B46" s="301" t="s">
        <v>135</v>
      </c>
      <c r="C46" s="310">
        <f>'Table 2_State Distrib and Adjs'!AI47</f>
        <v>292148</v>
      </c>
      <c r="D46" s="361"/>
      <c r="E46" s="361"/>
      <c r="F46" s="361">
        <f>-'Table 5C1A-Madison Prep'!V47</f>
        <v>0</v>
      </c>
      <c r="G46" s="361">
        <f>-'Table 5C1B-DArbonne'!T47</f>
        <v>0</v>
      </c>
      <c r="H46" s="361">
        <f>-'Table 5C1C-Intl_VIBE'!T47</f>
        <v>0</v>
      </c>
      <c r="I46" s="361">
        <f>-'Table 5C1D-NOMMA'!T47</f>
        <v>0</v>
      </c>
      <c r="J46" s="361"/>
      <c r="K46" s="361">
        <f>-'Table 5C1E-LFNO'!V47</f>
        <v>0</v>
      </c>
      <c r="L46" s="361">
        <f>-'Table 5C1F-Lake Charles Charter'!T47</f>
        <v>0</v>
      </c>
      <c r="M46" s="361">
        <f>-'Table 5C1G-JS Clark Academy'!T47</f>
        <v>0</v>
      </c>
      <c r="N46" s="361">
        <f>-'Table 5C1H-Southwest LA Charter'!T47</f>
        <v>0</v>
      </c>
      <c r="O46" s="361">
        <f>-'Table 5C1J-LA Key Academy'!T47</f>
        <v>0</v>
      </c>
      <c r="P46" s="361">
        <f>-'Table 5C1K-Jefferson Chamber'!T47</f>
        <v>0</v>
      </c>
      <c r="Q46" s="361">
        <f>-'Table 5C1L-Tallulah Charter'!T47</f>
        <v>0</v>
      </c>
      <c r="R46" s="361">
        <f>-'Table 5C1M-Northshore Charter'!T47</f>
        <v>0</v>
      </c>
      <c r="S46" s="361">
        <f>-'Table 5C1N-EBR Charter'!T47</f>
        <v>0</v>
      </c>
      <c r="T46" s="361">
        <f>-'Table 5C1O-Lake Charles HS'!T47</f>
        <v>0</v>
      </c>
      <c r="U46" s="361">
        <f>-'Table 5C1P-Delta Charter'!T47</f>
        <v>0</v>
      </c>
      <c r="V46" s="361">
        <f>-'Table 5C2 - LA Virtual Admy'!U44</f>
        <v>-900</v>
      </c>
      <c r="W46" s="361">
        <f>-'Table 5C3 - LA Connections EBR'!U44</f>
        <v>-900</v>
      </c>
      <c r="X46" s="361">
        <f>-'Table 5D1 - New Vision'!S47</f>
        <v>0</v>
      </c>
      <c r="Y46" s="361">
        <f>-'Table 5D2 - Glencoe'!S47</f>
        <v>0</v>
      </c>
      <c r="Z46" s="361">
        <f>-'Table 5D3 - International'!U47</f>
        <v>0</v>
      </c>
      <c r="AA46" s="361">
        <f>-'Table 5D4 - Avoyelles'!S47</f>
        <v>0</v>
      </c>
      <c r="AB46" s="361">
        <f>-'Table 5D5 - Delhi'!S47</f>
        <v>0</v>
      </c>
      <c r="AC46" s="361">
        <f>-'Table 5D6 - Milestone'!S47</f>
        <v>0</v>
      </c>
      <c r="AD46" s="361">
        <f>-'Table 5D7 - Max'!S47</f>
        <v>0</v>
      </c>
      <c r="AE46" s="361">
        <f>-'Table 5D8 - Belle Chasse'!W47</f>
        <v>0</v>
      </c>
      <c r="AF46" s="361">
        <f>-'Table 5E_OJJ'!S47</f>
        <v>-397</v>
      </c>
      <c r="AG46" s="361">
        <f>-'Table 5A2 LSMSA'!N47</f>
        <v>0</v>
      </c>
      <c r="AH46" s="361">
        <f>-'Table 5A3 NOCCA'!L47</f>
        <v>0</v>
      </c>
      <c r="AI46" s="361">
        <f>-'Table 5A4_LSDVI'!L47</f>
        <v>0</v>
      </c>
      <c r="AJ46" s="361">
        <f>-'Table 5A5_SSD'!L47</f>
        <v>0</v>
      </c>
      <c r="AK46" s="361"/>
      <c r="AL46" s="750">
        <f t="shared" si="60"/>
        <v>289951</v>
      </c>
      <c r="AM46" s="361"/>
      <c r="AN46" s="361"/>
      <c r="AO46" s="361"/>
      <c r="AP46" s="361">
        <f>'Table 5C1A-Madison Prep'!R47</f>
        <v>0</v>
      </c>
      <c r="AQ46" s="361">
        <f>'Table 5C1B-DArbonne'!P47</f>
        <v>0</v>
      </c>
      <c r="AR46" s="361">
        <f>'Table 5C1C-Intl_VIBE'!P47</f>
        <v>0</v>
      </c>
      <c r="AS46" s="361">
        <f>'Table 5C1D-NOMMA'!P47</f>
        <v>0</v>
      </c>
      <c r="AT46" s="361">
        <f>'Table 5C1E-LFNO'!R47</f>
        <v>0</v>
      </c>
      <c r="AU46" s="361">
        <f>'Table 5C1F-Lake Charles Charter'!P47</f>
        <v>0</v>
      </c>
      <c r="AV46" s="361">
        <f>'Table 5C1G-JS Clark Academy'!P47</f>
        <v>0</v>
      </c>
      <c r="AW46" s="361">
        <f>'Table 5C1H-Southwest LA Charter'!P47</f>
        <v>0</v>
      </c>
      <c r="AX46" s="361">
        <f>'Table 5C1J-LA Key Academy'!P47</f>
        <v>0</v>
      </c>
      <c r="AY46" s="361">
        <f>'Table 5C1K-Jefferson Chamber'!P47</f>
        <v>0</v>
      </c>
      <c r="AZ46" s="361">
        <f>'Table 5C1L-Tallulah Charter'!P47</f>
        <v>0</v>
      </c>
      <c r="BA46" s="361">
        <f>'Table 5C1M-Northshore Charter'!P47</f>
        <v>0</v>
      </c>
      <c r="BB46" s="361">
        <f>'Table 5C1N-EBR Charter'!P47</f>
        <v>0</v>
      </c>
      <c r="BC46" s="361">
        <f>'Table 5C1O-Lake Charles HS'!P47</f>
        <v>0</v>
      </c>
      <c r="BD46" s="361">
        <f>'Table 5C1P-Delta Charter'!P47</f>
        <v>0</v>
      </c>
      <c r="BE46" s="361">
        <f>'Table 5C2 - LA Virtual Admy'!Q44</f>
        <v>-27</v>
      </c>
      <c r="BF46" s="361">
        <f>'Table 5C3 - LA Connections EBR'!Q44</f>
        <v>-27</v>
      </c>
      <c r="BG46" s="361">
        <f>'Table 5D1 - New Vision'!O47</f>
        <v>0</v>
      </c>
      <c r="BH46" s="361">
        <f>'Table 5D2 - Glencoe'!O47</f>
        <v>0</v>
      </c>
      <c r="BI46" s="361">
        <f>'Table 5D3 - International'!Q47</f>
        <v>0</v>
      </c>
      <c r="BJ46" s="361">
        <f>'Table 5D4 - Avoyelles'!O47</f>
        <v>0</v>
      </c>
      <c r="BK46" s="361">
        <f>'Table 5D5 - Delhi'!O47</f>
        <v>0</v>
      </c>
      <c r="BL46" s="361">
        <f>'Table 5D6 - Milestone'!O47</f>
        <v>0</v>
      </c>
      <c r="BM46" s="361">
        <f>'Table 5D7 - Max'!O47</f>
        <v>0</v>
      </c>
      <c r="BN46" s="361">
        <f>'Table 5D8 - Belle Chasse'!S47</f>
        <v>0</v>
      </c>
      <c r="BO46" s="750">
        <f t="shared" si="61"/>
        <v>289897</v>
      </c>
      <c r="BP46" s="47"/>
      <c r="BV46"/>
      <c r="CE46"/>
    </row>
    <row r="47" spans="1:83">
      <c r="A47" s="99">
        <v>42</v>
      </c>
      <c r="B47" s="301" t="s">
        <v>136</v>
      </c>
      <c r="C47" s="310">
        <f>'Table 2_State Distrib and Adjs'!AI48</f>
        <v>1608313</v>
      </c>
      <c r="D47" s="361"/>
      <c r="E47" s="361"/>
      <c r="F47" s="361">
        <f>-'Table 5C1A-Madison Prep'!V48</f>
        <v>0</v>
      </c>
      <c r="G47" s="361">
        <f>-'Table 5C1B-DArbonne'!T48</f>
        <v>0</v>
      </c>
      <c r="H47" s="361">
        <f>-'Table 5C1C-Intl_VIBE'!T48</f>
        <v>0</v>
      </c>
      <c r="I47" s="361">
        <f>-'Table 5C1D-NOMMA'!T48</f>
        <v>0</v>
      </c>
      <c r="J47" s="361"/>
      <c r="K47" s="361">
        <f>-'Table 5C1E-LFNO'!V48</f>
        <v>0</v>
      </c>
      <c r="L47" s="361">
        <f>-'Table 5C1F-Lake Charles Charter'!T48</f>
        <v>0</v>
      </c>
      <c r="M47" s="361">
        <f>-'Table 5C1G-JS Clark Academy'!T48</f>
        <v>0</v>
      </c>
      <c r="N47" s="361">
        <f>-'Table 5C1H-Southwest LA Charter'!T48</f>
        <v>0</v>
      </c>
      <c r="O47" s="361">
        <f>-'Table 5C1J-LA Key Academy'!T48</f>
        <v>0</v>
      </c>
      <c r="P47" s="361">
        <f>-'Table 5C1K-Jefferson Chamber'!T48</f>
        <v>0</v>
      </c>
      <c r="Q47" s="361">
        <f>-'Table 5C1L-Tallulah Charter'!T48</f>
        <v>0</v>
      </c>
      <c r="R47" s="361">
        <f>-'Table 5C1M-Northshore Charter'!T48</f>
        <v>0</v>
      </c>
      <c r="S47" s="361">
        <f>-'Table 5C1N-EBR Charter'!T48</f>
        <v>0</v>
      </c>
      <c r="T47" s="361">
        <f>-'Table 5C1O-Lake Charles HS'!T48</f>
        <v>0</v>
      </c>
      <c r="U47" s="361">
        <f>-'Table 5C1P-Delta Charter'!T48</f>
        <v>0</v>
      </c>
      <c r="V47" s="361">
        <f>-'Table 5C2 - LA Virtual Admy'!U45</f>
        <v>-1338</v>
      </c>
      <c r="W47" s="361">
        <f>-'Table 5C3 - LA Connections EBR'!U45</f>
        <v>-955</v>
      </c>
      <c r="X47" s="361">
        <f>-'Table 5D1 - New Vision'!S48</f>
        <v>-1062</v>
      </c>
      <c r="Y47" s="361">
        <f>-'Table 5D2 - Glencoe'!S48</f>
        <v>0</v>
      </c>
      <c r="Z47" s="361">
        <f>-'Table 5D3 - International'!U48</f>
        <v>0</v>
      </c>
      <c r="AA47" s="361">
        <f>-'Table 5D4 - Avoyelles'!S48</f>
        <v>0</v>
      </c>
      <c r="AB47" s="361">
        <f>-'Table 5D5 - Delhi'!S48</f>
        <v>-86052</v>
      </c>
      <c r="AC47" s="361">
        <f>-'Table 5D6 - Milestone'!S48</f>
        <v>0</v>
      </c>
      <c r="AD47" s="361">
        <f>-'Table 5D7 - Max'!S48</f>
        <v>0</v>
      </c>
      <c r="AE47" s="361">
        <f>-'Table 5D8 - Belle Chasse'!W48</f>
        <v>0</v>
      </c>
      <c r="AF47" s="361">
        <f>-'Table 5E_OJJ'!S48</f>
        <v>-572</v>
      </c>
      <c r="AG47" s="361">
        <f>-'Table 5A2 LSMSA'!N48</f>
        <v>0</v>
      </c>
      <c r="AH47" s="361">
        <f>-'Table 5A3 NOCCA'!L48</f>
        <v>0</v>
      </c>
      <c r="AI47" s="361">
        <f>-'Table 5A4_LSDVI'!L48</f>
        <v>0</v>
      </c>
      <c r="AJ47" s="361">
        <f>-'Table 5A5_SSD'!L48</f>
        <v>-218</v>
      </c>
      <c r="AK47" s="361"/>
      <c r="AL47" s="750">
        <f t="shared" si="60"/>
        <v>1518116</v>
      </c>
      <c r="AM47" s="361"/>
      <c r="AN47" s="361"/>
      <c r="AO47" s="361"/>
      <c r="AP47" s="361">
        <f>'Table 5C1A-Madison Prep'!R48</f>
        <v>0</v>
      </c>
      <c r="AQ47" s="361">
        <f>'Table 5C1B-DArbonne'!P48</f>
        <v>0</v>
      </c>
      <c r="AR47" s="361">
        <f>'Table 5C1C-Intl_VIBE'!P48</f>
        <v>0</v>
      </c>
      <c r="AS47" s="361">
        <f>'Table 5C1D-NOMMA'!P48</f>
        <v>0</v>
      </c>
      <c r="AT47" s="361">
        <f>'Table 5C1E-LFNO'!R48</f>
        <v>0</v>
      </c>
      <c r="AU47" s="361">
        <f>'Table 5C1F-Lake Charles Charter'!P48</f>
        <v>0</v>
      </c>
      <c r="AV47" s="361">
        <f>'Table 5C1G-JS Clark Academy'!P48</f>
        <v>0</v>
      </c>
      <c r="AW47" s="361">
        <f>'Table 5C1H-Southwest LA Charter'!P48</f>
        <v>0</v>
      </c>
      <c r="AX47" s="361">
        <f>'Table 5C1J-LA Key Academy'!P48</f>
        <v>0</v>
      </c>
      <c r="AY47" s="361">
        <f>'Table 5C1K-Jefferson Chamber'!P48</f>
        <v>0</v>
      </c>
      <c r="AZ47" s="361">
        <f>'Table 5C1L-Tallulah Charter'!P48</f>
        <v>0</v>
      </c>
      <c r="BA47" s="361">
        <f>'Table 5C1M-Northshore Charter'!P48</f>
        <v>0</v>
      </c>
      <c r="BB47" s="361">
        <f>'Table 5C1N-EBR Charter'!P48</f>
        <v>0</v>
      </c>
      <c r="BC47" s="361">
        <f>'Table 5C1O-Lake Charles HS'!P48</f>
        <v>0</v>
      </c>
      <c r="BD47" s="361">
        <f>'Table 5C1P-Delta Charter'!P48</f>
        <v>0</v>
      </c>
      <c r="BE47" s="361">
        <f>'Table 5C2 - LA Virtual Admy'!Q45</f>
        <v>-40</v>
      </c>
      <c r="BF47" s="361">
        <f>'Table 5C3 - LA Connections EBR'!Q45</f>
        <v>-29</v>
      </c>
      <c r="BG47" s="361">
        <f>'Table 5D1 - New Vision'!O48</f>
        <v>-31.925000000000001</v>
      </c>
      <c r="BH47" s="361">
        <f>'Table 5D2 - Glencoe'!O48</f>
        <v>0</v>
      </c>
      <c r="BI47" s="361">
        <f>'Table 5D3 - International'!Q48</f>
        <v>0</v>
      </c>
      <c r="BJ47" s="361">
        <f>'Table 5D4 - Avoyelles'!O48</f>
        <v>0</v>
      </c>
      <c r="BK47" s="361">
        <f>'Table 5D5 - Delhi'!O48</f>
        <v>-2649.7750000000001</v>
      </c>
      <c r="BL47" s="361">
        <f>'Table 5D6 - Milestone'!O48</f>
        <v>0</v>
      </c>
      <c r="BM47" s="361">
        <f>'Table 5D7 - Max'!O48</f>
        <v>0</v>
      </c>
      <c r="BN47" s="361">
        <f>'Table 5D8 - Belle Chasse'!S48</f>
        <v>0</v>
      </c>
      <c r="BO47" s="750">
        <f t="shared" si="61"/>
        <v>1515365.3</v>
      </c>
      <c r="BP47" s="47"/>
      <c r="BV47"/>
      <c r="CE47"/>
    </row>
    <row r="48" spans="1:83">
      <c r="A48" s="99">
        <v>43</v>
      </c>
      <c r="B48" s="301" t="s">
        <v>137</v>
      </c>
      <c r="C48" s="310">
        <f>'Table 2_State Distrib and Adjs'!AI49</f>
        <v>1763428</v>
      </c>
      <c r="D48" s="361"/>
      <c r="E48" s="361"/>
      <c r="F48" s="361">
        <f>-'Table 5C1A-Madison Prep'!V49</f>
        <v>0</v>
      </c>
      <c r="G48" s="361">
        <f>-'Table 5C1B-DArbonne'!T49</f>
        <v>0</v>
      </c>
      <c r="H48" s="361">
        <f>-'Table 5C1C-Intl_VIBE'!T49</f>
        <v>0</v>
      </c>
      <c r="I48" s="361">
        <f>-'Table 5C1D-NOMMA'!T49</f>
        <v>0</v>
      </c>
      <c r="J48" s="361"/>
      <c r="K48" s="361">
        <f>-'Table 5C1E-LFNO'!V49</f>
        <v>0</v>
      </c>
      <c r="L48" s="361">
        <f>-'Table 5C1F-Lake Charles Charter'!T49</f>
        <v>0</v>
      </c>
      <c r="M48" s="361">
        <f>-'Table 5C1G-JS Clark Academy'!T49</f>
        <v>0</v>
      </c>
      <c r="N48" s="361">
        <f>-'Table 5C1H-Southwest LA Charter'!T49</f>
        <v>0</v>
      </c>
      <c r="O48" s="361">
        <f>-'Table 5C1J-LA Key Academy'!T49</f>
        <v>0</v>
      </c>
      <c r="P48" s="361">
        <f>-'Table 5C1K-Jefferson Chamber'!T49</f>
        <v>0</v>
      </c>
      <c r="Q48" s="361">
        <f>-'Table 5C1L-Tallulah Charter'!T49</f>
        <v>0</v>
      </c>
      <c r="R48" s="361">
        <f>-'Table 5C1M-Northshore Charter'!T49</f>
        <v>0</v>
      </c>
      <c r="S48" s="361">
        <f>-'Table 5C1N-EBR Charter'!T49</f>
        <v>0</v>
      </c>
      <c r="T48" s="361">
        <f>-'Table 5C1O-Lake Charles HS'!T49</f>
        <v>0</v>
      </c>
      <c r="U48" s="361">
        <f>-'Table 5C1P-Delta Charter'!T49</f>
        <v>0</v>
      </c>
      <c r="V48" s="361">
        <f>-'Table 5C2 - LA Virtual Admy'!U46</f>
        <v>-2962</v>
      </c>
      <c r="W48" s="361">
        <f>-'Table 5C3 - LA Connections EBR'!U46</f>
        <v>-2363</v>
      </c>
      <c r="X48" s="361">
        <f>-'Table 5D1 - New Vision'!S49</f>
        <v>0</v>
      </c>
      <c r="Y48" s="361">
        <f>-'Table 5D2 - Glencoe'!S49</f>
        <v>0</v>
      </c>
      <c r="Z48" s="361">
        <f>-'Table 5D3 - International'!U49</f>
        <v>0</v>
      </c>
      <c r="AA48" s="361">
        <f>-'Table 5D4 - Avoyelles'!S49</f>
        <v>0</v>
      </c>
      <c r="AB48" s="361">
        <f>-'Table 5D5 - Delhi'!S49</f>
        <v>0</v>
      </c>
      <c r="AC48" s="361">
        <f>-'Table 5D6 - Milestone'!S49</f>
        <v>0</v>
      </c>
      <c r="AD48" s="361">
        <f>-'Table 5D7 - Max'!S49</f>
        <v>0</v>
      </c>
      <c r="AE48" s="361">
        <f>-'Table 5D8 - Belle Chasse'!W49</f>
        <v>0</v>
      </c>
      <c r="AF48" s="361">
        <f>-'Table 5E_OJJ'!S49</f>
        <v>-72</v>
      </c>
      <c r="AG48" s="361">
        <f>-'Table 5A2 LSMSA'!N49</f>
        <v>-1633</v>
      </c>
      <c r="AH48" s="361">
        <f>-'Table 5A3 NOCCA'!L49</f>
        <v>0</v>
      </c>
      <c r="AI48" s="361">
        <f>-'Table 5A4_LSDVI'!L49</f>
        <v>0</v>
      </c>
      <c r="AJ48" s="361">
        <f>-'Table 5A5_SSD'!L49</f>
        <v>-653</v>
      </c>
      <c r="AK48" s="361"/>
      <c r="AL48" s="750">
        <f t="shared" si="60"/>
        <v>1755745</v>
      </c>
      <c r="AM48" s="361"/>
      <c r="AN48" s="361"/>
      <c r="AO48" s="361"/>
      <c r="AP48" s="361">
        <f>'Table 5C1A-Madison Prep'!R49</f>
        <v>0</v>
      </c>
      <c r="AQ48" s="361">
        <f>'Table 5C1B-DArbonne'!P49</f>
        <v>0</v>
      </c>
      <c r="AR48" s="361">
        <f>'Table 5C1C-Intl_VIBE'!P49</f>
        <v>0</v>
      </c>
      <c r="AS48" s="361">
        <f>'Table 5C1D-NOMMA'!P49</f>
        <v>0</v>
      </c>
      <c r="AT48" s="361">
        <f>'Table 5C1E-LFNO'!R49</f>
        <v>0</v>
      </c>
      <c r="AU48" s="361">
        <f>'Table 5C1F-Lake Charles Charter'!P49</f>
        <v>0</v>
      </c>
      <c r="AV48" s="361">
        <f>'Table 5C1G-JS Clark Academy'!P49</f>
        <v>0</v>
      </c>
      <c r="AW48" s="361">
        <f>'Table 5C1H-Southwest LA Charter'!P49</f>
        <v>0</v>
      </c>
      <c r="AX48" s="361">
        <f>'Table 5C1J-LA Key Academy'!P49</f>
        <v>0</v>
      </c>
      <c r="AY48" s="361">
        <f>'Table 5C1K-Jefferson Chamber'!P49</f>
        <v>0</v>
      </c>
      <c r="AZ48" s="361">
        <f>'Table 5C1L-Tallulah Charter'!P49</f>
        <v>0</v>
      </c>
      <c r="BA48" s="361">
        <f>'Table 5C1M-Northshore Charter'!P49</f>
        <v>0</v>
      </c>
      <c r="BB48" s="361">
        <f>'Table 5C1N-EBR Charter'!P49</f>
        <v>0</v>
      </c>
      <c r="BC48" s="361">
        <f>'Table 5C1O-Lake Charles HS'!P49</f>
        <v>0</v>
      </c>
      <c r="BD48" s="361">
        <f>'Table 5C1P-Delta Charter'!P49</f>
        <v>0</v>
      </c>
      <c r="BE48" s="361">
        <f>'Table 5C2 - LA Virtual Admy'!Q46</f>
        <v>-71</v>
      </c>
      <c r="BF48" s="361">
        <f>'Table 5C3 - LA Connections EBR'!Q46</f>
        <v>-71</v>
      </c>
      <c r="BG48" s="361">
        <f>'Table 5D1 - New Vision'!O49</f>
        <v>0</v>
      </c>
      <c r="BH48" s="361">
        <f>'Table 5D2 - Glencoe'!O49</f>
        <v>0</v>
      </c>
      <c r="BI48" s="361">
        <f>'Table 5D3 - International'!Q49</f>
        <v>0</v>
      </c>
      <c r="BJ48" s="361">
        <f>'Table 5D4 - Avoyelles'!O49</f>
        <v>0</v>
      </c>
      <c r="BK48" s="361">
        <f>'Table 5D5 - Delhi'!O49</f>
        <v>0</v>
      </c>
      <c r="BL48" s="361">
        <f>'Table 5D6 - Milestone'!O49</f>
        <v>0</v>
      </c>
      <c r="BM48" s="361">
        <f>'Table 5D7 - Max'!O49</f>
        <v>0</v>
      </c>
      <c r="BN48" s="361">
        <f>'Table 5D8 - Belle Chasse'!S49</f>
        <v>0</v>
      </c>
      <c r="BO48" s="750">
        <f t="shared" si="61"/>
        <v>1755603</v>
      </c>
      <c r="BP48" s="47"/>
      <c r="BV48"/>
      <c r="CE48"/>
    </row>
    <row r="49" spans="1:83">
      <c r="A49" s="99">
        <v>44</v>
      </c>
      <c r="B49" s="301" t="s">
        <v>138</v>
      </c>
      <c r="C49" s="310">
        <f>'Table 2_State Distrib and Adjs'!AI50</f>
        <v>2815477</v>
      </c>
      <c r="D49" s="361"/>
      <c r="E49" s="361"/>
      <c r="F49" s="361">
        <f>-'Table 5C1A-Madison Prep'!V50</f>
        <v>0</v>
      </c>
      <c r="G49" s="361">
        <f>-'Table 5C1B-DArbonne'!T50</f>
        <v>0</v>
      </c>
      <c r="H49" s="361">
        <f>-'Table 5C1C-Intl_VIBE'!T50</f>
        <v>-1216.95</v>
      </c>
      <c r="I49" s="361">
        <f>-'Table 5C1D-NOMMA'!T50</f>
        <v>-683.12125000000003</v>
      </c>
      <c r="J49" s="361"/>
      <c r="K49" s="361">
        <f>-'Table 5C1E-LFNO'!V50</f>
        <v>-683.12125000000003</v>
      </c>
      <c r="L49" s="361">
        <f>-'Table 5C1F-Lake Charles Charter'!T50</f>
        <v>0</v>
      </c>
      <c r="M49" s="361">
        <f>-'Table 5C1G-JS Clark Academy'!T50</f>
        <v>0</v>
      </c>
      <c r="N49" s="361">
        <f>-'Table 5C1H-Southwest LA Charter'!T50</f>
        <v>0</v>
      </c>
      <c r="O49" s="361">
        <f>-'Table 5C1J-LA Key Academy'!T50</f>
        <v>0</v>
      </c>
      <c r="P49" s="361">
        <f>-'Table 5C1K-Jefferson Chamber'!T50</f>
        <v>-2049.36375</v>
      </c>
      <c r="Q49" s="361">
        <f>-'Table 5C1L-Tallulah Charter'!T50</f>
        <v>0</v>
      </c>
      <c r="R49" s="361">
        <f>-'Table 5C1M-Northshore Charter'!T50</f>
        <v>0</v>
      </c>
      <c r="S49" s="361">
        <f>-'Table 5C1N-EBR Charter'!T50</f>
        <v>0</v>
      </c>
      <c r="T49" s="361">
        <f>-'Table 5C1O-Lake Charles HS'!T50</f>
        <v>0</v>
      </c>
      <c r="U49" s="361">
        <f>-'Table 5C1P-Delta Charter'!T50</f>
        <v>0</v>
      </c>
      <c r="V49" s="361">
        <f>-'Table 5C2 - LA Virtual Admy'!U47</f>
        <v>-1116</v>
      </c>
      <c r="W49" s="361">
        <f>-'Table 5C3 - LA Connections EBR'!U47</f>
        <v>-2767</v>
      </c>
      <c r="X49" s="361">
        <f>-'Table 5D1 - New Vision'!S50</f>
        <v>0</v>
      </c>
      <c r="Y49" s="361">
        <f>-'Table 5D2 - Glencoe'!S50</f>
        <v>0</v>
      </c>
      <c r="Z49" s="361">
        <f>-'Table 5D3 - International'!U50</f>
        <v>-4259</v>
      </c>
      <c r="AA49" s="361">
        <f>-'Table 5D4 - Avoyelles'!S50</f>
        <v>0</v>
      </c>
      <c r="AB49" s="361">
        <f>-'Table 5D5 - Delhi'!S50</f>
        <v>0</v>
      </c>
      <c r="AC49" s="361">
        <f>-'Table 5D6 - Milestone'!S50</f>
        <v>-342</v>
      </c>
      <c r="AD49" s="361">
        <f>-'Table 5D7 - Max'!S50</f>
        <v>0</v>
      </c>
      <c r="AE49" s="361">
        <f>-'Table 5D8 - Belle Chasse'!W50</f>
        <v>-1025</v>
      </c>
      <c r="AF49" s="361">
        <f>-'Table 5E_OJJ'!S50</f>
        <v>-232</v>
      </c>
      <c r="AG49" s="361">
        <f>-'Table 5A2 LSMSA'!N50</f>
        <v>-581</v>
      </c>
      <c r="AH49" s="361">
        <f>-'Table 5A3 NOCCA'!L50</f>
        <v>-871</v>
      </c>
      <c r="AI49" s="361">
        <f>-'Table 5A4_LSDVI'!L50</f>
        <v>-2033</v>
      </c>
      <c r="AJ49" s="361">
        <f>-'Table 5A5_SSD'!L50</f>
        <v>-581</v>
      </c>
      <c r="AK49" s="361"/>
      <c r="AL49" s="750">
        <f t="shared" si="60"/>
        <v>2797037.4437500001</v>
      </c>
      <c r="AM49" s="361"/>
      <c r="AN49" s="361"/>
      <c r="AO49" s="361"/>
      <c r="AP49" s="361">
        <f>'Table 5C1A-Madison Prep'!R50</f>
        <v>0</v>
      </c>
      <c r="AQ49" s="361">
        <f>'Table 5C1B-DArbonne'!P50</f>
        <v>0</v>
      </c>
      <c r="AR49" s="361">
        <f>'Table 5C1C-Intl_VIBE'!P50</f>
        <v>-36.6</v>
      </c>
      <c r="AS49" s="361">
        <f>'Table 5C1D-NOMMA'!P50</f>
        <v>-20.545000000000002</v>
      </c>
      <c r="AT49" s="361">
        <f>'Table 5C1E-LFNO'!R50</f>
        <v>-20.545000000000002</v>
      </c>
      <c r="AU49" s="361">
        <f>'Table 5C1F-Lake Charles Charter'!P50</f>
        <v>0</v>
      </c>
      <c r="AV49" s="361">
        <f>'Table 5C1G-JS Clark Academy'!P50</f>
        <v>0</v>
      </c>
      <c r="AW49" s="361">
        <f>'Table 5C1H-Southwest LA Charter'!P50</f>
        <v>0</v>
      </c>
      <c r="AX49" s="361">
        <f>'Table 5C1J-LA Key Academy'!P50</f>
        <v>0</v>
      </c>
      <c r="AY49" s="361">
        <f>'Table 5C1K-Jefferson Chamber'!P50</f>
        <v>-61.634999999999998</v>
      </c>
      <c r="AZ49" s="361">
        <f>'Table 5C1L-Tallulah Charter'!P50</f>
        <v>0</v>
      </c>
      <c r="BA49" s="361">
        <f>'Table 5C1M-Northshore Charter'!P50</f>
        <v>0</v>
      </c>
      <c r="BB49" s="361">
        <f>'Table 5C1N-EBR Charter'!P50</f>
        <v>0</v>
      </c>
      <c r="BC49" s="361">
        <f>'Table 5C1O-Lake Charles HS'!P50</f>
        <v>0</v>
      </c>
      <c r="BD49" s="361">
        <f>'Table 5C1P-Delta Charter'!P50</f>
        <v>0</v>
      </c>
      <c r="BE49" s="361">
        <f>'Table 5C2 - LA Virtual Admy'!Q47</f>
        <v>-28</v>
      </c>
      <c r="BF49" s="361">
        <f>'Table 5C3 - LA Connections EBR'!Q47</f>
        <v>-83</v>
      </c>
      <c r="BG49" s="361">
        <f>'Table 5D1 - New Vision'!O50</f>
        <v>0</v>
      </c>
      <c r="BH49" s="361">
        <f>'Table 5D2 - Glencoe'!O50</f>
        <v>0</v>
      </c>
      <c r="BI49" s="361">
        <f>'Table 5D3 - International'!Q50</f>
        <v>-128.1</v>
      </c>
      <c r="BJ49" s="361">
        <f>'Table 5D4 - Avoyelles'!O50</f>
        <v>0</v>
      </c>
      <c r="BK49" s="361">
        <f>'Table 5D5 - Delhi'!O50</f>
        <v>0</v>
      </c>
      <c r="BL49" s="361">
        <f>'Table 5D6 - Milestone'!O50</f>
        <v>-10.272500000000001</v>
      </c>
      <c r="BM49" s="361">
        <f>'Table 5D7 - Max'!O50</f>
        <v>0</v>
      </c>
      <c r="BN49" s="361">
        <f>'Table 5D8 - Belle Chasse'!S50</f>
        <v>-30.817499999999999</v>
      </c>
      <c r="BO49" s="750">
        <f t="shared" si="61"/>
        <v>2796617.9287500004</v>
      </c>
      <c r="BP49" s="47"/>
      <c r="BV49"/>
      <c r="CE49"/>
    </row>
    <row r="50" spans="1:83">
      <c r="A50" s="100">
        <v>45</v>
      </c>
      <c r="B50" s="302" t="s">
        <v>139</v>
      </c>
      <c r="C50" s="319">
        <f>'Table 2_State Distrib and Adjs'!AI51</f>
        <v>2294829</v>
      </c>
      <c r="D50" s="362"/>
      <c r="E50" s="362"/>
      <c r="F50" s="362">
        <f>-'Table 5C1A-Madison Prep'!V51</f>
        <v>0</v>
      </c>
      <c r="G50" s="362">
        <f>-'Table 5C1B-DArbonne'!T51</f>
        <v>0</v>
      </c>
      <c r="H50" s="362">
        <f>-'Table 5C1C-Intl_VIBE'!T51</f>
        <v>-1852.1912499999999</v>
      </c>
      <c r="I50" s="362">
        <f>-'Table 5C1D-NOMMA'!T51</f>
        <v>0</v>
      </c>
      <c r="J50" s="362"/>
      <c r="K50" s="362">
        <f>-'Table 5C1E-LFNO'!V51</f>
        <v>-1032.994375</v>
      </c>
      <c r="L50" s="362">
        <f>-'Table 5C1F-Lake Charles Charter'!T51</f>
        <v>0</v>
      </c>
      <c r="M50" s="362">
        <f>-'Table 5C1G-JS Clark Academy'!T51</f>
        <v>0</v>
      </c>
      <c r="N50" s="362">
        <f>-'Table 5C1H-Southwest LA Charter'!T51</f>
        <v>0</v>
      </c>
      <c r="O50" s="362">
        <f>-'Table 5C1J-LA Key Academy'!T51</f>
        <v>0</v>
      </c>
      <c r="P50" s="362">
        <f>-'Table 5C1K-Jefferson Chamber'!T51</f>
        <v>-6197.9662500000004</v>
      </c>
      <c r="Q50" s="362">
        <f>-'Table 5C1L-Tallulah Charter'!T51</f>
        <v>0</v>
      </c>
      <c r="R50" s="362">
        <f>-'Table 5C1M-Northshore Charter'!T51</f>
        <v>0</v>
      </c>
      <c r="S50" s="362">
        <f>-'Table 5C1N-EBR Charter'!T51</f>
        <v>0</v>
      </c>
      <c r="T50" s="362">
        <f>-'Table 5C1O-Lake Charles HS'!T51</f>
        <v>0</v>
      </c>
      <c r="U50" s="362">
        <f>-'Table 5C1P-Delta Charter'!T51</f>
        <v>0</v>
      </c>
      <c r="V50" s="362">
        <f>-'Table 5C2 - LA Virtual Admy'!U48</f>
        <v>-1859</v>
      </c>
      <c r="W50" s="362">
        <f>-'Table 5C3 - LA Connections EBR'!U48</f>
        <v>-17664</v>
      </c>
      <c r="X50" s="362">
        <f>-'Table 5D1 - New Vision'!S51</f>
        <v>0</v>
      </c>
      <c r="Y50" s="362">
        <f>-'Table 5D2 - Glencoe'!S51</f>
        <v>0</v>
      </c>
      <c r="Z50" s="362">
        <f>-'Table 5D3 - International'!U51</f>
        <v>-4630</v>
      </c>
      <c r="AA50" s="362">
        <f>-'Table 5D4 - Avoyelles'!S51</f>
        <v>0</v>
      </c>
      <c r="AB50" s="362">
        <f>-'Table 5D5 - Delhi'!S51</f>
        <v>0</v>
      </c>
      <c r="AC50" s="362">
        <f>-'Table 5D6 - Milestone'!S51</f>
        <v>0</v>
      </c>
      <c r="AD50" s="362">
        <f>-'Table 5D7 - Max'!S51</f>
        <v>-2066</v>
      </c>
      <c r="AE50" s="362">
        <f>-'Table 5D8 - Belle Chasse'!W51</f>
        <v>-1033</v>
      </c>
      <c r="AF50" s="362">
        <f>-'Table 5E_OJJ'!S51</f>
        <v>-1087</v>
      </c>
      <c r="AG50" s="362">
        <f>-'Table 5A2 LSMSA'!N51</f>
        <v>-2187</v>
      </c>
      <c r="AH50" s="362">
        <f>-'Table 5A3 NOCCA'!L51</f>
        <v>-2187</v>
      </c>
      <c r="AI50" s="362">
        <f>-'Table 5A4_LSDVI'!L51</f>
        <v>-437</v>
      </c>
      <c r="AJ50" s="362">
        <f>-'Table 5A5_SSD'!L51</f>
        <v>-875</v>
      </c>
      <c r="AK50" s="362"/>
      <c r="AL50" s="751">
        <f t="shared" si="60"/>
        <v>2251720.848125</v>
      </c>
      <c r="AM50" s="362"/>
      <c r="AN50" s="362"/>
      <c r="AO50" s="362"/>
      <c r="AP50" s="362">
        <f>'Table 5C1A-Madison Prep'!R51</f>
        <v>0</v>
      </c>
      <c r="AQ50" s="362">
        <f>'Table 5C1B-DArbonne'!P51</f>
        <v>0</v>
      </c>
      <c r="AR50" s="1230">
        <f>'Table 5C1C-Intl_VIBE'!P51</f>
        <v>-55.704999999999998</v>
      </c>
      <c r="AS50" s="362">
        <f>'Table 5C1D-NOMMA'!P51</f>
        <v>0</v>
      </c>
      <c r="AT50" s="362">
        <f>'Table 5C1E-LFNO'!R51</f>
        <v>-31.067499999999999</v>
      </c>
      <c r="AU50" s="362">
        <f>'Table 5C1F-Lake Charles Charter'!P51</f>
        <v>0</v>
      </c>
      <c r="AV50" s="362">
        <f>'Table 5C1G-JS Clark Academy'!P51</f>
        <v>0</v>
      </c>
      <c r="AW50" s="362">
        <f>'Table 5C1H-Southwest LA Charter'!P51</f>
        <v>0</v>
      </c>
      <c r="AX50" s="362">
        <f>'Table 5C1J-LA Key Academy'!P51</f>
        <v>0</v>
      </c>
      <c r="AY50" s="362">
        <f>'Table 5C1K-Jefferson Chamber'!P51</f>
        <v>-186.405</v>
      </c>
      <c r="AZ50" s="362">
        <f>'Table 5C1L-Tallulah Charter'!P51</f>
        <v>0</v>
      </c>
      <c r="BA50" s="362">
        <f>'Table 5C1M-Northshore Charter'!P51</f>
        <v>0</v>
      </c>
      <c r="BB50" s="362">
        <f>'Table 5C1N-EBR Charter'!P51</f>
        <v>0</v>
      </c>
      <c r="BC50" s="362">
        <f>'Table 5C1O-Lake Charles HS'!P51</f>
        <v>0</v>
      </c>
      <c r="BD50" s="362">
        <f>'Table 5C1P-Delta Charter'!P51</f>
        <v>0</v>
      </c>
      <c r="BE50" s="362">
        <f>'Table 5C2 - LA Virtual Admy'!Q48</f>
        <v>-56</v>
      </c>
      <c r="BF50" s="362">
        <f>'Table 5C3 - LA Connections EBR'!Q48</f>
        <v>-531</v>
      </c>
      <c r="BG50" s="362">
        <f>'Table 5D1 - New Vision'!O51</f>
        <v>0</v>
      </c>
      <c r="BH50" s="362">
        <f>'Table 5D2 - Glencoe'!O51</f>
        <v>0</v>
      </c>
      <c r="BI50" s="362">
        <f>'Table 5D3 - International'!Q51</f>
        <v>-139.26250000000002</v>
      </c>
      <c r="BJ50" s="362">
        <f>'Table 5D4 - Avoyelles'!O51</f>
        <v>0</v>
      </c>
      <c r="BK50" s="362">
        <f>'Table 5D5 - Delhi'!O51</f>
        <v>0</v>
      </c>
      <c r="BL50" s="362">
        <f>'Table 5D6 - Milestone'!O51</f>
        <v>0</v>
      </c>
      <c r="BM50" s="362">
        <f>'Table 5D7 - Max'!O51</f>
        <v>-62.134999999999998</v>
      </c>
      <c r="BN50" s="362">
        <f>'Table 5D8 - Belle Chasse'!S51</f>
        <v>-31.067499999999999</v>
      </c>
      <c r="BO50" s="751">
        <f t="shared" si="61"/>
        <v>2250628.2056250004</v>
      </c>
      <c r="BP50" s="47"/>
      <c r="BV50"/>
      <c r="CE50"/>
    </row>
    <row r="51" spans="1:83">
      <c r="A51" s="99">
        <v>46</v>
      </c>
      <c r="B51" s="301" t="s">
        <v>140</v>
      </c>
      <c r="C51" s="310">
        <f>'Table 2_State Distrib and Adjs'!AI52</f>
        <v>382507</v>
      </c>
      <c r="D51" s="361">
        <f>-'Table 5B2_RSD_LA'!X35</f>
        <v>-28811.75</v>
      </c>
      <c r="E51" s="361"/>
      <c r="F51" s="361">
        <f>-'Table 5C1A-Madison Prep'!V52</f>
        <v>0</v>
      </c>
      <c r="G51" s="361">
        <f>-'Table 5C1B-DArbonne'!T52</f>
        <v>0</v>
      </c>
      <c r="H51" s="361">
        <f>-'Table 5C1C-Intl_VIBE'!T52</f>
        <v>0</v>
      </c>
      <c r="I51" s="361">
        <f>-'Table 5C1D-NOMMA'!T52</f>
        <v>0</v>
      </c>
      <c r="J51" s="361"/>
      <c r="K51" s="361">
        <f>-'Table 5C1E-LFNO'!V52</f>
        <v>0</v>
      </c>
      <c r="L51" s="361">
        <f>-'Table 5C1F-Lake Charles Charter'!T52</f>
        <v>0</v>
      </c>
      <c r="M51" s="361">
        <f>-'Table 5C1G-JS Clark Academy'!T52</f>
        <v>0</v>
      </c>
      <c r="N51" s="361">
        <f>-'Table 5C1H-Southwest LA Charter'!T52</f>
        <v>0</v>
      </c>
      <c r="O51" s="361">
        <f>-'Table 5C1J-LA Key Academy'!T52</f>
        <v>0</v>
      </c>
      <c r="P51" s="361">
        <f>-'Table 5C1K-Jefferson Chamber'!T52</f>
        <v>0</v>
      </c>
      <c r="Q51" s="361">
        <f>-'Table 5C1L-Tallulah Charter'!T52</f>
        <v>0</v>
      </c>
      <c r="R51" s="361">
        <f>-'Table 5C1M-Northshore Charter'!T52</f>
        <v>0</v>
      </c>
      <c r="S51" s="361">
        <f>-'Table 5C1N-EBR Charter'!T52</f>
        <v>0</v>
      </c>
      <c r="T51" s="361">
        <f>-'Table 5C1O-Lake Charles HS'!T52</f>
        <v>0</v>
      </c>
      <c r="U51" s="361">
        <f>-'Table 5C1P-Delta Charter'!T52</f>
        <v>0</v>
      </c>
      <c r="V51" s="361">
        <f>-'Table 5C2 - LA Virtual Admy'!U49</f>
        <v>-1259</v>
      </c>
      <c r="W51" s="361">
        <f>-'Table 5C3 - LA Connections EBR'!U49</f>
        <v>-736</v>
      </c>
      <c r="X51" s="361">
        <f>-'Table 5D1 - New Vision'!S52</f>
        <v>0</v>
      </c>
      <c r="Y51" s="361">
        <f>-'Table 5D2 - Glencoe'!S52</f>
        <v>0</v>
      </c>
      <c r="Z51" s="361">
        <f>-'Table 5D3 - International'!U52</f>
        <v>0</v>
      </c>
      <c r="AA51" s="361">
        <f>-'Table 5D4 - Avoyelles'!S52</f>
        <v>0</v>
      </c>
      <c r="AB51" s="361">
        <f>-'Table 5D5 - Delhi'!S52</f>
        <v>0</v>
      </c>
      <c r="AC51" s="361">
        <f>-'Table 5D6 - Milestone'!S52</f>
        <v>0</v>
      </c>
      <c r="AD51" s="361">
        <f>-'Table 5D7 - Max'!S52</f>
        <v>0</v>
      </c>
      <c r="AE51" s="361">
        <f>-'Table 5D8 - Belle Chasse'!W52</f>
        <v>0</v>
      </c>
      <c r="AF51" s="361">
        <f>-'Table 5E_OJJ'!S52</f>
        <v>0</v>
      </c>
      <c r="AG51" s="361">
        <f>-'Table 5A2 LSMSA'!N52</f>
        <v>0</v>
      </c>
      <c r="AH51" s="361">
        <f>-'Table 5A3 NOCCA'!L52</f>
        <v>0</v>
      </c>
      <c r="AI51" s="361">
        <f>-'Table 5A4_LSDVI'!L52</f>
        <v>0</v>
      </c>
      <c r="AJ51" s="361">
        <f>-'Table 5A5_SSD'!L52</f>
        <v>-167</v>
      </c>
      <c r="AK51" s="361"/>
      <c r="AL51" s="750">
        <f t="shared" si="60"/>
        <v>351533.25</v>
      </c>
      <c r="AM51" s="361"/>
      <c r="AN51" s="361"/>
      <c r="AO51" s="361"/>
      <c r="AP51" s="361">
        <f>'Table 5C1A-Madison Prep'!R52</f>
        <v>0</v>
      </c>
      <c r="AQ51" s="361">
        <f>'Table 5C1B-DArbonne'!P52</f>
        <v>0</v>
      </c>
      <c r="AR51" s="361">
        <f>'Table 5C1C-Intl_VIBE'!P52</f>
        <v>0</v>
      </c>
      <c r="AS51" s="361">
        <f>'Table 5C1D-NOMMA'!P52</f>
        <v>0</v>
      </c>
      <c r="AT51" s="361">
        <f>'Table 5C1E-LFNO'!R52</f>
        <v>0</v>
      </c>
      <c r="AU51" s="361">
        <f>'Table 5C1F-Lake Charles Charter'!P52</f>
        <v>0</v>
      </c>
      <c r="AV51" s="361">
        <f>'Table 5C1G-JS Clark Academy'!P52</f>
        <v>0</v>
      </c>
      <c r="AW51" s="361">
        <f>'Table 5C1H-Southwest LA Charter'!P52</f>
        <v>0</v>
      </c>
      <c r="AX51" s="361">
        <f>'Table 5C1J-LA Key Academy'!P52</f>
        <v>0</v>
      </c>
      <c r="AY51" s="361">
        <f>'Table 5C1K-Jefferson Chamber'!P52</f>
        <v>0</v>
      </c>
      <c r="AZ51" s="361">
        <f>'Table 5C1L-Tallulah Charter'!P52</f>
        <v>0</v>
      </c>
      <c r="BA51" s="361">
        <f>'Table 5C1M-Northshore Charter'!P52</f>
        <v>0</v>
      </c>
      <c r="BB51" s="361">
        <f>'Table 5C1N-EBR Charter'!P52</f>
        <v>0</v>
      </c>
      <c r="BC51" s="361">
        <f>'Table 5C1O-Lake Charles HS'!P52</f>
        <v>0</v>
      </c>
      <c r="BD51" s="361">
        <f>'Table 5C1P-Delta Charter'!P52</f>
        <v>0</v>
      </c>
      <c r="BE51" s="361">
        <f>'Table 5C2 - LA Virtual Admy'!Q49</f>
        <v>-40</v>
      </c>
      <c r="BF51" s="361">
        <f>'Table 5C3 - LA Connections EBR'!Q49</f>
        <v>-22</v>
      </c>
      <c r="BG51" s="361">
        <f>'Table 5D1 - New Vision'!O52</f>
        <v>0</v>
      </c>
      <c r="BH51" s="361">
        <f>'Table 5D2 - Glencoe'!O52</f>
        <v>0</v>
      </c>
      <c r="BI51" s="361">
        <f>'Table 5D3 - International'!Q52</f>
        <v>0</v>
      </c>
      <c r="BJ51" s="361">
        <f>'Table 5D4 - Avoyelles'!O52</f>
        <v>0</v>
      </c>
      <c r="BK51" s="361">
        <f>'Table 5D5 - Delhi'!O52</f>
        <v>0</v>
      </c>
      <c r="BL51" s="361">
        <f>'Table 5D6 - Milestone'!O52</f>
        <v>0</v>
      </c>
      <c r="BM51" s="361">
        <f>'Table 5D7 - Max'!O52</f>
        <v>0</v>
      </c>
      <c r="BN51" s="361">
        <f>'Table 5D8 - Belle Chasse'!S52</f>
        <v>0</v>
      </c>
      <c r="BO51" s="750">
        <f t="shared" si="61"/>
        <v>351471.25</v>
      </c>
      <c r="BP51" s="47"/>
      <c r="BV51"/>
      <c r="CE51"/>
    </row>
    <row r="52" spans="1:83">
      <c r="A52" s="99">
        <v>47</v>
      </c>
      <c r="B52" s="301" t="s">
        <v>141</v>
      </c>
      <c r="C52" s="310">
        <f>'Table 2_State Distrib and Adjs'!AI53</f>
        <v>1091259</v>
      </c>
      <c r="D52" s="361"/>
      <c r="E52" s="361"/>
      <c r="F52" s="361">
        <f>-'Table 5C1A-Madison Prep'!V53</f>
        <v>0</v>
      </c>
      <c r="G52" s="361">
        <f>-'Table 5C1B-DArbonne'!T53</f>
        <v>0</v>
      </c>
      <c r="H52" s="361">
        <f>-'Table 5C1C-Intl_VIBE'!T53</f>
        <v>0</v>
      </c>
      <c r="I52" s="361">
        <f>-'Table 5C1D-NOMMA'!T53</f>
        <v>0</v>
      </c>
      <c r="J52" s="361"/>
      <c r="K52" s="361">
        <f>-'Table 5C1E-LFNO'!V53</f>
        <v>0</v>
      </c>
      <c r="L52" s="361">
        <f>-'Table 5C1F-Lake Charles Charter'!T53</f>
        <v>0</v>
      </c>
      <c r="M52" s="361">
        <f>-'Table 5C1G-JS Clark Academy'!T53</f>
        <v>0</v>
      </c>
      <c r="N52" s="361">
        <f>-'Table 5C1H-Southwest LA Charter'!T53</f>
        <v>0</v>
      </c>
      <c r="O52" s="361">
        <f>-'Table 5C1J-LA Key Academy'!T53</f>
        <v>0</v>
      </c>
      <c r="P52" s="361">
        <f>-'Table 5C1K-Jefferson Chamber'!T53</f>
        <v>0</v>
      </c>
      <c r="Q52" s="361">
        <f>-'Table 5C1L-Tallulah Charter'!T53</f>
        <v>0</v>
      </c>
      <c r="R52" s="361">
        <f>-'Table 5C1M-Northshore Charter'!T53</f>
        <v>0</v>
      </c>
      <c r="S52" s="361">
        <f>-'Table 5C1N-EBR Charter'!T53</f>
        <v>0</v>
      </c>
      <c r="T52" s="361">
        <f>-'Table 5C1O-Lake Charles HS'!T53</f>
        <v>0</v>
      </c>
      <c r="U52" s="361">
        <f>-'Table 5C1P-Delta Charter'!T53</f>
        <v>0</v>
      </c>
      <c r="V52" s="361">
        <f>-'Table 5C2 - LA Virtual Admy'!U50</f>
        <v>-772</v>
      </c>
      <c r="W52" s="361">
        <f>-'Table 5C3 - LA Connections EBR'!U50</f>
        <v>-752</v>
      </c>
      <c r="X52" s="361">
        <f>-'Table 5D1 - New Vision'!S53</f>
        <v>0</v>
      </c>
      <c r="Y52" s="361">
        <f>-'Table 5D2 - Glencoe'!S53</f>
        <v>0</v>
      </c>
      <c r="Z52" s="361">
        <f>-'Table 5D3 - International'!U53</f>
        <v>0</v>
      </c>
      <c r="AA52" s="361">
        <f>-'Table 5D4 - Avoyelles'!S53</f>
        <v>0</v>
      </c>
      <c r="AB52" s="361">
        <f>-'Table 5D5 - Delhi'!S53</f>
        <v>0</v>
      </c>
      <c r="AC52" s="361">
        <f>-'Table 5D6 - Milestone'!S53</f>
        <v>0</v>
      </c>
      <c r="AD52" s="361">
        <f>-'Table 5D7 - Max'!S53</f>
        <v>-2506</v>
      </c>
      <c r="AE52" s="361">
        <f>-'Table 5D8 - Belle Chasse'!W53</f>
        <v>0</v>
      </c>
      <c r="AF52" s="361">
        <f>-'Table 5E_OJJ'!S53</f>
        <v>0</v>
      </c>
      <c r="AG52" s="361">
        <f>-'Table 5A2 LSMSA'!N53</f>
        <v>-1377</v>
      </c>
      <c r="AH52" s="361">
        <f>-'Table 5A3 NOCCA'!L53</f>
        <v>0</v>
      </c>
      <c r="AI52" s="361">
        <f>-'Table 5A4_LSDVI'!L53</f>
        <v>-459</v>
      </c>
      <c r="AJ52" s="361">
        <f>-'Table 5A5_SSD'!L53</f>
        <v>0</v>
      </c>
      <c r="AK52" s="361"/>
      <c r="AL52" s="750">
        <f t="shared" si="60"/>
        <v>1085393</v>
      </c>
      <c r="AM52" s="361"/>
      <c r="AN52" s="361"/>
      <c r="AO52" s="361"/>
      <c r="AP52" s="361">
        <f>'Table 5C1A-Madison Prep'!R53</f>
        <v>0</v>
      </c>
      <c r="AQ52" s="361">
        <f>'Table 5C1B-DArbonne'!P53</f>
        <v>0</v>
      </c>
      <c r="AR52" s="361">
        <f>'Table 5C1C-Intl_VIBE'!P53</f>
        <v>0</v>
      </c>
      <c r="AS52" s="361">
        <f>'Table 5C1D-NOMMA'!P53</f>
        <v>0</v>
      </c>
      <c r="AT52" s="361">
        <f>'Table 5C1E-LFNO'!R53</f>
        <v>0</v>
      </c>
      <c r="AU52" s="361">
        <f>'Table 5C1F-Lake Charles Charter'!P53</f>
        <v>0</v>
      </c>
      <c r="AV52" s="361">
        <f>'Table 5C1G-JS Clark Academy'!P53</f>
        <v>0</v>
      </c>
      <c r="AW52" s="361">
        <f>'Table 5C1H-Southwest LA Charter'!P53</f>
        <v>0</v>
      </c>
      <c r="AX52" s="361">
        <f>'Table 5C1J-LA Key Academy'!P53</f>
        <v>0</v>
      </c>
      <c r="AY52" s="361">
        <f>'Table 5C1K-Jefferson Chamber'!P53</f>
        <v>0</v>
      </c>
      <c r="AZ52" s="361">
        <f>'Table 5C1L-Tallulah Charter'!P53</f>
        <v>0</v>
      </c>
      <c r="BA52" s="361">
        <f>'Table 5C1M-Northshore Charter'!P53</f>
        <v>0</v>
      </c>
      <c r="BB52" s="361">
        <f>'Table 5C1N-EBR Charter'!P53</f>
        <v>0</v>
      </c>
      <c r="BC52" s="361">
        <f>'Table 5C1O-Lake Charles HS'!P53</f>
        <v>0</v>
      </c>
      <c r="BD52" s="361">
        <f>'Table 5C1P-Delta Charter'!P53</f>
        <v>0</v>
      </c>
      <c r="BE52" s="361">
        <f>'Table 5C2 - LA Virtual Admy'!Q50</f>
        <v>-45</v>
      </c>
      <c r="BF52" s="361">
        <f>'Table 5C3 - LA Connections EBR'!Q50</f>
        <v>-23</v>
      </c>
      <c r="BG52" s="361">
        <f>'Table 5D1 - New Vision'!O53</f>
        <v>0</v>
      </c>
      <c r="BH52" s="361">
        <f>'Table 5D2 - Glencoe'!O53</f>
        <v>0</v>
      </c>
      <c r="BI52" s="361">
        <f>'Table 5D3 - International'!Q53</f>
        <v>0</v>
      </c>
      <c r="BJ52" s="361">
        <f>'Table 5D4 - Avoyelles'!O53</f>
        <v>0</v>
      </c>
      <c r="BK52" s="361">
        <f>'Table 5D5 - Delhi'!O53</f>
        <v>0</v>
      </c>
      <c r="BL52" s="361">
        <f>'Table 5D6 - Milestone'!O53</f>
        <v>0</v>
      </c>
      <c r="BM52" s="361">
        <f>'Table 5D7 - Max'!O53</f>
        <v>-75.367500000000007</v>
      </c>
      <c r="BN52" s="361">
        <f>'Table 5D8 - Belle Chasse'!S53</f>
        <v>0</v>
      </c>
      <c r="BO52" s="750">
        <f t="shared" si="61"/>
        <v>1085249.6325000001</v>
      </c>
      <c r="BP52" s="47"/>
      <c r="BV52"/>
      <c r="CE52"/>
    </row>
    <row r="53" spans="1:83">
      <c r="A53" s="99">
        <v>48</v>
      </c>
      <c r="B53" s="301" t="s">
        <v>202</v>
      </c>
      <c r="C53" s="310">
        <f>'Table 2_State Distrib and Adjs'!AI54</f>
        <v>2563509</v>
      </c>
      <c r="D53" s="361"/>
      <c r="E53" s="361"/>
      <c r="F53" s="361">
        <f>-'Table 5C1A-Madison Prep'!V54</f>
        <v>0</v>
      </c>
      <c r="G53" s="361">
        <f>-'Table 5C1B-DArbonne'!T54</f>
        <v>0</v>
      </c>
      <c r="H53" s="361">
        <f>-'Table 5C1C-Intl_VIBE'!T54</f>
        <v>-772.23124999999993</v>
      </c>
      <c r="I53" s="361">
        <f>-'Table 5C1D-NOMMA'!T54</f>
        <v>0</v>
      </c>
      <c r="J53" s="361"/>
      <c r="K53" s="361">
        <f>-'Table 5C1E-LFNO'!V54</f>
        <v>0</v>
      </c>
      <c r="L53" s="361">
        <f>-'Table 5C1F-Lake Charles Charter'!T54</f>
        <v>0</v>
      </c>
      <c r="M53" s="361">
        <f>-'Table 5C1G-JS Clark Academy'!T54</f>
        <v>0</v>
      </c>
      <c r="N53" s="361">
        <f>-'Table 5C1H-Southwest LA Charter'!T54</f>
        <v>0</v>
      </c>
      <c r="O53" s="361">
        <f>-'Table 5C1J-LA Key Academy'!T54</f>
        <v>0</v>
      </c>
      <c r="P53" s="361">
        <f>-'Table 5C1K-Jefferson Chamber'!T54</f>
        <v>0</v>
      </c>
      <c r="Q53" s="361">
        <f>-'Table 5C1L-Tallulah Charter'!T54</f>
        <v>0</v>
      </c>
      <c r="R53" s="361">
        <f>-'Table 5C1M-Northshore Charter'!T54</f>
        <v>0</v>
      </c>
      <c r="S53" s="361">
        <f>-'Table 5C1N-EBR Charter'!T54</f>
        <v>0</v>
      </c>
      <c r="T53" s="361">
        <f>-'Table 5C1O-Lake Charles HS'!T54</f>
        <v>0</v>
      </c>
      <c r="U53" s="361">
        <f>-'Table 5C1P-Delta Charter'!T54</f>
        <v>0</v>
      </c>
      <c r="V53" s="361">
        <f>-'Table 5C2 - LA Virtual Admy'!U51</f>
        <v>-13064</v>
      </c>
      <c r="W53" s="361">
        <f>-'Table 5C3 - LA Connections EBR'!U51</f>
        <v>-7750</v>
      </c>
      <c r="X53" s="361">
        <f>-'Table 5D1 - New Vision'!S54</f>
        <v>0</v>
      </c>
      <c r="Y53" s="361">
        <f>-'Table 5D2 - Glencoe'!S54</f>
        <v>0</v>
      </c>
      <c r="Z53" s="361">
        <f>-'Table 5D3 - International'!U54</f>
        <v>-2703</v>
      </c>
      <c r="AA53" s="361">
        <f>-'Table 5D4 - Avoyelles'!S54</f>
        <v>0</v>
      </c>
      <c r="AB53" s="361">
        <f>-'Table 5D5 - Delhi'!S54</f>
        <v>0</v>
      </c>
      <c r="AC53" s="361">
        <f>-'Table 5D6 - Milestone'!S54</f>
        <v>0</v>
      </c>
      <c r="AD53" s="361">
        <f>-'Table 5D7 - Max'!S54</f>
        <v>0</v>
      </c>
      <c r="AE53" s="361">
        <f>-'Table 5D8 - Belle Chasse'!W54</f>
        <v>0</v>
      </c>
      <c r="AF53" s="361">
        <f>-'Table 5E_OJJ'!S54</f>
        <v>0</v>
      </c>
      <c r="AG53" s="361">
        <f>-'Table 5A2 LSMSA'!N54</f>
        <v>-687</v>
      </c>
      <c r="AH53" s="361">
        <f>-'Table 5A3 NOCCA'!L54</f>
        <v>-343</v>
      </c>
      <c r="AI53" s="361">
        <f>-'Table 5A4_LSDVI'!L54</f>
        <v>-687</v>
      </c>
      <c r="AJ53" s="361">
        <f>-'Table 5A5_SSD'!L54</f>
        <v>0</v>
      </c>
      <c r="AK53" s="361"/>
      <c r="AL53" s="750">
        <f t="shared" si="60"/>
        <v>2537502.7687499998</v>
      </c>
      <c r="AM53" s="361"/>
      <c r="AN53" s="361"/>
      <c r="AO53" s="361"/>
      <c r="AP53" s="361">
        <f>'Table 5C1A-Madison Prep'!R54</f>
        <v>0</v>
      </c>
      <c r="AQ53" s="361">
        <f>'Table 5C1B-DArbonne'!P54</f>
        <v>0</v>
      </c>
      <c r="AR53" s="361">
        <f>'Table 5C1C-Intl_VIBE'!P54</f>
        <v>-23.225000000000001</v>
      </c>
      <c r="AS53" s="361">
        <f>'Table 5C1D-NOMMA'!P54</f>
        <v>0</v>
      </c>
      <c r="AT53" s="361">
        <f>'Table 5C1E-LFNO'!R54</f>
        <v>0</v>
      </c>
      <c r="AU53" s="361">
        <f>'Table 5C1F-Lake Charles Charter'!P54</f>
        <v>0</v>
      </c>
      <c r="AV53" s="361">
        <f>'Table 5C1G-JS Clark Academy'!P54</f>
        <v>0</v>
      </c>
      <c r="AW53" s="361">
        <f>'Table 5C1H-Southwest LA Charter'!P54</f>
        <v>0</v>
      </c>
      <c r="AX53" s="361">
        <f>'Table 5C1J-LA Key Academy'!P54</f>
        <v>0</v>
      </c>
      <c r="AY53" s="361">
        <f>'Table 5C1K-Jefferson Chamber'!P54</f>
        <v>0</v>
      </c>
      <c r="AZ53" s="361">
        <f>'Table 5C1L-Tallulah Charter'!P54</f>
        <v>0</v>
      </c>
      <c r="BA53" s="361">
        <f>'Table 5C1M-Northshore Charter'!P54</f>
        <v>0</v>
      </c>
      <c r="BB53" s="361">
        <f>'Table 5C1N-EBR Charter'!P54</f>
        <v>0</v>
      </c>
      <c r="BC53" s="361">
        <f>'Table 5C1O-Lake Charles HS'!P54</f>
        <v>0</v>
      </c>
      <c r="BD53" s="361">
        <f>'Table 5C1P-Delta Charter'!P54</f>
        <v>0</v>
      </c>
      <c r="BE53" s="361">
        <f>'Table 5C2 - LA Virtual Admy'!Q51</f>
        <v>-376</v>
      </c>
      <c r="BF53" s="361">
        <f>'Table 5C3 - LA Connections EBR'!Q51</f>
        <v>-233</v>
      </c>
      <c r="BG53" s="361">
        <f>'Table 5D1 - New Vision'!O54</f>
        <v>0</v>
      </c>
      <c r="BH53" s="361">
        <f>'Table 5D2 - Glencoe'!O54</f>
        <v>0</v>
      </c>
      <c r="BI53" s="361">
        <f>'Table 5D3 - International'!Q54</f>
        <v>-81.287500000000009</v>
      </c>
      <c r="BJ53" s="361">
        <f>'Table 5D4 - Avoyelles'!O54</f>
        <v>0</v>
      </c>
      <c r="BK53" s="361">
        <f>'Table 5D5 - Delhi'!O54</f>
        <v>0</v>
      </c>
      <c r="BL53" s="361">
        <f>'Table 5D6 - Milestone'!O54</f>
        <v>0</v>
      </c>
      <c r="BM53" s="361">
        <f>'Table 5D7 - Max'!O54</f>
        <v>0</v>
      </c>
      <c r="BN53" s="361">
        <f>'Table 5D8 - Belle Chasse'!S54</f>
        <v>0</v>
      </c>
      <c r="BO53" s="750">
        <f t="shared" si="61"/>
        <v>2536789.2562499996</v>
      </c>
      <c r="BP53" s="47"/>
      <c r="BV53"/>
      <c r="CE53"/>
    </row>
    <row r="54" spans="1:83">
      <c r="A54" s="99">
        <v>49</v>
      </c>
      <c r="B54" s="301" t="s">
        <v>142</v>
      </c>
      <c r="C54" s="310">
        <f>'Table 2_State Distrib and Adjs'!AI55</f>
        <v>6375017</v>
      </c>
      <c r="D54" s="361"/>
      <c r="E54" s="361"/>
      <c r="F54" s="361">
        <f>-'Table 5C1A-Madison Prep'!V55</f>
        <v>0</v>
      </c>
      <c r="G54" s="361">
        <f>-'Table 5C1B-DArbonne'!T55</f>
        <v>0</v>
      </c>
      <c r="H54" s="361">
        <f>-'Table 5C1C-Intl_VIBE'!T55</f>
        <v>0</v>
      </c>
      <c r="I54" s="361">
        <f>-'Table 5C1D-NOMMA'!T55</f>
        <v>0</v>
      </c>
      <c r="J54" s="361"/>
      <c r="K54" s="361">
        <f>-'Table 5C1E-LFNO'!V55</f>
        <v>0</v>
      </c>
      <c r="L54" s="361">
        <f>-'Table 5C1F-Lake Charles Charter'!T55</f>
        <v>0</v>
      </c>
      <c r="M54" s="361">
        <f>-'Table 5C1G-JS Clark Academy'!T55</f>
        <v>-32414.178125000002</v>
      </c>
      <c r="N54" s="361">
        <f>-'Table 5C1H-Southwest LA Charter'!T55</f>
        <v>0</v>
      </c>
      <c r="O54" s="361">
        <f>-'Table 5C1J-LA Key Academy'!T55</f>
        <v>0</v>
      </c>
      <c r="P54" s="361">
        <f>-'Table 5C1K-Jefferson Chamber'!T55</f>
        <v>0</v>
      </c>
      <c r="Q54" s="361">
        <f>-'Table 5C1L-Tallulah Charter'!T55</f>
        <v>0</v>
      </c>
      <c r="R54" s="361">
        <f>-'Table 5C1M-Northshore Charter'!T55</f>
        <v>0</v>
      </c>
      <c r="S54" s="361">
        <f>-'Table 5C1N-EBR Charter'!T55</f>
        <v>0</v>
      </c>
      <c r="T54" s="361">
        <f>-'Table 5C1O-Lake Charles HS'!T55</f>
        <v>0</v>
      </c>
      <c r="U54" s="361">
        <f>-'Table 5C1P-Delta Charter'!T55</f>
        <v>0</v>
      </c>
      <c r="V54" s="361">
        <f>-'Table 5C2 - LA Virtual Admy'!U52</f>
        <v>-8294</v>
      </c>
      <c r="W54" s="361">
        <f>-'Table 5C3 - LA Connections EBR'!U52</f>
        <v>-5395</v>
      </c>
      <c r="X54" s="361">
        <f>-'Table 5D1 - New Vision'!S55</f>
        <v>0</v>
      </c>
      <c r="Y54" s="361">
        <f>-'Table 5D2 - Glencoe'!S55</f>
        <v>0</v>
      </c>
      <c r="Z54" s="361">
        <f>-'Table 5D3 - International'!U55</f>
        <v>0</v>
      </c>
      <c r="AA54" s="361">
        <f>-'Table 5D4 - Avoyelles'!S55</f>
        <v>-388</v>
      </c>
      <c r="AB54" s="361">
        <f>-'Table 5D5 - Delhi'!S55</f>
        <v>0</v>
      </c>
      <c r="AC54" s="361">
        <f>-'Table 5D6 - Milestone'!S55</f>
        <v>0</v>
      </c>
      <c r="AD54" s="361">
        <f>-'Table 5D7 - Max'!S55</f>
        <v>0</v>
      </c>
      <c r="AE54" s="361">
        <f>-'Table 5D8 - Belle Chasse'!W55</f>
        <v>0</v>
      </c>
      <c r="AF54" s="361">
        <f>-'Table 5E_OJJ'!S55</f>
        <v>-1061</v>
      </c>
      <c r="AG54" s="361">
        <f>-'Table 5A2 LSMSA'!N55</f>
        <v>-994</v>
      </c>
      <c r="AH54" s="361">
        <f>-'Table 5A3 NOCCA'!L55</f>
        <v>0</v>
      </c>
      <c r="AI54" s="361">
        <f>-'Table 5A4_LSDVI'!L55</f>
        <v>-795</v>
      </c>
      <c r="AJ54" s="361">
        <f>-'Table 5A5_SSD'!L55</f>
        <v>-596</v>
      </c>
      <c r="AK54" s="361"/>
      <c r="AL54" s="750">
        <f t="shared" si="60"/>
        <v>6325079.8218750004</v>
      </c>
      <c r="AM54" s="361"/>
      <c r="AN54" s="361"/>
      <c r="AO54" s="361"/>
      <c r="AP54" s="361">
        <f>'Table 5C1A-Madison Prep'!R55</f>
        <v>0</v>
      </c>
      <c r="AQ54" s="361">
        <f>'Table 5C1B-DArbonne'!P55</f>
        <v>0</v>
      </c>
      <c r="AR54" s="361">
        <f>'Table 5C1C-Intl_VIBE'!P55</f>
        <v>0</v>
      </c>
      <c r="AS54" s="361">
        <f>'Table 5C1D-NOMMA'!P55</f>
        <v>0</v>
      </c>
      <c r="AT54" s="361">
        <f>'Table 5C1E-LFNO'!R55</f>
        <v>0</v>
      </c>
      <c r="AU54" s="361">
        <f>'Table 5C1F-Lake Charles Charter'!P55</f>
        <v>0</v>
      </c>
      <c r="AV54" s="361">
        <f>'Table 5C1G-JS Clark Academy'!P55</f>
        <v>-974.86250000000007</v>
      </c>
      <c r="AW54" s="361">
        <f>'Table 5C1H-Southwest LA Charter'!P55</f>
        <v>0</v>
      </c>
      <c r="AX54" s="361">
        <f>'Table 5C1J-LA Key Academy'!P55</f>
        <v>0</v>
      </c>
      <c r="AY54" s="361">
        <f>'Table 5C1K-Jefferson Chamber'!P55</f>
        <v>0</v>
      </c>
      <c r="AZ54" s="361">
        <f>'Table 5C1L-Tallulah Charter'!P55</f>
        <v>0</v>
      </c>
      <c r="BA54" s="361">
        <f>'Table 5C1M-Northshore Charter'!P55</f>
        <v>0</v>
      </c>
      <c r="BB54" s="361">
        <f>'Table 5C1N-EBR Charter'!P55</f>
        <v>0</v>
      </c>
      <c r="BC54" s="361">
        <f>'Table 5C1O-Lake Charles HS'!P55</f>
        <v>0</v>
      </c>
      <c r="BD54" s="361">
        <f>'Table 5C1P-Delta Charter'!P55</f>
        <v>0</v>
      </c>
      <c r="BE54" s="361">
        <f>'Table 5C2 - LA Virtual Admy'!Q52</f>
        <v>-247</v>
      </c>
      <c r="BF54" s="361">
        <f>'Table 5C3 - LA Connections EBR'!Q52</f>
        <v>-168</v>
      </c>
      <c r="BG54" s="361">
        <f>'Table 5D1 - New Vision'!O55</f>
        <v>0</v>
      </c>
      <c r="BH54" s="361">
        <f>'Table 5D2 - Glencoe'!O55</f>
        <v>0</v>
      </c>
      <c r="BI54" s="361">
        <f>'Table 5D3 - International'!Q55</f>
        <v>0</v>
      </c>
      <c r="BJ54" s="361">
        <f>'Table 5D4 - Avoyelles'!O55</f>
        <v>-11.675000000000001</v>
      </c>
      <c r="BK54" s="361">
        <f>'Table 5D5 - Delhi'!O55</f>
        <v>0</v>
      </c>
      <c r="BL54" s="361">
        <f>'Table 5D6 - Milestone'!O55</f>
        <v>0</v>
      </c>
      <c r="BM54" s="361">
        <f>'Table 5D7 - Max'!O55</f>
        <v>0</v>
      </c>
      <c r="BN54" s="361">
        <f>'Table 5D8 - Belle Chasse'!S55</f>
        <v>0</v>
      </c>
      <c r="BO54" s="750">
        <f t="shared" si="61"/>
        <v>6323678.2843750007</v>
      </c>
      <c r="BP54" s="47"/>
      <c r="BV54"/>
      <c r="CE54"/>
    </row>
    <row r="55" spans="1:83">
      <c r="A55" s="100">
        <v>50</v>
      </c>
      <c r="B55" s="302" t="s">
        <v>143</v>
      </c>
      <c r="C55" s="319">
        <f>'Table 2_State Distrib and Adjs'!AI56</f>
        <v>3663396</v>
      </c>
      <c r="D55" s="362"/>
      <c r="E55" s="362"/>
      <c r="F55" s="362">
        <f>-'Table 5C1A-Madison Prep'!V56</f>
        <v>0</v>
      </c>
      <c r="G55" s="362">
        <f>-'Table 5C1B-DArbonne'!T56</f>
        <v>0</v>
      </c>
      <c r="H55" s="362">
        <f>-'Table 5C1C-Intl_VIBE'!T56</f>
        <v>0</v>
      </c>
      <c r="I55" s="362">
        <f>-'Table 5C1D-NOMMA'!T56</f>
        <v>0</v>
      </c>
      <c r="J55" s="362"/>
      <c r="K55" s="362">
        <f>-'Table 5C1E-LFNO'!V56</f>
        <v>0</v>
      </c>
      <c r="L55" s="362">
        <f>-'Table 5C1F-Lake Charles Charter'!T56</f>
        <v>0</v>
      </c>
      <c r="M55" s="362">
        <f>-'Table 5C1G-JS Clark Academy'!T56</f>
        <v>0</v>
      </c>
      <c r="N55" s="362">
        <f>-'Table 5C1H-Southwest LA Charter'!T56</f>
        <v>0</v>
      </c>
      <c r="O55" s="362">
        <f>-'Table 5C1J-LA Key Academy'!T56</f>
        <v>0</v>
      </c>
      <c r="P55" s="362">
        <f>-'Table 5C1K-Jefferson Chamber'!T56</f>
        <v>0</v>
      </c>
      <c r="Q55" s="362">
        <f>-'Table 5C1L-Tallulah Charter'!T56</f>
        <v>0</v>
      </c>
      <c r="R55" s="362">
        <f>-'Table 5C1M-Northshore Charter'!T56</f>
        <v>0</v>
      </c>
      <c r="S55" s="362">
        <f>-'Table 5C1N-EBR Charter'!T56</f>
        <v>0</v>
      </c>
      <c r="T55" s="362">
        <f>-'Table 5C1O-Lake Charles HS'!T56</f>
        <v>0</v>
      </c>
      <c r="U55" s="362">
        <f>-'Table 5C1P-Delta Charter'!T56</f>
        <v>0</v>
      </c>
      <c r="V55" s="362">
        <f>-'Table 5C2 - LA Virtual Admy'!U53</f>
        <v>-1810</v>
      </c>
      <c r="W55" s="362">
        <f>-'Table 5C3 - LA Connections EBR'!U53</f>
        <v>-2305</v>
      </c>
      <c r="X55" s="362">
        <f>-'Table 5D1 - New Vision'!S56</f>
        <v>0</v>
      </c>
      <c r="Y55" s="362">
        <f>-'Table 5D2 - Glencoe'!S56</f>
        <v>0</v>
      </c>
      <c r="Z55" s="362">
        <f>-'Table 5D3 - International'!U56</f>
        <v>0</v>
      </c>
      <c r="AA55" s="362">
        <f>-'Table 5D4 - Avoyelles'!S56</f>
        <v>0</v>
      </c>
      <c r="AB55" s="362">
        <f>-'Table 5D5 - Delhi'!S56</f>
        <v>0</v>
      </c>
      <c r="AC55" s="362">
        <f>-'Table 5D6 - Milestone'!S56</f>
        <v>0</v>
      </c>
      <c r="AD55" s="362">
        <f>-'Table 5D7 - Max'!S56</f>
        <v>0</v>
      </c>
      <c r="AE55" s="362">
        <f>-'Table 5D8 - Belle Chasse'!W56</f>
        <v>0</v>
      </c>
      <c r="AF55" s="362">
        <f>-'Table 5E_OJJ'!S56</f>
        <v>-1034</v>
      </c>
      <c r="AG55" s="362">
        <f>-'Table 5A2 LSMSA'!N56</f>
        <v>-957</v>
      </c>
      <c r="AH55" s="362">
        <f>-'Table 5A3 NOCCA'!L56</f>
        <v>0</v>
      </c>
      <c r="AI55" s="362">
        <f>-'Table 5A4_LSDVI'!L56</f>
        <v>-479</v>
      </c>
      <c r="AJ55" s="362">
        <f>-'Table 5A5_SSD'!L56</f>
        <v>-239</v>
      </c>
      <c r="AK55" s="362"/>
      <c r="AL55" s="751">
        <f t="shared" si="60"/>
        <v>3656572</v>
      </c>
      <c r="AM55" s="362"/>
      <c r="AN55" s="362"/>
      <c r="AO55" s="362"/>
      <c r="AP55" s="362">
        <f>'Table 5C1A-Madison Prep'!R56</f>
        <v>0</v>
      </c>
      <c r="AQ55" s="362">
        <f>'Table 5C1B-DArbonne'!P56</f>
        <v>0</v>
      </c>
      <c r="AR55" s="362">
        <f>'Table 5C1C-Intl_VIBE'!P56</f>
        <v>0</v>
      </c>
      <c r="AS55" s="362">
        <f>'Table 5C1D-NOMMA'!P56</f>
        <v>0</v>
      </c>
      <c r="AT55" s="362">
        <f>'Table 5C1E-LFNO'!R56</f>
        <v>0</v>
      </c>
      <c r="AU55" s="362">
        <f>'Table 5C1F-Lake Charles Charter'!P56</f>
        <v>0</v>
      </c>
      <c r="AV55" s="362">
        <f>'Table 5C1G-JS Clark Academy'!P56</f>
        <v>0</v>
      </c>
      <c r="AW55" s="362">
        <f>'Table 5C1H-Southwest LA Charter'!P56</f>
        <v>0</v>
      </c>
      <c r="AX55" s="362">
        <f>'Table 5C1J-LA Key Academy'!P56</f>
        <v>0</v>
      </c>
      <c r="AY55" s="362">
        <f>'Table 5C1K-Jefferson Chamber'!P56</f>
        <v>0</v>
      </c>
      <c r="AZ55" s="362">
        <f>'Table 5C1L-Tallulah Charter'!P56</f>
        <v>0</v>
      </c>
      <c r="BA55" s="362">
        <f>'Table 5C1M-Northshore Charter'!P56</f>
        <v>0</v>
      </c>
      <c r="BB55" s="362">
        <f>'Table 5C1N-EBR Charter'!P56</f>
        <v>0</v>
      </c>
      <c r="BC55" s="362">
        <f>'Table 5C1O-Lake Charles HS'!P56</f>
        <v>0</v>
      </c>
      <c r="BD55" s="362">
        <f>'Table 5C1P-Delta Charter'!P56</f>
        <v>0</v>
      </c>
      <c r="BE55" s="362">
        <f>'Table 5C2 - LA Virtual Admy'!Q53</f>
        <v>-63</v>
      </c>
      <c r="BF55" s="362">
        <f>'Table 5C3 - LA Connections EBR'!Q53</f>
        <v>-69</v>
      </c>
      <c r="BG55" s="362">
        <f>'Table 5D1 - New Vision'!O56</f>
        <v>0</v>
      </c>
      <c r="BH55" s="362">
        <f>'Table 5D2 - Glencoe'!O56</f>
        <v>0</v>
      </c>
      <c r="BI55" s="362">
        <f>'Table 5D3 - International'!Q56</f>
        <v>0</v>
      </c>
      <c r="BJ55" s="362">
        <f>'Table 5D4 - Avoyelles'!O56</f>
        <v>0</v>
      </c>
      <c r="BK55" s="362">
        <f>'Table 5D5 - Delhi'!O56</f>
        <v>0</v>
      </c>
      <c r="BL55" s="362">
        <f>'Table 5D6 - Milestone'!O56</f>
        <v>0</v>
      </c>
      <c r="BM55" s="362">
        <f>'Table 5D7 - Max'!O56</f>
        <v>0</v>
      </c>
      <c r="BN55" s="362">
        <f>'Table 5D8 - Belle Chasse'!S56</f>
        <v>0</v>
      </c>
      <c r="BO55" s="751">
        <f t="shared" si="61"/>
        <v>3656440</v>
      </c>
      <c r="BP55" s="47"/>
      <c r="BV55"/>
      <c r="CE55"/>
    </row>
    <row r="56" spans="1:83">
      <c r="A56" s="99">
        <v>51</v>
      </c>
      <c r="B56" s="301" t="s">
        <v>144</v>
      </c>
      <c r="C56" s="310">
        <f>'Table 2_State Distrib and Adjs'!AI57</f>
        <v>3743905</v>
      </c>
      <c r="D56" s="361"/>
      <c r="E56" s="361"/>
      <c r="F56" s="361">
        <f>-'Table 5C1A-Madison Prep'!V57</f>
        <v>0</v>
      </c>
      <c r="G56" s="361">
        <f>-'Table 5C1B-DArbonne'!T57</f>
        <v>0</v>
      </c>
      <c r="H56" s="361">
        <f>-'Table 5C1C-Intl_VIBE'!T57</f>
        <v>0</v>
      </c>
      <c r="I56" s="361">
        <f>-'Table 5C1D-NOMMA'!T57</f>
        <v>0</v>
      </c>
      <c r="J56" s="361"/>
      <c r="K56" s="361">
        <f>-'Table 5C1E-LFNO'!V57</f>
        <v>0</v>
      </c>
      <c r="L56" s="361">
        <f>-'Table 5C1F-Lake Charles Charter'!T57</f>
        <v>0</v>
      </c>
      <c r="M56" s="361">
        <f>-'Table 5C1G-JS Clark Academy'!T57</f>
        <v>0</v>
      </c>
      <c r="N56" s="361">
        <f>-'Table 5C1H-Southwest LA Charter'!T57</f>
        <v>0</v>
      </c>
      <c r="O56" s="361">
        <f>-'Table 5C1J-LA Key Academy'!T57</f>
        <v>0</v>
      </c>
      <c r="P56" s="361">
        <f>-'Table 5C1K-Jefferson Chamber'!T57</f>
        <v>0</v>
      </c>
      <c r="Q56" s="361">
        <f>-'Table 5C1L-Tallulah Charter'!T57</f>
        <v>0</v>
      </c>
      <c r="R56" s="361">
        <f>-'Table 5C1M-Northshore Charter'!T57</f>
        <v>0</v>
      </c>
      <c r="S56" s="361">
        <f>-'Table 5C1N-EBR Charter'!T57</f>
        <v>0</v>
      </c>
      <c r="T56" s="361">
        <f>-'Table 5C1O-Lake Charles HS'!T57</f>
        <v>0</v>
      </c>
      <c r="U56" s="361">
        <f>-'Table 5C1P-Delta Charter'!T57</f>
        <v>0</v>
      </c>
      <c r="V56" s="361">
        <f>-'Table 5C2 - LA Virtual Admy'!U54</f>
        <v>455</v>
      </c>
      <c r="W56" s="361">
        <f>-'Table 5C3 - LA Connections EBR'!U54</f>
        <v>35</v>
      </c>
      <c r="X56" s="361">
        <f>-'Table 5D1 - New Vision'!S57</f>
        <v>0</v>
      </c>
      <c r="Y56" s="361">
        <f>-'Table 5D2 - Glencoe'!S57</f>
        <v>-96692</v>
      </c>
      <c r="Z56" s="361">
        <f>-'Table 5D3 - International'!U57</f>
        <v>0</v>
      </c>
      <c r="AA56" s="361">
        <f>-'Table 5D4 - Avoyelles'!S57</f>
        <v>0</v>
      </c>
      <c r="AB56" s="361">
        <f>-'Table 5D5 - Delhi'!S57</f>
        <v>0</v>
      </c>
      <c r="AC56" s="361">
        <f>-'Table 5D6 - Milestone'!S57</f>
        <v>0</v>
      </c>
      <c r="AD56" s="361">
        <f>-'Table 5D7 - Max'!S57</f>
        <v>-674</v>
      </c>
      <c r="AE56" s="361">
        <f>-'Table 5D8 - Belle Chasse'!W57</f>
        <v>0</v>
      </c>
      <c r="AF56" s="361">
        <f>-'Table 5E_OJJ'!S57</f>
        <v>-601</v>
      </c>
      <c r="AG56" s="361">
        <f>-'Table 5A2 LSMSA'!N57</f>
        <v>-985</v>
      </c>
      <c r="AH56" s="361">
        <f>-'Table 5A3 NOCCA'!L57</f>
        <v>0</v>
      </c>
      <c r="AI56" s="361">
        <f>-'Table 5A4_LSDVI'!L57</f>
        <v>-985</v>
      </c>
      <c r="AJ56" s="361">
        <f>-'Table 5A5_SSD'!L57</f>
        <v>-656</v>
      </c>
      <c r="AK56" s="361"/>
      <c r="AL56" s="750">
        <f t="shared" si="60"/>
        <v>3643802</v>
      </c>
      <c r="AM56" s="361"/>
      <c r="AN56" s="361"/>
      <c r="AO56" s="361"/>
      <c r="AP56" s="361">
        <f>'Table 5C1A-Madison Prep'!R57</f>
        <v>0</v>
      </c>
      <c r="AQ56" s="361">
        <f>'Table 5C1B-DArbonne'!P57</f>
        <v>0</v>
      </c>
      <c r="AR56" s="361">
        <f>'Table 5C1C-Intl_VIBE'!P57</f>
        <v>0</v>
      </c>
      <c r="AS56" s="361">
        <f>'Table 5C1D-NOMMA'!P57</f>
        <v>0</v>
      </c>
      <c r="AT56" s="361">
        <f>'Table 5C1E-LFNO'!R57</f>
        <v>0</v>
      </c>
      <c r="AU56" s="361">
        <f>'Table 5C1F-Lake Charles Charter'!P57</f>
        <v>0</v>
      </c>
      <c r="AV56" s="361">
        <f>'Table 5C1G-JS Clark Academy'!P57</f>
        <v>0</v>
      </c>
      <c r="AW56" s="361">
        <f>'Table 5C1H-Southwest LA Charter'!P57</f>
        <v>0</v>
      </c>
      <c r="AX56" s="361">
        <f>'Table 5C1J-LA Key Academy'!P57</f>
        <v>0</v>
      </c>
      <c r="AY56" s="361">
        <f>'Table 5C1K-Jefferson Chamber'!P57</f>
        <v>0</v>
      </c>
      <c r="AZ56" s="361">
        <f>'Table 5C1L-Tallulah Charter'!P57</f>
        <v>0</v>
      </c>
      <c r="BA56" s="361">
        <f>'Table 5C1M-Northshore Charter'!P57</f>
        <v>0</v>
      </c>
      <c r="BB56" s="361">
        <f>'Table 5C1N-EBR Charter'!P57</f>
        <v>0</v>
      </c>
      <c r="BC56" s="361">
        <f>'Table 5C1O-Lake Charles HS'!P57</f>
        <v>0</v>
      </c>
      <c r="BD56" s="361">
        <f>'Table 5C1P-Delta Charter'!P57</f>
        <v>0</v>
      </c>
      <c r="BE56" s="361">
        <f>'Table 5C2 - LA Virtual Admy'!Q54</f>
        <v>-9</v>
      </c>
      <c r="BF56" s="361">
        <f>'Table 5C3 - LA Connections EBR'!Q54</f>
        <v>-9</v>
      </c>
      <c r="BG56" s="361">
        <f>'Table 5D1 - New Vision'!O57</f>
        <v>0</v>
      </c>
      <c r="BH56" s="361">
        <f>'Table 5D2 - Glencoe'!O57</f>
        <v>-2908.0275000000001</v>
      </c>
      <c r="BI56" s="361">
        <f>'Table 5D3 - International'!Q57</f>
        <v>0</v>
      </c>
      <c r="BJ56" s="361">
        <f>'Table 5D4 - Avoyelles'!O57</f>
        <v>0</v>
      </c>
      <c r="BK56" s="361">
        <f>'Table 5D5 - Delhi'!O57</f>
        <v>0</v>
      </c>
      <c r="BL56" s="361">
        <f>'Table 5D6 - Milestone'!O57</f>
        <v>0</v>
      </c>
      <c r="BM56" s="361">
        <f>'Table 5D7 - Max'!O57</f>
        <v>-20.265000000000001</v>
      </c>
      <c r="BN56" s="361">
        <f>'Table 5D8 - Belle Chasse'!S57</f>
        <v>0</v>
      </c>
      <c r="BO56" s="750">
        <f t="shared" si="61"/>
        <v>3640855.7075</v>
      </c>
      <c r="BP56" s="47"/>
      <c r="BV56"/>
      <c r="CE56"/>
    </row>
    <row r="57" spans="1:83">
      <c r="A57" s="99">
        <v>52</v>
      </c>
      <c r="B57" s="301" t="s">
        <v>145</v>
      </c>
      <c r="C57" s="310">
        <f>'Table 2_State Distrib and Adjs'!AI58</f>
        <v>17346585</v>
      </c>
      <c r="D57" s="361"/>
      <c r="E57" s="361"/>
      <c r="F57" s="361">
        <f>-'Table 5C1A-Madison Prep'!V58</f>
        <v>0</v>
      </c>
      <c r="G57" s="361">
        <f>-'Table 5C1B-DArbonne'!T58</f>
        <v>0</v>
      </c>
      <c r="H57" s="361">
        <f>-'Table 5C1C-Intl_VIBE'!T58</f>
        <v>-1007.7243749999999</v>
      </c>
      <c r="I57" s="361">
        <f>-'Table 5C1D-NOMMA'!T58</f>
        <v>0</v>
      </c>
      <c r="J57" s="361"/>
      <c r="K57" s="361">
        <f>-'Table 5C1E-LFNO'!V58</f>
        <v>-406.14875000000001</v>
      </c>
      <c r="L57" s="361">
        <f>-'Table 5C1F-Lake Charles Charter'!T58</f>
        <v>0</v>
      </c>
      <c r="M57" s="361">
        <f>-'Table 5C1G-JS Clark Academy'!T58</f>
        <v>0</v>
      </c>
      <c r="N57" s="361">
        <f>-'Table 5C1H-Southwest LA Charter'!T58</f>
        <v>0</v>
      </c>
      <c r="O57" s="361">
        <f>-'Table 5C1J-LA Key Academy'!T58</f>
        <v>0</v>
      </c>
      <c r="P57" s="361">
        <f>-'Table 5C1K-Jefferson Chamber'!T58</f>
        <v>0</v>
      </c>
      <c r="Q57" s="361">
        <f>-'Table 5C1L-Tallulah Charter'!T58</f>
        <v>0</v>
      </c>
      <c r="R57" s="361">
        <f>-'Table 5C1M-Northshore Charter'!T58</f>
        <v>0</v>
      </c>
      <c r="S57" s="361">
        <f>-'Table 5C1N-EBR Charter'!T58</f>
        <v>0</v>
      </c>
      <c r="T57" s="361">
        <f>-'Table 5C1O-Lake Charles HS'!T58</f>
        <v>0</v>
      </c>
      <c r="U57" s="361">
        <f>-'Table 5C1P-Delta Charter'!T58</f>
        <v>0</v>
      </c>
      <c r="V57" s="361">
        <f>-'Table 5C2 - LA Virtual Admy'!U55</f>
        <v>-26394</v>
      </c>
      <c r="W57" s="361">
        <f>-'Table 5C3 - LA Connections EBR'!U55</f>
        <v>-39112</v>
      </c>
      <c r="X57" s="361">
        <f>-'Table 5D1 - New Vision'!S58</f>
        <v>0</v>
      </c>
      <c r="Y57" s="361">
        <f>-'Table 5D2 - Glencoe'!S58</f>
        <v>0</v>
      </c>
      <c r="Z57" s="361">
        <f>-'Table 5D3 - International'!U58</f>
        <v>-4031</v>
      </c>
      <c r="AA57" s="361">
        <f>-'Table 5D4 - Avoyelles'!S58</f>
        <v>0</v>
      </c>
      <c r="AB57" s="361">
        <f>-'Table 5D5 - Delhi'!S58</f>
        <v>0</v>
      </c>
      <c r="AC57" s="361">
        <f>-'Table 5D6 - Milestone'!S58</f>
        <v>0</v>
      </c>
      <c r="AD57" s="361">
        <f>-'Table 5D7 - Max'!S58</f>
        <v>0</v>
      </c>
      <c r="AE57" s="361">
        <f>-'Table 5D8 - Belle Chasse'!W58</f>
        <v>-1218</v>
      </c>
      <c r="AF57" s="361">
        <f>-'Table 5E_OJJ'!S58</f>
        <v>-3901</v>
      </c>
      <c r="AG57" s="361">
        <f>-'Table 5A2 LSMSA'!N58</f>
        <v>-5315</v>
      </c>
      <c r="AH57" s="361">
        <f>-'Table 5A3 NOCCA'!L58</f>
        <v>-4134</v>
      </c>
      <c r="AI57" s="361">
        <f>-'Table 5A4_LSDVI'!L58</f>
        <v>-2067</v>
      </c>
      <c r="AJ57" s="361">
        <f>-'Table 5A5_SSD'!L58</f>
        <v>-2953</v>
      </c>
      <c r="AK57" s="361"/>
      <c r="AL57" s="750">
        <f t="shared" si="60"/>
        <v>17256046.126875002</v>
      </c>
      <c r="AM57" s="361"/>
      <c r="AN57" s="361"/>
      <c r="AO57" s="361"/>
      <c r="AP57" s="361">
        <f>'Table 5C1A-Madison Prep'!R58</f>
        <v>0</v>
      </c>
      <c r="AQ57" s="361">
        <f>'Table 5C1B-DArbonne'!P58</f>
        <v>0</v>
      </c>
      <c r="AR57" s="361">
        <f>'Table 5C1C-Intl_VIBE'!P58</f>
        <v>-30.307500000000001</v>
      </c>
      <c r="AS57" s="361">
        <f>'Table 5C1D-NOMMA'!P58</f>
        <v>0</v>
      </c>
      <c r="AT57" s="361">
        <f>'Table 5C1E-LFNO'!R58</f>
        <v>-12.215</v>
      </c>
      <c r="AU57" s="361">
        <f>'Table 5C1F-Lake Charles Charter'!P58</f>
        <v>0</v>
      </c>
      <c r="AV57" s="361">
        <f>'Table 5C1G-JS Clark Academy'!P58</f>
        <v>0</v>
      </c>
      <c r="AW57" s="361">
        <f>'Table 5C1H-Southwest LA Charter'!P58</f>
        <v>0</v>
      </c>
      <c r="AX57" s="361">
        <f>'Table 5C1J-LA Key Academy'!P58</f>
        <v>0</v>
      </c>
      <c r="AY57" s="361">
        <f>'Table 5C1K-Jefferson Chamber'!P58</f>
        <v>0</v>
      </c>
      <c r="AZ57" s="361">
        <f>'Table 5C1L-Tallulah Charter'!P58</f>
        <v>0</v>
      </c>
      <c r="BA57" s="361">
        <f>'Table 5C1M-Northshore Charter'!P58</f>
        <v>0</v>
      </c>
      <c r="BB57" s="361">
        <f>'Table 5C1N-EBR Charter'!P58</f>
        <v>0</v>
      </c>
      <c r="BC57" s="361">
        <f>'Table 5C1O-Lake Charles HS'!P58</f>
        <v>0</v>
      </c>
      <c r="BD57" s="361">
        <f>'Table 5C1P-Delta Charter'!P58</f>
        <v>0</v>
      </c>
      <c r="BE57" s="361">
        <f>'Table 5C2 - LA Virtual Admy'!Q55</f>
        <v>-748</v>
      </c>
      <c r="BF57" s="361">
        <f>'Table 5C3 - LA Connections EBR'!Q55</f>
        <v>-1176</v>
      </c>
      <c r="BG57" s="361">
        <f>'Table 5D1 - New Vision'!O58</f>
        <v>0</v>
      </c>
      <c r="BH57" s="361">
        <f>'Table 5D2 - Glencoe'!O58</f>
        <v>0</v>
      </c>
      <c r="BI57" s="361">
        <f>'Table 5D3 - International'!Q58</f>
        <v>-121.23</v>
      </c>
      <c r="BJ57" s="361">
        <f>'Table 5D4 - Avoyelles'!O58</f>
        <v>0</v>
      </c>
      <c r="BK57" s="361">
        <f>'Table 5D5 - Delhi'!O58</f>
        <v>0</v>
      </c>
      <c r="BL57" s="361">
        <f>'Table 5D6 - Milestone'!O58</f>
        <v>0</v>
      </c>
      <c r="BM57" s="361">
        <f>'Table 5D7 - Max'!O58</f>
        <v>0</v>
      </c>
      <c r="BN57" s="361">
        <f>'Table 5D8 - Belle Chasse'!S58</f>
        <v>-36.645000000000003</v>
      </c>
      <c r="BO57" s="750">
        <f t="shared" si="61"/>
        <v>17253921.729375001</v>
      </c>
      <c r="BP57" s="47"/>
      <c r="BV57"/>
      <c r="CE57"/>
    </row>
    <row r="58" spans="1:83">
      <c r="A58" s="99">
        <v>53</v>
      </c>
      <c r="B58" s="301" t="s">
        <v>146</v>
      </c>
      <c r="C58" s="310">
        <f>'Table 2_State Distrib and Adjs'!AI59</f>
        <v>8613930</v>
      </c>
      <c r="D58" s="361"/>
      <c r="E58" s="361"/>
      <c r="F58" s="361">
        <f>-'Table 5C1A-Madison Prep'!V59</f>
        <v>0</v>
      </c>
      <c r="G58" s="361">
        <f>-'Table 5C1B-DArbonne'!T59</f>
        <v>0</v>
      </c>
      <c r="H58" s="361">
        <f>-'Table 5C1C-Intl_VIBE'!T59</f>
        <v>0</v>
      </c>
      <c r="I58" s="361">
        <f>-'Table 5C1D-NOMMA'!T59</f>
        <v>0</v>
      </c>
      <c r="J58" s="361"/>
      <c r="K58" s="361">
        <f>-'Table 5C1E-LFNO'!V59</f>
        <v>0</v>
      </c>
      <c r="L58" s="361">
        <f>-'Table 5C1F-Lake Charles Charter'!T59</f>
        <v>0</v>
      </c>
      <c r="M58" s="361">
        <f>-'Table 5C1G-JS Clark Academy'!T59</f>
        <v>0</v>
      </c>
      <c r="N58" s="361">
        <f>-'Table 5C1H-Southwest LA Charter'!T59</f>
        <v>0</v>
      </c>
      <c r="O58" s="361">
        <f>-'Table 5C1J-LA Key Academy'!T59</f>
        <v>0</v>
      </c>
      <c r="P58" s="361">
        <f>-'Table 5C1K-Jefferson Chamber'!T59</f>
        <v>0</v>
      </c>
      <c r="Q58" s="361">
        <f>-'Table 5C1L-Tallulah Charter'!T59</f>
        <v>0</v>
      </c>
      <c r="R58" s="361">
        <f>-'Table 5C1M-Northshore Charter'!T59</f>
        <v>0</v>
      </c>
      <c r="S58" s="361">
        <f>-'Table 5C1N-EBR Charter'!T59</f>
        <v>0</v>
      </c>
      <c r="T58" s="361">
        <f>-'Table 5C1O-Lake Charles HS'!T59</f>
        <v>0</v>
      </c>
      <c r="U58" s="361">
        <f>-'Table 5C1P-Delta Charter'!T59</f>
        <v>0</v>
      </c>
      <c r="V58" s="361">
        <f>-'Table 5C2 - LA Virtual Admy'!U56</f>
        <v>-7897</v>
      </c>
      <c r="W58" s="361">
        <f>-'Table 5C3 - LA Connections EBR'!U56</f>
        <v>-7294</v>
      </c>
      <c r="X58" s="361">
        <f>-'Table 5D1 - New Vision'!S59</f>
        <v>0</v>
      </c>
      <c r="Y58" s="361">
        <f>-'Table 5D2 - Glencoe'!S59</f>
        <v>0</v>
      </c>
      <c r="Z58" s="361">
        <f>-'Table 5D3 - International'!U59</f>
        <v>0</v>
      </c>
      <c r="AA58" s="361">
        <f>-'Table 5D4 - Avoyelles'!S59</f>
        <v>0</v>
      </c>
      <c r="AB58" s="361">
        <f>-'Table 5D5 - Delhi'!S59</f>
        <v>0</v>
      </c>
      <c r="AC58" s="361">
        <f>-'Table 5D6 - Milestone'!S59</f>
        <v>0</v>
      </c>
      <c r="AD58" s="361">
        <f>-'Table 5D7 - Max'!S59</f>
        <v>0</v>
      </c>
      <c r="AE58" s="361">
        <f>-'Table 5D8 - Belle Chasse'!W59</f>
        <v>0</v>
      </c>
      <c r="AF58" s="361">
        <f>-'Table 5E_OJJ'!S59</f>
        <v>-1382</v>
      </c>
      <c r="AG58" s="361">
        <f>-'Table 5A2 LSMSA'!N59</f>
        <v>-1132</v>
      </c>
      <c r="AH58" s="361">
        <f>-'Table 5A3 NOCCA'!L59</f>
        <v>-162</v>
      </c>
      <c r="AI58" s="361">
        <f>-'Table 5A4_LSDVI'!L59</f>
        <v>-1294</v>
      </c>
      <c r="AJ58" s="361">
        <f>-'Table 5A5_SSD'!L59</f>
        <v>-809</v>
      </c>
      <c r="AK58" s="361"/>
      <c r="AL58" s="750">
        <f t="shared" si="60"/>
        <v>8593960</v>
      </c>
      <c r="AM58" s="361"/>
      <c r="AN58" s="361"/>
      <c r="AO58" s="361"/>
      <c r="AP58" s="361">
        <f>'Table 5C1A-Madison Prep'!R59</f>
        <v>0</v>
      </c>
      <c r="AQ58" s="361">
        <f>'Table 5C1B-DArbonne'!P59</f>
        <v>0</v>
      </c>
      <c r="AR58" s="361">
        <f>'Table 5C1C-Intl_VIBE'!P59</f>
        <v>0</v>
      </c>
      <c r="AS58" s="361">
        <f>'Table 5C1D-NOMMA'!P59</f>
        <v>0</v>
      </c>
      <c r="AT58" s="361">
        <f>'Table 5C1E-LFNO'!R59</f>
        <v>0</v>
      </c>
      <c r="AU58" s="361">
        <f>'Table 5C1F-Lake Charles Charter'!P59</f>
        <v>0</v>
      </c>
      <c r="AV58" s="361">
        <f>'Table 5C1G-JS Clark Academy'!P59</f>
        <v>0</v>
      </c>
      <c r="AW58" s="361">
        <f>'Table 5C1H-Southwest LA Charter'!P59</f>
        <v>0</v>
      </c>
      <c r="AX58" s="361">
        <f>'Table 5C1J-LA Key Academy'!P59</f>
        <v>0</v>
      </c>
      <c r="AY58" s="361">
        <f>'Table 5C1K-Jefferson Chamber'!P59</f>
        <v>0</v>
      </c>
      <c r="AZ58" s="361">
        <f>'Table 5C1L-Tallulah Charter'!P59</f>
        <v>0</v>
      </c>
      <c r="BA58" s="361">
        <f>'Table 5C1M-Northshore Charter'!P59</f>
        <v>0</v>
      </c>
      <c r="BB58" s="361">
        <f>'Table 5C1N-EBR Charter'!P59</f>
        <v>0</v>
      </c>
      <c r="BC58" s="361">
        <f>'Table 5C1O-Lake Charles HS'!P59</f>
        <v>0</v>
      </c>
      <c r="BD58" s="361">
        <f>'Table 5C1P-Delta Charter'!P59</f>
        <v>0</v>
      </c>
      <c r="BE58" s="361">
        <f>'Table 5C2 - LA Virtual Admy'!Q56</f>
        <v>-221</v>
      </c>
      <c r="BF58" s="361">
        <f>'Table 5C3 - LA Connections EBR'!Q56</f>
        <v>-239</v>
      </c>
      <c r="BG58" s="361">
        <f>'Table 5D1 - New Vision'!O59</f>
        <v>0</v>
      </c>
      <c r="BH58" s="361">
        <f>'Table 5D2 - Glencoe'!O59</f>
        <v>0</v>
      </c>
      <c r="BI58" s="361">
        <f>'Table 5D3 - International'!Q59</f>
        <v>0</v>
      </c>
      <c r="BJ58" s="361">
        <f>'Table 5D4 - Avoyelles'!O59</f>
        <v>0</v>
      </c>
      <c r="BK58" s="361">
        <f>'Table 5D5 - Delhi'!O59</f>
        <v>0</v>
      </c>
      <c r="BL58" s="361">
        <f>'Table 5D6 - Milestone'!O59</f>
        <v>0</v>
      </c>
      <c r="BM58" s="361">
        <f>'Table 5D7 - Max'!O59</f>
        <v>0</v>
      </c>
      <c r="BN58" s="361">
        <f>'Table 5D8 - Belle Chasse'!S59</f>
        <v>0</v>
      </c>
      <c r="BO58" s="750">
        <f t="shared" si="61"/>
        <v>8593500</v>
      </c>
      <c r="BP58" s="47"/>
      <c r="BV58"/>
      <c r="CE58"/>
    </row>
    <row r="59" spans="1:83">
      <c r="A59" s="99">
        <v>54</v>
      </c>
      <c r="B59" s="301" t="s">
        <v>147</v>
      </c>
      <c r="C59" s="310">
        <f>'Table 2_State Distrib and Adjs'!AI60</f>
        <v>386898</v>
      </c>
      <c r="D59" s="361"/>
      <c r="E59" s="361"/>
      <c r="F59" s="361">
        <f>-'Table 5C1A-Madison Prep'!V60</f>
        <v>0</v>
      </c>
      <c r="G59" s="361">
        <f>-'Table 5C1B-DArbonne'!T60</f>
        <v>0</v>
      </c>
      <c r="H59" s="361">
        <f>-'Table 5C1C-Intl_VIBE'!T60</f>
        <v>0</v>
      </c>
      <c r="I59" s="361">
        <f>-'Table 5C1D-NOMMA'!T60</f>
        <v>0</v>
      </c>
      <c r="J59" s="361"/>
      <c r="K59" s="361">
        <f>-'Table 5C1E-LFNO'!V60</f>
        <v>0</v>
      </c>
      <c r="L59" s="361">
        <f>-'Table 5C1F-Lake Charles Charter'!T60</f>
        <v>0</v>
      </c>
      <c r="M59" s="361">
        <f>-'Table 5C1G-JS Clark Academy'!T60</f>
        <v>0</v>
      </c>
      <c r="N59" s="361">
        <f>-'Table 5C1H-Southwest LA Charter'!T60</f>
        <v>0</v>
      </c>
      <c r="O59" s="361">
        <f>-'Table 5C1J-LA Key Academy'!T60</f>
        <v>0</v>
      </c>
      <c r="P59" s="361">
        <f>-'Table 5C1K-Jefferson Chamber'!T60</f>
        <v>0</v>
      </c>
      <c r="Q59" s="361">
        <f>-'Table 5C1L-Tallulah Charter'!T60</f>
        <v>0</v>
      </c>
      <c r="R59" s="361">
        <f>-'Table 5C1M-Northshore Charter'!T60</f>
        <v>0</v>
      </c>
      <c r="S59" s="361">
        <f>-'Table 5C1N-EBR Charter'!T60</f>
        <v>0</v>
      </c>
      <c r="T59" s="361">
        <f>-'Table 5C1O-Lake Charles HS'!T60</f>
        <v>0</v>
      </c>
      <c r="U59" s="361">
        <f>-'Table 5C1P-Delta Charter'!T60</f>
        <v>0</v>
      </c>
      <c r="V59" s="361">
        <f>-'Table 5C2 - LA Virtual Admy'!U57</f>
        <v>0</v>
      </c>
      <c r="W59" s="361">
        <f>-'Table 5C3 - LA Connections EBR'!U57</f>
        <v>-1265</v>
      </c>
      <c r="X59" s="361">
        <f>-'Table 5D1 - New Vision'!S60</f>
        <v>0</v>
      </c>
      <c r="Y59" s="361">
        <f>-'Table 5D2 - Glencoe'!S60</f>
        <v>0</v>
      </c>
      <c r="Z59" s="361">
        <f>-'Table 5D3 - International'!U60</f>
        <v>0</v>
      </c>
      <c r="AA59" s="361">
        <f>-'Table 5D4 - Avoyelles'!S60</f>
        <v>0</v>
      </c>
      <c r="AB59" s="361">
        <f>-'Table 5D5 - Delhi'!S60</f>
        <v>-843</v>
      </c>
      <c r="AC59" s="361">
        <f>-'Table 5D6 - Milestone'!S60</f>
        <v>0</v>
      </c>
      <c r="AD59" s="361">
        <f>-'Table 5D7 - Max'!S60</f>
        <v>0</v>
      </c>
      <c r="AE59" s="361">
        <f>-'Table 5D8 - Belle Chasse'!W60</f>
        <v>0</v>
      </c>
      <c r="AF59" s="361">
        <f>-'Table 5E_OJJ'!S60</f>
        <v>-622</v>
      </c>
      <c r="AG59" s="361">
        <f>-'Table 5A2 LSMSA'!N60</f>
        <v>0</v>
      </c>
      <c r="AH59" s="361">
        <f>-'Table 5A3 NOCCA'!L60</f>
        <v>0</v>
      </c>
      <c r="AI59" s="361">
        <f>-'Table 5A4_LSDVI'!L60</f>
        <v>0</v>
      </c>
      <c r="AJ59" s="361">
        <f>-'Table 5A5_SSD'!L60</f>
        <v>0</v>
      </c>
      <c r="AK59" s="361"/>
      <c r="AL59" s="750">
        <f t="shared" si="60"/>
        <v>384168</v>
      </c>
      <c r="AM59" s="361"/>
      <c r="AN59" s="361"/>
      <c r="AO59" s="361"/>
      <c r="AP59" s="361">
        <f>'Table 5C1A-Madison Prep'!R60</f>
        <v>0</v>
      </c>
      <c r="AQ59" s="361">
        <f>'Table 5C1B-DArbonne'!P60</f>
        <v>0</v>
      </c>
      <c r="AR59" s="361">
        <f>'Table 5C1C-Intl_VIBE'!P60</f>
        <v>0</v>
      </c>
      <c r="AS59" s="361">
        <f>'Table 5C1D-NOMMA'!P60</f>
        <v>0</v>
      </c>
      <c r="AT59" s="361">
        <f>'Table 5C1E-LFNO'!R60</f>
        <v>0</v>
      </c>
      <c r="AU59" s="361">
        <f>'Table 5C1F-Lake Charles Charter'!P60</f>
        <v>0</v>
      </c>
      <c r="AV59" s="361">
        <f>'Table 5C1G-JS Clark Academy'!P60</f>
        <v>0</v>
      </c>
      <c r="AW59" s="361">
        <f>'Table 5C1H-Southwest LA Charter'!P60</f>
        <v>0</v>
      </c>
      <c r="AX59" s="361">
        <f>'Table 5C1J-LA Key Academy'!P60</f>
        <v>0</v>
      </c>
      <c r="AY59" s="361">
        <f>'Table 5C1K-Jefferson Chamber'!P60</f>
        <v>0</v>
      </c>
      <c r="AZ59" s="361">
        <f>'Table 5C1L-Tallulah Charter'!P60</f>
        <v>0</v>
      </c>
      <c r="BA59" s="361">
        <f>'Table 5C1M-Northshore Charter'!P60</f>
        <v>0</v>
      </c>
      <c r="BB59" s="361">
        <f>'Table 5C1N-EBR Charter'!P60</f>
        <v>0</v>
      </c>
      <c r="BC59" s="361">
        <f>'Table 5C1O-Lake Charles HS'!P60</f>
        <v>0</v>
      </c>
      <c r="BD59" s="361">
        <f>'Table 5C1P-Delta Charter'!P60</f>
        <v>0</v>
      </c>
      <c r="BE59" s="361">
        <f>'Table 5C2 - LA Virtual Admy'!Q57</f>
        <v>0</v>
      </c>
      <c r="BF59" s="361">
        <f>'Table 5C3 - LA Connections EBR'!Q57</f>
        <v>-38</v>
      </c>
      <c r="BG59" s="361">
        <f>'Table 5D1 - New Vision'!O60</f>
        <v>0</v>
      </c>
      <c r="BH59" s="361">
        <f>'Table 5D2 - Glencoe'!O60</f>
        <v>0</v>
      </c>
      <c r="BI59" s="361">
        <f>'Table 5D3 - International'!Q60</f>
        <v>0</v>
      </c>
      <c r="BJ59" s="361">
        <f>'Table 5D4 - Avoyelles'!O60</f>
        <v>0</v>
      </c>
      <c r="BK59" s="361">
        <f>'Table 5D5 - Delhi'!O60</f>
        <v>-25.365000000000002</v>
      </c>
      <c r="BL59" s="361">
        <f>'Table 5D6 - Milestone'!O60</f>
        <v>0</v>
      </c>
      <c r="BM59" s="361">
        <f>'Table 5D7 - Max'!O60</f>
        <v>0</v>
      </c>
      <c r="BN59" s="361">
        <f>'Table 5D8 - Belle Chasse'!S60</f>
        <v>0</v>
      </c>
      <c r="BO59" s="750">
        <f t="shared" si="61"/>
        <v>384104.63500000001</v>
      </c>
      <c r="BP59" s="47"/>
      <c r="BV59"/>
      <c r="CE59"/>
    </row>
    <row r="60" spans="1:83">
      <c r="A60" s="100">
        <v>55</v>
      </c>
      <c r="B60" s="302" t="s">
        <v>148</v>
      </c>
      <c r="C60" s="319">
        <f>'Table 2_State Distrib and Adjs'!AI61</f>
        <v>7237354</v>
      </c>
      <c r="D60" s="362"/>
      <c r="E60" s="362"/>
      <c r="F60" s="362">
        <f>-'Table 5C1A-Madison Prep'!V61</f>
        <v>0</v>
      </c>
      <c r="G60" s="362">
        <f>-'Table 5C1B-DArbonne'!T61</f>
        <v>0</v>
      </c>
      <c r="H60" s="362">
        <f>-'Table 5C1C-Intl_VIBE'!T61</f>
        <v>0</v>
      </c>
      <c r="I60" s="362">
        <f>-'Table 5C1D-NOMMA'!T61</f>
        <v>0</v>
      </c>
      <c r="J60" s="362"/>
      <c r="K60" s="362">
        <f>-'Table 5C1E-LFNO'!V61</f>
        <v>0</v>
      </c>
      <c r="L60" s="362">
        <f>-'Table 5C1F-Lake Charles Charter'!T61</f>
        <v>0</v>
      </c>
      <c r="M60" s="362">
        <f>-'Table 5C1G-JS Clark Academy'!T61</f>
        <v>0</v>
      </c>
      <c r="N60" s="362">
        <f>-'Table 5C1H-Southwest LA Charter'!T61</f>
        <v>0</v>
      </c>
      <c r="O60" s="362">
        <f>-'Table 5C1J-LA Key Academy'!T61</f>
        <v>0</v>
      </c>
      <c r="P60" s="362">
        <f>-'Table 5C1K-Jefferson Chamber'!T61</f>
        <v>0</v>
      </c>
      <c r="Q60" s="362">
        <f>-'Table 5C1L-Tallulah Charter'!T61</f>
        <v>0</v>
      </c>
      <c r="R60" s="362">
        <f>-'Table 5C1M-Northshore Charter'!T61</f>
        <v>0</v>
      </c>
      <c r="S60" s="362">
        <f>-'Table 5C1N-EBR Charter'!T61</f>
        <v>0</v>
      </c>
      <c r="T60" s="362">
        <f>-'Table 5C1O-Lake Charles HS'!T61</f>
        <v>0</v>
      </c>
      <c r="U60" s="362">
        <f>-'Table 5C1P-Delta Charter'!T61</f>
        <v>0</v>
      </c>
      <c r="V60" s="362">
        <f>-'Table 5C2 - LA Virtual Admy'!U58</f>
        <v>-5094</v>
      </c>
      <c r="W60" s="362">
        <f>-'Table 5C3 - LA Connections EBR'!U58</f>
        <v>-9124</v>
      </c>
      <c r="X60" s="362">
        <f>-'Table 5D1 - New Vision'!S61</f>
        <v>0</v>
      </c>
      <c r="Y60" s="362">
        <f>-'Table 5D2 - Glencoe'!S61</f>
        <v>0</v>
      </c>
      <c r="Z60" s="362">
        <f>-'Table 5D3 - International'!U61</f>
        <v>0</v>
      </c>
      <c r="AA60" s="362">
        <f>-'Table 5D4 - Avoyelles'!S61</f>
        <v>0</v>
      </c>
      <c r="AB60" s="362">
        <f>-'Table 5D5 - Delhi'!S61</f>
        <v>0</v>
      </c>
      <c r="AC60" s="362">
        <f>-'Table 5D6 - Milestone'!S61</f>
        <v>0</v>
      </c>
      <c r="AD60" s="362">
        <f>-'Table 5D7 - Max'!S61</f>
        <v>-11177</v>
      </c>
      <c r="AE60" s="362">
        <f>-'Table 5D8 - Belle Chasse'!W61</f>
        <v>0</v>
      </c>
      <c r="AF60" s="362">
        <f>-'Table 5E_OJJ'!S61</f>
        <v>-3466</v>
      </c>
      <c r="AG60" s="362">
        <f>-'Table 5A2 LSMSA'!N61</f>
        <v>-2883</v>
      </c>
      <c r="AH60" s="362">
        <f>-'Table 5A3 NOCCA'!L61</f>
        <v>-262</v>
      </c>
      <c r="AI60" s="362">
        <f>-'Table 5A4_LSDVI'!L61</f>
        <v>-1572</v>
      </c>
      <c r="AJ60" s="362">
        <f>-'Table 5A5_SSD'!L61</f>
        <v>-1834</v>
      </c>
      <c r="AK60" s="362"/>
      <c r="AL60" s="751">
        <f t="shared" si="60"/>
        <v>7201942</v>
      </c>
      <c r="AM60" s="362"/>
      <c r="AN60" s="362"/>
      <c r="AO60" s="362"/>
      <c r="AP60" s="362">
        <f>'Table 5C1A-Madison Prep'!R61</f>
        <v>0</v>
      </c>
      <c r="AQ60" s="362">
        <f>'Table 5C1B-DArbonne'!P61</f>
        <v>0</v>
      </c>
      <c r="AR60" s="362">
        <f>'Table 5C1C-Intl_VIBE'!P61</f>
        <v>0</v>
      </c>
      <c r="AS60" s="362">
        <f>'Table 5C1D-NOMMA'!P61</f>
        <v>0</v>
      </c>
      <c r="AT60" s="362">
        <f>'Table 5C1E-LFNO'!R61</f>
        <v>0</v>
      </c>
      <c r="AU60" s="362">
        <f>'Table 5C1F-Lake Charles Charter'!P61</f>
        <v>0</v>
      </c>
      <c r="AV60" s="362">
        <f>'Table 5C1G-JS Clark Academy'!P61</f>
        <v>0</v>
      </c>
      <c r="AW60" s="362">
        <f>'Table 5C1H-Southwest LA Charter'!P61</f>
        <v>0</v>
      </c>
      <c r="AX60" s="362">
        <f>'Table 5C1J-LA Key Academy'!P61</f>
        <v>0</v>
      </c>
      <c r="AY60" s="362">
        <f>'Table 5C1K-Jefferson Chamber'!P61</f>
        <v>0</v>
      </c>
      <c r="AZ60" s="362">
        <f>'Table 5C1L-Tallulah Charter'!P61</f>
        <v>0</v>
      </c>
      <c r="BA60" s="362">
        <f>'Table 5C1M-Northshore Charter'!P61</f>
        <v>0</v>
      </c>
      <c r="BB60" s="362">
        <f>'Table 5C1N-EBR Charter'!P61</f>
        <v>0</v>
      </c>
      <c r="BC60" s="362">
        <f>'Table 5C1O-Lake Charles HS'!P61</f>
        <v>0</v>
      </c>
      <c r="BD60" s="362">
        <f>'Table 5C1P-Delta Charter'!P61</f>
        <v>0</v>
      </c>
      <c r="BE60" s="362">
        <f>'Table 5C2 - LA Virtual Admy'!Q58</f>
        <v>-148</v>
      </c>
      <c r="BF60" s="362">
        <f>'Table 5C3 - LA Connections EBR'!Q58</f>
        <v>-274</v>
      </c>
      <c r="BG60" s="362">
        <f>'Table 5D1 - New Vision'!O61</f>
        <v>0</v>
      </c>
      <c r="BH60" s="362">
        <f>'Table 5D2 - Glencoe'!O61</f>
        <v>0</v>
      </c>
      <c r="BI60" s="362">
        <f>'Table 5D3 - International'!Q61</f>
        <v>0</v>
      </c>
      <c r="BJ60" s="362">
        <f>'Table 5D4 - Avoyelles'!O61</f>
        <v>0</v>
      </c>
      <c r="BK60" s="362">
        <f>'Table 5D5 - Delhi'!O61</f>
        <v>0</v>
      </c>
      <c r="BL60" s="362">
        <f>'Table 5D6 - Milestone'!O61</f>
        <v>0</v>
      </c>
      <c r="BM60" s="362">
        <f>'Table 5D7 - Max'!O61</f>
        <v>-336.15250000000003</v>
      </c>
      <c r="BN60" s="362">
        <f>'Table 5D8 - Belle Chasse'!S61</f>
        <v>0</v>
      </c>
      <c r="BO60" s="751">
        <f t="shared" si="61"/>
        <v>7201183.8475000001</v>
      </c>
      <c r="BP60" s="47"/>
      <c r="BV60"/>
      <c r="CE60"/>
    </row>
    <row r="61" spans="1:83">
      <c r="A61" s="99">
        <v>56</v>
      </c>
      <c r="B61" s="301" t="s">
        <v>149</v>
      </c>
      <c r="C61" s="310">
        <f>'Table 2_State Distrib and Adjs'!AI62</f>
        <v>1069013</v>
      </c>
      <c r="D61" s="361"/>
      <c r="E61" s="361"/>
      <c r="F61" s="361">
        <f>-'Table 5C1A-Madison Prep'!V62</f>
        <v>0</v>
      </c>
      <c r="G61" s="361">
        <f>-'Table 5C1B-DArbonne'!T62</f>
        <v>-122177.79</v>
      </c>
      <c r="H61" s="361">
        <f>-'Table 5C1C-Intl_VIBE'!T62</f>
        <v>0</v>
      </c>
      <c r="I61" s="361">
        <f>-'Table 5C1D-NOMMA'!T62</f>
        <v>0</v>
      </c>
      <c r="J61" s="361"/>
      <c r="K61" s="361">
        <f>-'Table 5C1E-LFNO'!V62</f>
        <v>0</v>
      </c>
      <c r="L61" s="361">
        <f>-'Table 5C1F-Lake Charles Charter'!T62</f>
        <v>0</v>
      </c>
      <c r="M61" s="361">
        <f>-'Table 5C1G-JS Clark Academy'!T62</f>
        <v>0</v>
      </c>
      <c r="N61" s="361">
        <f>-'Table 5C1H-Southwest LA Charter'!T62</f>
        <v>0</v>
      </c>
      <c r="O61" s="361">
        <f>-'Table 5C1J-LA Key Academy'!T62</f>
        <v>0</v>
      </c>
      <c r="P61" s="361">
        <f>-'Table 5C1K-Jefferson Chamber'!T62</f>
        <v>0</v>
      </c>
      <c r="Q61" s="361">
        <f>-'Table 5C1L-Tallulah Charter'!T62</f>
        <v>0</v>
      </c>
      <c r="R61" s="361">
        <f>-'Table 5C1M-Northshore Charter'!T62</f>
        <v>0</v>
      </c>
      <c r="S61" s="361">
        <f>-'Table 5C1N-EBR Charter'!T62</f>
        <v>0</v>
      </c>
      <c r="T61" s="361">
        <f>-'Table 5C1O-Lake Charles HS'!T62</f>
        <v>0</v>
      </c>
      <c r="U61" s="361">
        <f>-'Table 5C1P-Delta Charter'!T62</f>
        <v>0</v>
      </c>
      <c r="V61" s="361">
        <f>-'Table 5C2 - LA Virtual Admy'!U59</f>
        <v>-1232</v>
      </c>
      <c r="W61" s="361">
        <f>-'Table 5C3 - LA Connections EBR'!U59</f>
        <v>-1035</v>
      </c>
      <c r="X61" s="361">
        <f>-'Table 5D1 - New Vision'!S62</f>
        <v>0</v>
      </c>
      <c r="Y61" s="361">
        <f>-'Table 5D2 - Glencoe'!S62</f>
        <v>0</v>
      </c>
      <c r="Z61" s="361">
        <f>-'Table 5D3 - International'!U62</f>
        <v>0</v>
      </c>
      <c r="AA61" s="361">
        <f>-'Table 5D4 - Avoyelles'!S62</f>
        <v>0</v>
      </c>
      <c r="AB61" s="361">
        <f>-'Table 5D5 - Delhi'!S62</f>
        <v>0</v>
      </c>
      <c r="AC61" s="361">
        <f>-'Table 5D6 - Milestone'!S62</f>
        <v>0</v>
      </c>
      <c r="AD61" s="361">
        <f>-'Table 5D7 - Max'!S62</f>
        <v>0</v>
      </c>
      <c r="AE61" s="361">
        <f>-'Table 5D8 - Belle Chasse'!W62</f>
        <v>0</v>
      </c>
      <c r="AF61" s="361">
        <f>-'Table 5E_OJJ'!S62</f>
        <v>0</v>
      </c>
      <c r="AG61" s="361">
        <f>-'Table 5A2 LSMSA'!N62</f>
        <v>-947</v>
      </c>
      <c r="AH61" s="361">
        <f>-'Table 5A3 NOCCA'!L62</f>
        <v>0</v>
      </c>
      <c r="AI61" s="361">
        <f>-'Table 5A4_LSDVI'!L62</f>
        <v>0</v>
      </c>
      <c r="AJ61" s="361">
        <f>-'Table 5A5_SSD'!L62</f>
        <v>-237</v>
      </c>
      <c r="AK61" s="361"/>
      <c r="AL61" s="750">
        <f t="shared" si="60"/>
        <v>943384.21</v>
      </c>
      <c r="AM61" s="361"/>
      <c r="AN61" s="361"/>
      <c r="AO61" s="361"/>
      <c r="AP61" s="361">
        <f>'Table 5C1A-Madison Prep'!R62</f>
        <v>0</v>
      </c>
      <c r="AQ61" s="361">
        <f>'Table 5C1B-DArbonne'!P62</f>
        <v>-3674.52</v>
      </c>
      <c r="AR61" s="361">
        <f>'Table 5C1C-Intl_VIBE'!P62</f>
        <v>0</v>
      </c>
      <c r="AS61" s="361">
        <f>'Table 5C1D-NOMMA'!P62</f>
        <v>0</v>
      </c>
      <c r="AT61" s="361">
        <f>'Table 5C1E-LFNO'!R62</f>
        <v>0</v>
      </c>
      <c r="AU61" s="361">
        <f>'Table 5C1F-Lake Charles Charter'!P62</f>
        <v>0</v>
      </c>
      <c r="AV61" s="361">
        <f>'Table 5C1G-JS Clark Academy'!P62</f>
        <v>0</v>
      </c>
      <c r="AW61" s="361">
        <f>'Table 5C1H-Southwest LA Charter'!P62</f>
        <v>0</v>
      </c>
      <c r="AX61" s="361">
        <f>'Table 5C1J-LA Key Academy'!P62</f>
        <v>0</v>
      </c>
      <c r="AY61" s="361">
        <f>'Table 5C1K-Jefferson Chamber'!P62</f>
        <v>0</v>
      </c>
      <c r="AZ61" s="361">
        <f>'Table 5C1L-Tallulah Charter'!P62</f>
        <v>0</v>
      </c>
      <c r="BA61" s="361">
        <f>'Table 5C1M-Northshore Charter'!P62</f>
        <v>0</v>
      </c>
      <c r="BB61" s="361">
        <f>'Table 5C1N-EBR Charter'!P62</f>
        <v>0</v>
      </c>
      <c r="BC61" s="361">
        <f>'Table 5C1O-Lake Charles HS'!P62</f>
        <v>0</v>
      </c>
      <c r="BD61" s="361">
        <f>'Table 5C1P-Delta Charter'!P62</f>
        <v>0</v>
      </c>
      <c r="BE61" s="361">
        <f>'Table 5C2 - LA Virtual Admy'!Q59</f>
        <v>-44</v>
      </c>
      <c r="BF61" s="361">
        <f>'Table 5C3 - LA Connections EBR'!Q59</f>
        <v>-31</v>
      </c>
      <c r="BG61" s="361">
        <f>'Table 5D1 - New Vision'!O62</f>
        <v>0</v>
      </c>
      <c r="BH61" s="361">
        <f>'Table 5D2 - Glencoe'!O62</f>
        <v>0</v>
      </c>
      <c r="BI61" s="361">
        <f>'Table 5D3 - International'!Q62</f>
        <v>0</v>
      </c>
      <c r="BJ61" s="361">
        <f>'Table 5D4 - Avoyelles'!O62</f>
        <v>0</v>
      </c>
      <c r="BK61" s="361">
        <f>'Table 5D5 - Delhi'!O62</f>
        <v>0</v>
      </c>
      <c r="BL61" s="361">
        <f>'Table 5D6 - Milestone'!O62</f>
        <v>0</v>
      </c>
      <c r="BM61" s="361">
        <f>'Table 5D7 - Max'!O62</f>
        <v>0</v>
      </c>
      <c r="BN61" s="361">
        <f>'Table 5D8 - Belle Chasse'!S62</f>
        <v>0</v>
      </c>
      <c r="BO61" s="750">
        <f t="shared" si="61"/>
        <v>939634.69</v>
      </c>
      <c r="BP61" s="47"/>
      <c r="BV61"/>
      <c r="CE61"/>
    </row>
    <row r="62" spans="1:83">
      <c r="A62" s="99">
        <v>57</v>
      </c>
      <c r="B62" s="301" t="s">
        <v>150</v>
      </c>
      <c r="C62" s="310">
        <f>'Table 2_State Distrib and Adjs'!AI63</f>
        <v>3912637</v>
      </c>
      <c r="D62" s="361"/>
      <c r="E62" s="361"/>
      <c r="F62" s="361">
        <f>-'Table 5C1A-Madison Prep'!V63</f>
        <v>0</v>
      </c>
      <c r="G62" s="361">
        <f>-'Table 5C1B-DArbonne'!T63</f>
        <v>0</v>
      </c>
      <c r="H62" s="361">
        <f>-'Table 5C1C-Intl_VIBE'!T63</f>
        <v>0</v>
      </c>
      <c r="I62" s="361">
        <f>-'Table 5C1D-NOMMA'!T63</f>
        <v>0</v>
      </c>
      <c r="J62" s="361"/>
      <c r="K62" s="361">
        <f>-'Table 5C1E-LFNO'!V63</f>
        <v>0</v>
      </c>
      <c r="L62" s="361">
        <f>-'Table 5C1F-Lake Charles Charter'!T63</f>
        <v>0</v>
      </c>
      <c r="M62" s="361">
        <f>-'Table 5C1G-JS Clark Academy'!T63</f>
        <v>0</v>
      </c>
      <c r="N62" s="361">
        <f>-'Table 5C1H-Southwest LA Charter'!T63</f>
        <v>0</v>
      </c>
      <c r="O62" s="361">
        <f>-'Table 5C1J-LA Key Academy'!T63</f>
        <v>0</v>
      </c>
      <c r="P62" s="361">
        <f>-'Table 5C1K-Jefferson Chamber'!T63</f>
        <v>0</v>
      </c>
      <c r="Q62" s="361">
        <f>-'Table 5C1L-Tallulah Charter'!T63</f>
        <v>0</v>
      </c>
      <c r="R62" s="361">
        <f>-'Table 5C1M-Northshore Charter'!T63</f>
        <v>0</v>
      </c>
      <c r="S62" s="361">
        <f>-'Table 5C1N-EBR Charter'!T63</f>
        <v>0</v>
      </c>
      <c r="T62" s="361">
        <f>-'Table 5C1O-Lake Charles HS'!T63</f>
        <v>0</v>
      </c>
      <c r="U62" s="361">
        <f>-'Table 5C1P-Delta Charter'!T63</f>
        <v>0</v>
      </c>
      <c r="V62" s="361">
        <f>-'Table 5C2 - LA Virtual Admy'!U60</f>
        <v>-2121</v>
      </c>
      <c r="W62" s="361">
        <f>-'Table 5C3 - LA Connections EBR'!U60</f>
        <v>-1341</v>
      </c>
      <c r="X62" s="361">
        <f>-'Table 5D1 - New Vision'!S63</f>
        <v>0</v>
      </c>
      <c r="Y62" s="361">
        <f>-'Table 5D2 - Glencoe'!S63</f>
        <v>0</v>
      </c>
      <c r="Z62" s="361">
        <f>-'Table 5D3 - International'!U63</f>
        <v>0</v>
      </c>
      <c r="AA62" s="361">
        <f>-'Table 5D4 - Avoyelles'!S63</f>
        <v>0</v>
      </c>
      <c r="AB62" s="361">
        <f>-'Table 5D5 - Delhi'!S63</f>
        <v>0</v>
      </c>
      <c r="AC62" s="361">
        <f>-'Table 5D6 - Milestone'!S63</f>
        <v>0</v>
      </c>
      <c r="AD62" s="361">
        <f>-'Table 5D7 - Max'!S63</f>
        <v>0</v>
      </c>
      <c r="AE62" s="361">
        <f>-'Table 5D8 - Belle Chasse'!W63</f>
        <v>0</v>
      </c>
      <c r="AF62" s="361">
        <f>-'Table 5E_OJJ'!S63</f>
        <v>-651</v>
      </c>
      <c r="AG62" s="361">
        <f>-'Table 5A2 LSMSA'!N63</f>
        <v>-948</v>
      </c>
      <c r="AH62" s="361">
        <f>-'Table 5A3 NOCCA'!L63</f>
        <v>0</v>
      </c>
      <c r="AI62" s="361">
        <f>-'Table 5A4_LSDVI'!L63</f>
        <v>0</v>
      </c>
      <c r="AJ62" s="361">
        <f>-'Table 5A5_SSD'!L63</f>
        <v>-711</v>
      </c>
      <c r="AK62" s="361"/>
      <c r="AL62" s="750">
        <f t="shared" si="60"/>
        <v>3906865</v>
      </c>
      <c r="AM62" s="361"/>
      <c r="AN62" s="361"/>
      <c r="AO62" s="361"/>
      <c r="AP62" s="361">
        <f>'Table 5C1A-Madison Prep'!R63</f>
        <v>0</v>
      </c>
      <c r="AQ62" s="361">
        <f>'Table 5C1B-DArbonne'!P63</f>
        <v>0</v>
      </c>
      <c r="AR62" s="361">
        <f>'Table 5C1C-Intl_VIBE'!P63</f>
        <v>0</v>
      </c>
      <c r="AS62" s="361">
        <f>'Table 5C1D-NOMMA'!P63</f>
        <v>0</v>
      </c>
      <c r="AT62" s="361">
        <f>'Table 5C1E-LFNO'!R63</f>
        <v>0</v>
      </c>
      <c r="AU62" s="361">
        <f>'Table 5C1F-Lake Charles Charter'!P63</f>
        <v>0</v>
      </c>
      <c r="AV62" s="361">
        <f>'Table 5C1G-JS Clark Academy'!P63</f>
        <v>0</v>
      </c>
      <c r="AW62" s="361">
        <f>'Table 5C1H-Southwest LA Charter'!P63</f>
        <v>0</v>
      </c>
      <c r="AX62" s="361">
        <f>'Table 5C1J-LA Key Academy'!P63</f>
        <v>0</v>
      </c>
      <c r="AY62" s="361">
        <f>'Table 5C1K-Jefferson Chamber'!P63</f>
        <v>0</v>
      </c>
      <c r="AZ62" s="361">
        <f>'Table 5C1L-Tallulah Charter'!P63</f>
        <v>0</v>
      </c>
      <c r="BA62" s="361">
        <f>'Table 5C1M-Northshore Charter'!P63</f>
        <v>0</v>
      </c>
      <c r="BB62" s="361">
        <f>'Table 5C1N-EBR Charter'!P63</f>
        <v>0</v>
      </c>
      <c r="BC62" s="361">
        <f>'Table 5C1O-Lake Charles HS'!P63</f>
        <v>0</v>
      </c>
      <c r="BD62" s="361">
        <f>'Table 5C1P-Delta Charter'!P63</f>
        <v>0</v>
      </c>
      <c r="BE62" s="361">
        <f>'Table 5C2 - LA Virtual Admy'!Q60</f>
        <v>-67</v>
      </c>
      <c r="BF62" s="361">
        <f>'Table 5C3 - LA Connections EBR'!Q60</f>
        <v>-40</v>
      </c>
      <c r="BG62" s="361">
        <f>'Table 5D1 - New Vision'!O63</f>
        <v>0</v>
      </c>
      <c r="BH62" s="361">
        <f>'Table 5D2 - Glencoe'!O63</f>
        <v>0</v>
      </c>
      <c r="BI62" s="361">
        <f>'Table 5D3 - International'!Q63</f>
        <v>0</v>
      </c>
      <c r="BJ62" s="361">
        <f>'Table 5D4 - Avoyelles'!O63</f>
        <v>0</v>
      </c>
      <c r="BK62" s="361">
        <f>'Table 5D5 - Delhi'!O63</f>
        <v>0</v>
      </c>
      <c r="BL62" s="361">
        <f>'Table 5D6 - Milestone'!O63</f>
        <v>0</v>
      </c>
      <c r="BM62" s="361">
        <f>'Table 5D7 - Max'!O63</f>
        <v>0</v>
      </c>
      <c r="BN62" s="361">
        <f>'Table 5D8 - Belle Chasse'!S63</f>
        <v>0</v>
      </c>
      <c r="BO62" s="750">
        <f t="shared" si="61"/>
        <v>3906758</v>
      </c>
      <c r="BP62" s="47"/>
      <c r="BV62"/>
      <c r="CE62"/>
    </row>
    <row r="63" spans="1:83">
      <c r="A63" s="99">
        <v>58</v>
      </c>
      <c r="B63" s="301" t="s">
        <v>151</v>
      </c>
      <c r="C63" s="310">
        <f>'Table 2_State Distrib and Adjs'!AI64</f>
        <v>4614149</v>
      </c>
      <c r="D63" s="361"/>
      <c r="E63" s="361"/>
      <c r="F63" s="361">
        <f>-'Table 5C1A-Madison Prep'!V64</f>
        <v>0</v>
      </c>
      <c r="G63" s="361">
        <f>-'Table 5C1B-DArbonne'!T64</f>
        <v>0</v>
      </c>
      <c r="H63" s="361">
        <f>-'Table 5C1C-Intl_VIBE'!T64</f>
        <v>0</v>
      </c>
      <c r="I63" s="361">
        <f>-'Table 5C1D-NOMMA'!T64</f>
        <v>0</v>
      </c>
      <c r="J63" s="361"/>
      <c r="K63" s="361">
        <f>-'Table 5C1E-LFNO'!V64</f>
        <v>0</v>
      </c>
      <c r="L63" s="361">
        <f>-'Table 5C1F-Lake Charles Charter'!T64</f>
        <v>0</v>
      </c>
      <c r="M63" s="361">
        <f>-'Table 5C1G-JS Clark Academy'!T64</f>
        <v>0</v>
      </c>
      <c r="N63" s="361">
        <f>-'Table 5C1H-Southwest LA Charter'!T64</f>
        <v>0</v>
      </c>
      <c r="O63" s="361">
        <f>-'Table 5C1J-LA Key Academy'!T64</f>
        <v>0</v>
      </c>
      <c r="P63" s="361">
        <f>-'Table 5C1K-Jefferson Chamber'!T64</f>
        <v>0</v>
      </c>
      <c r="Q63" s="361">
        <f>-'Table 5C1L-Tallulah Charter'!T64</f>
        <v>0</v>
      </c>
      <c r="R63" s="361">
        <f>-'Table 5C1M-Northshore Charter'!T64</f>
        <v>0</v>
      </c>
      <c r="S63" s="361">
        <f>-'Table 5C1N-EBR Charter'!T64</f>
        <v>0</v>
      </c>
      <c r="T63" s="361">
        <f>-'Table 5C1O-Lake Charles HS'!T64</f>
        <v>0</v>
      </c>
      <c r="U63" s="361">
        <f>-'Table 5C1P-Delta Charter'!T64</f>
        <v>0</v>
      </c>
      <c r="V63" s="361">
        <f>-'Table 5C2 - LA Virtual Admy'!U61</f>
        <v>-5137</v>
      </c>
      <c r="W63" s="361">
        <f>-'Table 5C3 - LA Connections EBR'!U61</f>
        <v>-4305</v>
      </c>
      <c r="X63" s="361">
        <f>-'Table 5D1 - New Vision'!S64</f>
        <v>0</v>
      </c>
      <c r="Y63" s="361">
        <f>-'Table 5D2 - Glencoe'!S64</f>
        <v>0</v>
      </c>
      <c r="Z63" s="361">
        <f>-'Table 5D3 - International'!U64</f>
        <v>0</v>
      </c>
      <c r="AA63" s="361">
        <f>-'Table 5D4 - Avoyelles'!S64</f>
        <v>0</v>
      </c>
      <c r="AB63" s="361">
        <f>-'Table 5D5 - Delhi'!S64</f>
        <v>0</v>
      </c>
      <c r="AC63" s="361">
        <f>-'Table 5D6 - Milestone'!S64</f>
        <v>0</v>
      </c>
      <c r="AD63" s="361">
        <f>-'Table 5D7 - Max'!S64</f>
        <v>0</v>
      </c>
      <c r="AE63" s="361">
        <f>-'Table 5D8 - Belle Chasse'!W64</f>
        <v>0</v>
      </c>
      <c r="AF63" s="361">
        <f>-'Table 5E_OJJ'!S64</f>
        <v>-99</v>
      </c>
      <c r="AG63" s="361">
        <f>-'Table 5A2 LSMSA'!N64</f>
        <v>-2346</v>
      </c>
      <c r="AH63" s="361">
        <f>-'Table 5A3 NOCCA'!L64</f>
        <v>0</v>
      </c>
      <c r="AI63" s="361">
        <f>-'Table 5A4_LSDVI'!L64</f>
        <v>-180</v>
      </c>
      <c r="AJ63" s="361">
        <f>-'Table 5A5_SSD'!L64</f>
        <v>-180</v>
      </c>
      <c r="AK63" s="361"/>
      <c r="AL63" s="750">
        <f t="shared" si="60"/>
        <v>4601902</v>
      </c>
      <c r="AM63" s="361"/>
      <c r="AN63" s="361"/>
      <c r="AO63" s="361"/>
      <c r="AP63" s="361">
        <f>'Table 5C1A-Madison Prep'!R64</f>
        <v>0</v>
      </c>
      <c r="AQ63" s="361">
        <f>'Table 5C1B-DArbonne'!P64</f>
        <v>0</v>
      </c>
      <c r="AR63" s="361">
        <f>'Table 5C1C-Intl_VIBE'!P64</f>
        <v>0</v>
      </c>
      <c r="AS63" s="361">
        <f>'Table 5C1D-NOMMA'!P64</f>
        <v>0</v>
      </c>
      <c r="AT63" s="361">
        <f>'Table 5C1E-LFNO'!R64</f>
        <v>0</v>
      </c>
      <c r="AU63" s="361">
        <f>'Table 5C1F-Lake Charles Charter'!P64</f>
        <v>0</v>
      </c>
      <c r="AV63" s="361">
        <f>'Table 5C1G-JS Clark Academy'!P64</f>
        <v>0</v>
      </c>
      <c r="AW63" s="361">
        <f>'Table 5C1H-Southwest LA Charter'!P64</f>
        <v>0</v>
      </c>
      <c r="AX63" s="361">
        <f>'Table 5C1J-LA Key Academy'!P64</f>
        <v>0</v>
      </c>
      <c r="AY63" s="361">
        <f>'Table 5C1K-Jefferson Chamber'!P64</f>
        <v>0</v>
      </c>
      <c r="AZ63" s="361">
        <f>'Table 5C1L-Tallulah Charter'!P64</f>
        <v>0</v>
      </c>
      <c r="BA63" s="361">
        <f>'Table 5C1M-Northshore Charter'!P64</f>
        <v>0</v>
      </c>
      <c r="BB63" s="361">
        <f>'Table 5C1N-EBR Charter'!P64</f>
        <v>0</v>
      </c>
      <c r="BC63" s="361">
        <f>'Table 5C1O-Lake Charles HS'!P64</f>
        <v>0</v>
      </c>
      <c r="BD63" s="361">
        <f>'Table 5C1P-Delta Charter'!P64</f>
        <v>0</v>
      </c>
      <c r="BE63" s="361">
        <f>'Table 5C2 - LA Virtual Admy'!Q61</f>
        <v>-139</v>
      </c>
      <c r="BF63" s="361">
        <f>'Table 5C3 - LA Connections EBR'!Q61</f>
        <v>-129</v>
      </c>
      <c r="BG63" s="361">
        <f>'Table 5D1 - New Vision'!O64</f>
        <v>0</v>
      </c>
      <c r="BH63" s="361">
        <f>'Table 5D2 - Glencoe'!O64</f>
        <v>0</v>
      </c>
      <c r="BI63" s="361">
        <f>'Table 5D3 - International'!Q64</f>
        <v>0</v>
      </c>
      <c r="BJ63" s="361">
        <f>'Table 5D4 - Avoyelles'!O64</f>
        <v>0</v>
      </c>
      <c r="BK63" s="361">
        <f>'Table 5D5 - Delhi'!O64</f>
        <v>0</v>
      </c>
      <c r="BL63" s="361">
        <f>'Table 5D6 - Milestone'!O64</f>
        <v>0</v>
      </c>
      <c r="BM63" s="361">
        <f>'Table 5D7 - Max'!O64</f>
        <v>0</v>
      </c>
      <c r="BN63" s="361">
        <f>'Table 5D8 - Belle Chasse'!S64</f>
        <v>0</v>
      </c>
      <c r="BO63" s="750">
        <f t="shared" si="61"/>
        <v>4601634</v>
      </c>
      <c r="BP63" s="47"/>
      <c r="BV63"/>
      <c r="CE63"/>
    </row>
    <row r="64" spans="1:83">
      <c r="A64" s="99">
        <v>59</v>
      </c>
      <c r="B64" s="301" t="s">
        <v>152</v>
      </c>
      <c r="C64" s="310">
        <f>'Table 2_State Distrib and Adjs'!AI65</f>
        <v>3019513</v>
      </c>
      <c r="D64" s="361"/>
      <c r="E64" s="361"/>
      <c r="F64" s="361">
        <f>-'Table 5C1A-Madison Prep'!V65</f>
        <v>0</v>
      </c>
      <c r="G64" s="361">
        <f>-'Table 5C1B-DArbonne'!T65</f>
        <v>0</v>
      </c>
      <c r="H64" s="361">
        <f>-'Table 5C1C-Intl_VIBE'!T65</f>
        <v>0</v>
      </c>
      <c r="I64" s="361">
        <f>-'Table 5C1D-NOMMA'!T65</f>
        <v>0</v>
      </c>
      <c r="J64" s="361"/>
      <c r="K64" s="361">
        <f>-'Table 5C1E-LFNO'!V65</f>
        <v>0</v>
      </c>
      <c r="L64" s="361">
        <f>-'Table 5C1F-Lake Charles Charter'!T65</f>
        <v>0</v>
      </c>
      <c r="M64" s="361">
        <f>-'Table 5C1G-JS Clark Academy'!T65</f>
        <v>0</v>
      </c>
      <c r="N64" s="361">
        <f>-'Table 5C1H-Southwest LA Charter'!T65</f>
        <v>0</v>
      </c>
      <c r="O64" s="361">
        <f>-'Table 5C1J-LA Key Academy'!T65</f>
        <v>0</v>
      </c>
      <c r="P64" s="361">
        <f>-'Table 5C1K-Jefferson Chamber'!T65</f>
        <v>0</v>
      </c>
      <c r="Q64" s="361">
        <f>-'Table 5C1L-Tallulah Charter'!T65</f>
        <v>0</v>
      </c>
      <c r="R64" s="361">
        <f>-'Table 5C1M-Northshore Charter'!T65</f>
        <v>-14606.725</v>
      </c>
      <c r="S64" s="361">
        <f>-'Table 5C1N-EBR Charter'!T65</f>
        <v>0</v>
      </c>
      <c r="T64" s="361">
        <f>-'Table 5C1O-Lake Charles HS'!T65</f>
        <v>0</v>
      </c>
      <c r="U64" s="361">
        <f>-'Table 5C1P-Delta Charter'!T65</f>
        <v>0</v>
      </c>
      <c r="V64" s="361">
        <f>-'Table 5C2 - LA Virtual Admy'!U62</f>
        <v>-1548</v>
      </c>
      <c r="W64" s="361">
        <f>-'Table 5C3 - LA Connections EBR'!U62</f>
        <v>-1473</v>
      </c>
      <c r="X64" s="361">
        <f>-'Table 5D1 - New Vision'!S65</f>
        <v>0</v>
      </c>
      <c r="Y64" s="361">
        <f>-'Table 5D2 - Glencoe'!S65</f>
        <v>0</v>
      </c>
      <c r="Z64" s="361">
        <f>-'Table 5D3 - International'!U65</f>
        <v>0</v>
      </c>
      <c r="AA64" s="361">
        <f>-'Table 5D4 - Avoyelles'!S65</f>
        <v>0</v>
      </c>
      <c r="AB64" s="361">
        <f>-'Table 5D5 - Delhi'!S65</f>
        <v>0</v>
      </c>
      <c r="AC64" s="361">
        <f>-'Table 5D6 - Milestone'!S65</f>
        <v>0</v>
      </c>
      <c r="AD64" s="361">
        <f>-'Table 5D7 - Max'!S65</f>
        <v>0</v>
      </c>
      <c r="AE64" s="361">
        <f>-'Table 5D8 - Belle Chasse'!W65</f>
        <v>0</v>
      </c>
      <c r="AF64" s="361">
        <f>-'Table 5E_OJJ'!S65</f>
        <v>-498</v>
      </c>
      <c r="AG64" s="361">
        <f>-'Table 5A2 LSMSA'!N65</f>
        <v>0</v>
      </c>
      <c r="AH64" s="361">
        <f>-'Table 5A3 NOCCA'!L65</f>
        <v>-130</v>
      </c>
      <c r="AI64" s="361">
        <f>-'Table 5A4_LSDVI'!L65</f>
        <v>-130</v>
      </c>
      <c r="AJ64" s="361">
        <f>-'Table 5A5_SSD'!L65</f>
        <v>-261</v>
      </c>
      <c r="AK64" s="361"/>
      <c r="AL64" s="750">
        <f t="shared" si="60"/>
        <v>3000866.2749999999</v>
      </c>
      <c r="AM64" s="361"/>
      <c r="AN64" s="361"/>
      <c r="AO64" s="361"/>
      <c r="AP64" s="361">
        <f>'Table 5C1A-Madison Prep'!R65</f>
        <v>0</v>
      </c>
      <c r="AQ64" s="361">
        <f>'Table 5C1B-DArbonne'!P65</f>
        <v>0</v>
      </c>
      <c r="AR64" s="361">
        <f>'Table 5C1C-Intl_VIBE'!P65</f>
        <v>0</v>
      </c>
      <c r="AS64" s="361">
        <f>'Table 5C1D-NOMMA'!P65</f>
        <v>0</v>
      </c>
      <c r="AT64" s="361">
        <f>'Table 5C1E-LFNO'!R65</f>
        <v>0</v>
      </c>
      <c r="AU64" s="361">
        <f>'Table 5C1F-Lake Charles Charter'!P65</f>
        <v>0</v>
      </c>
      <c r="AV64" s="361">
        <f>'Table 5C1G-JS Clark Academy'!P65</f>
        <v>0</v>
      </c>
      <c r="AW64" s="361">
        <f>'Table 5C1H-Southwest LA Charter'!P65</f>
        <v>0</v>
      </c>
      <c r="AX64" s="361">
        <f>'Table 5C1J-LA Key Academy'!P65</f>
        <v>0</v>
      </c>
      <c r="AY64" s="361">
        <f>'Table 5C1K-Jefferson Chamber'!P65</f>
        <v>0</v>
      </c>
      <c r="AZ64" s="361">
        <f>'Table 5C1L-Tallulah Charter'!P65</f>
        <v>0</v>
      </c>
      <c r="BA64" s="361">
        <f>'Table 5C1M-Northshore Charter'!P65</f>
        <v>-439.3</v>
      </c>
      <c r="BB64" s="361">
        <f>'Table 5C1N-EBR Charter'!P65</f>
        <v>0</v>
      </c>
      <c r="BC64" s="361">
        <f>'Table 5C1O-Lake Charles HS'!P65</f>
        <v>0</v>
      </c>
      <c r="BD64" s="361">
        <f>'Table 5C1P-Delta Charter'!P65</f>
        <v>0</v>
      </c>
      <c r="BE64" s="361">
        <f>'Table 5C2 - LA Virtual Admy'!Q62</f>
        <v>-45</v>
      </c>
      <c r="BF64" s="361">
        <f>'Table 5C3 - LA Connections EBR'!Q62</f>
        <v>-48</v>
      </c>
      <c r="BG64" s="361">
        <f>'Table 5D1 - New Vision'!O65</f>
        <v>0</v>
      </c>
      <c r="BH64" s="361">
        <f>'Table 5D2 - Glencoe'!O65</f>
        <v>0</v>
      </c>
      <c r="BI64" s="361">
        <f>'Table 5D3 - International'!Q65</f>
        <v>0</v>
      </c>
      <c r="BJ64" s="361">
        <f>'Table 5D4 - Avoyelles'!O65</f>
        <v>0</v>
      </c>
      <c r="BK64" s="361">
        <f>'Table 5D5 - Delhi'!O65</f>
        <v>0</v>
      </c>
      <c r="BL64" s="361">
        <f>'Table 5D6 - Milestone'!O65</f>
        <v>0</v>
      </c>
      <c r="BM64" s="361">
        <f>'Table 5D7 - Max'!O65</f>
        <v>0</v>
      </c>
      <c r="BN64" s="361">
        <f>'Table 5D8 - Belle Chasse'!S65</f>
        <v>0</v>
      </c>
      <c r="BO64" s="750">
        <f t="shared" si="61"/>
        <v>3000333.9750000001</v>
      </c>
      <c r="BP64" s="47"/>
      <c r="BV64"/>
      <c r="CE64"/>
    </row>
    <row r="65" spans="1:83">
      <c r="A65" s="100">
        <v>60</v>
      </c>
      <c r="B65" s="302" t="s">
        <v>153</v>
      </c>
      <c r="C65" s="319">
        <f>'Table 2_State Distrib and Adjs'!AI66</f>
        <v>2953655</v>
      </c>
      <c r="D65" s="362"/>
      <c r="E65" s="362"/>
      <c r="F65" s="362">
        <f>-'Table 5C1A-Madison Prep'!V66</f>
        <v>0</v>
      </c>
      <c r="G65" s="362">
        <f>-'Table 5C1B-DArbonne'!T66</f>
        <v>0</v>
      </c>
      <c r="H65" s="362">
        <f>-'Table 5C1C-Intl_VIBE'!T66</f>
        <v>0</v>
      </c>
      <c r="I65" s="362">
        <f>-'Table 5C1D-NOMMA'!T66</f>
        <v>0</v>
      </c>
      <c r="J65" s="362"/>
      <c r="K65" s="362">
        <f>-'Table 5C1E-LFNO'!V66</f>
        <v>0</v>
      </c>
      <c r="L65" s="362">
        <f>-'Table 5C1F-Lake Charles Charter'!T66</f>
        <v>0</v>
      </c>
      <c r="M65" s="362">
        <f>-'Table 5C1G-JS Clark Academy'!T66</f>
        <v>0</v>
      </c>
      <c r="N65" s="362">
        <f>-'Table 5C1H-Southwest LA Charter'!T66</f>
        <v>0</v>
      </c>
      <c r="O65" s="362">
        <f>-'Table 5C1J-LA Key Academy'!T66</f>
        <v>0</v>
      </c>
      <c r="P65" s="362">
        <f>-'Table 5C1K-Jefferson Chamber'!T66</f>
        <v>0</v>
      </c>
      <c r="Q65" s="362">
        <f>-'Table 5C1L-Tallulah Charter'!T66</f>
        <v>0</v>
      </c>
      <c r="R65" s="362">
        <f>-'Table 5C1M-Northshore Charter'!T66</f>
        <v>0</v>
      </c>
      <c r="S65" s="362">
        <f>-'Table 5C1N-EBR Charter'!T66</f>
        <v>0</v>
      </c>
      <c r="T65" s="362">
        <f>-'Table 5C1O-Lake Charles HS'!T66</f>
        <v>0</v>
      </c>
      <c r="U65" s="362">
        <f>-'Table 5C1P-Delta Charter'!T66</f>
        <v>0</v>
      </c>
      <c r="V65" s="362">
        <f>-'Table 5C2 - LA Virtual Admy'!U63</f>
        <v>-4731</v>
      </c>
      <c r="W65" s="362">
        <f>-'Table 5C3 - LA Connections EBR'!U63</f>
        <v>-7621</v>
      </c>
      <c r="X65" s="362">
        <f>-'Table 5D1 - New Vision'!S66</f>
        <v>0</v>
      </c>
      <c r="Y65" s="362">
        <f>-'Table 5D2 - Glencoe'!S66</f>
        <v>0</v>
      </c>
      <c r="Z65" s="362">
        <f>-'Table 5D3 - International'!U66</f>
        <v>0</v>
      </c>
      <c r="AA65" s="362">
        <f>-'Table 5D4 - Avoyelles'!S66</f>
        <v>0</v>
      </c>
      <c r="AB65" s="362">
        <f>-'Table 5D5 - Delhi'!S66</f>
        <v>0</v>
      </c>
      <c r="AC65" s="362">
        <f>-'Table 5D6 - Milestone'!S66</f>
        <v>0</v>
      </c>
      <c r="AD65" s="362">
        <f>-'Table 5D7 - Max'!S66</f>
        <v>0</v>
      </c>
      <c r="AE65" s="362">
        <f>-'Table 5D8 - Belle Chasse'!W66</f>
        <v>0</v>
      </c>
      <c r="AF65" s="362">
        <f>-'Table 5E_OJJ'!S66</f>
        <v>-983</v>
      </c>
      <c r="AG65" s="362">
        <f>-'Table 5A2 LSMSA'!N66</f>
        <v>-1120</v>
      </c>
      <c r="AH65" s="362">
        <f>-'Table 5A3 NOCCA'!L66</f>
        <v>0</v>
      </c>
      <c r="AI65" s="362">
        <f>-'Table 5A4_LSDVI'!L66</f>
        <v>-840</v>
      </c>
      <c r="AJ65" s="362">
        <f>-'Table 5A5_SSD'!L66</f>
        <v>-3080</v>
      </c>
      <c r="AK65" s="362"/>
      <c r="AL65" s="751">
        <f t="shared" si="60"/>
        <v>2935280</v>
      </c>
      <c r="AM65" s="362"/>
      <c r="AN65" s="362"/>
      <c r="AO65" s="362"/>
      <c r="AP65" s="362">
        <f>'Table 5C1A-Madison Prep'!R66</f>
        <v>0</v>
      </c>
      <c r="AQ65" s="362">
        <f>'Table 5C1B-DArbonne'!P66</f>
        <v>0</v>
      </c>
      <c r="AR65" s="362">
        <f>'Table 5C1C-Intl_VIBE'!P66</f>
        <v>0</v>
      </c>
      <c r="AS65" s="362">
        <f>'Table 5C1D-NOMMA'!P66</f>
        <v>0</v>
      </c>
      <c r="AT65" s="362">
        <f>'Table 5C1E-LFNO'!R66</f>
        <v>0</v>
      </c>
      <c r="AU65" s="362">
        <f>'Table 5C1F-Lake Charles Charter'!P66</f>
        <v>0</v>
      </c>
      <c r="AV65" s="362">
        <f>'Table 5C1G-JS Clark Academy'!P66</f>
        <v>0</v>
      </c>
      <c r="AW65" s="362">
        <f>'Table 5C1H-Southwest LA Charter'!P66</f>
        <v>0</v>
      </c>
      <c r="AX65" s="362">
        <f>'Table 5C1J-LA Key Academy'!P66</f>
        <v>0</v>
      </c>
      <c r="AY65" s="362">
        <f>'Table 5C1K-Jefferson Chamber'!P66</f>
        <v>0</v>
      </c>
      <c r="AZ65" s="362">
        <f>'Table 5C1L-Tallulah Charter'!P66</f>
        <v>0</v>
      </c>
      <c r="BA65" s="362">
        <f>'Table 5C1M-Northshore Charter'!P66</f>
        <v>0</v>
      </c>
      <c r="BB65" s="362">
        <f>'Table 5C1N-EBR Charter'!P66</f>
        <v>0</v>
      </c>
      <c r="BC65" s="362">
        <f>'Table 5C1O-Lake Charles HS'!P66</f>
        <v>0</v>
      </c>
      <c r="BD65" s="362">
        <f>'Table 5C1P-Delta Charter'!P66</f>
        <v>0</v>
      </c>
      <c r="BE65" s="362">
        <f>'Table 5C2 - LA Virtual Admy'!Q63</f>
        <v>-150</v>
      </c>
      <c r="BF65" s="362">
        <f>'Table 5C3 - LA Connections EBR'!Q63</f>
        <v>-229</v>
      </c>
      <c r="BG65" s="362">
        <f>'Table 5D1 - New Vision'!O66</f>
        <v>0</v>
      </c>
      <c r="BH65" s="362">
        <f>'Table 5D2 - Glencoe'!O66</f>
        <v>0</v>
      </c>
      <c r="BI65" s="362">
        <f>'Table 5D3 - International'!Q66</f>
        <v>0</v>
      </c>
      <c r="BJ65" s="362">
        <f>'Table 5D4 - Avoyelles'!O66</f>
        <v>0</v>
      </c>
      <c r="BK65" s="362">
        <f>'Table 5D5 - Delhi'!O66</f>
        <v>0</v>
      </c>
      <c r="BL65" s="362">
        <f>'Table 5D6 - Milestone'!O66</f>
        <v>0</v>
      </c>
      <c r="BM65" s="362">
        <f>'Table 5D7 - Max'!O66</f>
        <v>0</v>
      </c>
      <c r="BN65" s="362">
        <f>'Table 5D8 - Belle Chasse'!S66</f>
        <v>0</v>
      </c>
      <c r="BO65" s="751">
        <f t="shared" si="61"/>
        <v>2934901</v>
      </c>
      <c r="BP65" s="47"/>
      <c r="BV65"/>
      <c r="CE65"/>
    </row>
    <row r="66" spans="1:83">
      <c r="A66" s="99">
        <v>61</v>
      </c>
      <c r="B66" s="301" t="s">
        <v>154</v>
      </c>
      <c r="C66" s="310">
        <f>'Table 2_State Distrib and Adjs'!AI67</f>
        <v>1113185</v>
      </c>
      <c r="D66" s="361"/>
      <c r="E66" s="361"/>
      <c r="F66" s="361">
        <f>-'Table 5C1A-Madison Prep'!V67</f>
        <v>-555.27499999999998</v>
      </c>
      <c r="G66" s="361">
        <f>-'Table 5C1B-DArbonne'!T67</f>
        <v>0</v>
      </c>
      <c r="H66" s="361">
        <f>-'Table 5C1C-Intl_VIBE'!T67</f>
        <v>0</v>
      </c>
      <c r="I66" s="361">
        <f>-'Table 5C1D-NOMMA'!T67</f>
        <v>0</v>
      </c>
      <c r="J66" s="361"/>
      <c r="K66" s="361">
        <f>-'Table 5C1E-LFNO'!V67</f>
        <v>0</v>
      </c>
      <c r="L66" s="361">
        <f>-'Table 5C1F-Lake Charles Charter'!T67</f>
        <v>0</v>
      </c>
      <c r="M66" s="361">
        <f>-'Table 5C1G-JS Clark Academy'!T67</f>
        <v>0</v>
      </c>
      <c r="N66" s="361">
        <f>-'Table 5C1H-Southwest LA Charter'!T67</f>
        <v>0</v>
      </c>
      <c r="O66" s="361">
        <f>-'Table 5C1J-LA Key Academy'!T67</f>
        <v>-11438.665000000001</v>
      </c>
      <c r="P66" s="361">
        <f>-'Table 5C1K-Jefferson Chamber'!T67</f>
        <v>0</v>
      </c>
      <c r="Q66" s="361">
        <f>-'Table 5C1L-Tallulah Charter'!T67</f>
        <v>0</v>
      </c>
      <c r="R66" s="361">
        <f>-'Table 5C1M-Northshore Charter'!T67</f>
        <v>0</v>
      </c>
      <c r="S66" s="361">
        <f>-'Table 5C1N-EBR Charter'!T67</f>
        <v>0</v>
      </c>
      <c r="T66" s="361">
        <f>-'Table 5C1O-Lake Charles HS'!T67</f>
        <v>0</v>
      </c>
      <c r="U66" s="361">
        <f>-'Table 5C1P-Delta Charter'!T67</f>
        <v>0</v>
      </c>
      <c r="V66" s="361">
        <f>-'Table 5C2 - LA Virtual Admy'!U64</f>
        <v>-3452</v>
      </c>
      <c r="W66" s="361">
        <f>-'Table 5C3 - LA Connections EBR'!U64</f>
        <v>-4498</v>
      </c>
      <c r="X66" s="361">
        <f>-'Table 5D1 - New Vision'!S67</f>
        <v>0</v>
      </c>
      <c r="Y66" s="361">
        <f>-'Table 5D2 - Glencoe'!S67</f>
        <v>0</v>
      </c>
      <c r="Z66" s="361">
        <f>-'Table 5D3 - International'!U67</f>
        <v>0</v>
      </c>
      <c r="AA66" s="361">
        <f>-'Table 5D4 - Avoyelles'!S67</f>
        <v>0</v>
      </c>
      <c r="AB66" s="361">
        <f>-'Table 5D5 - Delhi'!S67</f>
        <v>0</v>
      </c>
      <c r="AC66" s="361">
        <f>-'Table 5D6 - Milestone'!S67</f>
        <v>0</v>
      </c>
      <c r="AD66" s="361">
        <f>-'Table 5D7 - Max'!S67</f>
        <v>0</v>
      </c>
      <c r="AE66" s="361">
        <f>-'Table 5D8 - Belle Chasse'!W67</f>
        <v>0</v>
      </c>
      <c r="AF66" s="361">
        <f>-'Table 5E_OJJ'!S67</f>
        <v>-1139</v>
      </c>
      <c r="AG66" s="361">
        <f>-'Table 5A2 LSMSA'!N67</f>
        <v>0</v>
      </c>
      <c r="AH66" s="361">
        <f>-'Table 5A3 NOCCA'!L67</f>
        <v>0</v>
      </c>
      <c r="AI66" s="361">
        <f>-'Table 5A4_LSDVI'!L67</f>
        <v>-2465</v>
      </c>
      <c r="AJ66" s="361">
        <f>-'Table 5A5_SSD'!L67</f>
        <v>0</v>
      </c>
      <c r="AK66" s="361"/>
      <c r="AL66" s="750">
        <f t="shared" si="60"/>
        <v>1089637.06</v>
      </c>
      <c r="AM66" s="361"/>
      <c r="AN66" s="361"/>
      <c r="AO66" s="361"/>
      <c r="AP66" s="361">
        <f>'Table 5C1A-Madison Prep'!R67</f>
        <v>-16.7</v>
      </c>
      <c r="AQ66" s="361">
        <f>'Table 5C1B-DArbonne'!P67</f>
        <v>0</v>
      </c>
      <c r="AR66" s="361">
        <f>'Table 5C1C-Intl_VIBE'!P67</f>
        <v>0</v>
      </c>
      <c r="AS66" s="361">
        <f>'Table 5C1D-NOMMA'!P67</f>
        <v>0</v>
      </c>
      <c r="AT66" s="361">
        <f>'Table 5C1E-LFNO'!R67</f>
        <v>0</v>
      </c>
      <c r="AU66" s="361">
        <f>'Table 5C1F-Lake Charles Charter'!P67</f>
        <v>0</v>
      </c>
      <c r="AV66" s="361">
        <f>'Table 5C1G-JS Clark Academy'!P67</f>
        <v>0</v>
      </c>
      <c r="AW66" s="361">
        <f>'Table 5C1H-Southwest LA Charter'!P67</f>
        <v>0</v>
      </c>
      <c r="AX66" s="361">
        <f>'Table 5C1J-LA Key Academy'!P67</f>
        <v>-344.02</v>
      </c>
      <c r="AY66" s="361">
        <f>'Table 5C1K-Jefferson Chamber'!P67</f>
        <v>0</v>
      </c>
      <c r="AZ66" s="361">
        <f>'Table 5C1L-Tallulah Charter'!P67</f>
        <v>0</v>
      </c>
      <c r="BA66" s="361">
        <f>'Table 5C1M-Northshore Charter'!P67</f>
        <v>0</v>
      </c>
      <c r="BB66" s="361">
        <f>'Table 5C1N-EBR Charter'!P67</f>
        <v>0</v>
      </c>
      <c r="BC66" s="361">
        <f>'Table 5C1O-Lake Charles HS'!P67</f>
        <v>0</v>
      </c>
      <c r="BD66" s="361">
        <f>'Table 5C1P-Delta Charter'!P67</f>
        <v>0</v>
      </c>
      <c r="BE66" s="361">
        <f>'Table 5C2 - LA Virtual Admy'!Q64</f>
        <v>-90</v>
      </c>
      <c r="BF66" s="361">
        <f>'Table 5C3 - LA Connections EBR'!Q64</f>
        <v>-135</v>
      </c>
      <c r="BG66" s="361">
        <f>'Table 5D1 - New Vision'!O67</f>
        <v>0</v>
      </c>
      <c r="BH66" s="361">
        <f>'Table 5D2 - Glencoe'!O67</f>
        <v>0</v>
      </c>
      <c r="BI66" s="361">
        <f>'Table 5D3 - International'!Q67</f>
        <v>0</v>
      </c>
      <c r="BJ66" s="361">
        <f>'Table 5D4 - Avoyelles'!O67</f>
        <v>0</v>
      </c>
      <c r="BK66" s="361">
        <f>'Table 5D5 - Delhi'!O67</f>
        <v>0</v>
      </c>
      <c r="BL66" s="361">
        <f>'Table 5D6 - Milestone'!O67</f>
        <v>0</v>
      </c>
      <c r="BM66" s="361">
        <f>'Table 5D7 - Max'!O67</f>
        <v>0</v>
      </c>
      <c r="BN66" s="361">
        <f>'Table 5D8 - Belle Chasse'!S67</f>
        <v>0</v>
      </c>
      <c r="BO66" s="750">
        <f t="shared" si="61"/>
        <v>1089051.3400000001</v>
      </c>
      <c r="BP66" s="47"/>
      <c r="BV66"/>
      <c r="CE66"/>
    </row>
    <row r="67" spans="1:83">
      <c r="A67" s="99">
        <v>62</v>
      </c>
      <c r="B67" s="301" t="s">
        <v>155</v>
      </c>
      <c r="C67" s="310">
        <f>'Table 2_State Distrib and Adjs'!AI68</f>
        <v>1070827</v>
      </c>
      <c r="D67" s="361"/>
      <c r="E67" s="361"/>
      <c r="F67" s="361">
        <f>-'Table 5C1A-Madison Prep'!V68</f>
        <v>0</v>
      </c>
      <c r="G67" s="361">
        <f>-'Table 5C1B-DArbonne'!T68</f>
        <v>0</v>
      </c>
      <c r="H67" s="361">
        <f>-'Table 5C1C-Intl_VIBE'!T68</f>
        <v>0</v>
      </c>
      <c r="I67" s="361">
        <f>-'Table 5C1D-NOMMA'!T68</f>
        <v>0</v>
      </c>
      <c r="J67" s="361"/>
      <c r="K67" s="361">
        <f>-'Table 5C1E-LFNO'!V68</f>
        <v>0</v>
      </c>
      <c r="L67" s="361">
        <f>-'Table 5C1F-Lake Charles Charter'!T68</f>
        <v>0</v>
      </c>
      <c r="M67" s="361">
        <f>-'Table 5C1G-JS Clark Academy'!T68</f>
        <v>0</v>
      </c>
      <c r="N67" s="361">
        <f>-'Table 5C1H-Southwest LA Charter'!T68</f>
        <v>0</v>
      </c>
      <c r="O67" s="361">
        <f>-'Table 5C1J-LA Key Academy'!T68</f>
        <v>0</v>
      </c>
      <c r="P67" s="361">
        <f>-'Table 5C1K-Jefferson Chamber'!T68</f>
        <v>0</v>
      </c>
      <c r="Q67" s="361">
        <f>-'Table 5C1L-Tallulah Charter'!T68</f>
        <v>0</v>
      </c>
      <c r="R67" s="361">
        <f>-'Table 5C1M-Northshore Charter'!T68</f>
        <v>0</v>
      </c>
      <c r="S67" s="361">
        <f>-'Table 5C1N-EBR Charter'!T68</f>
        <v>0</v>
      </c>
      <c r="T67" s="361">
        <f>-'Table 5C1O-Lake Charles HS'!T68</f>
        <v>0</v>
      </c>
      <c r="U67" s="361">
        <f>-'Table 5C1P-Delta Charter'!T68</f>
        <v>0</v>
      </c>
      <c r="V67" s="361">
        <f>-'Table 5C2 - LA Virtual Admy'!U65</f>
        <v>-68</v>
      </c>
      <c r="W67" s="361">
        <f>-'Table 5C3 - LA Connections EBR'!U65</f>
        <v>-131</v>
      </c>
      <c r="X67" s="361">
        <f>-'Table 5D1 - New Vision'!S68</f>
        <v>0</v>
      </c>
      <c r="Y67" s="361">
        <f>-'Table 5D2 - Glencoe'!S68</f>
        <v>0</v>
      </c>
      <c r="Z67" s="361">
        <f>-'Table 5D3 - International'!U68</f>
        <v>0</v>
      </c>
      <c r="AA67" s="361">
        <f>-'Table 5D4 - Avoyelles'!S68</f>
        <v>0</v>
      </c>
      <c r="AB67" s="361">
        <f>-'Table 5D5 - Delhi'!S68</f>
        <v>-5249</v>
      </c>
      <c r="AC67" s="361">
        <f>-'Table 5D6 - Milestone'!S68</f>
        <v>0</v>
      </c>
      <c r="AD67" s="361">
        <f>-'Table 5D7 - Max'!S68</f>
        <v>0</v>
      </c>
      <c r="AE67" s="361">
        <f>-'Table 5D8 - Belle Chasse'!W68</f>
        <v>0</v>
      </c>
      <c r="AF67" s="361">
        <f>-'Table 5E_OJJ'!S68</f>
        <v>-52</v>
      </c>
      <c r="AG67" s="361">
        <f>-'Table 5A2 LSMSA'!N68</f>
        <v>0</v>
      </c>
      <c r="AH67" s="361">
        <f>-'Table 5A3 NOCCA'!L68</f>
        <v>0</v>
      </c>
      <c r="AI67" s="361">
        <f>-'Table 5A4_LSDVI'!L68</f>
        <v>-150</v>
      </c>
      <c r="AJ67" s="361">
        <f>-'Table 5A5_SSD'!L68</f>
        <v>-150</v>
      </c>
      <c r="AK67" s="361"/>
      <c r="AL67" s="750">
        <f t="shared" si="60"/>
        <v>1065027</v>
      </c>
      <c r="AM67" s="361"/>
      <c r="AN67" s="361"/>
      <c r="AO67" s="361"/>
      <c r="AP67" s="361">
        <f>'Table 5C1A-Madison Prep'!R68</f>
        <v>0</v>
      </c>
      <c r="AQ67" s="361">
        <f>'Table 5C1B-DArbonne'!P68</f>
        <v>0</v>
      </c>
      <c r="AR67" s="361">
        <f>'Table 5C1C-Intl_VIBE'!P68</f>
        <v>0</v>
      </c>
      <c r="AS67" s="361">
        <f>'Table 5C1D-NOMMA'!P68</f>
        <v>0</v>
      </c>
      <c r="AT67" s="361">
        <f>'Table 5C1E-LFNO'!R68</f>
        <v>0</v>
      </c>
      <c r="AU67" s="361">
        <f>'Table 5C1F-Lake Charles Charter'!P68</f>
        <v>0</v>
      </c>
      <c r="AV67" s="361">
        <f>'Table 5C1G-JS Clark Academy'!P68</f>
        <v>0</v>
      </c>
      <c r="AW67" s="361">
        <f>'Table 5C1H-Southwest LA Charter'!P68</f>
        <v>0</v>
      </c>
      <c r="AX67" s="361">
        <f>'Table 5C1J-LA Key Academy'!P68</f>
        <v>0</v>
      </c>
      <c r="AY67" s="361">
        <f>'Table 5C1K-Jefferson Chamber'!P68</f>
        <v>0</v>
      </c>
      <c r="AZ67" s="361">
        <f>'Table 5C1L-Tallulah Charter'!P68</f>
        <v>0</v>
      </c>
      <c r="BA67" s="361">
        <f>'Table 5C1M-Northshore Charter'!P68</f>
        <v>0</v>
      </c>
      <c r="BB67" s="361">
        <f>'Table 5C1N-EBR Charter'!P68</f>
        <v>0</v>
      </c>
      <c r="BC67" s="361">
        <f>'Table 5C1O-Lake Charles HS'!P68</f>
        <v>0</v>
      </c>
      <c r="BD67" s="361">
        <f>'Table 5C1P-Delta Charter'!P68</f>
        <v>0</v>
      </c>
      <c r="BE67" s="361">
        <f>'Table 5C2 - LA Virtual Admy'!Q65</f>
        <v>-4</v>
      </c>
      <c r="BF67" s="361">
        <f>'Table 5C3 - LA Connections EBR'!Q65</f>
        <v>-4</v>
      </c>
      <c r="BG67" s="361">
        <f>'Table 5D1 - New Vision'!O68</f>
        <v>0</v>
      </c>
      <c r="BH67" s="361">
        <f>'Table 5D2 - Glencoe'!O68</f>
        <v>0</v>
      </c>
      <c r="BI67" s="361">
        <f>'Table 5D3 - International'!Q68</f>
        <v>0</v>
      </c>
      <c r="BJ67" s="361">
        <f>'Table 5D4 - Avoyelles'!O68</f>
        <v>0</v>
      </c>
      <c r="BK67" s="361">
        <f>'Table 5D5 - Delhi'!O68</f>
        <v>-157.86000000000001</v>
      </c>
      <c r="BL67" s="361">
        <f>'Table 5D6 - Milestone'!O68</f>
        <v>0</v>
      </c>
      <c r="BM67" s="361">
        <f>'Table 5D7 - Max'!O68</f>
        <v>0</v>
      </c>
      <c r="BN67" s="361">
        <f>'Table 5D8 - Belle Chasse'!S68</f>
        <v>0</v>
      </c>
      <c r="BO67" s="750">
        <f t="shared" si="61"/>
        <v>1064861.1399999999</v>
      </c>
      <c r="BP67" s="47"/>
      <c r="BV67"/>
      <c r="CE67"/>
    </row>
    <row r="68" spans="1:83">
      <c r="A68" s="99">
        <v>63</v>
      </c>
      <c r="B68" s="301" t="s">
        <v>156</v>
      </c>
      <c r="C68" s="310">
        <f>'Table 2_State Distrib and Adjs'!AI69</f>
        <v>861585</v>
      </c>
      <c r="D68" s="361"/>
      <c r="E68" s="361"/>
      <c r="F68" s="361">
        <f>-'Table 5C1A-Madison Prep'!V69</f>
        <v>0</v>
      </c>
      <c r="G68" s="361">
        <f>-'Table 5C1B-DArbonne'!T69</f>
        <v>0</v>
      </c>
      <c r="H68" s="361">
        <f>-'Table 5C1C-Intl_VIBE'!T69</f>
        <v>0</v>
      </c>
      <c r="I68" s="361">
        <f>-'Table 5C1D-NOMMA'!T69</f>
        <v>0</v>
      </c>
      <c r="J68" s="361"/>
      <c r="K68" s="361">
        <f>-'Table 5C1E-LFNO'!V69</f>
        <v>0</v>
      </c>
      <c r="L68" s="361">
        <f>-'Table 5C1F-Lake Charles Charter'!T69</f>
        <v>0</v>
      </c>
      <c r="M68" s="361">
        <f>-'Table 5C1G-JS Clark Academy'!T69</f>
        <v>0</v>
      </c>
      <c r="N68" s="361">
        <f>-'Table 5C1H-Southwest LA Charter'!T69</f>
        <v>0</v>
      </c>
      <c r="O68" s="361">
        <f>-'Table 5C1J-LA Key Academy'!T69</f>
        <v>-12298.277250000001</v>
      </c>
      <c r="P68" s="361">
        <f>-'Table 5C1K-Jefferson Chamber'!T69</f>
        <v>0</v>
      </c>
      <c r="Q68" s="361">
        <f>-'Table 5C1L-Tallulah Charter'!T69</f>
        <v>0</v>
      </c>
      <c r="R68" s="361">
        <f>-'Table 5C1M-Northshore Charter'!T69</f>
        <v>0</v>
      </c>
      <c r="S68" s="361">
        <f>-'Table 5C1N-EBR Charter'!T69</f>
        <v>0</v>
      </c>
      <c r="T68" s="361">
        <f>-'Table 5C1O-Lake Charles HS'!T69</f>
        <v>0</v>
      </c>
      <c r="U68" s="361">
        <f>-'Table 5C1P-Delta Charter'!T69</f>
        <v>0</v>
      </c>
      <c r="V68" s="361">
        <f>-'Table 5C2 - LA Virtual Admy'!U66</f>
        <v>1571</v>
      </c>
      <c r="W68" s="361">
        <f>-'Table 5C3 - LA Connections EBR'!U66</f>
        <v>-537</v>
      </c>
      <c r="X68" s="361">
        <f>-'Table 5D1 - New Vision'!S69</f>
        <v>0</v>
      </c>
      <c r="Y68" s="361">
        <f>-'Table 5D2 - Glencoe'!S69</f>
        <v>0</v>
      </c>
      <c r="Z68" s="361">
        <f>-'Table 5D3 - International'!U69</f>
        <v>0</v>
      </c>
      <c r="AA68" s="361">
        <f>-'Table 5D4 - Avoyelles'!S69</f>
        <v>0</v>
      </c>
      <c r="AB68" s="361">
        <f>-'Table 5D5 - Delhi'!S69</f>
        <v>0</v>
      </c>
      <c r="AC68" s="361">
        <f>-'Table 5D6 - Milestone'!S69</f>
        <v>0</v>
      </c>
      <c r="AD68" s="361">
        <f>-'Table 5D7 - Max'!S69</f>
        <v>0</v>
      </c>
      <c r="AE68" s="361">
        <f>-'Table 5D8 - Belle Chasse'!W69</f>
        <v>0</v>
      </c>
      <c r="AF68" s="361">
        <f>-'Table 5E_OJJ'!S69</f>
        <v>-617</v>
      </c>
      <c r="AG68" s="361">
        <f>-'Table 5A2 LSMSA'!N69</f>
        <v>-1246</v>
      </c>
      <c r="AH68" s="361">
        <f>-'Table 5A3 NOCCA'!L69</f>
        <v>0</v>
      </c>
      <c r="AI68" s="361">
        <f>-'Table 5A4_LSDVI'!L69</f>
        <v>-415</v>
      </c>
      <c r="AJ68" s="361">
        <f>-'Table 5A5_SSD'!L69</f>
        <v>-415</v>
      </c>
      <c r="AK68" s="361"/>
      <c r="AL68" s="750">
        <f t="shared" si="60"/>
        <v>847627.72274999996</v>
      </c>
      <c r="AM68" s="361"/>
      <c r="AN68" s="361"/>
      <c r="AO68" s="361"/>
      <c r="AP68" s="361">
        <f>'Table 5C1A-Madison Prep'!R69</f>
        <v>0</v>
      </c>
      <c r="AQ68" s="361">
        <f>'Table 5C1B-DArbonne'!P69</f>
        <v>0</v>
      </c>
      <c r="AR68" s="361">
        <f>'Table 5C1C-Intl_VIBE'!P69</f>
        <v>0</v>
      </c>
      <c r="AS68" s="361">
        <f>'Table 5C1D-NOMMA'!P69</f>
        <v>0</v>
      </c>
      <c r="AT68" s="361">
        <f>'Table 5C1E-LFNO'!R69</f>
        <v>0</v>
      </c>
      <c r="AU68" s="361">
        <f>'Table 5C1F-Lake Charles Charter'!P69</f>
        <v>0</v>
      </c>
      <c r="AV68" s="361">
        <f>'Table 5C1G-JS Clark Academy'!P69</f>
        <v>0</v>
      </c>
      <c r="AW68" s="361">
        <f>'Table 5C1H-Southwest LA Charter'!P69</f>
        <v>0</v>
      </c>
      <c r="AX68" s="361">
        <f>'Table 5C1J-LA Key Academy'!P69</f>
        <v>-369.87300000000005</v>
      </c>
      <c r="AY68" s="361">
        <f>'Table 5C1K-Jefferson Chamber'!P69</f>
        <v>0</v>
      </c>
      <c r="AZ68" s="361">
        <f>'Table 5C1L-Tallulah Charter'!P69</f>
        <v>0</v>
      </c>
      <c r="BA68" s="361">
        <f>'Table 5C1M-Northshore Charter'!P69</f>
        <v>0</v>
      </c>
      <c r="BB68" s="361">
        <f>'Table 5C1N-EBR Charter'!P69</f>
        <v>0</v>
      </c>
      <c r="BC68" s="361">
        <f>'Table 5C1O-Lake Charles HS'!P69</f>
        <v>0</v>
      </c>
      <c r="BD68" s="361">
        <f>'Table 5C1P-Delta Charter'!P69</f>
        <v>0</v>
      </c>
      <c r="BE68" s="361">
        <f>'Table 5C2 - LA Virtual Admy'!Q66</f>
        <v>0</v>
      </c>
      <c r="BF68" s="361">
        <f>'Table 5C3 - LA Connections EBR'!Q66</f>
        <v>-16</v>
      </c>
      <c r="BG68" s="361">
        <f>'Table 5D1 - New Vision'!O69</f>
        <v>0</v>
      </c>
      <c r="BH68" s="361">
        <f>'Table 5D2 - Glencoe'!O69</f>
        <v>0</v>
      </c>
      <c r="BI68" s="361">
        <f>'Table 5D3 - International'!Q69</f>
        <v>0</v>
      </c>
      <c r="BJ68" s="361">
        <f>'Table 5D4 - Avoyelles'!O69</f>
        <v>0</v>
      </c>
      <c r="BK68" s="361">
        <f>'Table 5D5 - Delhi'!O69</f>
        <v>0</v>
      </c>
      <c r="BL68" s="361">
        <f>'Table 5D6 - Milestone'!O69</f>
        <v>0</v>
      </c>
      <c r="BM68" s="361">
        <f>'Table 5D7 - Max'!O69</f>
        <v>0</v>
      </c>
      <c r="BN68" s="361">
        <f>'Table 5D8 - Belle Chasse'!S69</f>
        <v>0</v>
      </c>
      <c r="BO68" s="750">
        <f t="shared" si="61"/>
        <v>847241.84974999994</v>
      </c>
      <c r="BP68" s="47"/>
      <c r="BV68"/>
      <c r="CE68"/>
    </row>
    <row r="69" spans="1:83">
      <c r="A69" s="99">
        <v>64</v>
      </c>
      <c r="B69" s="301" t="s">
        <v>157</v>
      </c>
      <c r="C69" s="310">
        <f>'Table 2_State Distrib and Adjs'!AI70</f>
        <v>1297404</v>
      </c>
      <c r="D69" s="361"/>
      <c r="E69" s="361"/>
      <c r="F69" s="361">
        <f>-'Table 5C1A-Madison Prep'!V70</f>
        <v>0</v>
      </c>
      <c r="G69" s="361">
        <f>-'Table 5C1B-DArbonne'!T70</f>
        <v>0</v>
      </c>
      <c r="H69" s="361">
        <f>-'Table 5C1C-Intl_VIBE'!T70</f>
        <v>0</v>
      </c>
      <c r="I69" s="361">
        <f>-'Table 5C1D-NOMMA'!T70</f>
        <v>0</v>
      </c>
      <c r="J69" s="361"/>
      <c r="K69" s="361">
        <f>-'Table 5C1E-LFNO'!V70</f>
        <v>0</v>
      </c>
      <c r="L69" s="361">
        <f>-'Table 5C1F-Lake Charles Charter'!T70</f>
        <v>0</v>
      </c>
      <c r="M69" s="361">
        <f>-'Table 5C1G-JS Clark Academy'!T70</f>
        <v>0</v>
      </c>
      <c r="N69" s="361">
        <f>-'Table 5C1H-Southwest LA Charter'!T70</f>
        <v>0</v>
      </c>
      <c r="O69" s="361">
        <f>-'Table 5C1J-LA Key Academy'!T70</f>
        <v>0</v>
      </c>
      <c r="P69" s="361">
        <f>-'Table 5C1K-Jefferson Chamber'!T70</f>
        <v>0</v>
      </c>
      <c r="Q69" s="361">
        <f>-'Table 5C1L-Tallulah Charter'!T70</f>
        <v>0</v>
      </c>
      <c r="R69" s="361">
        <f>-'Table 5C1M-Northshore Charter'!T70</f>
        <v>0</v>
      </c>
      <c r="S69" s="361">
        <f>-'Table 5C1N-EBR Charter'!T70</f>
        <v>0</v>
      </c>
      <c r="T69" s="361">
        <f>-'Table 5C1O-Lake Charles HS'!T70</f>
        <v>0</v>
      </c>
      <c r="U69" s="361">
        <f>-'Table 5C1P-Delta Charter'!T70</f>
        <v>0</v>
      </c>
      <c r="V69" s="361">
        <f>-'Table 5C2 - LA Virtual Admy'!U67</f>
        <v>-202</v>
      </c>
      <c r="W69" s="361">
        <f>-'Table 5C3 - LA Connections EBR'!U67</f>
        <v>-808</v>
      </c>
      <c r="X69" s="361">
        <f>-'Table 5D1 - New Vision'!S70</f>
        <v>0</v>
      </c>
      <c r="Y69" s="361">
        <f>-'Table 5D2 - Glencoe'!S70</f>
        <v>0</v>
      </c>
      <c r="Z69" s="361">
        <f>-'Table 5D3 - International'!U70</f>
        <v>0</v>
      </c>
      <c r="AA69" s="361">
        <f>-'Table 5D4 - Avoyelles'!S70</f>
        <v>0</v>
      </c>
      <c r="AB69" s="361">
        <f>-'Table 5D5 - Delhi'!S70</f>
        <v>0</v>
      </c>
      <c r="AC69" s="361">
        <f>-'Table 5D6 - Milestone'!S70</f>
        <v>0</v>
      </c>
      <c r="AD69" s="361">
        <f>-'Table 5D7 - Max'!S70</f>
        <v>0</v>
      </c>
      <c r="AE69" s="361">
        <f>-'Table 5D8 - Belle Chasse'!W70</f>
        <v>0</v>
      </c>
      <c r="AF69" s="361">
        <f>-'Table 5E_OJJ'!S70</f>
        <v>0</v>
      </c>
      <c r="AG69" s="361">
        <f>-'Table 5A2 LSMSA'!N70</f>
        <v>-240</v>
      </c>
      <c r="AH69" s="361">
        <f>-'Table 5A3 NOCCA'!L70</f>
        <v>0</v>
      </c>
      <c r="AI69" s="361">
        <f>-'Table 5A4_LSDVI'!L70</f>
        <v>-240</v>
      </c>
      <c r="AJ69" s="361">
        <f>-'Table 5A5_SSD'!L70</f>
        <v>0</v>
      </c>
      <c r="AK69" s="361"/>
      <c r="AL69" s="750">
        <f t="shared" si="60"/>
        <v>1295914</v>
      </c>
      <c r="AM69" s="361"/>
      <c r="AN69" s="361"/>
      <c r="AO69" s="361"/>
      <c r="AP69" s="361">
        <f>'Table 5C1A-Madison Prep'!R70</f>
        <v>0</v>
      </c>
      <c r="AQ69" s="361">
        <f>'Table 5C1B-DArbonne'!P70</f>
        <v>0</v>
      </c>
      <c r="AR69" s="361">
        <f>'Table 5C1C-Intl_VIBE'!P70</f>
        <v>0</v>
      </c>
      <c r="AS69" s="361">
        <f>'Table 5C1D-NOMMA'!P70</f>
        <v>0</v>
      </c>
      <c r="AT69" s="361">
        <f>'Table 5C1E-LFNO'!R70</f>
        <v>0</v>
      </c>
      <c r="AU69" s="361">
        <f>'Table 5C1F-Lake Charles Charter'!P70</f>
        <v>0</v>
      </c>
      <c r="AV69" s="361">
        <f>'Table 5C1G-JS Clark Academy'!P70</f>
        <v>0</v>
      </c>
      <c r="AW69" s="361">
        <f>'Table 5C1H-Southwest LA Charter'!P70</f>
        <v>0</v>
      </c>
      <c r="AX69" s="361">
        <f>'Table 5C1J-LA Key Academy'!P70</f>
        <v>0</v>
      </c>
      <c r="AY69" s="361">
        <f>'Table 5C1K-Jefferson Chamber'!P70</f>
        <v>0</v>
      </c>
      <c r="AZ69" s="361">
        <f>'Table 5C1L-Tallulah Charter'!P70</f>
        <v>0</v>
      </c>
      <c r="BA69" s="361">
        <f>'Table 5C1M-Northshore Charter'!P70</f>
        <v>0</v>
      </c>
      <c r="BB69" s="361">
        <f>'Table 5C1N-EBR Charter'!P70</f>
        <v>0</v>
      </c>
      <c r="BC69" s="361">
        <f>'Table 5C1O-Lake Charles HS'!P70</f>
        <v>0</v>
      </c>
      <c r="BD69" s="361">
        <f>'Table 5C1P-Delta Charter'!P70</f>
        <v>0</v>
      </c>
      <c r="BE69" s="361">
        <f>'Table 5C2 - LA Virtual Admy'!Q67</f>
        <v>-6</v>
      </c>
      <c r="BF69" s="361">
        <f>'Table 5C3 - LA Connections EBR'!Q67</f>
        <v>-24</v>
      </c>
      <c r="BG69" s="361">
        <f>'Table 5D1 - New Vision'!O70</f>
        <v>0</v>
      </c>
      <c r="BH69" s="361">
        <f>'Table 5D2 - Glencoe'!O70</f>
        <v>0</v>
      </c>
      <c r="BI69" s="361">
        <f>'Table 5D3 - International'!Q70</f>
        <v>0</v>
      </c>
      <c r="BJ69" s="361">
        <f>'Table 5D4 - Avoyelles'!O70</f>
        <v>0</v>
      </c>
      <c r="BK69" s="361">
        <f>'Table 5D5 - Delhi'!O70</f>
        <v>0</v>
      </c>
      <c r="BL69" s="361">
        <f>'Table 5D6 - Milestone'!O70</f>
        <v>0</v>
      </c>
      <c r="BM69" s="361">
        <f>'Table 5D7 - Max'!O70</f>
        <v>0</v>
      </c>
      <c r="BN69" s="361">
        <f>'Table 5D8 - Belle Chasse'!S70</f>
        <v>0</v>
      </c>
      <c r="BO69" s="750">
        <f t="shared" si="61"/>
        <v>1295884</v>
      </c>
      <c r="BP69" s="47"/>
      <c r="BV69"/>
      <c r="CE69"/>
    </row>
    <row r="70" spans="1:83">
      <c r="A70" s="100">
        <v>65</v>
      </c>
      <c r="B70" s="302" t="s">
        <v>158</v>
      </c>
      <c r="C70" s="319">
        <f>'Table 2_State Distrib and Adjs'!AI71</f>
        <v>3712078</v>
      </c>
      <c r="D70" s="362"/>
      <c r="E70" s="362"/>
      <c r="F70" s="362">
        <f>-'Table 5C1A-Madison Prep'!V71</f>
        <v>0</v>
      </c>
      <c r="G70" s="362">
        <f>-'Table 5C1B-DArbonne'!T71</f>
        <v>-1200.2418749999999</v>
      </c>
      <c r="H70" s="362">
        <f>-'Table 5C1C-Intl_VIBE'!T71</f>
        <v>0</v>
      </c>
      <c r="I70" s="362">
        <f>-'Table 5C1D-NOMMA'!T71</f>
        <v>0</v>
      </c>
      <c r="J70" s="362"/>
      <c r="K70" s="362">
        <f>-'Table 5C1E-LFNO'!V71</f>
        <v>0</v>
      </c>
      <c r="L70" s="362">
        <f>-'Table 5C1F-Lake Charles Charter'!T71</f>
        <v>0</v>
      </c>
      <c r="M70" s="362">
        <f>-'Table 5C1G-JS Clark Academy'!T71</f>
        <v>0</v>
      </c>
      <c r="N70" s="362">
        <f>-'Table 5C1H-Southwest LA Charter'!T71</f>
        <v>0</v>
      </c>
      <c r="O70" s="362">
        <f>-'Table 5C1J-LA Key Academy'!T71</f>
        <v>0</v>
      </c>
      <c r="P70" s="362">
        <f>-'Table 5C1K-Jefferson Chamber'!T71</f>
        <v>0</v>
      </c>
      <c r="Q70" s="362">
        <f>-'Table 5C1L-Tallulah Charter'!T71</f>
        <v>0</v>
      </c>
      <c r="R70" s="362">
        <f>-'Table 5C1M-Northshore Charter'!T71</f>
        <v>0</v>
      </c>
      <c r="S70" s="362">
        <f>-'Table 5C1N-EBR Charter'!T71</f>
        <v>0</v>
      </c>
      <c r="T70" s="362">
        <f>-'Table 5C1O-Lake Charles HS'!T71</f>
        <v>0</v>
      </c>
      <c r="U70" s="362">
        <f>-'Table 5C1P-Delta Charter'!T71</f>
        <v>0</v>
      </c>
      <c r="V70" s="362">
        <f>-'Table 5C2 - LA Virtual Admy'!U68</f>
        <v>701</v>
      </c>
      <c r="W70" s="362">
        <f>-'Table 5C3 - LA Connections EBR'!U68</f>
        <v>-2242</v>
      </c>
      <c r="X70" s="362">
        <f>-'Table 5D1 - New Vision'!S71</f>
        <v>-73615</v>
      </c>
      <c r="Y70" s="362">
        <f>-'Table 5D2 - Glencoe'!S71</f>
        <v>0</v>
      </c>
      <c r="Z70" s="362">
        <f>-'Table 5D3 - International'!U71</f>
        <v>0</v>
      </c>
      <c r="AA70" s="362">
        <f>-'Table 5D4 - Avoyelles'!S71</f>
        <v>0</v>
      </c>
      <c r="AB70" s="362">
        <f>-'Table 5D5 - Delhi'!S71</f>
        <v>0</v>
      </c>
      <c r="AC70" s="362">
        <f>-'Table 5D6 - Milestone'!S71</f>
        <v>0</v>
      </c>
      <c r="AD70" s="362">
        <f>-'Table 5D7 - Max'!S71</f>
        <v>0</v>
      </c>
      <c r="AE70" s="362">
        <f>-'Table 5D8 - Belle Chasse'!W71</f>
        <v>0</v>
      </c>
      <c r="AF70" s="362">
        <f>-'Table 5E_OJJ'!S71</f>
        <v>-400</v>
      </c>
      <c r="AG70" s="362">
        <f>-'Table 5A2 LSMSA'!N71</f>
        <v>0</v>
      </c>
      <c r="AH70" s="362">
        <f>-'Table 5A3 NOCCA'!L71</f>
        <v>0</v>
      </c>
      <c r="AI70" s="362">
        <f>-'Table 5A4_LSDVI'!L71</f>
        <v>-649</v>
      </c>
      <c r="AJ70" s="362">
        <f>-'Table 5A5_SSD'!L71</f>
        <v>-1622</v>
      </c>
      <c r="AK70" s="362"/>
      <c r="AL70" s="751">
        <f t="shared" si="60"/>
        <v>3633050.7581250002</v>
      </c>
      <c r="AM70" s="362"/>
      <c r="AN70" s="362"/>
      <c r="AO70" s="362"/>
      <c r="AP70" s="362">
        <f>'Table 5C1A-Madison Prep'!R71</f>
        <v>0</v>
      </c>
      <c r="AQ70" s="362">
        <f>'Table 5C1B-DArbonne'!P71</f>
        <v>-36.097500000000004</v>
      </c>
      <c r="AR70" s="362">
        <f>'Table 5C1C-Intl_VIBE'!P71</f>
        <v>0</v>
      </c>
      <c r="AS70" s="362">
        <f>'Table 5C1D-NOMMA'!P71</f>
        <v>0</v>
      </c>
      <c r="AT70" s="362">
        <f>'Table 5C1E-LFNO'!R71</f>
        <v>0</v>
      </c>
      <c r="AU70" s="362">
        <f>'Table 5C1F-Lake Charles Charter'!P71</f>
        <v>0</v>
      </c>
      <c r="AV70" s="362">
        <f>'Table 5C1G-JS Clark Academy'!P71</f>
        <v>0</v>
      </c>
      <c r="AW70" s="362">
        <f>'Table 5C1H-Southwest LA Charter'!P71</f>
        <v>0</v>
      </c>
      <c r="AX70" s="362">
        <f>'Table 5C1J-LA Key Academy'!P71</f>
        <v>0</v>
      </c>
      <c r="AY70" s="362">
        <f>'Table 5C1K-Jefferson Chamber'!P71</f>
        <v>0</v>
      </c>
      <c r="AZ70" s="362">
        <f>'Table 5C1L-Tallulah Charter'!P71</f>
        <v>0</v>
      </c>
      <c r="BA70" s="362">
        <f>'Table 5C1M-Northshore Charter'!P71</f>
        <v>0</v>
      </c>
      <c r="BB70" s="362">
        <f>'Table 5C1N-EBR Charter'!P71</f>
        <v>0</v>
      </c>
      <c r="BC70" s="362">
        <f>'Table 5C1O-Lake Charles HS'!P71</f>
        <v>0</v>
      </c>
      <c r="BD70" s="362">
        <f>'Table 5C1P-Delta Charter'!P71</f>
        <v>0</v>
      </c>
      <c r="BE70" s="362">
        <f>'Table 5C2 - LA Virtual Admy'!Q68</f>
        <v>0</v>
      </c>
      <c r="BF70" s="362">
        <f>'Table 5C3 - LA Connections EBR'!Q68</f>
        <v>-43</v>
      </c>
      <c r="BG70" s="362">
        <f>'Table 5D1 - New Vision'!O71</f>
        <v>-2213.98</v>
      </c>
      <c r="BH70" s="362">
        <f>'Table 5D2 - Glencoe'!O71</f>
        <v>0</v>
      </c>
      <c r="BI70" s="362">
        <f>'Table 5D3 - International'!Q71</f>
        <v>0</v>
      </c>
      <c r="BJ70" s="362">
        <f>'Table 5D4 - Avoyelles'!O71</f>
        <v>0</v>
      </c>
      <c r="BK70" s="362">
        <f>'Table 5D5 - Delhi'!O71</f>
        <v>0</v>
      </c>
      <c r="BL70" s="362">
        <f>'Table 5D6 - Milestone'!O71</f>
        <v>0</v>
      </c>
      <c r="BM70" s="362">
        <f>'Table 5D7 - Max'!O71</f>
        <v>0</v>
      </c>
      <c r="BN70" s="362">
        <f>'Table 5D8 - Belle Chasse'!S71</f>
        <v>0</v>
      </c>
      <c r="BO70" s="751">
        <f t="shared" si="61"/>
        <v>3630757.680625</v>
      </c>
      <c r="BP70" s="47"/>
      <c r="BV70"/>
      <c r="CE70"/>
    </row>
    <row r="71" spans="1:83">
      <c r="A71" s="134">
        <v>66</v>
      </c>
      <c r="B71" s="303" t="s">
        <v>159</v>
      </c>
      <c r="C71" s="312">
        <f>'Table 2_State Distrib and Adjs'!AI72</f>
        <v>1189787</v>
      </c>
      <c r="D71" s="363"/>
      <c r="E71" s="363"/>
      <c r="F71" s="363">
        <f>-'Table 5C1A-Madison Prep'!V72</f>
        <v>0</v>
      </c>
      <c r="G71" s="363">
        <f>-'Table 5C1B-DArbonne'!T72</f>
        <v>0</v>
      </c>
      <c r="H71" s="363">
        <f>-'Table 5C1C-Intl_VIBE'!T72</f>
        <v>0</v>
      </c>
      <c r="I71" s="363">
        <f>-'Table 5C1D-NOMMA'!T72</f>
        <v>0</v>
      </c>
      <c r="J71" s="363"/>
      <c r="K71" s="363">
        <f>-'Table 5C1E-LFNO'!V72</f>
        <v>0</v>
      </c>
      <c r="L71" s="363">
        <f>-'Table 5C1F-Lake Charles Charter'!T72</f>
        <v>0</v>
      </c>
      <c r="M71" s="363">
        <f>-'Table 5C1G-JS Clark Academy'!T72</f>
        <v>0</v>
      </c>
      <c r="N71" s="363">
        <f>-'Table 5C1H-Southwest LA Charter'!T72</f>
        <v>0</v>
      </c>
      <c r="O71" s="363">
        <f>-'Table 5C1J-LA Key Academy'!T72</f>
        <v>0</v>
      </c>
      <c r="P71" s="363">
        <f>-'Table 5C1K-Jefferson Chamber'!T72</f>
        <v>0</v>
      </c>
      <c r="Q71" s="363">
        <f>-'Table 5C1L-Tallulah Charter'!T72</f>
        <v>0</v>
      </c>
      <c r="R71" s="363">
        <f>-'Table 5C1M-Northshore Charter'!T72</f>
        <v>-33610.762500000004</v>
      </c>
      <c r="S71" s="363">
        <f>-'Table 5C1N-EBR Charter'!T72</f>
        <v>0</v>
      </c>
      <c r="T71" s="363">
        <f>-'Table 5C1O-Lake Charles HS'!T72</f>
        <v>0</v>
      </c>
      <c r="U71" s="363">
        <f>-'Table 5C1P-Delta Charter'!T72</f>
        <v>0</v>
      </c>
      <c r="V71" s="363">
        <f>-'Table 5C2 - LA Virtual Admy'!U69</f>
        <v>-275</v>
      </c>
      <c r="W71" s="363">
        <f>-'Table 5C3 - LA Connections EBR'!U69</f>
        <v>-819</v>
      </c>
      <c r="X71" s="363">
        <f>-'Table 5D1 - New Vision'!S72</f>
        <v>0</v>
      </c>
      <c r="Y71" s="363">
        <f>-'Table 5D2 - Glencoe'!S72</f>
        <v>0</v>
      </c>
      <c r="Z71" s="363">
        <f>-'Table 5D3 - International'!U72</f>
        <v>0</v>
      </c>
      <c r="AA71" s="363">
        <f>-'Table 5D4 - Avoyelles'!S72</f>
        <v>0</v>
      </c>
      <c r="AB71" s="363">
        <f>-'Table 5D5 - Delhi'!S72</f>
        <v>0</v>
      </c>
      <c r="AC71" s="363">
        <f>-'Table 5D6 - Milestone'!S72</f>
        <v>0</v>
      </c>
      <c r="AD71" s="363">
        <f>-'Table 5D7 - Max'!S72</f>
        <v>0</v>
      </c>
      <c r="AE71" s="363">
        <f>-'Table 5D8 - Belle Chasse'!W72</f>
        <v>0</v>
      </c>
      <c r="AF71" s="363">
        <f>-'Table 5E_OJJ'!S72</f>
        <v>0</v>
      </c>
      <c r="AG71" s="363">
        <f>-'Table 5A2 LSMSA'!N72</f>
        <v>0</v>
      </c>
      <c r="AH71" s="363">
        <f>-'Table 5A3 NOCCA'!L72</f>
        <v>0</v>
      </c>
      <c r="AI71" s="363">
        <f>-'Table 5A4_LSDVI'!L72</f>
        <v>-305</v>
      </c>
      <c r="AJ71" s="363">
        <f>-'Table 5A5_SSD'!L72</f>
        <v>-305</v>
      </c>
      <c r="AK71" s="363"/>
      <c r="AL71" s="753">
        <f t="shared" ref="AL71:AL74" si="62">SUM(C71:AK71)</f>
        <v>1154472.2375</v>
      </c>
      <c r="AM71" s="363"/>
      <c r="AN71" s="363"/>
      <c r="AO71" s="363"/>
      <c r="AP71" s="363">
        <f>'Table 5C1A-Madison Prep'!R72</f>
        <v>0</v>
      </c>
      <c r="AQ71" s="363">
        <f>'Table 5C1B-DArbonne'!P72</f>
        <v>0</v>
      </c>
      <c r="AR71" s="363">
        <f>'Table 5C1C-Intl_VIBE'!P72</f>
        <v>0</v>
      </c>
      <c r="AS71" s="363">
        <f>'Table 5C1D-NOMMA'!P72</f>
        <v>0</v>
      </c>
      <c r="AT71" s="363">
        <f>'Table 5C1E-LFNO'!R72</f>
        <v>0</v>
      </c>
      <c r="AU71" s="363">
        <f>'Table 5C1F-Lake Charles Charter'!P72</f>
        <v>0</v>
      </c>
      <c r="AV71" s="363">
        <f>'Table 5C1G-JS Clark Academy'!P72</f>
        <v>0</v>
      </c>
      <c r="AW71" s="363">
        <f>'Table 5C1H-Southwest LA Charter'!P72</f>
        <v>0</v>
      </c>
      <c r="AX71" s="363">
        <f>'Table 5C1J-LA Key Academy'!P72</f>
        <v>0</v>
      </c>
      <c r="AY71" s="363">
        <f>'Table 5C1K-Jefferson Chamber'!P72</f>
        <v>0</v>
      </c>
      <c r="AZ71" s="363">
        <f>'Table 5C1L-Tallulah Charter'!P72</f>
        <v>0</v>
      </c>
      <c r="BA71" s="363">
        <f>'Table 5C1M-Northshore Charter'!P72</f>
        <v>-1010.85</v>
      </c>
      <c r="BB71" s="363">
        <f>'Table 5C1N-EBR Charter'!P72</f>
        <v>0</v>
      </c>
      <c r="BC71" s="363">
        <f>'Table 5C1O-Lake Charles HS'!P72</f>
        <v>0</v>
      </c>
      <c r="BD71" s="363">
        <f>'Table 5C1P-Delta Charter'!P72</f>
        <v>0</v>
      </c>
      <c r="BE71" s="363">
        <f>'Table 5C2 - LA Virtual Admy'!Q69</f>
        <v>-24</v>
      </c>
      <c r="BF71" s="363">
        <f>'Table 5C3 - LA Connections EBR'!Q69</f>
        <v>-16</v>
      </c>
      <c r="BG71" s="363">
        <f>'Table 5D1 - New Vision'!O72</f>
        <v>0</v>
      </c>
      <c r="BH71" s="363">
        <f>'Table 5D2 - Glencoe'!O72</f>
        <v>0</v>
      </c>
      <c r="BI71" s="363">
        <f>'Table 5D3 - International'!Q72</f>
        <v>0</v>
      </c>
      <c r="BJ71" s="363">
        <f>'Table 5D4 - Avoyelles'!O72</f>
        <v>0</v>
      </c>
      <c r="BK71" s="363">
        <f>'Table 5D5 - Delhi'!O72</f>
        <v>0</v>
      </c>
      <c r="BL71" s="363">
        <f>'Table 5D6 - Milestone'!O72</f>
        <v>0</v>
      </c>
      <c r="BM71" s="363">
        <f>'Table 5D7 - Max'!O72</f>
        <v>0</v>
      </c>
      <c r="BN71" s="363">
        <f>'Table 5D8 - Belle Chasse'!S72</f>
        <v>0</v>
      </c>
      <c r="BO71" s="753">
        <f t="shared" ref="BO71:BO74" si="63">SUM(AL71:BN71)</f>
        <v>1153421.3875</v>
      </c>
      <c r="BP71" s="47"/>
      <c r="BV71"/>
      <c r="CE71"/>
    </row>
    <row r="72" spans="1:83">
      <c r="A72" s="353">
        <v>67</v>
      </c>
      <c r="B72" s="304" t="s">
        <v>32</v>
      </c>
      <c r="C72" s="310">
        <f>'Table 2_State Distrib and Adjs'!AI73</f>
        <v>2418557</v>
      </c>
      <c r="D72" s="361"/>
      <c r="E72" s="361"/>
      <c r="F72" s="361">
        <f>-'Table 5C1A-Madison Prep'!V73</f>
        <v>-839.89499999999998</v>
      </c>
      <c r="G72" s="361">
        <f>-'Table 5C1B-DArbonne'!T73</f>
        <v>0</v>
      </c>
      <c r="H72" s="361">
        <f>-'Table 5C1C-Intl_VIBE'!T73</f>
        <v>0</v>
      </c>
      <c r="I72" s="361">
        <f>-'Table 5C1D-NOMMA'!T73</f>
        <v>0</v>
      </c>
      <c r="J72" s="361"/>
      <c r="K72" s="361">
        <f>-'Table 5C1E-LFNO'!V73</f>
        <v>0</v>
      </c>
      <c r="L72" s="361">
        <f>-'Table 5C1F-Lake Charles Charter'!T73</f>
        <v>0</v>
      </c>
      <c r="M72" s="361">
        <f>-'Table 5C1G-JS Clark Academy'!T73</f>
        <v>0</v>
      </c>
      <c r="N72" s="361">
        <f>-'Table 5C1H-Southwest LA Charter'!T73</f>
        <v>0</v>
      </c>
      <c r="O72" s="361">
        <f>-'Table 5C1J-LA Key Academy'!T73</f>
        <v>0</v>
      </c>
      <c r="P72" s="361">
        <f>-'Table 5C1K-Jefferson Chamber'!T73</f>
        <v>0</v>
      </c>
      <c r="Q72" s="361">
        <f>-'Table 5C1L-Tallulah Charter'!T73</f>
        <v>0</v>
      </c>
      <c r="R72" s="361">
        <f>-'Table 5C1M-Northshore Charter'!T73</f>
        <v>0</v>
      </c>
      <c r="S72" s="361">
        <f>-'Table 5C1N-EBR Charter'!T73</f>
        <v>0</v>
      </c>
      <c r="T72" s="361">
        <f>-'Table 5C1O-Lake Charles HS'!T73</f>
        <v>0</v>
      </c>
      <c r="U72" s="361">
        <f>-'Table 5C1P-Delta Charter'!T73</f>
        <v>0</v>
      </c>
      <c r="V72" s="361">
        <f>-'Table 5C2 - LA Virtual Admy'!U70</f>
        <v>-51</v>
      </c>
      <c r="W72" s="361">
        <f>-'Table 5C3 - LA Connections EBR'!U70</f>
        <v>-1555</v>
      </c>
      <c r="X72" s="361">
        <f>-'Table 5D1 - New Vision'!S73</f>
        <v>0</v>
      </c>
      <c r="Y72" s="361">
        <f>-'Table 5D2 - Glencoe'!S73</f>
        <v>0</v>
      </c>
      <c r="Z72" s="361">
        <f>-'Table 5D3 - International'!U73</f>
        <v>0</v>
      </c>
      <c r="AA72" s="361">
        <f>-'Table 5D4 - Avoyelles'!S73</f>
        <v>0</v>
      </c>
      <c r="AB72" s="361">
        <f>-'Table 5D5 - Delhi'!S73</f>
        <v>0</v>
      </c>
      <c r="AC72" s="361">
        <f>-'Table 5D6 - Milestone'!S73</f>
        <v>0</v>
      </c>
      <c r="AD72" s="361">
        <f>-'Table 5D7 - Max'!S73</f>
        <v>0</v>
      </c>
      <c r="AE72" s="361">
        <f>-'Table 5D8 - Belle Chasse'!W73</f>
        <v>0</v>
      </c>
      <c r="AF72" s="361">
        <f>-'Table 5E_OJJ'!S73</f>
        <v>-19</v>
      </c>
      <c r="AG72" s="361">
        <f>-'Table 5A2 LSMSA'!N73</f>
        <v>0</v>
      </c>
      <c r="AH72" s="361">
        <f>-'Table 5A3 NOCCA'!L73</f>
        <v>0</v>
      </c>
      <c r="AI72" s="361">
        <f>-'Table 5A4_LSDVI'!L73</f>
        <v>-809</v>
      </c>
      <c r="AJ72" s="361">
        <f>-'Table 5A5_SSD'!L73</f>
        <v>-809</v>
      </c>
      <c r="AK72" s="361"/>
      <c r="AL72" s="750">
        <f t="shared" si="62"/>
        <v>2414474.105</v>
      </c>
      <c r="AM72" s="361"/>
      <c r="AN72" s="361"/>
      <c r="AO72" s="361"/>
      <c r="AP72" s="361">
        <f>'Table 5C1A-Madison Prep'!R73</f>
        <v>-25.26</v>
      </c>
      <c r="AQ72" s="361">
        <f>'Table 5C1B-DArbonne'!P73</f>
        <v>0</v>
      </c>
      <c r="AR72" s="361">
        <f>'Table 5C1C-Intl_VIBE'!P73</f>
        <v>0</v>
      </c>
      <c r="AS72" s="361">
        <f>'Table 5C1D-NOMMA'!P73</f>
        <v>0</v>
      </c>
      <c r="AT72" s="361">
        <f>'Table 5C1E-LFNO'!R73</f>
        <v>0</v>
      </c>
      <c r="AU72" s="361">
        <f>'Table 5C1F-Lake Charles Charter'!P73</f>
        <v>0</v>
      </c>
      <c r="AV72" s="361">
        <f>'Table 5C1G-JS Clark Academy'!P73</f>
        <v>0</v>
      </c>
      <c r="AW72" s="361">
        <f>'Table 5C1H-Southwest LA Charter'!P73</f>
        <v>0</v>
      </c>
      <c r="AX72" s="361">
        <f>'Table 5C1J-LA Key Academy'!P73</f>
        <v>0</v>
      </c>
      <c r="AY72" s="361">
        <f>'Table 5C1K-Jefferson Chamber'!P73</f>
        <v>0</v>
      </c>
      <c r="AZ72" s="361">
        <f>'Table 5C1L-Tallulah Charter'!P73</f>
        <v>0</v>
      </c>
      <c r="BA72" s="361">
        <f>'Table 5C1M-Northshore Charter'!P73</f>
        <v>0</v>
      </c>
      <c r="BB72" s="361">
        <f>'Table 5C1N-EBR Charter'!P73</f>
        <v>0</v>
      </c>
      <c r="BC72" s="361">
        <f>'Table 5C1O-Lake Charles HS'!P73</f>
        <v>0</v>
      </c>
      <c r="BD72" s="361">
        <f>'Table 5C1P-Delta Charter'!P73</f>
        <v>0</v>
      </c>
      <c r="BE72" s="361">
        <f>'Table 5C2 - LA Virtual Admy'!Q70</f>
        <v>-11</v>
      </c>
      <c r="BF72" s="361">
        <f>'Table 5C3 - LA Connections EBR'!Q70</f>
        <v>-34</v>
      </c>
      <c r="BG72" s="361">
        <f>'Table 5D1 - New Vision'!O73</f>
        <v>0</v>
      </c>
      <c r="BH72" s="361">
        <f>'Table 5D2 - Glencoe'!O73</f>
        <v>0</v>
      </c>
      <c r="BI72" s="361">
        <f>'Table 5D3 - International'!Q73</f>
        <v>0</v>
      </c>
      <c r="BJ72" s="361">
        <f>'Table 5D4 - Avoyelles'!O73</f>
        <v>0</v>
      </c>
      <c r="BK72" s="361">
        <f>'Table 5D5 - Delhi'!O73</f>
        <v>0</v>
      </c>
      <c r="BL72" s="361">
        <f>'Table 5D6 - Milestone'!O73</f>
        <v>0</v>
      </c>
      <c r="BM72" s="361">
        <f>'Table 5D7 - Max'!O73</f>
        <v>0</v>
      </c>
      <c r="BN72" s="361">
        <f>'Table 5D8 - Belle Chasse'!S73</f>
        <v>0</v>
      </c>
      <c r="BO72" s="750">
        <f t="shared" si="63"/>
        <v>2414403.8450000002</v>
      </c>
      <c r="BP72" s="47"/>
      <c r="BV72"/>
      <c r="CE72"/>
    </row>
    <row r="73" spans="1:83">
      <c r="A73" s="99">
        <v>68</v>
      </c>
      <c r="B73" s="301" t="s">
        <v>30</v>
      </c>
      <c r="C73" s="310">
        <f>'Table 2_State Distrib and Adjs'!AI74</f>
        <v>964464</v>
      </c>
      <c r="D73" s="361"/>
      <c r="E73" s="361"/>
      <c r="F73" s="361">
        <f>-'Table 5C1A-Madison Prep'!V74</f>
        <v>-918.6975000000001</v>
      </c>
      <c r="G73" s="361">
        <f>-'Table 5C1B-DArbonne'!T74</f>
        <v>0</v>
      </c>
      <c r="H73" s="361">
        <f>-'Table 5C1C-Intl_VIBE'!T74</f>
        <v>0</v>
      </c>
      <c r="I73" s="361">
        <f>-'Table 5C1D-NOMMA'!T74</f>
        <v>0</v>
      </c>
      <c r="J73" s="361"/>
      <c r="K73" s="361">
        <f>-'Table 5C1E-LFNO'!V74</f>
        <v>0</v>
      </c>
      <c r="L73" s="361">
        <f>-'Table 5C1F-Lake Charles Charter'!T74</f>
        <v>0</v>
      </c>
      <c r="M73" s="361">
        <f>-'Table 5C1G-JS Clark Academy'!T74</f>
        <v>0</v>
      </c>
      <c r="N73" s="361">
        <f>-'Table 5C1H-Southwest LA Charter'!T74</f>
        <v>0</v>
      </c>
      <c r="O73" s="361">
        <f>-'Table 5C1J-LA Key Academy'!T74</f>
        <v>0</v>
      </c>
      <c r="P73" s="361">
        <f>-'Table 5C1K-Jefferson Chamber'!T74</f>
        <v>0</v>
      </c>
      <c r="Q73" s="361">
        <f>-'Table 5C1L-Tallulah Charter'!T74</f>
        <v>0</v>
      </c>
      <c r="R73" s="361">
        <f>-'Table 5C1M-Northshore Charter'!T74</f>
        <v>0</v>
      </c>
      <c r="S73" s="361">
        <f>-'Table 5C1N-EBR Charter'!T74</f>
        <v>-62241.755624999998</v>
      </c>
      <c r="T73" s="361">
        <f>-'Table 5C1O-Lake Charles HS'!T74</f>
        <v>0</v>
      </c>
      <c r="U73" s="361">
        <f>-'Table 5C1P-Delta Charter'!T74</f>
        <v>0</v>
      </c>
      <c r="V73" s="361">
        <f>-'Table 5C2 - LA Virtual Admy'!U71</f>
        <v>-511</v>
      </c>
      <c r="W73" s="361">
        <f>-'Table 5C3 - LA Connections EBR'!U71</f>
        <v>-2504</v>
      </c>
      <c r="X73" s="361">
        <f>-'Table 5D1 - New Vision'!S74</f>
        <v>0</v>
      </c>
      <c r="Y73" s="361">
        <f>-'Table 5D2 - Glencoe'!S74</f>
        <v>0</v>
      </c>
      <c r="Z73" s="361">
        <f>-'Table 5D3 - International'!U74</f>
        <v>0</v>
      </c>
      <c r="AA73" s="361">
        <f>-'Table 5D4 - Avoyelles'!S74</f>
        <v>0</v>
      </c>
      <c r="AB73" s="361">
        <f>-'Table 5D5 - Delhi'!S74</f>
        <v>0</v>
      </c>
      <c r="AC73" s="361">
        <f>-'Table 5D6 - Milestone'!S74</f>
        <v>0</v>
      </c>
      <c r="AD73" s="361">
        <f>-'Table 5D7 - Max'!S74</f>
        <v>0</v>
      </c>
      <c r="AE73" s="361">
        <f>-'Table 5D8 - Belle Chasse'!W74</f>
        <v>0</v>
      </c>
      <c r="AF73" s="361">
        <f>-'Table 5E_OJJ'!S74</f>
        <v>0</v>
      </c>
      <c r="AG73" s="361">
        <f>-'Table 5A2 LSMSA'!N74</f>
        <v>0</v>
      </c>
      <c r="AH73" s="361">
        <f>-'Table 5A3 NOCCA'!L74</f>
        <v>0</v>
      </c>
      <c r="AI73" s="361">
        <f>-'Table 5A4_LSDVI'!L74</f>
        <v>-694</v>
      </c>
      <c r="AJ73" s="361">
        <f>-'Table 5A5_SSD'!L74</f>
        <v>0</v>
      </c>
      <c r="AK73" s="361"/>
      <c r="AL73" s="750">
        <f t="shared" si="62"/>
        <v>897594.546875</v>
      </c>
      <c r="AM73" s="361"/>
      <c r="AN73" s="361"/>
      <c r="AO73" s="361"/>
      <c r="AP73" s="361">
        <f>'Table 5C1A-Madison Prep'!R74</f>
        <v>-27.63</v>
      </c>
      <c r="AQ73" s="361">
        <f>'Table 5C1B-DArbonne'!P74</f>
        <v>0</v>
      </c>
      <c r="AR73" s="361">
        <f>'Table 5C1C-Intl_VIBE'!P74</f>
        <v>0</v>
      </c>
      <c r="AS73" s="361">
        <f>'Table 5C1D-NOMMA'!P74</f>
        <v>0</v>
      </c>
      <c r="AT73" s="361">
        <f>'Table 5C1E-LFNO'!R74</f>
        <v>0</v>
      </c>
      <c r="AU73" s="361">
        <f>'Table 5C1F-Lake Charles Charter'!P74</f>
        <v>0</v>
      </c>
      <c r="AV73" s="361">
        <f>'Table 5C1G-JS Clark Academy'!P74</f>
        <v>0</v>
      </c>
      <c r="AW73" s="361">
        <f>'Table 5C1H-Southwest LA Charter'!P74</f>
        <v>0</v>
      </c>
      <c r="AX73" s="361">
        <f>'Table 5C1J-LA Key Academy'!P74</f>
        <v>0</v>
      </c>
      <c r="AY73" s="361">
        <f>'Table 5C1K-Jefferson Chamber'!P74</f>
        <v>0</v>
      </c>
      <c r="AZ73" s="361">
        <f>'Table 5C1L-Tallulah Charter'!P74</f>
        <v>0</v>
      </c>
      <c r="BA73" s="361">
        <f>'Table 5C1M-Northshore Charter'!P74</f>
        <v>0</v>
      </c>
      <c r="BB73" s="361">
        <f>'Table 5C1N-EBR Charter'!P74</f>
        <v>-1871.9325000000001</v>
      </c>
      <c r="BC73" s="361">
        <f>'Table 5C1O-Lake Charles HS'!P74</f>
        <v>0</v>
      </c>
      <c r="BD73" s="361">
        <f>'Table 5C1P-Delta Charter'!P74</f>
        <v>0</v>
      </c>
      <c r="BE73" s="361">
        <f>'Table 5C2 - LA Virtual Admy'!Q71</f>
        <v>-19</v>
      </c>
      <c r="BF73" s="361">
        <f>'Table 5C3 - LA Connections EBR'!Q71</f>
        <v>-68</v>
      </c>
      <c r="BG73" s="361">
        <f>'Table 5D1 - New Vision'!O74</f>
        <v>0</v>
      </c>
      <c r="BH73" s="361">
        <f>'Table 5D2 - Glencoe'!O74</f>
        <v>0</v>
      </c>
      <c r="BI73" s="361">
        <f>'Table 5D3 - International'!Q74</f>
        <v>0</v>
      </c>
      <c r="BJ73" s="361">
        <f>'Table 5D4 - Avoyelles'!O74</f>
        <v>0</v>
      </c>
      <c r="BK73" s="361">
        <f>'Table 5D5 - Delhi'!O74</f>
        <v>0</v>
      </c>
      <c r="BL73" s="361">
        <f>'Table 5D6 - Milestone'!O74</f>
        <v>0</v>
      </c>
      <c r="BM73" s="361">
        <f>'Table 5D7 - Max'!O74</f>
        <v>0</v>
      </c>
      <c r="BN73" s="361">
        <f>'Table 5D8 - Belle Chasse'!S74</f>
        <v>0</v>
      </c>
      <c r="BO73" s="750">
        <f t="shared" si="63"/>
        <v>895607.984375</v>
      </c>
      <c r="BP73" s="47"/>
      <c r="BV73"/>
      <c r="CE73"/>
    </row>
    <row r="74" spans="1:83">
      <c r="A74" s="100">
        <v>69</v>
      </c>
      <c r="B74" s="302" t="s">
        <v>213</v>
      </c>
      <c r="C74" s="319">
        <f>'Table 2_State Distrib and Adjs'!AI75</f>
        <v>2184507</v>
      </c>
      <c r="D74" s="362"/>
      <c r="E74" s="362"/>
      <c r="F74" s="362">
        <f>-'Table 5C1A-Madison Prep'!V75</f>
        <v>0</v>
      </c>
      <c r="G74" s="362">
        <f>-'Table 5C1B-DArbonne'!T75</f>
        <v>0</v>
      </c>
      <c r="H74" s="362">
        <f>-'Table 5C1C-Intl_VIBE'!T75</f>
        <v>0</v>
      </c>
      <c r="I74" s="362">
        <f>-'Table 5C1D-NOMMA'!T75</f>
        <v>0</v>
      </c>
      <c r="J74" s="362"/>
      <c r="K74" s="362">
        <f>-'Table 5C1E-LFNO'!V75</f>
        <v>0</v>
      </c>
      <c r="L74" s="362">
        <f>-'Table 5C1F-Lake Charles Charter'!T75</f>
        <v>0</v>
      </c>
      <c r="M74" s="362">
        <f>-'Table 5C1G-JS Clark Academy'!T75</f>
        <v>0</v>
      </c>
      <c r="N74" s="362">
        <f>-'Table 5C1H-Southwest LA Charter'!T75</f>
        <v>0</v>
      </c>
      <c r="O74" s="362">
        <f>-'Table 5C1J-LA Key Academy'!T75</f>
        <v>0</v>
      </c>
      <c r="P74" s="362">
        <f>-'Table 5C1K-Jefferson Chamber'!T75</f>
        <v>0</v>
      </c>
      <c r="Q74" s="362">
        <f>-'Table 5C1L-Tallulah Charter'!T75</f>
        <v>0</v>
      </c>
      <c r="R74" s="362">
        <f>-'Table 5C1M-Northshore Charter'!T75</f>
        <v>0</v>
      </c>
      <c r="S74" s="362">
        <f>-'Table 5C1N-EBR Charter'!T75</f>
        <v>0</v>
      </c>
      <c r="T74" s="362">
        <f>-'Table 5C1O-Lake Charles HS'!T75</f>
        <v>0</v>
      </c>
      <c r="U74" s="362">
        <f>-'Table 5C1P-Delta Charter'!T75</f>
        <v>0</v>
      </c>
      <c r="V74" s="362">
        <f>-'Table 5C2 - LA Virtual Admy'!U72</f>
        <v>-2363</v>
      </c>
      <c r="W74" s="362">
        <f>-'Table 5C3 - LA Connections EBR'!U72</f>
        <v>-775</v>
      </c>
      <c r="X74" s="362">
        <f>-'Table 5D1 - New Vision'!S75</f>
        <v>0</v>
      </c>
      <c r="Y74" s="362">
        <f>-'Table 5D2 - Glencoe'!S75</f>
        <v>0</v>
      </c>
      <c r="Z74" s="362">
        <f>-'Table 5D3 - International'!U75</f>
        <v>0</v>
      </c>
      <c r="AA74" s="362">
        <f>-'Table 5D4 - Avoyelles'!S75</f>
        <v>0</v>
      </c>
      <c r="AB74" s="362">
        <f>-'Table 5D5 - Delhi'!S75</f>
        <v>0</v>
      </c>
      <c r="AC74" s="362">
        <f>-'Table 5D6 - Milestone'!S75</f>
        <v>0</v>
      </c>
      <c r="AD74" s="362">
        <f>-'Table 5D7 - Max'!S75</f>
        <v>0</v>
      </c>
      <c r="AE74" s="362">
        <f>-'Table 5D8 - Belle Chasse'!W75</f>
        <v>0</v>
      </c>
      <c r="AF74" s="362">
        <f>-'Table 5E_OJJ'!S75</f>
        <v>0</v>
      </c>
      <c r="AG74" s="362">
        <f>-'Table 5A2 LSMSA'!N75</f>
        <v>0</v>
      </c>
      <c r="AH74" s="362">
        <f>-'Table 5A3 NOCCA'!L75</f>
        <v>0</v>
      </c>
      <c r="AI74" s="362">
        <f>-'Table 5A4_LSDVI'!L75</f>
        <v>-474</v>
      </c>
      <c r="AJ74" s="362">
        <f>-'Table 5A5_SSD'!L75</f>
        <v>0</v>
      </c>
      <c r="AK74" s="362"/>
      <c r="AL74" s="751">
        <f t="shared" si="62"/>
        <v>2180895</v>
      </c>
      <c r="AM74" s="362"/>
      <c r="AN74" s="362"/>
      <c r="AO74" s="362"/>
      <c r="AP74" s="362">
        <f>'Table 5C1A-Madison Prep'!R75</f>
        <v>0</v>
      </c>
      <c r="AQ74" s="362">
        <f>'Table 5C1B-DArbonne'!P75</f>
        <v>0</v>
      </c>
      <c r="AR74" s="362">
        <f>'Table 5C1C-Intl_VIBE'!P75</f>
        <v>0</v>
      </c>
      <c r="AS74" s="362">
        <f>'Table 5C1D-NOMMA'!P75</f>
        <v>0</v>
      </c>
      <c r="AT74" s="362">
        <f>'Table 5C1E-LFNO'!R75</f>
        <v>0</v>
      </c>
      <c r="AU74" s="362">
        <f>'Table 5C1F-Lake Charles Charter'!P75</f>
        <v>0</v>
      </c>
      <c r="AV74" s="362">
        <f>'Table 5C1G-JS Clark Academy'!P75</f>
        <v>0</v>
      </c>
      <c r="AW74" s="362">
        <f>'Table 5C1H-Southwest LA Charter'!P75</f>
        <v>0</v>
      </c>
      <c r="AX74" s="362">
        <f>'Table 5C1J-LA Key Academy'!P75</f>
        <v>0</v>
      </c>
      <c r="AY74" s="362">
        <f>'Table 5C1K-Jefferson Chamber'!P75</f>
        <v>0</v>
      </c>
      <c r="AZ74" s="362">
        <f>'Table 5C1L-Tallulah Charter'!P75</f>
        <v>0</v>
      </c>
      <c r="BA74" s="362">
        <f>'Table 5C1M-Northshore Charter'!P75</f>
        <v>0</v>
      </c>
      <c r="BB74" s="362">
        <f>'Table 5C1N-EBR Charter'!P75</f>
        <v>0</v>
      </c>
      <c r="BC74" s="362">
        <f>'Table 5C1O-Lake Charles HS'!P75</f>
        <v>0</v>
      </c>
      <c r="BD74" s="362">
        <f>'Table 5C1P-Delta Charter'!P75</f>
        <v>0</v>
      </c>
      <c r="BE74" s="362">
        <f>'Table 5C2 - LA Virtual Admy'!Q72</f>
        <v>-52</v>
      </c>
      <c r="BF74" s="362">
        <f>'Table 5C3 - LA Connections EBR'!Q72</f>
        <v>-15</v>
      </c>
      <c r="BG74" s="362">
        <f>'Table 5D1 - New Vision'!O75</f>
        <v>0</v>
      </c>
      <c r="BH74" s="362">
        <f>'Table 5D2 - Glencoe'!O75</f>
        <v>0</v>
      </c>
      <c r="BI74" s="362">
        <f>'Table 5D3 - International'!Q75</f>
        <v>0</v>
      </c>
      <c r="BJ74" s="362">
        <f>'Table 5D4 - Avoyelles'!O75</f>
        <v>0</v>
      </c>
      <c r="BK74" s="362">
        <f>'Table 5D5 - Delhi'!O75</f>
        <v>0</v>
      </c>
      <c r="BL74" s="362">
        <f>'Table 5D6 - Milestone'!O75</f>
        <v>0</v>
      </c>
      <c r="BM74" s="362">
        <f>'Table 5D7 - Max'!O75</f>
        <v>0</v>
      </c>
      <c r="BN74" s="362">
        <f>'Table 5D8 - Belle Chasse'!S75</f>
        <v>0</v>
      </c>
      <c r="BO74" s="751">
        <f t="shared" si="63"/>
        <v>2180828</v>
      </c>
      <c r="BP74" s="47"/>
      <c r="BV74"/>
      <c r="CE74"/>
    </row>
    <row r="75" spans="1:83" ht="13.5" thickBot="1">
      <c r="A75" s="418"/>
      <c r="B75" s="419" t="s">
        <v>160</v>
      </c>
      <c r="C75" s="754">
        <f t="shared" ref="C75:BP75" si="64">SUM(C6:C74)</f>
        <v>268714172</v>
      </c>
      <c r="D75" s="754">
        <f t="shared" si="64"/>
        <v>-1367630.9166666667</v>
      </c>
      <c r="E75" s="754">
        <f t="shared" si="64"/>
        <v>-9505011.6816666666</v>
      </c>
      <c r="F75" s="754">
        <f t="shared" si="64"/>
        <v>-114491.55375000001</v>
      </c>
      <c r="G75" s="754">
        <f t="shared" si="64"/>
        <v>-127902.11</v>
      </c>
      <c r="H75" s="754">
        <f t="shared" si="64"/>
        <v>-148149.614375</v>
      </c>
      <c r="I75" s="754">
        <f t="shared" si="64"/>
        <v>-93912.434583333335</v>
      </c>
      <c r="J75" s="754">
        <f t="shared" si="64"/>
        <v>0</v>
      </c>
      <c r="K75" s="754">
        <f t="shared" si="64"/>
        <v>-81146.541874999995</v>
      </c>
      <c r="L75" s="754">
        <f t="shared" si="64"/>
        <v>-275576.41562499997</v>
      </c>
      <c r="M75" s="754">
        <f t="shared" si="64"/>
        <v>-32856.652500000004</v>
      </c>
      <c r="N75" s="754">
        <f t="shared" si="64"/>
        <v>-192951.49562500001</v>
      </c>
      <c r="O75" s="754">
        <f t="shared" si="64"/>
        <v>-211195.770625</v>
      </c>
      <c r="P75" s="754">
        <f t="shared" si="64"/>
        <v>-53783.703749999993</v>
      </c>
      <c r="Q75" s="754">
        <f t="shared" si="64"/>
        <v>-62249.32</v>
      </c>
      <c r="R75" s="754">
        <f t="shared" si="64"/>
        <v>-48217.487500000003</v>
      </c>
      <c r="S75" s="754">
        <f t="shared" si="64"/>
        <v>-210359.86562500001</v>
      </c>
      <c r="T75" s="754">
        <f t="shared" si="64"/>
        <v>-109500.5625</v>
      </c>
      <c r="U75" s="754">
        <f t="shared" si="64"/>
        <v>-52614.799999999996</v>
      </c>
      <c r="V75" s="754">
        <f>SUM(V6:V74)</f>
        <v>-358711</v>
      </c>
      <c r="W75" s="754">
        <f>SUM(W6:W74)</f>
        <v>-378558</v>
      </c>
      <c r="X75" s="754">
        <f t="shared" si="64"/>
        <v>-107939</v>
      </c>
      <c r="Y75" s="754">
        <f t="shared" si="64"/>
        <v>-116733</v>
      </c>
      <c r="Z75" s="754">
        <f t="shared" si="64"/>
        <v>-254742</v>
      </c>
      <c r="AA75" s="754">
        <f t="shared" si="64"/>
        <v>-78981</v>
      </c>
      <c r="AB75" s="754">
        <f t="shared" si="64"/>
        <v>-139692</v>
      </c>
      <c r="AC75" s="754">
        <f t="shared" si="64"/>
        <v>-179979</v>
      </c>
      <c r="AD75" s="754">
        <f t="shared" si="64"/>
        <v>-39092</v>
      </c>
      <c r="AE75" s="754">
        <f t="shared" si="64"/>
        <v>-219594</v>
      </c>
      <c r="AF75" s="754">
        <f t="shared" si="64"/>
        <v>-95267</v>
      </c>
      <c r="AG75" s="754">
        <f t="shared" si="64"/>
        <v>-81001</v>
      </c>
      <c r="AH75" s="754">
        <f t="shared" si="64"/>
        <v>-39878</v>
      </c>
      <c r="AI75" s="754">
        <f t="shared" si="64"/>
        <v>-68099</v>
      </c>
      <c r="AJ75" s="754">
        <f t="shared" si="64"/>
        <v>-88790</v>
      </c>
      <c r="AK75" s="754">
        <f t="shared" si="64"/>
        <v>0</v>
      </c>
      <c r="AL75" s="755">
        <f t="shared" si="64"/>
        <v>253779565.07333338</v>
      </c>
      <c r="AM75" s="754">
        <f t="shared" si="64"/>
        <v>-84435.75</v>
      </c>
      <c r="AN75" s="754">
        <f t="shared" si="64"/>
        <v>-12062.25</v>
      </c>
      <c r="AO75" s="754">
        <f>SUM(AO6:AO74)</f>
        <v>-264925.82</v>
      </c>
      <c r="AP75" s="754">
        <f t="shared" si="64"/>
        <v>-3443.355</v>
      </c>
      <c r="AQ75" s="754">
        <f t="shared" si="64"/>
        <v>-3846.68</v>
      </c>
      <c r="AR75" s="754">
        <f t="shared" si="64"/>
        <v>-4455.6275000000005</v>
      </c>
      <c r="AS75" s="754">
        <f t="shared" si="64"/>
        <v>-2812.7850000000003</v>
      </c>
      <c r="AT75" s="754">
        <f t="shared" si="64"/>
        <v>-2440.4974999999999</v>
      </c>
      <c r="AU75" s="754">
        <f t="shared" si="64"/>
        <v>-8288.0125000000007</v>
      </c>
      <c r="AV75" s="754">
        <f t="shared" si="64"/>
        <v>-988.17000000000007</v>
      </c>
      <c r="AW75" s="754">
        <f t="shared" si="64"/>
        <v>-5803.0524999999998</v>
      </c>
      <c r="AX75" s="754">
        <f t="shared" si="64"/>
        <v>-6351.7525000000005</v>
      </c>
      <c r="AY75" s="754">
        <f t="shared" si="64"/>
        <v>-1617.5550000000001</v>
      </c>
      <c r="AZ75" s="754">
        <f t="shared" si="64"/>
        <v>-1872.16</v>
      </c>
      <c r="BA75" s="754">
        <f t="shared" si="64"/>
        <v>-1450.15</v>
      </c>
      <c r="BB75" s="754">
        <f t="shared" si="64"/>
        <v>-6326.6125000000002</v>
      </c>
      <c r="BC75" s="754">
        <f t="shared" si="64"/>
        <v>-3293.25</v>
      </c>
      <c r="BD75" s="754">
        <f t="shared" si="64"/>
        <v>-1582.4</v>
      </c>
      <c r="BE75" s="754">
        <f>SUM(BE6:BE74)</f>
        <v>-10635</v>
      </c>
      <c r="BF75" s="754">
        <f>SUM(BF6:BF74)</f>
        <v>-11423</v>
      </c>
      <c r="BG75" s="754">
        <f t="shared" si="64"/>
        <v>-3246.26</v>
      </c>
      <c r="BH75" s="754">
        <f t="shared" si="64"/>
        <v>-3510.7575000000002</v>
      </c>
      <c r="BI75" s="754">
        <f t="shared" si="64"/>
        <v>-7661.43</v>
      </c>
      <c r="BJ75" s="754">
        <f t="shared" si="64"/>
        <v>-2375.3550000000005</v>
      </c>
      <c r="BK75" s="754">
        <f t="shared" si="64"/>
        <v>-4262.9624999999996</v>
      </c>
      <c r="BL75" s="754">
        <f t="shared" si="64"/>
        <v>-5412.8725000000004</v>
      </c>
      <c r="BM75" s="754">
        <f t="shared" si="64"/>
        <v>-1175.7025000000001</v>
      </c>
      <c r="BN75" s="754">
        <f t="shared" si="64"/>
        <v>-6604.3</v>
      </c>
      <c r="BO75" s="755">
        <f t="shared" si="64"/>
        <v>253307261.55333331</v>
      </c>
      <c r="BP75" s="47">
        <f t="shared" si="64"/>
        <v>0</v>
      </c>
      <c r="BV75"/>
      <c r="CE75"/>
    </row>
    <row r="76" spans="1:83" ht="13.5" thickTop="1">
      <c r="BR76" s="97"/>
      <c r="BS76" s="97"/>
      <c r="BT76" s="97"/>
      <c r="BU76" s="97"/>
      <c r="BV76" s="97"/>
      <c r="BW76" s="97"/>
      <c r="BX76" s="97"/>
      <c r="BY76" s="97"/>
      <c r="BZ76" s="97"/>
      <c r="CC76" s="97"/>
    </row>
    <row r="77" spans="1:83">
      <c r="AL77" s="49">
        <f>SUM(C75:AK75)</f>
        <v>253779565.07333329</v>
      </c>
      <c r="AM77" s="49"/>
      <c r="AN77" s="49"/>
      <c r="BO77" s="49">
        <f>SUM(AL75:BN75)</f>
        <v>253307261.5533334</v>
      </c>
    </row>
    <row r="78" spans="1:83" ht="37.5" customHeight="1">
      <c r="D78" s="1880"/>
      <c r="E78" s="1880"/>
      <c r="F78" s="1880"/>
      <c r="G78" s="1880"/>
      <c r="H78" s="1880"/>
      <c r="I78" s="1880"/>
      <c r="J78" s="1880"/>
      <c r="K78" s="1880"/>
      <c r="BR78" s="49"/>
      <c r="BS78" s="49"/>
      <c r="BT78" s="49"/>
      <c r="BU78" s="49"/>
      <c r="BW78" s="49"/>
      <c r="BX78" s="49"/>
      <c r="BY78" s="49"/>
      <c r="BZ78" s="49"/>
      <c r="CC78" s="49"/>
    </row>
  </sheetData>
  <mergeCells count="68">
    <mergeCell ref="D78:K78"/>
    <mergeCell ref="AB1:AB4"/>
    <mergeCell ref="AC1:AC4"/>
    <mergeCell ref="AD1:AD4"/>
    <mergeCell ref="BG1:BG4"/>
    <mergeCell ref="K1:K4"/>
    <mergeCell ref="AS1:AS4"/>
    <mergeCell ref="AT1:AT4"/>
    <mergeCell ref="AU1:AU4"/>
    <mergeCell ref="M1:M4"/>
    <mergeCell ref="N1:N4"/>
    <mergeCell ref="AG1:AG4"/>
    <mergeCell ref="AH1:AH4"/>
    <mergeCell ref="AK1:AK4"/>
    <mergeCell ref="AI1:AI4"/>
    <mergeCell ref="AJ1:AJ4"/>
    <mergeCell ref="BH1:BH4"/>
    <mergeCell ref="BN1:BN4"/>
    <mergeCell ref="BE1:BE4"/>
    <mergeCell ref="BF1:BF4"/>
    <mergeCell ref="AV1:AV4"/>
    <mergeCell ref="AW1:AW4"/>
    <mergeCell ref="BI1:BI4"/>
    <mergeCell ref="BJ1:BJ4"/>
    <mergeCell ref="BK1:BK4"/>
    <mergeCell ref="BL1:BL4"/>
    <mergeCell ref="BM1:BM4"/>
    <mergeCell ref="BA1:BA4"/>
    <mergeCell ref="BB1:BB4"/>
    <mergeCell ref="BC1:BC4"/>
    <mergeCell ref="BD1:BD4"/>
    <mergeCell ref="BO1:BO4"/>
    <mergeCell ref="AO1:AO4"/>
    <mergeCell ref="H1:H4"/>
    <mergeCell ref="G1:G4"/>
    <mergeCell ref="AL1:AL4"/>
    <mergeCell ref="AM1:AM4"/>
    <mergeCell ref="AN1:AN4"/>
    <mergeCell ref="AP1:AP4"/>
    <mergeCell ref="AQ1:AQ4"/>
    <mergeCell ref="AR1:AR4"/>
    <mergeCell ref="AF1:AF4"/>
    <mergeCell ref="I1:I4"/>
    <mergeCell ref="J1:J4"/>
    <mergeCell ref="L1:L4"/>
    <mergeCell ref="V1:V4"/>
    <mergeCell ref="W1:W4"/>
    <mergeCell ref="F1:F4"/>
    <mergeCell ref="A1:A4"/>
    <mergeCell ref="B1:B4"/>
    <mergeCell ref="C1:C4"/>
    <mergeCell ref="D1:D4"/>
    <mergeCell ref="E1:E4"/>
    <mergeCell ref="O1:O4"/>
    <mergeCell ref="P1:P4"/>
    <mergeCell ref="Q1:Q4"/>
    <mergeCell ref="R1:R4"/>
    <mergeCell ref="S1:S4"/>
    <mergeCell ref="T1:T4"/>
    <mergeCell ref="U1:U4"/>
    <mergeCell ref="AX1:AX4"/>
    <mergeCell ref="AY1:AY4"/>
    <mergeCell ref="AZ1:AZ4"/>
    <mergeCell ref="AE1:AE4"/>
    <mergeCell ref="X1:X4"/>
    <mergeCell ref="Y1:Y4"/>
    <mergeCell ref="Z1:Z4"/>
    <mergeCell ref="AA1:AA4"/>
  </mergeCells>
  <printOptions horizontalCentered="1"/>
  <pageMargins left="0.25" right="0.33" top="1.01" bottom="0.75" header="0.3" footer="0.3"/>
  <pageSetup paperSize="5" scale="75" firstPageNumber="14" orientation="portrait" useFirstPageNumber="1" r:id="rId1"/>
  <headerFooter>
    <oddHeader xml:space="preserve">&amp;L&amp;"Arial,Bold"&amp;14Table 2A-2:  FY2013-14 Budget Letter (Projection)
MFP Transfer Amount (Monthly Amount) </oddHeader>
    <oddFooter>&amp;R&amp;P</oddFooter>
  </headerFooter>
  <colBreaks count="8" manualBreakCount="8">
    <brk id="11" max="74" man="1"/>
    <brk id="26" max="74" man="1"/>
    <brk id="32" max="74" man="1"/>
    <brk id="38" max="1048575" man="1"/>
    <brk id="44" max="1048575" man="1"/>
    <brk id="50" max="74" man="1"/>
    <brk id="56" max="74" man="1"/>
    <brk id="62" max="74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W105"/>
  <sheetViews>
    <sheetView view="pageBreakPreview" zoomScale="90" zoomScaleNormal="85" zoomScaleSheetLayoutView="90" workbookViewId="0">
      <pane xSplit="2" ySplit="6" topLeftCell="C7" activePane="bottomRight" state="frozen"/>
      <selection activeCell="B3" sqref="B3:B5"/>
      <selection pane="topRight" activeCell="B3" sqref="B3:B5"/>
      <selection pane="bottomLeft" activeCell="B3" sqref="B3:B5"/>
      <selection pane="bottomRight" activeCell="A2" sqref="A2:B4"/>
    </sheetView>
  </sheetViews>
  <sheetFormatPr defaultColWidth="12.5703125" defaultRowHeight="12.75"/>
  <cols>
    <col min="1" max="1" width="3.85546875" style="2" customWidth="1"/>
    <col min="2" max="2" width="20.85546875" style="2" customWidth="1"/>
    <col min="3" max="3" width="15.85546875" style="1" customWidth="1"/>
    <col min="4" max="4" width="18.85546875" style="1" customWidth="1"/>
    <col min="5" max="5" width="14.28515625" style="1" customWidth="1"/>
    <col min="6" max="6" width="17.85546875" style="1" customWidth="1"/>
    <col min="7" max="7" width="13.5703125" style="1" customWidth="1"/>
    <col min="8" max="8" width="15.5703125" style="654" hidden="1" customWidth="1"/>
    <col min="9" max="9" width="14.7109375" style="654" customWidth="1"/>
    <col min="10" max="10" width="15.140625" style="654" customWidth="1"/>
    <col min="11" max="11" width="13.5703125" style="1" customWidth="1"/>
    <col min="12" max="12" width="15.85546875" style="475" customWidth="1"/>
    <col min="13" max="13" width="12.5703125" style="1" customWidth="1"/>
    <col min="14" max="14" width="14.28515625" style="1" customWidth="1"/>
    <col min="15" max="15" width="10.5703125" style="1" bestFit="1" customWidth="1"/>
    <col min="16" max="16" width="13.7109375" style="1" bestFit="1" customWidth="1"/>
    <col min="17" max="17" width="16.85546875" style="1201" customWidth="1"/>
    <col min="18" max="18" width="14.42578125" style="1201" customWidth="1"/>
    <col min="19" max="19" width="10.85546875" style="1" bestFit="1" customWidth="1"/>
    <col min="20" max="20" width="12.5703125" style="2" customWidth="1"/>
    <col min="21" max="21" width="2.5703125" style="654" hidden="1" customWidth="1"/>
    <col min="22" max="22" width="37.85546875" style="654" hidden="1" customWidth="1"/>
    <col min="23" max="23" width="12.5703125" style="2" customWidth="1"/>
    <col min="24" max="16384" width="12.5703125" style="2"/>
  </cols>
  <sheetData>
    <row r="1" spans="1:23" ht="9" customHeight="1">
      <c r="B1" s="742"/>
      <c r="C1" s="743"/>
      <c r="D1" s="743"/>
    </row>
    <row r="2" spans="1:23" s="614" customFormat="1" ht="39.75" customHeight="1">
      <c r="A2" s="2120" t="s">
        <v>360</v>
      </c>
      <c r="B2" s="2121"/>
      <c r="C2" s="2132" t="s">
        <v>690</v>
      </c>
      <c r="D2" s="2133"/>
      <c r="E2" s="2133"/>
      <c r="F2" s="2133"/>
      <c r="G2" s="2133"/>
      <c r="H2" s="2133"/>
      <c r="I2" s="2133"/>
      <c r="J2" s="2133"/>
      <c r="K2" s="2134"/>
      <c r="L2" s="2135" t="s">
        <v>1420</v>
      </c>
      <c r="M2" s="2136"/>
      <c r="N2" s="2136"/>
      <c r="O2" s="2136"/>
      <c r="P2" s="2136"/>
      <c r="Q2" s="2136"/>
      <c r="R2" s="2136"/>
      <c r="S2" s="2137"/>
      <c r="T2" s="2126" t="s">
        <v>1419</v>
      </c>
      <c r="U2" s="612"/>
      <c r="V2" s="613"/>
      <c r="W2" s="2126" t="s">
        <v>1355</v>
      </c>
    </row>
    <row r="3" spans="1:23" ht="101.25" customHeight="1">
      <c r="A3" s="2122"/>
      <c r="B3" s="2123"/>
      <c r="C3" s="2129" t="s">
        <v>689</v>
      </c>
      <c r="D3" s="2131" t="s">
        <v>1422</v>
      </c>
      <c r="E3" s="615" t="s">
        <v>361</v>
      </c>
      <c r="F3" s="615" t="s">
        <v>362</v>
      </c>
      <c r="G3" s="2131" t="s">
        <v>1416</v>
      </c>
      <c r="H3" s="616"/>
      <c r="I3" s="2006" t="s">
        <v>1230</v>
      </c>
      <c r="J3" s="2006" t="s">
        <v>1380</v>
      </c>
      <c r="K3" s="2131" t="s">
        <v>1356</v>
      </c>
      <c r="L3" s="2142" t="s">
        <v>1423</v>
      </c>
      <c r="M3" s="2139" t="s">
        <v>1216</v>
      </c>
      <c r="N3" s="2139" t="s">
        <v>1424</v>
      </c>
      <c r="O3" s="2139" t="s">
        <v>1421</v>
      </c>
      <c r="P3" s="2139" t="s">
        <v>1417</v>
      </c>
      <c r="Q3" s="2019" t="s">
        <v>1230</v>
      </c>
      <c r="R3" s="2019" t="s">
        <v>1418</v>
      </c>
      <c r="S3" s="2139" t="s">
        <v>1385</v>
      </c>
      <c r="T3" s="2127"/>
      <c r="U3" s="616"/>
      <c r="V3" s="617"/>
      <c r="W3" s="2127"/>
    </row>
    <row r="4" spans="1:23" ht="36" customHeight="1">
      <c r="A4" s="2124"/>
      <c r="B4" s="2125"/>
      <c r="C4" s="2130"/>
      <c r="D4" s="2131"/>
      <c r="E4" s="618">
        <f>E83</f>
        <v>0.31638418079096048</v>
      </c>
      <c r="F4" s="619">
        <f>C102</f>
        <v>1470.3473918621949</v>
      </c>
      <c r="G4" s="2131"/>
      <c r="H4" s="616"/>
      <c r="I4" s="2007"/>
      <c r="J4" s="2007"/>
      <c r="K4" s="2131"/>
      <c r="L4" s="2143"/>
      <c r="M4" s="2140"/>
      <c r="N4" s="2140"/>
      <c r="O4" s="2140"/>
      <c r="P4" s="2140"/>
      <c r="Q4" s="1999"/>
      <c r="R4" s="1999"/>
      <c r="S4" s="2140"/>
      <c r="T4" s="2128"/>
      <c r="U4" s="616"/>
      <c r="V4" s="617"/>
      <c r="W4" s="2128"/>
    </row>
    <row r="5" spans="1:23" s="623" customFormat="1" ht="14.25" customHeight="1">
      <c r="A5" s="620"/>
      <c r="B5" s="621"/>
      <c r="C5" s="622">
        <v>1</v>
      </c>
      <c r="D5" s="622">
        <f t="shared" ref="D5:G5" si="0">C5+1</f>
        <v>2</v>
      </c>
      <c r="E5" s="622">
        <f t="shared" si="0"/>
        <v>3</v>
      </c>
      <c r="F5" s="622">
        <f t="shared" si="0"/>
        <v>4</v>
      </c>
      <c r="G5" s="622">
        <f t="shared" si="0"/>
        <v>5</v>
      </c>
      <c r="H5" s="622">
        <f t="shared" ref="H5" si="1">G5+1</f>
        <v>6</v>
      </c>
      <c r="I5" s="622">
        <f>G5+1</f>
        <v>6</v>
      </c>
      <c r="J5" s="622">
        <f t="shared" ref="J5" si="2">I5+1</f>
        <v>7</v>
      </c>
      <c r="K5" s="622">
        <f t="shared" ref="K5" si="3">J5+1</f>
        <v>8</v>
      </c>
      <c r="L5" s="622">
        <f t="shared" ref="L5" si="4">K5+1</f>
        <v>9</v>
      </c>
      <c r="M5" s="622">
        <f t="shared" ref="M5" si="5">L5+1</f>
        <v>10</v>
      </c>
      <c r="N5" s="622">
        <f t="shared" ref="N5" si="6">M5+1</f>
        <v>11</v>
      </c>
      <c r="O5" s="622">
        <f t="shared" ref="O5" si="7">N5+1</f>
        <v>12</v>
      </c>
      <c r="P5" s="622">
        <f t="shared" ref="P5" si="8">O5+1</f>
        <v>13</v>
      </c>
      <c r="Q5" s="622">
        <f t="shared" ref="Q5" si="9">P5+1</f>
        <v>14</v>
      </c>
      <c r="R5" s="622">
        <f t="shared" ref="R5" si="10">Q5+1</f>
        <v>15</v>
      </c>
      <c r="S5" s="622">
        <f t="shared" ref="S5" si="11">R5+1</f>
        <v>16</v>
      </c>
      <c r="T5" s="622">
        <f t="shared" ref="T5" si="12">S5+1</f>
        <v>17</v>
      </c>
      <c r="U5" s="622">
        <f t="shared" ref="U5" si="13">T5+1</f>
        <v>18</v>
      </c>
      <c r="V5" s="622">
        <f t="shared" ref="V5" si="14">U5+1</f>
        <v>19</v>
      </c>
      <c r="W5" s="622">
        <v>18</v>
      </c>
    </row>
    <row r="6" spans="1:23" s="631" customFormat="1" ht="27" customHeight="1">
      <c r="A6" s="624"/>
      <c r="B6" s="625"/>
      <c r="C6" s="626" t="s">
        <v>441</v>
      </c>
      <c r="D6" s="627" t="s">
        <v>363</v>
      </c>
      <c r="E6" s="626" t="s">
        <v>364</v>
      </c>
      <c r="F6" s="626" t="s">
        <v>365</v>
      </c>
      <c r="G6" s="626" t="s">
        <v>366</v>
      </c>
      <c r="H6" s="628"/>
      <c r="I6" s="626"/>
      <c r="J6" s="626" t="s">
        <v>513</v>
      </c>
      <c r="K6" s="626" t="s">
        <v>514</v>
      </c>
      <c r="L6" s="630" t="s">
        <v>363</v>
      </c>
      <c r="M6" s="627" t="s">
        <v>367</v>
      </c>
      <c r="N6" s="627" t="s">
        <v>654</v>
      </c>
      <c r="O6" s="627" t="s">
        <v>655</v>
      </c>
      <c r="P6" s="627" t="s">
        <v>656</v>
      </c>
      <c r="Q6" s="627"/>
      <c r="R6" s="627" t="s">
        <v>653</v>
      </c>
      <c r="S6" s="627" t="s">
        <v>652</v>
      </c>
      <c r="T6" s="627" t="s">
        <v>650</v>
      </c>
      <c r="U6" s="628"/>
      <c r="V6" s="629"/>
      <c r="W6" s="627" t="s">
        <v>651</v>
      </c>
    </row>
    <row r="7" spans="1:23">
      <c r="A7" s="632">
        <v>1</v>
      </c>
      <c r="B7" s="633" t="s">
        <v>95</v>
      </c>
      <c r="C7" s="634">
        <f>'[29]Summary for MFP'!$E7</f>
        <v>2.2890630000000001</v>
      </c>
      <c r="D7" s="635">
        <f>'Table 3 Levels 1&amp;2'!BR9+'Table 3 Levels 1&amp;2'!BV9</f>
        <v>5342.4316730095607</v>
      </c>
      <c r="E7" s="635">
        <f t="shared" ref="E7:E70" si="15">D7*(1+$E$4)</f>
        <v>7032.6925413063709</v>
      </c>
      <c r="F7" s="635">
        <f>E7+$F$4</f>
        <v>8503.0399331685658</v>
      </c>
      <c r="G7" s="636">
        <f>C7*F7</f>
        <v>19463.994098538638</v>
      </c>
      <c r="H7" s="637"/>
      <c r="I7" s="1206">
        <f>'[30]Oct midyear adj_OJJ'!$I6</f>
        <v>0</v>
      </c>
      <c r="J7" s="1214">
        <f>SUM(G7:I7)</f>
        <v>19463.994098538638</v>
      </c>
      <c r="K7" s="636">
        <f>ROUND(J7/12,0)</f>
        <v>1622</v>
      </c>
      <c r="L7" s="639">
        <f>'Table 3 Levels 1&amp;2'!CA9</f>
        <v>20575110</v>
      </c>
      <c r="M7" s="640">
        <f>'Table 3 Levels 1&amp;2'!C9</f>
        <v>9601</v>
      </c>
      <c r="N7" s="640">
        <f>C7+M7</f>
        <v>9603.2890630000002</v>
      </c>
      <c r="O7" s="641">
        <f>L7/N7</f>
        <v>2142.5065792586356</v>
      </c>
      <c r="P7" s="642">
        <f>C7*O7</f>
        <v>4904.3325378375102</v>
      </c>
      <c r="Q7" s="1215">
        <f>'[30]Oct midyear adj_OJJ'!$K6</f>
        <v>0</v>
      </c>
      <c r="R7" s="642">
        <f>SUM(P7:Q7)</f>
        <v>4904.3325378375102</v>
      </c>
      <c r="S7" s="642">
        <f>ROUND(R7/12,0)</f>
        <v>409</v>
      </c>
      <c r="T7" s="643">
        <f>G7+P7</f>
        <v>24368.32663637615</v>
      </c>
      <c r="U7" s="637"/>
      <c r="V7" s="638"/>
      <c r="W7" s="643">
        <f>K7+S7</f>
        <v>2031</v>
      </c>
    </row>
    <row r="8" spans="1:23">
      <c r="A8" s="644">
        <v>2</v>
      </c>
      <c r="B8" s="645" t="s">
        <v>96</v>
      </c>
      <c r="C8" s="646">
        <f>'[29]Summary for MFP'!$E8</f>
        <v>0</v>
      </c>
      <c r="D8" s="647">
        <f>'Table 3 Levels 1&amp;2'!BR10+'Table 3 Levels 1&amp;2'!BV10</f>
        <v>6974.2442526775412</v>
      </c>
      <c r="E8" s="647">
        <f t="shared" si="15"/>
        <v>9180.7848071969893</v>
      </c>
      <c r="F8" s="647">
        <f t="shared" ref="F8:F71" si="16">E8+$F$4</f>
        <v>10651.132199059184</v>
      </c>
      <c r="G8" s="648">
        <f t="shared" ref="G8:G71" si="17">C8*F8</f>
        <v>0</v>
      </c>
      <c r="H8" s="637"/>
      <c r="I8" s="1207">
        <f>'[30]Oct midyear adj_OJJ'!$I7</f>
        <v>0</v>
      </c>
      <c r="J8" s="648">
        <f t="shared" ref="J8:J71" si="18">SUM(G8:I8)</f>
        <v>0</v>
      </c>
      <c r="K8" s="648">
        <f t="shared" ref="K8:K71" si="19">ROUND(J8/12,0)</f>
        <v>0</v>
      </c>
      <c r="L8" s="639">
        <f>'Table 3 Levels 1&amp;2'!CA10</f>
        <v>10744736</v>
      </c>
      <c r="M8" s="649">
        <f>'Table 3 Levels 1&amp;2'!C10</f>
        <v>4083</v>
      </c>
      <c r="N8" s="649">
        <f t="shared" ref="N8:N71" si="20">C8+M8</f>
        <v>4083</v>
      </c>
      <c r="O8" s="650">
        <f t="shared" ref="O8:O71" si="21">L8/N8</f>
        <v>2631.5787411217243</v>
      </c>
      <c r="P8" s="651">
        <f t="shared" ref="P8:P71" si="22">C8*O8</f>
        <v>0</v>
      </c>
      <c r="Q8" s="1216">
        <f>'[30]Oct midyear adj_OJJ'!$K7</f>
        <v>0</v>
      </c>
      <c r="R8" s="651">
        <f t="shared" ref="R8:R71" si="23">SUM(P8:Q8)</f>
        <v>0</v>
      </c>
      <c r="S8" s="651">
        <f t="shared" ref="S8:S71" si="24">ROUND(R8/12,0)</f>
        <v>0</v>
      </c>
      <c r="T8" s="652">
        <f t="shared" ref="T8:T71" si="25">G8+P8</f>
        <v>0</v>
      </c>
      <c r="U8" s="637"/>
      <c r="V8" s="638"/>
      <c r="W8" s="652">
        <f t="shared" ref="W8:W71" si="26">K8+S8</f>
        <v>0</v>
      </c>
    </row>
    <row r="9" spans="1:23" ht="12.75" customHeight="1">
      <c r="A9" s="644">
        <v>3</v>
      </c>
      <c r="B9" s="645" t="s">
        <v>97</v>
      </c>
      <c r="C9" s="646">
        <f>'[29]Summary for MFP'!$E9</f>
        <v>2</v>
      </c>
      <c r="D9" s="647">
        <f>'Table 3 Levels 1&amp;2'!BR11+'Table 3 Levels 1&amp;2'!BV11</f>
        <v>4783.6123598254408</v>
      </c>
      <c r="E9" s="647">
        <f t="shared" si="15"/>
        <v>6297.0716375103257</v>
      </c>
      <c r="F9" s="647">
        <f t="shared" si="16"/>
        <v>7767.4190293725205</v>
      </c>
      <c r="G9" s="648">
        <f t="shared" si="17"/>
        <v>15534.838058745041</v>
      </c>
      <c r="H9" s="653" t="s">
        <v>247</v>
      </c>
      <c r="I9" s="1207">
        <f>'[30]Oct midyear adj_OJJ'!$I8</f>
        <v>0</v>
      </c>
      <c r="J9" s="648">
        <f t="shared" si="18"/>
        <v>15534.838058745041</v>
      </c>
      <c r="K9" s="648">
        <f t="shared" si="19"/>
        <v>1295</v>
      </c>
      <c r="L9" s="639">
        <f>'Table 3 Levels 1&amp;2'!CA11</f>
        <v>71320044.219999999</v>
      </c>
      <c r="M9" s="649">
        <f>'Table 3 Levels 1&amp;2'!C11</f>
        <v>20690</v>
      </c>
      <c r="N9" s="649">
        <f t="shared" si="20"/>
        <v>20692</v>
      </c>
      <c r="O9" s="650">
        <f t="shared" si="21"/>
        <v>3446.7448395515175</v>
      </c>
      <c r="P9" s="651">
        <f t="shared" si="22"/>
        <v>6893.4896791030351</v>
      </c>
      <c r="Q9" s="1216">
        <f>'[30]Oct midyear adj_OJJ'!$K8</f>
        <v>0</v>
      </c>
      <c r="R9" s="651">
        <f t="shared" si="23"/>
        <v>6893.4896791030351</v>
      </c>
      <c r="S9" s="651">
        <f t="shared" si="24"/>
        <v>574</v>
      </c>
      <c r="T9" s="652">
        <f t="shared" si="25"/>
        <v>22428.327737848078</v>
      </c>
      <c r="U9" s="653" t="s">
        <v>247</v>
      </c>
      <c r="V9" s="2141" t="s">
        <v>368</v>
      </c>
      <c r="W9" s="652">
        <f t="shared" si="26"/>
        <v>1869</v>
      </c>
    </row>
    <row r="10" spans="1:23" ht="12.75" customHeight="1">
      <c r="A10" s="644">
        <v>4</v>
      </c>
      <c r="B10" s="645" t="s">
        <v>98</v>
      </c>
      <c r="C10" s="646">
        <f>'[29]Summary for MFP'!$E10</f>
        <v>0.86</v>
      </c>
      <c r="D10" s="647">
        <f>'Table 3 Levels 1&amp;2'!BR12+'Table 3 Levels 1&amp;2'!BV12</f>
        <v>6504.5824818722349</v>
      </c>
      <c r="E10" s="647">
        <f t="shared" si="15"/>
        <v>8562.5294817866143</v>
      </c>
      <c r="F10" s="647">
        <f t="shared" si="16"/>
        <v>10032.876873648809</v>
      </c>
      <c r="G10" s="648">
        <f t="shared" si="17"/>
        <v>8628.2741113379761</v>
      </c>
      <c r="I10" s="1207">
        <f>'[30]Oct midyear adj_OJJ'!$I9</f>
        <v>0</v>
      </c>
      <c r="J10" s="648">
        <f t="shared" si="18"/>
        <v>8628.2741113379761</v>
      </c>
      <c r="K10" s="648">
        <f t="shared" si="19"/>
        <v>719</v>
      </c>
      <c r="L10" s="639">
        <f>'Table 3 Levels 1&amp;2'!CA12</f>
        <v>11296665.98</v>
      </c>
      <c r="M10" s="649">
        <f>'Table 3 Levels 1&amp;2'!C12</f>
        <v>3564</v>
      </c>
      <c r="N10" s="649">
        <f t="shared" si="20"/>
        <v>3564.86</v>
      </c>
      <c r="O10" s="650">
        <f t="shared" si="21"/>
        <v>3168.8947055424337</v>
      </c>
      <c r="P10" s="651">
        <f t="shared" si="22"/>
        <v>2725.2494467664928</v>
      </c>
      <c r="Q10" s="1216">
        <f>'[30]Oct midyear adj_OJJ'!$K9</f>
        <v>0</v>
      </c>
      <c r="R10" s="651">
        <f t="shared" si="23"/>
        <v>2725.2494467664928</v>
      </c>
      <c r="S10" s="651">
        <f t="shared" si="24"/>
        <v>227</v>
      </c>
      <c r="T10" s="652">
        <f t="shared" si="25"/>
        <v>11353.523558104469</v>
      </c>
      <c r="V10" s="2141"/>
      <c r="W10" s="652">
        <f t="shared" si="26"/>
        <v>946</v>
      </c>
    </row>
    <row r="11" spans="1:23">
      <c r="A11" s="655">
        <v>5</v>
      </c>
      <c r="B11" s="656" t="s">
        <v>99</v>
      </c>
      <c r="C11" s="657">
        <f>'[29]Summary for MFP'!$E11</f>
        <v>4.1400430000000004</v>
      </c>
      <c r="D11" s="658">
        <f>'Table 3 Levels 1&amp;2'!BR13+'Table 3 Levels 1&amp;2'!BV13</f>
        <v>5433.8583449488706</v>
      </c>
      <c r="E11" s="658">
        <f t="shared" si="15"/>
        <v>7153.045165949643</v>
      </c>
      <c r="F11" s="658">
        <f t="shared" si="16"/>
        <v>8623.3925578118378</v>
      </c>
      <c r="G11" s="659">
        <f t="shared" si="17"/>
        <v>35701.215995220999</v>
      </c>
      <c r="H11" s="638"/>
      <c r="I11" s="1208">
        <f>'[30]Oct midyear adj_OJJ'!$I10</f>
        <v>0</v>
      </c>
      <c r="J11" s="659">
        <f t="shared" si="18"/>
        <v>35701.215995220999</v>
      </c>
      <c r="K11" s="659">
        <f t="shared" si="19"/>
        <v>2975</v>
      </c>
      <c r="L11" s="661">
        <f>'Table 3 Levels 1&amp;2'!CA13</f>
        <v>8911093.5</v>
      </c>
      <c r="M11" s="662">
        <f>'Table 3 Levels 1&amp;2'!C13</f>
        <v>6451</v>
      </c>
      <c r="N11" s="662">
        <f t="shared" si="20"/>
        <v>6455.1400430000003</v>
      </c>
      <c r="O11" s="663">
        <f t="shared" si="21"/>
        <v>1380.4647832022256</v>
      </c>
      <c r="P11" s="664">
        <f t="shared" si="22"/>
        <v>5715.1835624428923</v>
      </c>
      <c r="Q11" s="1217">
        <f>'[30]Oct midyear adj_OJJ'!$K10</f>
        <v>0</v>
      </c>
      <c r="R11" s="664">
        <f t="shared" si="23"/>
        <v>5715.1835624428923</v>
      </c>
      <c r="S11" s="664">
        <f t="shared" si="24"/>
        <v>476</v>
      </c>
      <c r="T11" s="665">
        <f t="shared" si="25"/>
        <v>41416.399557663892</v>
      </c>
      <c r="U11" s="638"/>
      <c r="V11" s="660"/>
      <c r="W11" s="665">
        <f t="shared" si="26"/>
        <v>3451</v>
      </c>
    </row>
    <row r="12" spans="1:23" ht="12.75" customHeight="1">
      <c r="A12" s="632">
        <v>6</v>
      </c>
      <c r="B12" s="633" t="s">
        <v>100</v>
      </c>
      <c r="C12" s="634">
        <f>'[29]Summary for MFP'!$E12</f>
        <v>1.6027</v>
      </c>
      <c r="D12" s="635">
        <f>'Table 3 Levels 1&amp;2'!BR14+'Table 3 Levels 1&amp;2'!BV14</f>
        <v>5924.9051519271416</v>
      </c>
      <c r="E12" s="635">
        <f t="shared" si="15"/>
        <v>7799.451414683751</v>
      </c>
      <c r="F12" s="635">
        <f t="shared" si="16"/>
        <v>9269.7988065459467</v>
      </c>
      <c r="G12" s="636">
        <f t="shared" si="17"/>
        <v>14856.706547251189</v>
      </c>
      <c r="H12" s="637" t="s">
        <v>369</v>
      </c>
      <c r="I12" s="1206">
        <f>'[30]Oct midyear adj_OJJ'!$I11</f>
        <v>0</v>
      </c>
      <c r="J12" s="636">
        <f t="shared" si="18"/>
        <v>14856.706547251189</v>
      </c>
      <c r="K12" s="636">
        <f t="shared" si="19"/>
        <v>1238</v>
      </c>
      <c r="L12" s="639">
        <f>'Table 3 Levels 1&amp;2'!CA14</f>
        <v>19223510.66</v>
      </c>
      <c r="M12" s="640">
        <f>'Table 3 Levels 1&amp;2'!C14</f>
        <v>6064</v>
      </c>
      <c r="N12" s="640">
        <f t="shared" si="20"/>
        <v>6065.6027000000004</v>
      </c>
      <c r="O12" s="641">
        <f t="shared" si="21"/>
        <v>3169.2663715017138</v>
      </c>
      <c r="P12" s="642">
        <f t="shared" si="22"/>
        <v>5079.3832136057972</v>
      </c>
      <c r="Q12" s="1215">
        <f>'[30]Oct midyear adj_OJJ'!$K11</f>
        <v>0</v>
      </c>
      <c r="R12" s="642">
        <f t="shared" si="23"/>
        <v>5079.3832136057972</v>
      </c>
      <c r="S12" s="642">
        <f t="shared" si="24"/>
        <v>423</v>
      </c>
      <c r="T12" s="643">
        <f t="shared" si="25"/>
        <v>19936.089760856987</v>
      </c>
      <c r="U12" s="637" t="s">
        <v>369</v>
      </c>
      <c r="V12" s="2138" t="s">
        <v>370</v>
      </c>
      <c r="W12" s="643">
        <f t="shared" si="26"/>
        <v>1661</v>
      </c>
    </row>
    <row r="13" spans="1:23">
      <c r="A13" s="644">
        <v>7</v>
      </c>
      <c r="B13" s="645" t="s">
        <v>101</v>
      </c>
      <c r="C13" s="646">
        <f>'[29]Summary for MFP'!$E13</f>
        <v>0</v>
      </c>
      <c r="D13" s="647">
        <f>'Table 3 Levels 1&amp;2'!BR15+'Table 3 Levels 1&amp;2'!BV15</f>
        <v>2454.6443649932157</v>
      </c>
      <c r="E13" s="647">
        <f t="shared" si="15"/>
        <v>3231.2550115447416</v>
      </c>
      <c r="F13" s="647">
        <f t="shared" si="16"/>
        <v>4701.602403406936</v>
      </c>
      <c r="G13" s="648">
        <f t="shared" si="17"/>
        <v>0</v>
      </c>
      <c r="H13" s="637"/>
      <c r="I13" s="1207">
        <f>'[30]Oct midyear adj_OJJ'!$I12</f>
        <v>0</v>
      </c>
      <c r="J13" s="648">
        <f t="shared" si="18"/>
        <v>0</v>
      </c>
      <c r="K13" s="648">
        <f t="shared" si="19"/>
        <v>0</v>
      </c>
      <c r="L13" s="639">
        <f>'Table 3 Levels 1&amp;2'!CA15</f>
        <v>13263836.98</v>
      </c>
      <c r="M13" s="649">
        <f>'Table 3 Levels 1&amp;2'!C15</f>
        <v>2211</v>
      </c>
      <c r="N13" s="649">
        <f t="shared" si="20"/>
        <v>2211</v>
      </c>
      <c r="O13" s="650">
        <f t="shared" si="21"/>
        <v>5999.0217005879695</v>
      </c>
      <c r="P13" s="651">
        <f t="shared" si="22"/>
        <v>0</v>
      </c>
      <c r="Q13" s="1216">
        <f>'[30]Oct midyear adj_OJJ'!$K12</f>
        <v>0</v>
      </c>
      <c r="R13" s="651">
        <f t="shared" si="23"/>
        <v>0</v>
      </c>
      <c r="S13" s="651">
        <f t="shared" si="24"/>
        <v>0</v>
      </c>
      <c r="T13" s="652">
        <f t="shared" si="25"/>
        <v>0</v>
      </c>
      <c r="U13" s="637"/>
      <c r="V13" s="2138"/>
      <c r="W13" s="652">
        <f t="shared" si="26"/>
        <v>0</v>
      </c>
    </row>
    <row r="14" spans="1:23">
      <c r="A14" s="644">
        <v>8</v>
      </c>
      <c r="B14" s="645" t="s">
        <v>102</v>
      </c>
      <c r="C14" s="646">
        <f>'[29]Summary for MFP'!$E14</f>
        <v>5.3072299999999997</v>
      </c>
      <c r="D14" s="647">
        <f>'Table 3 Levels 1&amp;2'!BR16+'Table 3 Levels 1&amp;2'!BV16</f>
        <v>4965.3441882110574</v>
      </c>
      <c r="E14" s="647">
        <f t="shared" si="15"/>
        <v>6536.300541543369</v>
      </c>
      <c r="F14" s="647">
        <f t="shared" si="16"/>
        <v>8006.6479334055639</v>
      </c>
      <c r="G14" s="648">
        <f t="shared" si="17"/>
        <v>42493.122111608005</v>
      </c>
      <c r="H14" s="637"/>
      <c r="I14" s="1207">
        <f>'[30]Oct midyear adj_OJJ'!$I13</f>
        <v>0</v>
      </c>
      <c r="J14" s="648">
        <f t="shared" si="18"/>
        <v>42493.122111608005</v>
      </c>
      <c r="K14" s="648">
        <f t="shared" si="19"/>
        <v>3541</v>
      </c>
      <c r="L14" s="639">
        <f>'Table 3 Levels 1&amp;2'!CA16</f>
        <v>73762712.340000004</v>
      </c>
      <c r="M14" s="649">
        <f>'Table 3 Levels 1&amp;2'!C16</f>
        <v>21213</v>
      </c>
      <c r="N14" s="649">
        <f t="shared" si="20"/>
        <v>21218.307229999999</v>
      </c>
      <c r="O14" s="650">
        <f t="shared" si="21"/>
        <v>3476.3712081475037</v>
      </c>
      <c r="P14" s="651">
        <f t="shared" si="22"/>
        <v>18449.901567016674</v>
      </c>
      <c r="Q14" s="1216">
        <f>'[30]Oct midyear adj_OJJ'!$K13</f>
        <v>0</v>
      </c>
      <c r="R14" s="651">
        <f t="shared" si="23"/>
        <v>18449.901567016674</v>
      </c>
      <c r="S14" s="651">
        <f t="shared" si="24"/>
        <v>1537</v>
      </c>
      <c r="T14" s="652">
        <f t="shared" si="25"/>
        <v>60943.023678624682</v>
      </c>
      <c r="U14" s="637"/>
      <c r="V14" s="2138"/>
      <c r="W14" s="652">
        <f t="shared" si="26"/>
        <v>5078</v>
      </c>
    </row>
    <row r="15" spans="1:23">
      <c r="A15" s="644">
        <v>9</v>
      </c>
      <c r="B15" s="645" t="s">
        <v>103</v>
      </c>
      <c r="C15" s="646">
        <f>'[29]Summary for MFP'!$E15</f>
        <v>32.452984000000001</v>
      </c>
      <c r="D15" s="647">
        <f>'Table 3 Levels 1&amp;2'!BR17+'Table 3 Levels 1&amp;2'!BV17</f>
        <v>5105.7591746565004</v>
      </c>
      <c r="E15" s="647">
        <f t="shared" si="15"/>
        <v>6721.1406084461278</v>
      </c>
      <c r="F15" s="647">
        <f t="shared" si="16"/>
        <v>8191.4880003083226</v>
      </c>
      <c r="G15" s="648">
        <f t="shared" si="17"/>
        <v>265838.22901019797</v>
      </c>
      <c r="H15" s="637"/>
      <c r="I15" s="1207">
        <v>0</v>
      </c>
      <c r="J15" s="648">
        <f t="shared" si="18"/>
        <v>265838.22901019797</v>
      </c>
      <c r="K15" s="648">
        <f t="shared" si="19"/>
        <v>22153</v>
      </c>
      <c r="L15" s="639">
        <f>'Table 3 Levels 1&amp;2'!CA17</f>
        <v>141581339.86000001</v>
      </c>
      <c r="M15" s="649">
        <f>'Table 3 Levels 1&amp;2'!C17</f>
        <v>40999</v>
      </c>
      <c r="N15" s="649">
        <f t="shared" si="20"/>
        <v>41031.452984000003</v>
      </c>
      <c r="O15" s="650">
        <f t="shared" si="21"/>
        <v>3450.5563309008066</v>
      </c>
      <c r="P15" s="651">
        <f t="shared" si="22"/>
        <v>111980.84939782259</v>
      </c>
      <c r="Q15" s="1216">
        <v>0</v>
      </c>
      <c r="R15" s="651">
        <f t="shared" si="23"/>
        <v>111980.84939782259</v>
      </c>
      <c r="S15" s="651">
        <f t="shared" si="24"/>
        <v>9332</v>
      </c>
      <c r="T15" s="652">
        <f t="shared" si="25"/>
        <v>377819.07840802055</v>
      </c>
      <c r="U15" s="637"/>
      <c r="W15" s="652">
        <f t="shared" si="26"/>
        <v>31485</v>
      </c>
    </row>
    <row r="16" spans="1:23">
      <c r="A16" s="655">
        <v>10</v>
      </c>
      <c r="B16" s="656" t="s">
        <v>104</v>
      </c>
      <c r="C16" s="657">
        <f>'[29]Summary for MFP'!$E16</f>
        <v>7.8530309999999997</v>
      </c>
      <c r="D16" s="658">
        <f>'Table 3 Levels 1&amp;2'!BR18+'Table 3 Levels 1&amp;2'!BV18</f>
        <v>4787.2957637200898</v>
      </c>
      <c r="E16" s="658">
        <f t="shared" si="15"/>
        <v>6301.9204121287057</v>
      </c>
      <c r="F16" s="658">
        <f t="shared" si="16"/>
        <v>7772.2678039909006</v>
      </c>
      <c r="G16" s="659">
        <f t="shared" si="17"/>
        <v>61035.860005042465</v>
      </c>
      <c r="H16" s="638"/>
      <c r="I16" s="1208">
        <v>0</v>
      </c>
      <c r="J16" s="659">
        <f t="shared" si="18"/>
        <v>61035.860005042465</v>
      </c>
      <c r="K16" s="659">
        <f t="shared" si="19"/>
        <v>5086</v>
      </c>
      <c r="L16" s="661">
        <f>'Table 3 Levels 1&amp;2'!CA18</f>
        <v>123282497.40000001</v>
      </c>
      <c r="M16" s="662">
        <f>'Table 3 Levels 1&amp;2'!C18</f>
        <v>32094</v>
      </c>
      <c r="N16" s="662">
        <f t="shared" si="20"/>
        <v>32101.853030999999</v>
      </c>
      <c r="O16" s="663">
        <f t="shared" si="21"/>
        <v>3840.3545515253909</v>
      </c>
      <c r="P16" s="664">
        <f t="shared" si="22"/>
        <v>30158.42334411999</v>
      </c>
      <c r="Q16" s="1217">
        <v>0</v>
      </c>
      <c r="R16" s="664">
        <f t="shared" si="23"/>
        <v>30158.42334411999</v>
      </c>
      <c r="S16" s="664">
        <f t="shared" si="24"/>
        <v>2513</v>
      </c>
      <c r="T16" s="665">
        <f t="shared" si="25"/>
        <v>91194.283349162462</v>
      </c>
      <c r="U16" s="638"/>
      <c r="V16" s="2141"/>
      <c r="W16" s="665">
        <f t="shared" si="26"/>
        <v>7599</v>
      </c>
    </row>
    <row r="17" spans="1:23">
      <c r="A17" s="632">
        <v>11</v>
      </c>
      <c r="B17" s="633" t="s">
        <v>105</v>
      </c>
      <c r="C17" s="634">
        <f>'[29]Summary for MFP'!$E17</f>
        <v>0</v>
      </c>
      <c r="D17" s="635">
        <f>'Table 3 Levels 1&amp;2'!BR19+'Table 3 Levels 1&amp;2'!BV19</f>
        <v>7531.1663810645196</v>
      </c>
      <c r="E17" s="635">
        <f t="shared" si="15"/>
        <v>9913.90828693804</v>
      </c>
      <c r="F17" s="635">
        <f t="shared" si="16"/>
        <v>11384.255678800235</v>
      </c>
      <c r="G17" s="636">
        <f t="shared" si="17"/>
        <v>0</v>
      </c>
      <c r="H17" s="637"/>
      <c r="I17" s="1206">
        <f>'[30]Oct midyear adj_OJJ'!$I16</f>
        <v>0</v>
      </c>
      <c r="J17" s="636">
        <f t="shared" si="18"/>
        <v>0</v>
      </c>
      <c r="K17" s="636">
        <f t="shared" si="19"/>
        <v>0</v>
      </c>
      <c r="L17" s="639">
        <f>'Table 3 Levels 1&amp;2'!CA19</f>
        <v>5126842.42</v>
      </c>
      <c r="M17" s="640">
        <f>'Table 3 Levels 1&amp;2'!C19</f>
        <v>1567</v>
      </c>
      <c r="N17" s="640">
        <f t="shared" si="20"/>
        <v>1567</v>
      </c>
      <c r="O17" s="641">
        <f t="shared" si="21"/>
        <v>3271.7564901084875</v>
      </c>
      <c r="P17" s="642">
        <f t="shared" si="22"/>
        <v>0</v>
      </c>
      <c r="Q17" s="1215">
        <f>'[30]Oct midyear adj_OJJ'!$K16</f>
        <v>0</v>
      </c>
      <c r="R17" s="642">
        <f t="shared" si="23"/>
        <v>0</v>
      </c>
      <c r="S17" s="642">
        <f t="shared" si="24"/>
        <v>0</v>
      </c>
      <c r="T17" s="643">
        <f t="shared" si="25"/>
        <v>0</v>
      </c>
      <c r="U17" s="637"/>
      <c r="V17" s="2141"/>
      <c r="W17" s="643">
        <f t="shared" si="26"/>
        <v>0</v>
      </c>
    </row>
    <row r="18" spans="1:23">
      <c r="A18" s="644">
        <v>12</v>
      </c>
      <c r="B18" s="645" t="s">
        <v>106</v>
      </c>
      <c r="C18" s="646">
        <f>'[29]Summary for MFP'!$E18</f>
        <v>0</v>
      </c>
      <c r="D18" s="647">
        <f>'Table 3 Levels 1&amp;2'!BR20+'Table 3 Levels 1&amp;2'!BV20</f>
        <v>2751.2716713344316</v>
      </c>
      <c r="E18" s="647">
        <f t="shared" si="15"/>
        <v>3621.7305052029524</v>
      </c>
      <c r="F18" s="647">
        <f t="shared" si="16"/>
        <v>5092.0778970651472</v>
      </c>
      <c r="G18" s="648">
        <f t="shared" si="17"/>
        <v>0</v>
      </c>
      <c r="H18" s="637"/>
      <c r="I18" s="1207">
        <f>'[30]Oct midyear adj_OJJ'!$I17</f>
        <v>0</v>
      </c>
      <c r="J18" s="648">
        <f t="shared" si="18"/>
        <v>0</v>
      </c>
      <c r="K18" s="648">
        <f t="shared" si="19"/>
        <v>0</v>
      </c>
      <c r="L18" s="639">
        <f>'Table 3 Levels 1&amp;2'!CA20</f>
        <v>7818838.4199999999</v>
      </c>
      <c r="M18" s="649">
        <f>'Table 3 Levels 1&amp;2'!C20</f>
        <v>1214</v>
      </c>
      <c r="N18" s="649">
        <f t="shared" si="20"/>
        <v>1214</v>
      </c>
      <c r="O18" s="650">
        <f t="shared" si="21"/>
        <v>6440.5588303130144</v>
      </c>
      <c r="P18" s="651">
        <f t="shared" si="22"/>
        <v>0</v>
      </c>
      <c r="Q18" s="1216">
        <f>'[30]Oct midyear adj_OJJ'!$K17</f>
        <v>0</v>
      </c>
      <c r="R18" s="651">
        <f t="shared" si="23"/>
        <v>0</v>
      </c>
      <c r="S18" s="651">
        <f t="shared" si="24"/>
        <v>0</v>
      </c>
      <c r="T18" s="652">
        <f t="shared" si="25"/>
        <v>0</v>
      </c>
      <c r="U18" s="637"/>
      <c r="V18" s="2141"/>
      <c r="W18" s="652">
        <f t="shared" si="26"/>
        <v>0</v>
      </c>
    </row>
    <row r="19" spans="1:23">
      <c r="A19" s="644">
        <v>13</v>
      </c>
      <c r="B19" s="645" t="s">
        <v>107</v>
      </c>
      <c r="C19" s="646">
        <f>'[29]Summary for MFP'!$E19</f>
        <v>0</v>
      </c>
      <c r="D19" s="647">
        <f>'Table 3 Levels 1&amp;2'!BR21+'Table 3 Levels 1&amp;2'!BV21</f>
        <v>6935.9533228909086</v>
      </c>
      <c r="E19" s="647">
        <f t="shared" si="15"/>
        <v>9130.3792329580883</v>
      </c>
      <c r="F19" s="647">
        <f t="shared" si="16"/>
        <v>10600.726624820283</v>
      </c>
      <c r="G19" s="648">
        <f t="shared" si="17"/>
        <v>0</v>
      </c>
      <c r="H19" s="637"/>
      <c r="I19" s="1207">
        <f>'[30]Oct midyear adj_OJJ'!$I18</f>
        <v>0</v>
      </c>
      <c r="J19" s="648">
        <f t="shared" si="18"/>
        <v>0</v>
      </c>
      <c r="K19" s="648">
        <f t="shared" si="19"/>
        <v>0</v>
      </c>
      <c r="L19" s="639">
        <f>'Table 3 Levels 1&amp;2'!CA21</f>
        <v>3834794.5</v>
      </c>
      <c r="M19" s="649">
        <f>'Table 3 Levels 1&amp;2'!C21</f>
        <v>1518</v>
      </c>
      <c r="N19" s="649">
        <f t="shared" si="20"/>
        <v>1518</v>
      </c>
      <c r="O19" s="650">
        <f t="shared" si="21"/>
        <v>2526.2150856389985</v>
      </c>
      <c r="P19" s="651">
        <f t="shared" si="22"/>
        <v>0</v>
      </c>
      <c r="Q19" s="1216">
        <f>'[30]Oct midyear adj_OJJ'!$K18</f>
        <v>0</v>
      </c>
      <c r="R19" s="651">
        <f t="shared" si="23"/>
        <v>0</v>
      </c>
      <c r="S19" s="651">
        <f t="shared" si="24"/>
        <v>0</v>
      </c>
      <c r="T19" s="652">
        <f t="shared" si="25"/>
        <v>0</v>
      </c>
      <c r="U19" s="637"/>
      <c r="V19" s="666" t="s">
        <v>371</v>
      </c>
      <c r="W19" s="652">
        <f t="shared" si="26"/>
        <v>0</v>
      </c>
    </row>
    <row r="20" spans="1:23" ht="12.75" customHeight="1">
      <c r="A20" s="644">
        <v>14</v>
      </c>
      <c r="B20" s="645" t="s">
        <v>108</v>
      </c>
      <c r="C20" s="646">
        <f>'[29]Summary for MFP'!$E20</f>
        <v>0</v>
      </c>
      <c r="D20" s="647">
        <f>'Table 3 Levels 1&amp;2'!BR22+'Table 3 Levels 1&amp;2'!BV22</f>
        <v>6148.6492460049176</v>
      </c>
      <c r="E20" s="647">
        <f t="shared" si="15"/>
        <v>8093.9846006731395</v>
      </c>
      <c r="F20" s="647">
        <f t="shared" si="16"/>
        <v>9564.3319925353353</v>
      </c>
      <c r="G20" s="648">
        <f t="shared" si="17"/>
        <v>0</v>
      </c>
      <c r="H20" s="637"/>
      <c r="I20" s="1207">
        <f>'[30]Oct midyear adj_OJJ'!$I19</f>
        <v>0</v>
      </c>
      <c r="J20" s="648">
        <f t="shared" si="18"/>
        <v>0</v>
      </c>
      <c r="K20" s="648">
        <f t="shared" si="19"/>
        <v>0</v>
      </c>
      <c r="L20" s="639">
        <f>'Table 3 Levels 1&amp;2'!CA22</f>
        <v>7570178</v>
      </c>
      <c r="M20" s="649">
        <f>'Table 3 Levels 1&amp;2'!C22</f>
        <v>1871</v>
      </c>
      <c r="N20" s="649">
        <f t="shared" si="20"/>
        <v>1871</v>
      </c>
      <c r="O20" s="650">
        <f t="shared" si="21"/>
        <v>4046.0598610368788</v>
      </c>
      <c r="P20" s="651">
        <f t="shared" si="22"/>
        <v>0</v>
      </c>
      <c r="Q20" s="1216">
        <f>'[30]Oct midyear adj_OJJ'!$K19</f>
        <v>0</v>
      </c>
      <c r="R20" s="651">
        <f t="shared" si="23"/>
        <v>0</v>
      </c>
      <c r="S20" s="651">
        <f t="shared" si="24"/>
        <v>0</v>
      </c>
      <c r="T20" s="652">
        <f t="shared" si="25"/>
        <v>0</v>
      </c>
      <c r="U20" s="637"/>
      <c r="V20" s="2138" t="s">
        <v>372</v>
      </c>
      <c r="W20" s="652">
        <f t="shared" si="26"/>
        <v>0</v>
      </c>
    </row>
    <row r="21" spans="1:23">
      <c r="A21" s="655">
        <v>15</v>
      </c>
      <c r="B21" s="656" t="s">
        <v>109</v>
      </c>
      <c r="C21" s="657">
        <f>'[29]Summary for MFP'!$E21</f>
        <v>2.3279999999999998</v>
      </c>
      <c r="D21" s="658">
        <f>'Table 3 Levels 1&amp;2'!BR23+'Table 3 Levels 1&amp;2'!BV23</f>
        <v>6046.2720889742022</v>
      </c>
      <c r="E21" s="658">
        <f t="shared" si="15"/>
        <v>7959.216930683554</v>
      </c>
      <c r="F21" s="658">
        <f t="shared" si="16"/>
        <v>9429.5643225457497</v>
      </c>
      <c r="G21" s="659">
        <f t="shared" si="17"/>
        <v>21952.025742886504</v>
      </c>
      <c r="H21" s="638"/>
      <c r="I21" s="1208">
        <f>'[30]Oct midyear adj_OJJ'!$I20</f>
        <v>0</v>
      </c>
      <c r="J21" s="659">
        <f t="shared" si="18"/>
        <v>21952.025742886504</v>
      </c>
      <c r="K21" s="659">
        <f t="shared" si="19"/>
        <v>1829</v>
      </c>
      <c r="L21" s="661">
        <f>'Table 3 Levels 1&amp;2'!CA23</f>
        <v>10198332</v>
      </c>
      <c r="M21" s="662">
        <f>'Table 3 Levels 1&amp;2'!C23</f>
        <v>3628</v>
      </c>
      <c r="N21" s="662">
        <f t="shared" si="20"/>
        <v>3630.328</v>
      </c>
      <c r="O21" s="663">
        <f t="shared" si="21"/>
        <v>2809.2040168271296</v>
      </c>
      <c r="P21" s="664">
        <f t="shared" si="22"/>
        <v>6539.8269511735571</v>
      </c>
      <c r="Q21" s="1217">
        <f>'[30]Oct midyear adj_OJJ'!$K20</f>
        <v>0</v>
      </c>
      <c r="R21" s="664">
        <f t="shared" si="23"/>
        <v>6539.8269511735571</v>
      </c>
      <c r="S21" s="664">
        <f t="shared" si="24"/>
        <v>545</v>
      </c>
      <c r="T21" s="665">
        <f t="shared" si="25"/>
        <v>28491.85269406006</v>
      </c>
      <c r="U21" s="638"/>
      <c r="V21" s="2138"/>
      <c r="W21" s="665">
        <f t="shared" si="26"/>
        <v>2374</v>
      </c>
    </row>
    <row r="22" spans="1:23">
      <c r="A22" s="632">
        <v>16</v>
      </c>
      <c r="B22" s="633" t="s">
        <v>110</v>
      </c>
      <c r="C22" s="634">
        <f>'[29]Summary for MFP'!$E22</f>
        <v>2.242569</v>
      </c>
      <c r="D22" s="635">
        <f>'Table 3 Levels 1&amp;2'!BR24+'Table 3 Levels 1&amp;2'!BV24</f>
        <v>2192.609922161726</v>
      </c>
      <c r="E22" s="635">
        <f t="shared" si="15"/>
        <v>2886.3170161789953</v>
      </c>
      <c r="F22" s="635">
        <f t="shared" si="16"/>
        <v>4356.6644080411897</v>
      </c>
      <c r="G22" s="636">
        <f t="shared" si="17"/>
        <v>9770.1205448765231</v>
      </c>
      <c r="H22" s="637"/>
      <c r="I22" s="1206">
        <f>'[30]Oct midyear adj_OJJ'!$I21</f>
        <v>0</v>
      </c>
      <c r="J22" s="636">
        <f t="shared" si="18"/>
        <v>9770.1205448765231</v>
      </c>
      <c r="K22" s="636">
        <f t="shared" si="19"/>
        <v>814</v>
      </c>
      <c r="L22" s="639">
        <f>'Table 3 Levels 1&amp;2'!CA24</f>
        <v>29640135.649999999</v>
      </c>
      <c r="M22" s="640">
        <f>'Table 3 Levels 1&amp;2'!C24</f>
        <v>4959</v>
      </c>
      <c r="N22" s="640">
        <f t="shared" si="20"/>
        <v>4961.242569</v>
      </c>
      <c r="O22" s="641">
        <f t="shared" si="21"/>
        <v>5974.3371217534186</v>
      </c>
      <c r="P22" s="642">
        <f t="shared" si="22"/>
        <v>13397.863224793442</v>
      </c>
      <c r="Q22" s="1215">
        <f>'[30]Oct midyear adj_OJJ'!$K21</f>
        <v>0</v>
      </c>
      <c r="R22" s="642">
        <f t="shared" si="23"/>
        <v>13397.863224793442</v>
      </c>
      <c r="S22" s="642">
        <f t="shared" si="24"/>
        <v>1116</v>
      </c>
      <c r="T22" s="643">
        <f t="shared" si="25"/>
        <v>23167.983769669965</v>
      </c>
      <c r="U22" s="637"/>
      <c r="V22" s="2138"/>
      <c r="W22" s="643">
        <f t="shared" si="26"/>
        <v>1930</v>
      </c>
    </row>
    <row r="23" spans="1:23">
      <c r="A23" s="644">
        <v>17</v>
      </c>
      <c r="B23" s="645" t="s">
        <v>111</v>
      </c>
      <c r="C23" s="646">
        <f>'[29]Summary for MFP'!$E23</f>
        <v>39.355055</v>
      </c>
      <c r="D23" s="647">
        <f>'Table 3 Levels 1&amp;2'!BR25+'Table 3 Levels 1&amp;2'!BV25</f>
        <v>4112.8228436516174</v>
      </c>
      <c r="E23" s="647">
        <f t="shared" si="15"/>
        <v>5414.0549297786829</v>
      </c>
      <c r="F23" s="647">
        <f t="shared" si="16"/>
        <v>6884.4023216408777</v>
      </c>
      <c r="G23" s="648">
        <f t="shared" si="17"/>
        <v>270936.03201030445</v>
      </c>
      <c r="H23" s="637"/>
      <c r="I23" s="1207">
        <v>0</v>
      </c>
      <c r="J23" s="648">
        <f t="shared" si="18"/>
        <v>270936.03201030445</v>
      </c>
      <c r="K23" s="648">
        <f t="shared" si="19"/>
        <v>22578</v>
      </c>
      <c r="L23" s="639">
        <f>'Table 3 Levels 1&amp;2'!CA25</f>
        <v>200172129.91999999</v>
      </c>
      <c r="M23" s="649">
        <f>'Table 3 Levels 1&amp;2'!C25</f>
        <v>43751</v>
      </c>
      <c r="N23" s="649">
        <f t="shared" si="20"/>
        <v>43790.355055</v>
      </c>
      <c r="O23" s="650">
        <f t="shared" si="21"/>
        <v>4571.1465382864999</v>
      </c>
      <c r="P23" s="651">
        <f t="shared" si="22"/>
        <v>179897.72342732482</v>
      </c>
      <c r="Q23" s="1216">
        <v>0</v>
      </c>
      <c r="R23" s="651">
        <f t="shared" si="23"/>
        <v>179897.72342732482</v>
      </c>
      <c r="S23" s="651">
        <f t="shared" si="24"/>
        <v>14991</v>
      </c>
      <c r="T23" s="652">
        <f t="shared" si="25"/>
        <v>450833.7554376293</v>
      </c>
      <c r="U23" s="637"/>
      <c r="V23" s="638"/>
      <c r="W23" s="652">
        <f t="shared" si="26"/>
        <v>37569</v>
      </c>
    </row>
    <row r="24" spans="1:23">
      <c r="A24" s="644">
        <v>18</v>
      </c>
      <c r="B24" s="645" t="s">
        <v>112</v>
      </c>
      <c r="C24" s="646">
        <f>'[29]Summary for MFP'!$E24</f>
        <v>1.629084</v>
      </c>
      <c r="D24" s="647">
        <f>'Table 3 Levels 1&amp;2'!BR26+'Table 3 Levels 1&amp;2'!BV26</f>
        <v>6808.2338863431287</v>
      </c>
      <c r="E24" s="647">
        <f t="shared" si="15"/>
        <v>8962.2513871070569</v>
      </c>
      <c r="F24" s="647">
        <f t="shared" si="16"/>
        <v>10432.598778969252</v>
      </c>
      <c r="G24" s="648">
        <f t="shared" si="17"/>
        <v>16995.579749238343</v>
      </c>
      <c r="H24" s="637"/>
      <c r="I24" s="1207">
        <f>'[30]Oct midyear adj_OJJ'!$I23</f>
        <v>0</v>
      </c>
      <c r="J24" s="648">
        <f t="shared" si="18"/>
        <v>16995.579749238343</v>
      </c>
      <c r="K24" s="648">
        <f t="shared" si="19"/>
        <v>1416</v>
      </c>
      <c r="L24" s="639">
        <f>'Table 3 Levels 1&amp;2'!CA26</f>
        <v>2546748.5</v>
      </c>
      <c r="M24" s="649">
        <f>'Table 3 Levels 1&amp;2'!C26</f>
        <v>1122</v>
      </c>
      <c r="N24" s="649">
        <f t="shared" si="20"/>
        <v>1123.6290839999999</v>
      </c>
      <c r="O24" s="650">
        <f t="shared" si="21"/>
        <v>2266.5384300429873</v>
      </c>
      <c r="P24" s="651">
        <f t="shared" si="22"/>
        <v>3692.3814917681498</v>
      </c>
      <c r="Q24" s="1216">
        <f>'[30]Oct midyear adj_OJJ'!$K23</f>
        <v>0</v>
      </c>
      <c r="R24" s="651">
        <f t="shared" si="23"/>
        <v>3692.3814917681498</v>
      </c>
      <c r="S24" s="651">
        <f t="shared" si="24"/>
        <v>308</v>
      </c>
      <c r="T24" s="652">
        <f t="shared" si="25"/>
        <v>20687.961241006491</v>
      </c>
      <c r="U24" s="637"/>
      <c r="V24" s="638"/>
      <c r="W24" s="652">
        <f t="shared" si="26"/>
        <v>1724</v>
      </c>
    </row>
    <row r="25" spans="1:23">
      <c r="A25" s="644">
        <v>19</v>
      </c>
      <c r="B25" s="645" t="s">
        <v>113</v>
      </c>
      <c r="C25" s="646">
        <f>'[29]Summary for MFP'!$E25</f>
        <v>0.31707299999999999</v>
      </c>
      <c r="D25" s="647">
        <f>'Table 3 Levels 1&amp;2'!BR27+'Table 3 Levels 1&amp;2'!BV27</f>
        <v>6188.0206196978152</v>
      </c>
      <c r="E25" s="647">
        <f t="shared" si="15"/>
        <v>8145.81245417848</v>
      </c>
      <c r="F25" s="647">
        <f t="shared" si="16"/>
        <v>9616.1598460406749</v>
      </c>
      <c r="G25" s="648">
        <f t="shared" si="17"/>
        <v>3049.0246508636546</v>
      </c>
      <c r="H25" s="637"/>
      <c r="I25" s="1207">
        <f>'[30]Oct midyear adj_OJJ'!$I24</f>
        <v>0</v>
      </c>
      <c r="J25" s="648">
        <f t="shared" si="18"/>
        <v>3049.0246508636546</v>
      </c>
      <c r="K25" s="648">
        <f t="shared" si="19"/>
        <v>254</v>
      </c>
      <c r="L25" s="639">
        <f>'Table 3 Levels 1&amp;2'!CA27</f>
        <v>5297638.5</v>
      </c>
      <c r="M25" s="649">
        <f>'Table 3 Levels 1&amp;2'!C27</f>
        <v>1922</v>
      </c>
      <c r="N25" s="649">
        <f t="shared" si="20"/>
        <v>1922.3170729999999</v>
      </c>
      <c r="O25" s="650">
        <f t="shared" si="21"/>
        <v>2755.8609213892155</v>
      </c>
      <c r="P25" s="651">
        <f t="shared" si="22"/>
        <v>873.80908992764273</v>
      </c>
      <c r="Q25" s="1216">
        <f>'[30]Oct midyear adj_OJJ'!$K24</f>
        <v>0</v>
      </c>
      <c r="R25" s="651">
        <f t="shared" si="23"/>
        <v>873.80908992764273</v>
      </c>
      <c r="S25" s="651">
        <f t="shared" si="24"/>
        <v>73</v>
      </c>
      <c r="T25" s="652">
        <f t="shared" si="25"/>
        <v>3922.8337407912973</v>
      </c>
      <c r="U25" s="637"/>
      <c r="V25" s="638"/>
      <c r="W25" s="652">
        <f t="shared" si="26"/>
        <v>327</v>
      </c>
    </row>
    <row r="26" spans="1:23">
      <c r="A26" s="655">
        <v>20</v>
      </c>
      <c r="B26" s="656" t="s">
        <v>114</v>
      </c>
      <c r="C26" s="657">
        <f>'[29]Summary for MFP'!$E26</f>
        <v>4.6866770000000004</v>
      </c>
      <c r="D26" s="658">
        <f>'Table 3 Levels 1&amp;2'!BR28+'Table 3 Levels 1&amp;2'!BV28</f>
        <v>5975.6753923018632</v>
      </c>
      <c r="E26" s="658">
        <f t="shared" si="15"/>
        <v>7866.284555967989</v>
      </c>
      <c r="F26" s="658">
        <f t="shared" si="16"/>
        <v>9336.6319478301848</v>
      </c>
      <c r="G26" s="659">
        <f t="shared" si="17"/>
        <v>43757.778207360934</v>
      </c>
      <c r="H26" s="638"/>
      <c r="I26" s="1208">
        <v>0</v>
      </c>
      <c r="J26" s="659">
        <f t="shared" si="18"/>
        <v>43757.778207360934</v>
      </c>
      <c r="K26" s="659">
        <f t="shared" si="19"/>
        <v>3646</v>
      </c>
      <c r="L26" s="661">
        <f>'Table 3 Levels 1&amp;2'!CA28</f>
        <v>14395441</v>
      </c>
      <c r="M26" s="662">
        <f>'Table 3 Levels 1&amp;2'!C28</f>
        <v>5902</v>
      </c>
      <c r="N26" s="662">
        <f t="shared" si="20"/>
        <v>5906.6866769999997</v>
      </c>
      <c r="O26" s="663">
        <f t="shared" si="21"/>
        <v>2437.1431543938656</v>
      </c>
      <c r="P26" s="664">
        <f t="shared" si="22"/>
        <v>11422.10276740518</v>
      </c>
      <c r="Q26" s="1217">
        <v>0</v>
      </c>
      <c r="R26" s="664">
        <f t="shared" si="23"/>
        <v>11422.10276740518</v>
      </c>
      <c r="S26" s="664">
        <f t="shared" si="24"/>
        <v>952</v>
      </c>
      <c r="T26" s="665">
        <f t="shared" si="25"/>
        <v>55179.880974766114</v>
      </c>
      <c r="U26" s="638"/>
      <c r="V26" s="638"/>
      <c r="W26" s="665">
        <f t="shared" si="26"/>
        <v>4598</v>
      </c>
    </row>
    <row r="27" spans="1:23">
      <c r="A27" s="632">
        <v>21</v>
      </c>
      <c r="B27" s="633" t="s">
        <v>115</v>
      </c>
      <c r="C27" s="634">
        <f>'[29]Summary for MFP'!$E27</f>
        <v>4.0270669999999997</v>
      </c>
      <c r="D27" s="635">
        <f>'Table 3 Levels 1&amp;2'!BR29+'Table 3 Levels 1&amp;2'!BV29</f>
        <v>6268.0458742856181</v>
      </c>
      <c r="E27" s="635">
        <f t="shared" si="15"/>
        <v>8251.1564333816332</v>
      </c>
      <c r="F27" s="635">
        <f t="shared" si="16"/>
        <v>9721.503825243828</v>
      </c>
      <c r="G27" s="636">
        <f t="shared" si="17"/>
        <v>39149.147245013184</v>
      </c>
      <c r="H27" s="637"/>
      <c r="I27" s="1206">
        <f>'[30]Oct midyear adj_OJJ'!$I26</f>
        <v>0</v>
      </c>
      <c r="J27" s="636">
        <f t="shared" si="18"/>
        <v>39149.147245013184</v>
      </c>
      <c r="K27" s="636">
        <f t="shared" si="19"/>
        <v>3262</v>
      </c>
      <c r="L27" s="639">
        <f>'Table 3 Levels 1&amp;2'!CA29</f>
        <v>6749798.5</v>
      </c>
      <c r="M27" s="640">
        <f>'Table 3 Levels 1&amp;2'!C29</f>
        <v>3076</v>
      </c>
      <c r="N27" s="640">
        <f t="shared" si="20"/>
        <v>3080.027067</v>
      </c>
      <c r="O27" s="641">
        <f t="shared" si="21"/>
        <v>2191.4737608375699</v>
      </c>
      <c r="P27" s="642">
        <f t="shared" si="22"/>
        <v>8825.2116636348692</v>
      </c>
      <c r="Q27" s="1215">
        <f>'[30]Oct midyear adj_OJJ'!$K26</f>
        <v>0</v>
      </c>
      <c r="R27" s="642">
        <f t="shared" si="23"/>
        <v>8825.2116636348692</v>
      </c>
      <c r="S27" s="642">
        <f t="shared" si="24"/>
        <v>735</v>
      </c>
      <c r="T27" s="643">
        <f t="shared" si="25"/>
        <v>47974.35890864805</v>
      </c>
      <c r="U27" s="637"/>
      <c r="V27" s="638"/>
      <c r="W27" s="643">
        <f t="shared" si="26"/>
        <v>3997</v>
      </c>
    </row>
    <row r="28" spans="1:23">
      <c r="A28" s="644">
        <v>22</v>
      </c>
      <c r="B28" s="645" t="s">
        <v>116</v>
      </c>
      <c r="C28" s="646">
        <f>'[29]Summary for MFP'!$E28</f>
        <v>0.22764200000000001</v>
      </c>
      <c r="D28" s="647">
        <f>'Table 3 Levels 1&amp;2'!BR30+'Table 3 Levels 1&amp;2'!BV30</f>
        <v>6687.4516571086497</v>
      </c>
      <c r="E28" s="647">
        <f t="shared" si="15"/>
        <v>8803.2555712221201</v>
      </c>
      <c r="F28" s="647">
        <f t="shared" si="16"/>
        <v>10273.602963084315</v>
      </c>
      <c r="G28" s="648">
        <f t="shared" si="17"/>
        <v>2338.7035257224397</v>
      </c>
      <c r="H28" s="637"/>
      <c r="I28" s="1207">
        <f>'[30]Oct midyear adj_OJJ'!$I27</f>
        <v>0</v>
      </c>
      <c r="J28" s="648">
        <f t="shared" si="18"/>
        <v>2338.7035257224397</v>
      </c>
      <c r="K28" s="648">
        <f t="shared" si="19"/>
        <v>195</v>
      </c>
      <c r="L28" s="639">
        <f>'Table 3 Levels 1&amp;2'!CA30</f>
        <v>5180689</v>
      </c>
      <c r="M28" s="649">
        <f>'Table 3 Levels 1&amp;2'!C30</f>
        <v>3214</v>
      </c>
      <c r="N28" s="649">
        <f t="shared" si="20"/>
        <v>3214.2276419999998</v>
      </c>
      <c r="O28" s="650">
        <f t="shared" si="21"/>
        <v>1611.7990313767577</v>
      </c>
      <c r="P28" s="651">
        <f t="shared" si="22"/>
        <v>366.91315510066789</v>
      </c>
      <c r="Q28" s="1216">
        <f>'[30]Oct midyear adj_OJJ'!$K27</f>
        <v>0</v>
      </c>
      <c r="R28" s="651">
        <f t="shared" si="23"/>
        <v>366.91315510066789</v>
      </c>
      <c r="S28" s="651">
        <f t="shared" si="24"/>
        <v>31</v>
      </c>
      <c r="T28" s="652">
        <f t="shared" si="25"/>
        <v>2705.6166808231078</v>
      </c>
      <c r="U28" s="637"/>
      <c r="V28" s="638"/>
      <c r="W28" s="652">
        <f t="shared" si="26"/>
        <v>226</v>
      </c>
    </row>
    <row r="29" spans="1:23">
      <c r="A29" s="644">
        <v>23</v>
      </c>
      <c r="B29" s="645" t="s">
        <v>117</v>
      </c>
      <c r="C29" s="646">
        <f>'[29]Summary for MFP'!$E29</f>
        <v>6.0642379999999996</v>
      </c>
      <c r="D29" s="647">
        <f>'Table 3 Levels 1&amp;2'!BR31+'Table 3 Levels 1&amp;2'!BV31</f>
        <v>5476.2215505920403</v>
      </c>
      <c r="E29" s="647">
        <f t="shared" si="15"/>
        <v>7208.8114197059058</v>
      </c>
      <c r="F29" s="647">
        <f t="shared" si="16"/>
        <v>8679.1588115681006</v>
      </c>
      <c r="G29" s="648">
        <f t="shared" si="17"/>
        <v>52632.484673146115</v>
      </c>
      <c r="H29" s="637"/>
      <c r="I29" s="1207">
        <v>0</v>
      </c>
      <c r="J29" s="648">
        <f t="shared" si="18"/>
        <v>52632.484673146115</v>
      </c>
      <c r="K29" s="648">
        <f t="shared" si="19"/>
        <v>4386</v>
      </c>
      <c r="L29" s="639">
        <f>'Table 3 Levels 1&amp;2'!CA31</f>
        <v>44847859.299999997</v>
      </c>
      <c r="M29" s="649">
        <f>'Table 3 Levels 1&amp;2'!C31</f>
        <v>13516</v>
      </c>
      <c r="N29" s="649">
        <f t="shared" si="20"/>
        <v>13522.064238000001</v>
      </c>
      <c r="O29" s="650">
        <f t="shared" si="21"/>
        <v>3316.6429703807767</v>
      </c>
      <c r="P29" s="651">
        <f t="shared" si="22"/>
        <v>20112.912333415978</v>
      </c>
      <c r="Q29" s="1216">
        <v>0</v>
      </c>
      <c r="R29" s="651">
        <f t="shared" si="23"/>
        <v>20112.912333415978</v>
      </c>
      <c r="S29" s="651">
        <f t="shared" si="24"/>
        <v>1676</v>
      </c>
      <c r="T29" s="652">
        <f t="shared" si="25"/>
        <v>72745.397006562096</v>
      </c>
      <c r="U29" s="637"/>
      <c r="V29" s="638"/>
      <c r="W29" s="652">
        <f t="shared" si="26"/>
        <v>6062</v>
      </c>
    </row>
    <row r="30" spans="1:23">
      <c r="A30" s="644">
        <v>24</v>
      </c>
      <c r="B30" s="645" t="s">
        <v>118</v>
      </c>
      <c r="C30" s="646">
        <f>'[29]Summary for MFP'!$E30</f>
        <v>1.872987</v>
      </c>
      <c r="D30" s="647">
        <f>'Table 3 Levels 1&amp;2'!BR32+'Table 3 Levels 1&amp;2'!BV32</f>
        <v>3597.371653846154</v>
      </c>
      <c r="E30" s="647">
        <f t="shared" si="15"/>
        <v>4735.523137548892</v>
      </c>
      <c r="F30" s="647">
        <f t="shared" si="16"/>
        <v>6205.8705294110869</v>
      </c>
      <c r="G30" s="648">
        <f t="shared" si="17"/>
        <v>11623.514825270084</v>
      </c>
      <c r="H30" s="637"/>
      <c r="I30" s="1207">
        <f>'[30]Oct midyear adj_OJJ'!$I29</f>
        <v>0</v>
      </c>
      <c r="J30" s="648">
        <f t="shared" si="18"/>
        <v>11623.514825270084</v>
      </c>
      <c r="K30" s="648">
        <f t="shared" si="19"/>
        <v>969</v>
      </c>
      <c r="L30" s="639">
        <f>'Table 3 Levels 1&amp;2'!CA32</f>
        <v>23552386.559999999</v>
      </c>
      <c r="M30" s="649">
        <f>'Table 3 Levels 1&amp;2'!C32</f>
        <v>4550</v>
      </c>
      <c r="N30" s="649">
        <f t="shared" si="20"/>
        <v>4551.8729869999997</v>
      </c>
      <c r="O30" s="650">
        <f t="shared" si="21"/>
        <v>5174.2187506691953</v>
      </c>
      <c r="P30" s="651">
        <f t="shared" si="22"/>
        <v>9691.2444551596436</v>
      </c>
      <c r="Q30" s="1216">
        <f>'[30]Oct midyear adj_OJJ'!$K29</f>
        <v>0</v>
      </c>
      <c r="R30" s="651">
        <f t="shared" si="23"/>
        <v>9691.2444551596436</v>
      </c>
      <c r="S30" s="651">
        <f t="shared" si="24"/>
        <v>808</v>
      </c>
      <c r="T30" s="652">
        <f t="shared" si="25"/>
        <v>21314.759280429727</v>
      </c>
      <c r="U30" s="637"/>
      <c r="V30" s="638"/>
      <c r="W30" s="652">
        <f t="shared" si="26"/>
        <v>1777</v>
      </c>
    </row>
    <row r="31" spans="1:23">
      <c r="A31" s="655">
        <v>25</v>
      </c>
      <c r="B31" s="656" t="s">
        <v>119</v>
      </c>
      <c r="C31" s="657">
        <f>'[29]Summary for MFP'!$E31</f>
        <v>0.39566400000000002</v>
      </c>
      <c r="D31" s="658">
        <f>'Table 3 Levels 1&amp;2'!BR33+'Table 3 Levels 1&amp;2'!BV33</f>
        <v>4452.9724511115346</v>
      </c>
      <c r="E31" s="658">
        <f t="shared" si="15"/>
        <v>5861.8224921411729</v>
      </c>
      <c r="F31" s="658">
        <f t="shared" si="16"/>
        <v>7332.1698840033678</v>
      </c>
      <c r="G31" s="659">
        <f t="shared" si="17"/>
        <v>2901.0756649843088</v>
      </c>
      <c r="H31" s="638"/>
      <c r="I31" s="1208">
        <f>'[30]Oct midyear adj_OJJ'!$I30</f>
        <v>0</v>
      </c>
      <c r="J31" s="659">
        <f t="shared" si="18"/>
        <v>2901.0756649843088</v>
      </c>
      <c r="K31" s="659">
        <f t="shared" si="19"/>
        <v>242</v>
      </c>
      <c r="L31" s="661">
        <f>'Table 3 Levels 1&amp;2'!CA33</f>
        <v>9944588.6600000001</v>
      </c>
      <c r="M31" s="662">
        <f>'Table 3 Levels 1&amp;2'!C33</f>
        <v>2230</v>
      </c>
      <c r="N31" s="662">
        <f t="shared" si="20"/>
        <v>2230.3956640000001</v>
      </c>
      <c r="O31" s="663">
        <f t="shared" si="21"/>
        <v>4458.665706946962</v>
      </c>
      <c r="P31" s="664">
        <f t="shared" si="22"/>
        <v>1764.1335082734629</v>
      </c>
      <c r="Q31" s="1217">
        <f>'[30]Oct midyear adj_OJJ'!$K30</f>
        <v>0</v>
      </c>
      <c r="R31" s="664">
        <f t="shared" si="23"/>
        <v>1764.1335082734629</v>
      </c>
      <c r="S31" s="664">
        <f t="shared" si="24"/>
        <v>147</v>
      </c>
      <c r="T31" s="665">
        <f t="shared" si="25"/>
        <v>4665.2091732577719</v>
      </c>
      <c r="U31" s="638"/>
      <c r="V31" s="638"/>
      <c r="W31" s="665">
        <f t="shared" si="26"/>
        <v>389</v>
      </c>
    </row>
    <row r="32" spans="1:23">
      <c r="A32" s="632">
        <v>26</v>
      </c>
      <c r="B32" s="633" t="s">
        <v>120</v>
      </c>
      <c r="C32" s="634">
        <f>'[29]Summary for MFP'!$E32</f>
        <v>34.762673999999997</v>
      </c>
      <c r="D32" s="635">
        <f>'Table 3 Levels 1&amp;2'!BR34+'Table 3 Levels 1&amp;2'!BV34</f>
        <v>4156.0084740801722</v>
      </c>
      <c r="E32" s="635">
        <f t="shared" si="15"/>
        <v>5470.9038105123172</v>
      </c>
      <c r="F32" s="635">
        <f t="shared" si="16"/>
        <v>6941.2512023745121</v>
      </c>
      <c r="G32" s="636">
        <f t="shared" si="17"/>
        <v>241296.45270025317</v>
      </c>
      <c r="H32" s="637"/>
      <c r="I32" s="1206">
        <v>0</v>
      </c>
      <c r="J32" s="636">
        <f t="shared" si="18"/>
        <v>241296.45270025317</v>
      </c>
      <c r="K32" s="636">
        <f t="shared" si="19"/>
        <v>20108</v>
      </c>
      <c r="L32" s="639">
        <f>'Table 3 Levels 1&amp;2'!CA34</f>
        <v>212211765.72</v>
      </c>
      <c r="M32" s="640">
        <f>'Table 3 Levels 1&amp;2'!C34</f>
        <v>45091</v>
      </c>
      <c r="N32" s="640">
        <f t="shared" si="20"/>
        <v>45125.762673999998</v>
      </c>
      <c r="O32" s="641">
        <f t="shared" si="21"/>
        <v>4702.6743293641784</v>
      </c>
      <c r="P32" s="642">
        <f t="shared" si="22"/>
        <v>163477.53463985556</v>
      </c>
      <c r="Q32" s="1215">
        <v>0</v>
      </c>
      <c r="R32" s="642">
        <f t="shared" si="23"/>
        <v>163477.53463985556</v>
      </c>
      <c r="S32" s="642">
        <f t="shared" si="24"/>
        <v>13623</v>
      </c>
      <c r="T32" s="643">
        <f t="shared" si="25"/>
        <v>404773.98734010872</v>
      </c>
      <c r="U32" s="637"/>
      <c r="V32" s="638"/>
      <c r="W32" s="643">
        <f t="shared" si="26"/>
        <v>33731</v>
      </c>
    </row>
    <row r="33" spans="1:23">
      <c r="A33" s="644">
        <v>27</v>
      </c>
      <c r="B33" s="645" t="s">
        <v>121</v>
      </c>
      <c r="C33" s="667">
        <f>'[29]Summary for MFP'!$E33</f>
        <v>2.64</v>
      </c>
      <c r="D33" s="668">
        <f>'Table 3 Levels 1&amp;2'!BR35+'Table 3 Levels 1&amp;2'!BV35</f>
        <v>6329.5285816107371</v>
      </c>
      <c r="E33" s="668">
        <f t="shared" si="15"/>
        <v>8332.0912966966207</v>
      </c>
      <c r="F33" s="668">
        <f t="shared" si="16"/>
        <v>9802.4386885588156</v>
      </c>
      <c r="G33" s="669">
        <f t="shared" si="17"/>
        <v>25878.438137795274</v>
      </c>
      <c r="H33" s="670"/>
      <c r="I33" s="1209">
        <f>'[30]Oct midyear adj_OJJ'!$I32</f>
        <v>0</v>
      </c>
      <c r="J33" s="669">
        <f t="shared" si="18"/>
        <v>25878.438137795274</v>
      </c>
      <c r="K33" s="669">
        <f t="shared" si="19"/>
        <v>2157</v>
      </c>
      <c r="L33" s="639">
        <f>'Table 3 Levels 1&amp;2'!CA35</f>
        <v>17269284.02</v>
      </c>
      <c r="M33" s="672">
        <f>'Table 3 Levels 1&amp;2'!C35</f>
        <v>5618</v>
      </c>
      <c r="N33" s="672">
        <f t="shared" si="20"/>
        <v>5620.64</v>
      </c>
      <c r="O33" s="650">
        <f t="shared" si="21"/>
        <v>3072.4764475219899</v>
      </c>
      <c r="P33" s="651">
        <f t="shared" si="22"/>
        <v>8111.3378214580534</v>
      </c>
      <c r="Q33" s="1216">
        <f>'[30]Oct midyear adj_OJJ'!$K32</f>
        <v>0</v>
      </c>
      <c r="R33" s="651">
        <f t="shared" si="23"/>
        <v>8111.3378214580534</v>
      </c>
      <c r="S33" s="651">
        <f t="shared" si="24"/>
        <v>676</v>
      </c>
      <c r="T33" s="652">
        <f t="shared" si="25"/>
        <v>33989.775959253326</v>
      </c>
      <c r="U33" s="670"/>
      <c r="V33" s="671"/>
      <c r="W33" s="652">
        <f t="shared" si="26"/>
        <v>2833</v>
      </c>
    </row>
    <row r="34" spans="1:23">
      <c r="A34" s="644">
        <v>28</v>
      </c>
      <c r="B34" s="645" t="s">
        <v>122</v>
      </c>
      <c r="C34" s="667">
        <f>'[29]Summary for MFP'!$E34</f>
        <v>7.5385470000000003</v>
      </c>
      <c r="D34" s="668">
        <f>'Table 3 Levels 1&amp;2'!BR36+'Table 3 Levels 1&amp;2'!BV36</f>
        <v>3801.0100141998528</v>
      </c>
      <c r="E34" s="668">
        <f t="shared" si="15"/>
        <v>5003.5894537207105</v>
      </c>
      <c r="F34" s="668">
        <f t="shared" si="16"/>
        <v>6473.9368455829053</v>
      </c>
      <c r="G34" s="669">
        <f t="shared" si="17"/>
        <v>48804.077185458475</v>
      </c>
      <c r="H34" s="670"/>
      <c r="I34" s="1209">
        <f>'[30]Oct midyear adj_OJJ'!$I33</f>
        <v>0</v>
      </c>
      <c r="J34" s="669">
        <f t="shared" si="18"/>
        <v>48804.077185458475</v>
      </c>
      <c r="K34" s="669">
        <f t="shared" si="19"/>
        <v>4067</v>
      </c>
      <c r="L34" s="639">
        <f>'Table 3 Levels 1&amp;2'!CA36</f>
        <v>125768757.26000001</v>
      </c>
      <c r="M34" s="672">
        <f>'Table 3 Levels 1&amp;2'!C36</f>
        <v>30170</v>
      </c>
      <c r="N34" s="672">
        <f t="shared" si="20"/>
        <v>30177.538547</v>
      </c>
      <c r="O34" s="650">
        <f t="shared" si="21"/>
        <v>4167.6280874969798</v>
      </c>
      <c r="P34" s="651">
        <f t="shared" si="22"/>
        <v>31417.860216116096</v>
      </c>
      <c r="Q34" s="1216">
        <f>'[30]Oct midyear adj_OJJ'!$K33</f>
        <v>0</v>
      </c>
      <c r="R34" s="651">
        <f t="shared" si="23"/>
        <v>31417.860216116096</v>
      </c>
      <c r="S34" s="651">
        <f t="shared" si="24"/>
        <v>2618</v>
      </c>
      <c r="T34" s="652">
        <f t="shared" si="25"/>
        <v>80221.937401574571</v>
      </c>
      <c r="U34" s="670"/>
      <c r="V34" s="671"/>
      <c r="W34" s="652">
        <f t="shared" si="26"/>
        <v>6685</v>
      </c>
    </row>
    <row r="35" spans="1:23">
      <c r="A35" s="644">
        <v>29</v>
      </c>
      <c r="B35" s="645" t="s">
        <v>123</v>
      </c>
      <c r="C35" s="667">
        <f>'[29]Summary for MFP'!$E35</f>
        <v>18.863023999999999</v>
      </c>
      <c r="D35" s="668">
        <f>'Table 3 Levels 1&amp;2'!BR37+'Table 3 Levels 1&amp;2'!BV37</f>
        <v>4666.6154800006498</v>
      </c>
      <c r="E35" s="668">
        <f t="shared" si="15"/>
        <v>6143.0587957070702</v>
      </c>
      <c r="F35" s="668">
        <f t="shared" si="16"/>
        <v>7613.4061875692651</v>
      </c>
      <c r="G35" s="669">
        <f t="shared" si="17"/>
        <v>143611.86363786753</v>
      </c>
      <c r="H35" s="670"/>
      <c r="I35" s="1209">
        <v>0</v>
      </c>
      <c r="J35" s="669">
        <f t="shared" si="18"/>
        <v>143611.86363786753</v>
      </c>
      <c r="K35" s="669">
        <f t="shared" si="19"/>
        <v>11968</v>
      </c>
      <c r="L35" s="639">
        <f>'Table 3 Levels 1&amp;2'!CA37</f>
        <v>48757749.539999999</v>
      </c>
      <c r="M35" s="672">
        <f>'Table 3 Levels 1&amp;2'!C37</f>
        <v>13787</v>
      </c>
      <c r="N35" s="672">
        <f t="shared" si="20"/>
        <v>13805.863024</v>
      </c>
      <c r="O35" s="650">
        <f t="shared" si="21"/>
        <v>3531.669802549824</v>
      </c>
      <c r="P35" s="651">
        <f t="shared" si="22"/>
        <v>66617.972245572586</v>
      </c>
      <c r="Q35" s="1216">
        <v>0</v>
      </c>
      <c r="R35" s="651">
        <f t="shared" si="23"/>
        <v>66617.972245572586</v>
      </c>
      <c r="S35" s="651">
        <f t="shared" si="24"/>
        <v>5551</v>
      </c>
      <c r="T35" s="652">
        <f t="shared" si="25"/>
        <v>210229.8358834401</v>
      </c>
      <c r="U35" s="670"/>
      <c r="V35" s="671"/>
      <c r="W35" s="652">
        <f t="shared" si="26"/>
        <v>17519</v>
      </c>
    </row>
    <row r="36" spans="1:23">
      <c r="A36" s="655">
        <v>30</v>
      </c>
      <c r="B36" s="656" t="s">
        <v>124</v>
      </c>
      <c r="C36" s="673">
        <f>'[29]Summary for MFP'!$E36</f>
        <v>0</v>
      </c>
      <c r="D36" s="674">
        <f>'Table 3 Levels 1&amp;2'!BR38+'Table 3 Levels 1&amp;2'!BV38</f>
        <v>6321.0030227611906</v>
      </c>
      <c r="E36" s="674">
        <f t="shared" si="15"/>
        <v>8320.8683858946752</v>
      </c>
      <c r="F36" s="674">
        <f t="shared" si="16"/>
        <v>9791.21577775687</v>
      </c>
      <c r="G36" s="675">
        <f t="shared" si="17"/>
        <v>0</v>
      </c>
      <c r="H36" s="671"/>
      <c r="I36" s="1210">
        <f>'[30]Oct midyear adj_OJJ'!$I35</f>
        <v>0</v>
      </c>
      <c r="J36" s="675">
        <f t="shared" si="18"/>
        <v>0</v>
      </c>
      <c r="K36" s="675">
        <f t="shared" si="19"/>
        <v>0</v>
      </c>
      <c r="L36" s="661">
        <f>'Table 3 Levels 1&amp;2'!CA38</f>
        <v>7570307.5599999996</v>
      </c>
      <c r="M36" s="676">
        <f>'Table 3 Levels 1&amp;2'!C38</f>
        <v>2477</v>
      </c>
      <c r="N36" s="676">
        <f t="shared" si="20"/>
        <v>2477</v>
      </c>
      <c r="O36" s="663">
        <f t="shared" si="21"/>
        <v>3056.2404360113037</v>
      </c>
      <c r="P36" s="664">
        <f t="shared" si="22"/>
        <v>0</v>
      </c>
      <c r="Q36" s="1217">
        <f>'[30]Oct midyear adj_OJJ'!$K35</f>
        <v>0</v>
      </c>
      <c r="R36" s="664">
        <f t="shared" si="23"/>
        <v>0</v>
      </c>
      <c r="S36" s="664">
        <f t="shared" si="24"/>
        <v>0</v>
      </c>
      <c r="T36" s="665">
        <f t="shared" si="25"/>
        <v>0</v>
      </c>
      <c r="U36" s="671"/>
      <c r="V36" s="671"/>
      <c r="W36" s="665">
        <f t="shared" si="26"/>
        <v>0</v>
      </c>
    </row>
    <row r="37" spans="1:23">
      <c r="A37" s="632">
        <v>31</v>
      </c>
      <c r="B37" s="633" t="s">
        <v>125</v>
      </c>
      <c r="C37" s="677">
        <f>'[29]Summary for MFP'!$E37</f>
        <v>1.496</v>
      </c>
      <c r="D37" s="678">
        <f>'Table 3 Levels 1&amp;2'!BR39+'Table 3 Levels 1&amp;2'!BV39</f>
        <v>4940.886775533434</v>
      </c>
      <c r="E37" s="678">
        <f t="shared" si="15"/>
        <v>6504.1051903914695</v>
      </c>
      <c r="F37" s="678">
        <f t="shared" si="16"/>
        <v>7974.4525822536643</v>
      </c>
      <c r="G37" s="679">
        <f t="shared" si="17"/>
        <v>11929.781063051481</v>
      </c>
      <c r="H37" s="670"/>
      <c r="I37" s="1211">
        <v>0</v>
      </c>
      <c r="J37" s="679">
        <f t="shared" si="18"/>
        <v>11929.781063051481</v>
      </c>
      <c r="K37" s="679">
        <f t="shared" si="19"/>
        <v>994</v>
      </c>
      <c r="L37" s="639">
        <f>'Table 3 Levels 1&amp;2'!CA39</f>
        <v>24247049.719999999</v>
      </c>
      <c r="M37" s="680">
        <f>'Table 3 Levels 1&amp;2'!C39</f>
        <v>6488</v>
      </c>
      <c r="N37" s="680">
        <f t="shared" si="20"/>
        <v>6489.4960000000001</v>
      </c>
      <c r="O37" s="641">
        <f t="shared" si="21"/>
        <v>3736.3532884526007</v>
      </c>
      <c r="P37" s="642">
        <f t="shared" si="22"/>
        <v>5589.5845195250904</v>
      </c>
      <c r="Q37" s="1215">
        <v>0</v>
      </c>
      <c r="R37" s="642">
        <f t="shared" si="23"/>
        <v>5589.5845195250904</v>
      </c>
      <c r="S37" s="642">
        <f t="shared" si="24"/>
        <v>466</v>
      </c>
      <c r="T37" s="643">
        <f t="shared" si="25"/>
        <v>17519.365582576571</v>
      </c>
      <c r="U37" s="670"/>
      <c r="V37" s="671"/>
      <c r="W37" s="643">
        <f t="shared" si="26"/>
        <v>1460</v>
      </c>
    </row>
    <row r="38" spans="1:23">
      <c r="A38" s="644">
        <v>32</v>
      </c>
      <c r="B38" s="645" t="s">
        <v>126</v>
      </c>
      <c r="C38" s="667">
        <f>'[29]Summary for MFP'!$E38</f>
        <v>3.2524009999999999</v>
      </c>
      <c r="D38" s="668">
        <f>'Table 3 Levels 1&amp;2'!BR40+'Table 3 Levels 1&amp;2'!BV40</f>
        <v>6063.9786808054087</v>
      </c>
      <c r="E38" s="668">
        <f t="shared" si="15"/>
        <v>7982.5256080658764</v>
      </c>
      <c r="F38" s="668">
        <f t="shared" si="16"/>
        <v>9452.8729999280713</v>
      </c>
      <c r="G38" s="669">
        <f t="shared" si="17"/>
        <v>30744.533597839058</v>
      </c>
      <c r="H38" s="670"/>
      <c r="I38" s="1209">
        <f>'[30]Oct midyear adj_OJJ'!$I37</f>
        <v>0</v>
      </c>
      <c r="J38" s="669">
        <f t="shared" si="18"/>
        <v>30744.533597839058</v>
      </c>
      <c r="K38" s="669">
        <f t="shared" si="19"/>
        <v>2562</v>
      </c>
      <c r="L38" s="639">
        <f>'Table 3 Levels 1&amp;2'!CA40</f>
        <v>49820671.5</v>
      </c>
      <c r="M38" s="672">
        <f>'Table 3 Levels 1&amp;2'!C40</f>
        <v>24854</v>
      </c>
      <c r="N38" s="672">
        <f t="shared" si="20"/>
        <v>24857.252401000002</v>
      </c>
      <c r="O38" s="650">
        <f t="shared" si="21"/>
        <v>2004.2710552352007</v>
      </c>
      <c r="P38" s="651">
        <f t="shared" si="22"/>
        <v>6518.6931843180218</v>
      </c>
      <c r="Q38" s="1216">
        <f>'[30]Oct midyear adj_OJJ'!$K37</f>
        <v>0</v>
      </c>
      <c r="R38" s="651">
        <f t="shared" si="23"/>
        <v>6518.6931843180218</v>
      </c>
      <c r="S38" s="651">
        <f t="shared" si="24"/>
        <v>543</v>
      </c>
      <c r="T38" s="652">
        <f t="shared" si="25"/>
        <v>37263.226782157079</v>
      </c>
      <c r="U38" s="670"/>
      <c r="V38" s="671"/>
      <c r="W38" s="652">
        <f t="shared" si="26"/>
        <v>3105</v>
      </c>
    </row>
    <row r="39" spans="1:23">
      <c r="A39" s="644">
        <v>33</v>
      </c>
      <c r="B39" s="645" t="s">
        <v>127</v>
      </c>
      <c r="C39" s="667">
        <f>'[29]Summary for MFP'!$E39</f>
        <v>5.1424180000000002</v>
      </c>
      <c r="D39" s="668">
        <f>'Table 3 Levels 1&amp;2'!BR41+'Table 3 Levels 1&amp;2'!BV41</f>
        <v>5967.8978208189228</v>
      </c>
      <c r="E39" s="668">
        <f t="shared" si="15"/>
        <v>7856.046283902876</v>
      </c>
      <c r="F39" s="668">
        <f t="shared" si="16"/>
        <v>9326.3936757650699</v>
      </c>
      <c r="G39" s="669">
        <f t="shared" si="17"/>
        <v>47960.214713340458</v>
      </c>
      <c r="H39" s="670"/>
      <c r="I39" s="1209">
        <f>'[30]Oct midyear adj_OJJ'!$I38</f>
        <v>0</v>
      </c>
      <c r="J39" s="669">
        <f t="shared" si="18"/>
        <v>47960.214713340458</v>
      </c>
      <c r="K39" s="669">
        <f t="shared" si="19"/>
        <v>3997</v>
      </c>
      <c r="L39" s="639">
        <f>'Table 3 Levels 1&amp;2'!CA41</f>
        <v>5320306</v>
      </c>
      <c r="M39" s="672">
        <f>'Table 3 Levels 1&amp;2'!C41</f>
        <v>1935</v>
      </c>
      <c r="N39" s="672">
        <f t="shared" si="20"/>
        <v>1940.1424179999999</v>
      </c>
      <c r="O39" s="650">
        <f t="shared" si="21"/>
        <v>2742.2244628229146</v>
      </c>
      <c r="P39" s="651">
        <f t="shared" si="22"/>
        <v>14101.664437660887</v>
      </c>
      <c r="Q39" s="1216">
        <f>'[30]Oct midyear adj_OJJ'!$K38</f>
        <v>0</v>
      </c>
      <c r="R39" s="651">
        <f t="shared" si="23"/>
        <v>14101.664437660887</v>
      </c>
      <c r="S39" s="651">
        <f t="shared" si="24"/>
        <v>1175</v>
      </c>
      <c r="T39" s="652">
        <f t="shared" si="25"/>
        <v>62061.879151001347</v>
      </c>
      <c r="U39" s="670"/>
      <c r="V39" s="671"/>
      <c r="W39" s="652">
        <f t="shared" si="26"/>
        <v>5172</v>
      </c>
    </row>
    <row r="40" spans="1:23">
      <c r="A40" s="644">
        <v>34</v>
      </c>
      <c r="B40" s="645" t="s">
        <v>128</v>
      </c>
      <c r="C40" s="667">
        <f>'[29]Summary for MFP'!$E40</f>
        <v>2.077636</v>
      </c>
      <c r="D40" s="668">
        <f>'Table 3 Levels 1&amp;2'!BR42+'Table 3 Levels 1&amp;2'!BV42</f>
        <v>6602.9224954911087</v>
      </c>
      <c r="E40" s="668">
        <f t="shared" si="15"/>
        <v>8691.9827200532673</v>
      </c>
      <c r="F40" s="668">
        <f t="shared" si="16"/>
        <v>10162.330111915462</v>
      </c>
      <c r="G40" s="669">
        <f t="shared" si="17"/>
        <v>21113.622884399592</v>
      </c>
      <c r="H40" s="670"/>
      <c r="I40" s="1209">
        <f>'[30]Oct midyear adj_OJJ'!$I39</f>
        <v>0</v>
      </c>
      <c r="J40" s="669">
        <f t="shared" si="18"/>
        <v>21113.622884399592</v>
      </c>
      <c r="K40" s="669">
        <f t="shared" si="19"/>
        <v>1759</v>
      </c>
      <c r="L40" s="639">
        <f>'Table 3 Levels 1&amp;2'!CA42</f>
        <v>12309200.5</v>
      </c>
      <c r="M40" s="672">
        <f>'Table 3 Levels 1&amp;2'!C42</f>
        <v>4289</v>
      </c>
      <c r="N40" s="672">
        <f t="shared" si="20"/>
        <v>4291.077636</v>
      </c>
      <c r="O40" s="650">
        <f t="shared" si="21"/>
        <v>2868.5569323500349</v>
      </c>
      <c r="P40" s="651">
        <f t="shared" si="22"/>
        <v>5959.817150699997</v>
      </c>
      <c r="Q40" s="1216">
        <f>'[30]Oct midyear adj_OJJ'!$K39</f>
        <v>0</v>
      </c>
      <c r="R40" s="651">
        <f t="shared" si="23"/>
        <v>5959.817150699997</v>
      </c>
      <c r="S40" s="651">
        <f t="shared" si="24"/>
        <v>497</v>
      </c>
      <c r="T40" s="652">
        <f t="shared" si="25"/>
        <v>27073.440035099589</v>
      </c>
      <c r="U40" s="670"/>
      <c r="V40" s="671"/>
      <c r="W40" s="652">
        <f t="shared" si="26"/>
        <v>2256</v>
      </c>
    </row>
    <row r="41" spans="1:23">
      <c r="A41" s="655">
        <v>35</v>
      </c>
      <c r="B41" s="656" t="s">
        <v>129</v>
      </c>
      <c r="C41" s="673">
        <f>'[29]Summary for MFP'!$E41</f>
        <v>1.296</v>
      </c>
      <c r="D41" s="674">
        <f>'Table 3 Levels 1&amp;2'!BR43+'Table 3 Levels 1&amp;2'!BV43</f>
        <v>5109.6350803264113</v>
      </c>
      <c r="E41" s="674">
        <f t="shared" si="15"/>
        <v>6726.2427893562362</v>
      </c>
      <c r="F41" s="674">
        <f t="shared" si="16"/>
        <v>8196.5901812184311</v>
      </c>
      <c r="G41" s="675">
        <f t="shared" si="17"/>
        <v>10622.780874859087</v>
      </c>
      <c r="H41" s="671"/>
      <c r="I41" s="1210">
        <f>'[30]Oct midyear adj_OJJ'!$I40</f>
        <v>0</v>
      </c>
      <c r="J41" s="675">
        <f t="shared" si="18"/>
        <v>10622.780874859087</v>
      </c>
      <c r="K41" s="675">
        <f t="shared" si="19"/>
        <v>885</v>
      </c>
      <c r="L41" s="661">
        <f>'Table 3 Levels 1&amp;2'!CA43</f>
        <v>23445117.68</v>
      </c>
      <c r="M41" s="676">
        <f>'Table 3 Levels 1&amp;2'!C43</f>
        <v>6514</v>
      </c>
      <c r="N41" s="676">
        <f t="shared" si="20"/>
        <v>6515.2960000000003</v>
      </c>
      <c r="O41" s="663">
        <f t="shared" si="21"/>
        <v>3598.4731438141871</v>
      </c>
      <c r="P41" s="664">
        <f t="shared" si="22"/>
        <v>4663.6211943831868</v>
      </c>
      <c r="Q41" s="1217">
        <f>'[30]Oct midyear adj_OJJ'!$K40</f>
        <v>0</v>
      </c>
      <c r="R41" s="664">
        <f t="shared" si="23"/>
        <v>4663.6211943831868</v>
      </c>
      <c r="S41" s="664">
        <f t="shared" si="24"/>
        <v>389</v>
      </c>
      <c r="T41" s="665">
        <f t="shared" si="25"/>
        <v>15286.402069242275</v>
      </c>
      <c r="U41" s="671"/>
      <c r="V41" s="671"/>
      <c r="W41" s="665">
        <f t="shared" si="26"/>
        <v>1274</v>
      </c>
    </row>
    <row r="42" spans="1:23">
      <c r="A42" s="632">
        <v>36</v>
      </c>
      <c r="B42" s="633" t="s">
        <v>130</v>
      </c>
      <c r="C42" s="677">
        <f>'[29]Summary for MFP'!$E42</f>
        <v>33.180213000000002</v>
      </c>
      <c r="D42" s="678">
        <f>'Table 3 Levels 1&amp;2'!BR44+'Table 3 Levels 1&amp;2'!BV44</f>
        <v>4400.6754753693986</v>
      </c>
      <c r="E42" s="678">
        <f t="shared" si="15"/>
        <v>5792.9795805710164</v>
      </c>
      <c r="F42" s="678">
        <f t="shared" si="16"/>
        <v>7263.3269724332113</v>
      </c>
      <c r="G42" s="679">
        <f t="shared" si="17"/>
        <v>240998.7360339791</v>
      </c>
      <c r="H42" s="670"/>
      <c r="I42" s="1211">
        <v>0</v>
      </c>
      <c r="J42" s="679">
        <f t="shared" si="18"/>
        <v>240998.7360339791</v>
      </c>
      <c r="K42" s="679">
        <f t="shared" si="19"/>
        <v>20083</v>
      </c>
      <c r="L42" s="639">
        <f>'Table 3 Levels 1&amp;2'!CA44</f>
        <v>183373066.74000001</v>
      </c>
      <c r="M42" s="680">
        <f>'Table 3 Levels 1&amp;2'!C44</f>
        <v>44187</v>
      </c>
      <c r="N42" s="680">
        <f t="shared" si="20"/>
        <v>44220.180213</v>
      </c>
      <c r="O42" s="641">
        <f t="shared" si="21"/>
        <v>4146.8186211980064</v>
      </c>
      <c r="P42" s="642">
        <f t="shared" si="22"/>
        <v>137592.32512371617</v>
      </c>
      <c r="Q42" s="1215">
        <v>0</v>
      </c>
      <c r="R42" s="642">
        <f t="shared" si="23"/>
        <v>137592.32512371617</v>
      </c>
      <c r="S42" s="642">
        <f t="shared" si="24"/>
        <v>11466</v>
      </c>
      <c r="T42" s="643">
        <f t="shared" si="25"/>
        <v>378591.06115769525</v>
      </c>
      <c r="U42" s="670"/>
      <c r="V42" s="671"/>
      <c r="W42" s="643">
        <f t="shared" si="26"/>
        <v>31549</v>
      </c>
    </row>
    <row r="43" spans="1:23">
      <c r="A43" s="644">
        <v>37</v>
      </c>
      <c r="B43" s="645" t="s">
        <v>131</v>
      </c>
      <c r="C43" s="667">
        <f>'[29]Summary for MFP'!$E43</f>
        <v>2.6449859999999998</v>
      </c>
      <c r="D43" s="668">
        <f>'Table 3 Levels 1&amp;2'!BR45+'Table 3 Levels 1&amp;2'!BV45</f>
        <v>6138.607606477718</v>
      </c>
      <c r="E43" s="668">
        <f t="shared" si="15"/>
        <v>8080.7659452503294</v>
      </c>
      <c r="F43" s="668">
        <f t="shared" si="16"/>
        <v>9551.1133371125252</v>
      </c>
      <c r="G43" s="669">
        <f t="shared" si="17"/>
        <v>25262.561061075907</v>
      </c>
      <c r="H43" s="670"/>
      <c r="I43" s="1209">
        <v>0</v>
      </c>
      <c r="J43" s="669">
        <f t="shared" si="18"/>
        <v>25262.561061075907</v>
      </c>
      <c r="K43" s="669">
        <f t="shared" si="19"/>
        <v>2105</v>
      </c>
      <c r="L43" s="639">
        <f>'Table 3 Levels 1&amp;2'!CA45</f>
        <v>56599533.979999997</v>
      </c>
      <c r="M43" s="672">
        <f>'Table 3 Levels 1&amp;2'!C45</f>
        <v>19811</v>
      </c>
      <c r="N43" s="672">
        <f t="shared" si="20"/>
        <v>19813.644985999999</v>
      </c>
      <c r="O43" s="650">
        <f t="shared" si="21"/>
        <v>2856.5937272012447</v>
      </c>
      <c r="P43" s="651">
        <f t="shared" si="22"/>
        <v>7555.6504161351113</v>
      </c>
      <c r="Q43" s="1216">
        <v>0</v>
      </c>
      <c r="R43" s="651">
        <f t="shared" si="23"/>
        <v>7555.6504161351113</v>
      </c>
      <c r="S43" s="651">
        <f t="shared" si="24"/>
        <v>630</v>
      </c>
      <c r="T43" s="652">
        <f t="shared" si="25"/>
        <v>32818.211477211022</v>
      </c>
      <c r="U43" s="670"/>
      <c r="V43" s="671"/>
      <c r="W43" s="652">
        <f t="shared" si="26"/>
        <v>2735</v>
      </c>
    </row>
    <row r="44" spans="1:23">
      <c r="A44" s="644">
        <v>38</v>
      </c>
      <c r="B44" s="645" t="s">
        <v>132</v>
      </c>
      <c r="C44" s="667">
        <f>'[29]Summary for MFP'!$E44</f>
        <v>0.49322500000000002</v>
      </c>
      <c r="D44" s="668">
        <f>'Table 3 Levels 1&amp;2'!BR46+'Table 3 Levels 1&amp;2'!BV46</f>
        <v>2903.7126309639875</v>
      </c>
      <c r="E44" s="668">
        <f t="shared" si="15"/>
        <v>3822.4013729638932</v>
      </c>
      <c r="F44" s="668">
        <f t="shared" si="16"/>
        <v>5292.7487648260885</v>
      </c>
      <c r="G44" s="669">
        <f t="shared" si="17"/>
        <v>2610.5160095313477</v>
      </c>
      <c r="H44" s="670"/>
      <c r="I44" s="1209">
        <f>'[30]Oct midyear adj_OJJ'!$I43</f>
        <v>0</v>
      </c>
      <c r="J44" s="669">
        <f t="shared" si="18"/>
        <v>2610.5160095313477</v>
      </c>
      <c r="K44" s="669">
        <f t="shared" si="19"/>
        <v>218</v>
      </c>
      <c r="L44" s="639">
        <f>'Table 3 Levels 1&amp;2'!CA46</f>
        <v>26171425.379999999</v>
      </c>
      <c r="M44" s="672">
        <f>'Table 3 Levels 1&amp;2'!C46</f>
        <v>4299</v>
      </c>
      <c r="N44" s="672">
        <f t="shared" si="20"/>
        <v>4299.4932250000002</v>
      </c>
      <c r="O44" s="650">
        <f t="shared" si="21"/>
        <v>6087.0953878523669</v>
      </c>
      <c r="P44" s="651">
        <f t="shared" si="22"/>
        <v>3002.3076226734838</v>
      </c>
      <c r="Q44" s="1216">
        <f>'[30]Oct midyear adj_OJJ'!$K43</f>
        <v>0</v>
      </c>
      <c r="R44" s="651">
        <f t="shared" si="23"/>
        <v>3002.3076226734838</v>
      </c>
      <c r="S44" s="651">
        <f t="shared" si="24"/>
        <v>250</v>
      </c>
      <c r="T44" s="652">
        <f t="shared" si="25"/>
        <v>5612.8236322048315</v>
      </c>
      <c r="U44" s="670"/>
      <c r="V44" s="671"/>
      <c r="W44" s="652">
        <f t="shared" si="26"/>
        <v>468</v>
      </c>
    </row>
    <row r="45" spans="1:23">
      <c r="A45" s="644">
        <v>39</v>
      </c>
      <c r="B45" s="645" t="s">
        <v>133</v>
      </c>
      <c r="C45" s="667">
        <f>'[29]Summary for MFP'!$E45</f>
        <v>1.88697</v>
      </c>
      <c r="D45" s="668">
        <f>'Table 3 Levels 1&amp;2'!BR47+'Table 3 Levels 1&amp;2'!BV47</f>
        <v>4401.8427086875408</v>
      </c>
      <c r="E45" s="668">
        <f t="shared" si="15"/>
        <v>5794.5161080463104</v>
      </c>
      <c r="F45" s="668">
        <f t="shared" si="16"/>
        <v>7264.8634999085052</v>
      </c>
      <c r="G45" s="669">
        <f t="shared" si="17"/>
        <v>13708.579478422353</v>
      </c>
      <c r="H45" s="670"/>
      <c r="I45" s="1209">
        <f>'[30]Oct midyear adj_OJJ'!$I44</f>
        <v>0</v>
      </c>
      <c r="J45" s="669">
        <f t="shared" si="18"/>
        <v>13708.579478422353</v>
      </c>
      <c r="K45" s="669">
        <f t="shared" si="19"/>
        <v>1142</v>
      </c>
      <c r="L45" s="639">
        <f>'Table 3 Levels 1&amp;2'!CA47</f>
        <v>12739289</v>
      </c>
      <c r="M45" s="672">
        <f>'Table 3 Levels 1&amp;2'!C47</f>
        <v>2882</v>
      </c>
      <c r="N45" s="672">
        <f t="shared" si="20"/>
        <v>2883.88697</v>
      </c>
      <c r="O45" s="650">
        <f t="shared" si="21"/>
        <v>4417.402322810176</v>
      </c>
      <c r="P45" s="651">
        <f t="shared" si="22"/>
        <v>8335.5056610731172</v>
      </c>
      <c r="Q45" s="1216">
        <f>'[30]Oct midyear adj_OJJ'!$K44</f>
        <v>0</v>
      </c>
      <c r="R45" s="651">
        <f t="shared" si="23"/>
        <v>8335.5056610731172</v>
      </c>
      <c r="S45" s="651">
        <f t="shared" si="24"/>
        <v>695</v>
      </c>
      <c r="T45" s="652">
        <f t="shared" si="25"/>
        <v>22044.08513949547</v>
      </c>
      <c r="U45" s="670"/>
      <c r="V45" s="671"/>
      <c r="W45" s="652">
        <f t="shared" si="26"/>
        <v>1837</v>
      </c>
    </row>
    <row r="46" spans="1:23">
      <c r="A46" s="655">
        <v>40</v>
      </c>
      <c r="B46" s="656" t="s">
        <v>134</v>
      </c>
      <c r="C46" s="673">
        <f>'[29]Summary for MFP'!$E46</f>
        <v>3.7218420000000001</v>
      </c>
      <c r="D46" s="674">
        <f>'Table 3 Levels 1&amp;2'!BR48+'Table 3 Levels 1&amp;2'!BV48</f>
        <v>5585.7014090762586</v>
      </c>
      <c r="E46" s="674">
        <f t="shared" si="15"/>
        <v>7352.9289735297643</v>
      </c>
      <c r="F46" s="674">
        <f t="shared" si="16"/>
        <v>8823.2763653919592</v>
      </c>
      <c r="G46" s="675">
        <f t="shared" si="17"/>
        <v>32838.840554323142</v>
      </c>
      <c r="H46" s="671"/>
      <c r="I46" s="1210">
        <v>0</v>
      </c>
      <c r="J46" s="675">
        <f t="shared" si="18"/>
        <v>32838.840554323142</v>
      </c>
      <c r="K46" s="675">
        <f t="shared" si="19"/>
        <v>2737</v>
      </c>
      <c r="L46" s="661">
        <f>'Table 3 Levels 1&amp;2'!CA48</f>
        <v>69278485</v>
      </c>
      <c r="M46" s="676">
        <f>'Table 3 Levels 1&amp;2'!C48</f>
        <v>23095</v>
      </c>
      <c r="N46" s="676">
        <f t="shared" si="20"/>
        <v>23098.721841999999</v>
      </c>
      <c r="O46" s="663">
        <f t="shared" si="21"/>
        <v>2999.234566911497</v>
      </c>
      <c r="P46" s="664">
        <f t="shared" si="22"/>
        <v>11162.67717898302</v>
      </c>
      <c r="Q46" s="1217">
        <v>0</v>
      </c>
      <c r="R46" s="664">
        <f t="shared" si="23"/>
        <v>11162.67717898302</v>
      </c>
      <c r="S46" s="664">
        <f t="shared" si="24"/>
        <v>930</v>
      </c>
      <c r="T46" s="665">
        <f t="shared" si="25"/>
        <v>44001.517733306158</v>
      </c>
      <c r="U46" s="671"/>
      <c r="V46" s="671"/>
      <c r="W46" s="665">
        <f t="shared" si="26"/>
        <v>3667</v>
      </c>
    </row>
    <row r="47" spans="1:23">
      <c r="A47" s="632">
        <v>41</v>
      </c>
      <c r="B47" s="633" t="s">
        <v>135</v>
      </c>
      <c r="C47" s="677">
        <f>'[29]Summary for MFP'!$E47</f>
        <v>0.752</v>
      </c>
      <c r="D47" s="678">
        <f>'Table 3 Levels 1&amp;2'!BR49+'Table 3 Levels 1&amp;2'!BV49</f>
        <v>2488.1341963146706</v>
      </c>
      <c r="E47" s="678">
        <f t="shared" si="15"/>
        <v>3275.3404957136622</v>
      </c>
      <c r="F47" s="678">
        <f t="shared" si="16"/>
        <v>4745.6878875758575</v>
      </c>
      <c r="G47" s="679">
        <f t="shared" si="17"/>
        <v>3568.7572914570451</v>
      </c>
      <c r="H47" s="670"/>
      <c r="I47" s="1211">
        <f>'[30]Oct midyear adj_OJJ'!$I46</f>
        <v>0</v>
      </c>
      <c r="J47" s="679">
        <f t="shared" si="18"/>
        <v>3568.7572914570451</v>
      </c>
      <c r="K47" s="679">
        <f t="shared" si="19"/>
        <v>297</v>
      </c>
      <c r="L47" s="639">
        <f>'Table 3 Levels 1&amp;2'!CA49</f>
        <v>8948472.7200000007</v>
      </c>
      <c r="M47" s="680">
        <f>'Table 3 Levels 1&amp;2'!C49</f>
        <v>1411</v>
      </c>
      <c r="N47" s="680">
        <f t="shared" si="20"/>
        <v>1411.752</v>
      </c>
      <c r="O47" s="641">
        <f t="shared" si="21"/>
        <v>6338.5585570270141</v>
      </c>
      <c r="P47" s="642">
        <f t="shared" si="22"/>
        <v>4766.5960348843146</v>
      </c>
      <c r="Q47" s="1215">
        <f>'[30]Oct midyear adj_OJJ'!$K46</f>
        <v>0</v>
      </c>
      <c r="R47" s="642">
        <f t="shared" si="23"/>
        <v>4766.5960348843146</v>
      </c>
      <c r="S47" s="642">
        <f t="shared" si="24"/>
        <v>397</v>
      </c>
      <c r="T47" s="643">
        <f t="shared" si="25"/>
        <v>8335.3533263413592</v>
      </c>
      <c r="U47" s="670"/>
      <c r="V47" s="671"/>
      <c r="W47" s="643">
        <f t="shared" si="26"/>
        <v>694</v>
      </c>
    </row>
    <row r="48" spans="1:23">
      <c r="A48" s="644">
        <v>42</v>
      </c>
      <c r="B48" s="645" t="s">
        <v>136</v>
      </c>
      <c r="C48" s="667">
        <f>'[29]Summary for MFP'!$E48</f>
        <v>2.6233050000000002</v>
      </c>
      <c r="D48" s="668">
        <f>'Table 3 Levels 1&amp;2'!BR50+'Table 3 Levels 1&amp;2'!BV50</f>
        <v>5632.1883983593088</v>
      </c>
      <c r="E48" s="668">
        <f t="shared" si="15"/>
        <v>7414.1237108345704</v>
      </c>
      <c r="F48" s="668">
        <f t="shared" si="16"/>
        <v>8884.4711026967652</v>
      </c>
      <c r="G48" s="669">
        <f t="shared" si="17"/>
        <v>23306.67746605994</v>
      </c>
      <c r="H48" s="670"/>
      <c r="I48" s="1209">
        <f>'[30]Oct midyear adj_OJJ'!$I47</f>
        <v>0</v>
      </c>
      <c r="J48" s="669">
        <f t="shared" si="18"/>
        <v>23306.67746605994</v>
      </c>
      <c r="K48" s="669">
        <f t="shared" si="19"/>
        <v>1942</v>
      </c>
      <c r="L48" s="639">
        <f>'Table 3 Levels 1&amp;2'!CA50</f>
        <v>10131618</v>
      </c>
      <c r="M48" s="672">
        <f>'Table 3 Levels 1&amp;2'!C50</f>
        <v>3869</v>
      </c>
      <c r="N48" s="672">
        <f t="shared" si="20"/>
        <v>3871.6233050000001</v>
      </c>
      <c r="O48" s="650">
        <f t="shared" si="21"/>
        <v>2616.8914695072585</v>
      </c>
      <c r="P48" s="651">
        <f t="shared" si="22"/>
        <v>6864.9044764157397</v>
      </c>
      <c r="Q48" s="1216">
        <f>'[30]Oct midyear adj_OJJ'!$K47</f>
        <v>0</v>
      </c>
      <c r="R48" s="651">
        <f t="shared" si="23"/>
        <v>6864.9044764157397</v>
      </c>
      <c r="S48" s="651">
        <f t="shared" si="24"/>
        <v>572</v>
      </c>
      <c r="T48" s="652">
        <f t="shared" si="25"/>
        <v>30171.581942475681</v>
      </c>
      <c r="U48" s="670"/>
      <c r="V48" s="671"/>
      <c r="W48" s="652">
        <f t="shared" si="26"/>
        <v>2514</v>
      </c>
    </row>
    <row r="49" spans="1:23">
      <c r="A49" s="644">
        <v>43</v>
      </c>
      <c r="B49" s="645" t="s">
        <v>137</v>
      </c>
      <c r="C49" s="667">
        <f>'[29]Summary for MFP'!$E49</f>
        <v>0.22026000000000001</v>
      </c>
      <c r="D49" s="668">
        <f>'Table 3 Levels 1&amp;2'!BR51+'Table 3 Levels 1&amp;2'!BV51</f>
        <v>5275.775157748606</v>
      </c>
      <c r="E49" s="668">
        <f t="shared" si="15"/>
        <v>6944.9469590701983</v>
      </c>
      <c r="F49" s="668">
        <f t="shared" si="16"/>
        <v>8415.2943509323923</v>
      </c>
      <c r="G49" s="669">
        <f t="shared" si="17"/>
        <v>1853.5527337363687</v>
      </c>
      <c r="H49" s="670"/>
      <c r="I49" s="1209">
        <f>'[30]Oct midyear adj_OJJ'!$I48</f>
        <v>0</v>
      </c>
      <c r="J49" s="669">
        <f t="shared" si="18"/>
        <v>1853.5527337363687</v>
      </c>
      <c r="K49" s="669">
        <f t="shared" si="19"/>
        <v>154</v>
      </c>
      <c r="L49" s="639">
        <f>'Table 3 Levels 1&amp;2'!CA51</f>
        <v>15797560.02</v>
      </c>
      <c r="M49" s="672">
        <f>'Table 3 Levels 1&amp;2'!C51</f>
        <v>4030</v>
      </c>
      <c r="N49" s="672">
        <f t="shared" si="20"/>
        <v>4030.2202600000001</v>
      </c>
      <c r="O49" s="650">
        <f t="shared" si="21"/>
        <v>3919.7758437153011</v>
      </c>
      <c r="P49" s="651">
        <f t="shared" si="22"/>
        <v>863.36982733673221</v>
      </c>
      <c r="Q49" s="1216">
        <f>'[30]Oct midyear adj_OJJ'!$K48</f>
        <v>0</v>
      </c>
      <c r="R49" s="651">
        <f t="shared" si="23"/>
        <v>863.36982733673221</v>
      </c>
      <c r="S49" s="651">
        <f t="shared" si="24"/>
        <v>72</v>
      </c>
      <c r="T49" s="652">
        <f t="shared" si="25"/>
        <v>2716.922561073101</v>
      </c>
      <c r="U49" s="670"/>
      <c r="V49" s="671"/>
      <c r="W49" s="652">
        <f t="shared" si="26"/>
        <v>226</v>
      </c>
    </row>
    <row r="50" spans="1:23">
      <c r="A50" s="644">
        <v>44</v>
      </c>
      <c r="B50" s="645" t="s">
        <v>138</v>
      </c>
      <c r="C50" s="667">
        <f>'[29]Summary for MFP'!$E50</f>
        <v>0.79735500000000004</v>
      </c>
      <c r="D50" s="668">
        <f>'Table 3 Levels 1&amp;2'!BR52+'Table 3 Levels 1&amp;2'!BV52</f>
        <v>5312.7699315758882</v>
      </c>
      <c r="E50" s="668">
        <f t="shared" si="15"/>
        <v>6993.6462941083728</v>
      </c>
      <c r="F50" s="668">
        <f t="shared" si="16"/>
        <v>8463.9936859705667</v>
      </c>
      <c r="G50" s="669">
        <f t="shared" si="17"/>
        <v>6748.8076854770616</v>
      </c>
      <c r="H50" s="670"/>
      <c r="I50" s="1209">
        <f>'[30]Oct midyear adj_OJJ'!$I49</f>
        <v>0</v>
      </c>
      <c r="J50" s="669">
        <f t="shared" si="18"/>
        <v>6748.8076854770616</v>
      </c>
      <c r="K50" s="669">
        <f t="shared" si="19"/>
        <v>562</v>
      </c>
      <c r="L50" s="639">
        <f>'Table 3 Levels 1&amp;2'!CA52</f>
        <v>22409734.16</v>
      </c>
      <c r="M50" s="672">
        <f>'Table 3 Levels 1&amp;2'!C52</f>
        <v>6431</v>
      </c>
      <c r="N50" s="672">
        <f t="shared" si="20"/>
        <v>6431.7973549999997</v>
      </c>
      <c r="O50" s="650">
        <f t="shared" si="21"/>
        <v>3484.2102328642163</v>
      </c>
      <c r="P50" s="651">
        <f t="shared" si="22"/>
        <v>2778.1524502254474</v>
      </c>
      <c r="Q50" s="1216">
        <f>'[30]Oct midyear adj_OJJ'!$K49</f>
        <v>0</v>
      </c>
      <c r="R50" s="651">
        <f t="shared" si="23"/>
        <v>2778.1524502254474</v>
      </c>
      <c r="S50" s="651">
        <f t="shared" si="24"/>
        <v>232</v>
      </c>
      <c r="T50" s="652">
        <f t="shared" si="25"/>
        <v>9526.9601357025094</v>
      </c>
      <c r="U50" s="670"/>
      <c r="V50" s="671"/>
      <c r="W50" s="652">
        <f t="shared" si="26"/>
        <v>794</v>
      </c>
    </row>
    <row r="51" spans="1:23">
      <c r="A51" s="655">
        <v>45</v>
      </c>
      <c r="B51" s="656" t="s">
        <v>139</v>
      </c>
      <c r="C51" s="673">
        <f>'[29]Summary for MFP'!$E51</f>
        <v>2.4873289999999999</v>
      </c>
      <c r="D51" s="674">
        <f>'Table 3 Levels 1&amp;2'!BR53+'Table 3 Levels 1&amp;2'!BV53</f>
        <v>2913.0147516365105</v>
      </c>
      <c r="E51" s="674">
        <f t="shared" si="15"/>
        <v>3834.6465374650111</v>
      </c>
      <c r="F51" s="674">
        <f t="shared" si="16"/>
        <v>5304.9939293272055</v>
      </c>
      <c r="G51" s="675">
        <f t="shared" si="17"/>
        <v>13195.265245239509</v>
      </c>
      <c r="H51" s="671"/>
      <c r="I51" s="1210">
        <f>'[30]Oct midyear adj_OJJ'!$I50</f>
        <v>0</v>
      </c>
      <c r="J51" s="675">
        <f t="shared" si="18"/>
        <v>13195.265245239509</v>
      </c>
      <c r="K51" s="675">
        <f t="shared" si="19"/>
        <v>1100</v>
      </c>
      <c r="L51" s="661">
        <f>'Table 3 Levels 1&amp;2'!CA53</f>
        <v>49954068.359999999</v>
      </c>
      <c r="M51" s="676">
        <f>'Table 3 Levels 1&amp;2'!C53</f>
        <v>9519</v>
      </c>
      <c r="N51" s="676">
        <f t="shared" si="20"/>
        <v>9521.4873289999996</v>
      </c>
      <c r="O51" s="663">
        <f t="shared" si="21"/>
        <v>5246.4564236569177</v>
      </c>
      <c r="P51" s="664">
        <f t="shared" si="22"/>
        <v>13049.663209798136</v>
      </c>
      <c r="Q51" s="1217">
        <f>'[30]Oct midyear adj_OJJ'!$K50</f>
        <v>0</v>
      </c>
      <c r="R51" s="664">
        <f t="shared" si="23"/>
        <v>13049.663209798136</v>
      </c>
      <c r="S51" s="664">
        <f t="shared" si="24"/>
        <v>1087</v>
      </c>
      <c r="T51" s="665">
        <f t="shared" si="25"/>
        <v>26244.928455037647</v>
      </c>
      <c r="U51" s="671"/>
      <c r="V51" s="671"/>
      <c r="W51" s="665">
        <f t="shared" si="26"/>
        <v>2187</v>
      </c>
    </row>
    <row r="52" spans="1:23">
      <c r="A52" s="632">
        <v>46</v>
      </c>
      <c r="B52" s="633" t="s">
        <v>140</v>
      </c>
      <c r="C52" s="677">
        <f>'[29]Summary for MFP'!$E52</f>
        <v>0</v>
      </c>
      <c r="D52" s="678">
        <f>'Table 3 Levels 1&amp;2'!BR54+'Table 3 Levels 1&amp;2'!BV54</f>
        <v>6305.8394031116068</v>
      </c>
      <c r="E52" s="678">
        <f t="shared" si="15"/>
        <v>8300.907236864432</v>
      </c>
      <c r="F52" s="678">
        <f t="shared" si="16"/>
        <v>9771.2546287266268</v>
      </c>
      <c r="G52" s="679">
        <f t="shared" si="17"/>
        <v>0</v>
      </c>
      <c r="H52" s="670"/>
      <c r="I52" s="1211">
        <f>'[30]Oct midyear adj_OJJ'!$I51</f>
        <v>0</v>
      </c>
      <c r="J52" s="679">
        <f t="shared" si="18"/>
        <v>0</v>
      </c>
      <c r="K52" s="679">
        <f t="shared" si="19"/>
        <v>0</v>
      </c>
      <c r="L52" s="639">
        <f>'Table 3 Levels 1&amp;2'!CA54</f>
        <v>2157106</v>
      </c>
      <c r="M52" s="680">
        <f>'Table 3 Levels 1&amp;2'!C54</f>
        <v>1077</v>
      </c>
      <c r="N52" s="680">
        <f t="shared" si="20"/>
        <v>1077</v>
      </c>
      <c r="O52" s="641">
        <f t="shared" si="21"/>
        <v>2002.8839368616527</v>
      </c>
      <c r="P52" s="642">
        <f t="shared" si="22"/>
        <v>0</v>
      </c>
      <c r="Q52" s="1215">
        <f>'[30]Oct midyear adj_OJJ'!$K51</f>
        <v>0</v>
      </c>
      <c r="R52" s="642">
        <f t="shared" si="23"/>
        <v>0</v>
      </c>
      <c r="S52" s="642">
        <f t="shared" si="24"/>
        <v>0</v>
      </c>
      <c r="T52" s="643">
        <f t="shared" si="25"/>
        <v>0</v>
      </c>
      <c r="U52" s="670"/>
      <c r="V52" s="671"/>
      <c r="W52" s="643">
        <f t="shared" si="26"/>
        <v>0</v>
      </c>
    </row>
    <row r="53" spans="1:23">
      <c r="A53" s="644">
        <v>47</v>
      </c>
      <c r="B53" s="645" t="s">
        <v>141</v>
      </c>
      <c r="C53" s="667">
        <f>'[29]Summary for MFP'!$E53</f>
        <v>0</v>
      </c>
      <c r="D53" s="668">
        <f>'Table 3 Levels 1&amp;2'!BR55+'Table 3 Levels 1&amp;2'!BV55</f>
        <v>3619.5351659129274</v>
      </c>
      <c r="E53" s="668">
        <f t="shared" si="15"/>
        <v>4764.6988342243621</v>
      </c>
      <c r="F53" s="668">
        <f t="shared" si="16"/>
        <v>6235.046226086557</v>
      </c>
      <c r="G53" s="669">
        <f t="shared" si="17"/>
        <v>0</v>
      </c>
      <c r="H53" s="670"/>
      <c r="I53" s="1209">
        <f>'[30]Oct midyear adj_OJJ'!$I52</f>
        <v>0</v>
      </c>
      <c r="J53" s="669">
        <f t="shared" si="18"/>
        <v>0</v>
      </c>
      <c r="K53" s="669">
        <f t="shared" si="19"/>
        <v>0</v>
      </c>
      <c r="L53" s="639">
        <f>'Table 3 Levels 1&amp;2'!CA55</f>
        <v>20019295.420000002</v>
      </c>
      <c r="M53" s="672">
        <f>'Table 3 Levels 1&amp;2'!C55</f>
        <v>3634</v>
      </c>
      <c r="N53" s="672">
        <f t="shared" si="20"/>
        <v>3634</v>
      </c>
      <c r="O53" s="650">
        <f t="shared" si="21"/>
        <v>5508.8870170610899</v>
      </c>
      <c r="P53" s="651">
        <f t="shared" si="22"/>
        <v>0</v>
      </c>
      <c r="Q53" s="1216">
        <f>'[30]Oct midyear adj_OJJ'!$K52</f>
        <v>0</v>
      </c>
      <c r="R53" s="651">
        <f t="shared" si="23"/>
        <v>0</v>
      </c>
      <c r="S53" s="651">
        <f t="shared" si="24"/>
        <v>0</v>
      </c>
      <c r="T53" s="652">
        <f t="shared" si="25"/>
        <v>0</v>
      </c>
      <c r="U53" s="670"/>
      <c r="V53" s="671"/>
      <c r="W53" s="652">
        <f t="shared" si="26"/>
        <v>0</v>
      </c>
    </row>
    <row r="54" spans="1:23">
      <c r="A54" s="644">
        <v>48</v>
      </c>
      <c r="B54" s="645" t="s">
        <v>202</v>
      </c>
      <c r="C54" s="667">
        <f>'[29]Summary for MFP'!$E54</f>
        <v>0</v>
      </c>
      <c r="D54" s="668">
        <f>'Table 3 Levels 1&amp;2'!BR56+'Table 3 Levels 1&amp;2'!BV56</f>
        <v>5129.6552826194065</v>
      </c>
      <c r="E54" s="668">
        <f t="shared" si="15"/>
        <v>6752.5970669509697</v>
      </c>
      <c r="F54" s="668">
        <f t="shared" si="16"/>
        <v>8222.9444588131646</v>
      </c>
      <c r="G54" s="669">
        <f t="shared" si="17"/>
        <v>0</v>
      </c>
      <c r="H54" s="670"/>
      <c r="I54" s="1209">
        <f>'[30]Oct midyear adj_OJJ'!$I53</f>
        <v>0</v>
      </c>
      <c r="J54" s="669">
        <f t="shared" si="18"/>
        <v>0</v>
      </c>
      <c r="K54" s="669">
        <f t="shared" si="19"/>
        <v>0</v>
      </c>
      <c r="L54" s="639">
        <f>'Table 3 Levels 1&amp;2'!CA56</f>
        <v>25802684.859999999</v>
      </c>
      <c r="M54" s="672">
        <f>'Table 3 Levels 1&amp;2'!C56</f>
        <v>6263</v>
      </c>
      <c r="N54" s="672">
        <f t="shared" si="20"/>
        <v>6263</v>
      </c>
      <c r="O54" s="650">
        <f t="shared" si="21"/>
        <v>4119.860268242056</v>
      </c>
      <c r="P54" s="651">
        <f t="shared" si="22"/>
        <v>0</v>
      </c>
      <c r="Q54" s="1216">
        <f>'[30]Oct midyear adj_OJJ'!$K53</f>
        <v>0</v>
      </c>
      <c r="R54" s="651">
        <f t="shared" si="23"/>
        <v>0</v>
      </c>
      <c r="S54" s="651">
        <f t="shared" si="24"/>
        <v>0</v>
      </c>
      <c r="T54" s="652">
        <f t="shared" si="25"/>
        <v>0</v>
      </c>
      <c r="U54" s="670"/>
      <c r="V54" s="671"/>
      <c r="W54" s="652">
        <f t="shared" si="26"/>
        <v>0</v>
      </c>
    </row>
    <row r="55" spans="1:23">
      <c r="A55" s="644">
        <v>49</v>
      </c>
      <c r="B55" s="645" t="s">
        <v>142</v>
      </c>
      <c r="C55" s="667">
        <f>'[29]Summary for MFP'!$E55</f>
        <v>5.3381990000000004</v>
      </c>
      <c r="D55" s="668">
        <f>'Table 3 Levels 1&amp;2'!BR57+'Table 3 Levels 1&amp;2'!BV57</f>
        <v>5364.1746897945304</v>
      </c>
      <c r="E55" s="668">
        <f t="shared" si="15"/>
        <v>7061.3147046447775</v>
      </c>
      <c r="F55" s="668">
        <f t="shared" si="16"/>
        <v>8531.6620965069724</v>
      </c>
      <c r="G55" s="669">
        <f t="shared" si="17"/>
        <v>45543.710071911424</v>
      </c>
      <c r="H55" s="670"/>
      <c r="I55" s="1209">
        <v>0</v>
      </c>
      <c r="J55" s="669">
        <f t="shared" si="18"/>
        <v>45543.710071911424</v>
      </c>
      <c r="K55" s="669">
        <f t="shared" si="19"/>
        <v>3795</v>
      </c>
      <c r="L55" s="639">
        <f>'Table 3 Levels 1&amp;2'!CA57</f>
        <v>34750059</v>
      </c>
      <c r="M55" s="672">
        <f>'Table 3 Levels 1&amp;2'!C57</f>
        <v>14571</v>
      </c>
      <c r="N55" s="672">
        <f t="shared" si="20"/>
        <v>14576.338199</v>
      </c>
      <c r="O55" s="650">
        <f t="shared" si="21"/>
        <v>2384.0047154218751</v>
      </c>
      <c r="P55" s="651">
        <f t="shared" si="22"/>
        <v>12726.291587860338</v>
      </c>
      <c r="Q55" s="1216">
        <v>0</v>
      </c>
      <c r="R55" s="651">
        <f t="shared" si="23"/>
        <v>12726.291587860338</v>
      </c>
      <c r="S55" s="651">
        <f t="shared" si="24"/>
        <v>1061</v>
      </c>
      <c r="T55" s="652">
        <f t="shared" si="25"/>
        <v>58270.001659771762</v>
      </c>
      <c r="U55" s="670"/>
      <c r="V55" s="671"/>
      <c r="W55" s="652">
        <f t="shared" si="26"/>
        <v>4856</v>
      </c>
    </row>
    <row r="56" spans="1:23">
      <c r="A56" s="655">
        <v>50</v>
      </c>
      <c r="B56" s="656" t="s">
        <v>143</v>
      </c>
      <c r="C56" s="673">
        <f>'[29]Summary for MFP'!$E56</f>
        <v>4.3232080000000002</v>
      </c>
      <c r="D56" s="674">
        <f>'Table 3 Levels 1&amp;2'!BR58+'Table 3 Levels 1&amp;2'!BV58</f>
        <v>5588.6292553166813</v>
      </c>
      <c r="E56" s="674">
        <f t="shared" si="15"/>
        <v>7356.7831440044447</v>
      </c>
      <c r="F56" s="674">
        <f t="shared" si="16"/>
        <v>8827.1305358666395</v>
      </c>
      <c r="G56" s="675">
        <f t="shared" si="17"/>
        <v>38161.521349702947</v>
      </c>
      <c r="H56" s="671"/>
      <c r="I56" s="1210">
        <f>'[30]Oct midyear adj_OJJ'!$I55</f>
        <v>0</v>
      </c>
      <c r="J56" s="675">
        <f t="shared" si="18"/>
        <v>38161.521349702947</v>
      </c>
      <c r="K56" s="675">
        <f t="shared" si="19"/>
        <v>3180</v>
      </c>
      <c r="L56" s="661">
        <f>'Table 3 Levels 1&amp;2'!CA58</f>
        <v>22744499.5</v>
      </c>
      <c r="M56" s="676">
        <f>'Table 3 Levels 1&amp;2'!C58</f>
        <v>7919</v>
      </c>
      <c r="N56" s="676">
        <f t="shared" si="20"/>
        <v>7923.3232079999998</v>
      </c>
      <c r="O56" s="663">
        <f t="shared" si="21"/>
        <v>2870.575755010902</v>
      </c>
      <c r="P56" s="664">
        <f t="shared" si="22"/>
        <v>12410.096068669172</v>
      </c>
      <c r="Q56" s="1217">
        <f>'[30]Oct midyear adj_OJJ'!$K55</f>
        <v>0</v>
      </c>
      <c r="R56" s="664">
        <f t="shared" si="23"/>
        <v>12410.096068669172</v>
      </c>
      <c r="S56" s="664">
        <f t="shared" si="24"/>
        <v>1034</v>
      </c>
      <c r="T56" s="665">
        <f t="shared" si="25"/>
        <v>50571.617418372116</v>
      </c>
      <c r="U56" s="671"/>
      <c r="V56" s="671"/>
      <c r="W56" s="665">
        <f t="shared" si="26"/>
        <v>4214</v>
      </c>
    </row>
    <row r="57" spans="1:23">
      <c r="A57" s="632">
        <v>51</v>
      </c>
      <c r="B57" s="633" t="s">
        <v>144</v>
      </c>
      <c r="C57" s="677">
        <f>'[29]Summary for MFP'!$E57</f>
        <v>1.831979</v>
      </c>
      <c r="D57" s="678">
        <f>'Table 3 Levels 1&amp;2'!BR59+'Table 3 Levels 1&amp;2'!BV59</f>
        <v>4993.6392330177332</v>
      </c>
      <c r="E57" s="678">
        <f t="shared" si="15"/>
        <v>6573.5476909216486</v>
      </c>
      <c r="F57" s="678">
        <f t="shared" si="16"/>
        <v>8043.8950827838435</v>
      </c>
      <c r="G57" s="679">
        <f t="shared" si="17"/>
        <v>14736.246869863264</v>
      </c>
      <c r="H57" s="670"/>
      <c r="I57" s="1211">
        <f>'[30]Oct midyear adj_OJJ'!$I56</f>
        <v>0</v>
      </c>
      <c r="J57" s="679">
        <f t="shared" si="18"/>
        <v>14736.246869863264</v>
      </c>
      <c r="K57" s="679">
        <f t="shared" si="19"/>
        <v>1228</v>
      </c>
      <c r="L57" s="639">
        <f>'Table 3 Levels 1&amp;2'!CA59</f>
        <v>36616778.359999999</v>
      </c>
      <c r="M57" s="680">
        <f>'Table 3 Levels 1&amp;2'!C59</f>
        <v>9298</v>
      </c>
      <c r="N57" s="680">
        <f t="shared" si="20"/>
        <v>9299.8319790000005</v>
      </c>
      <c r="O57" s="641">
        <f t="shared" si="21"/>
        <v>3937.3591310772645</v>
      </c>
      <c r="P57" s="642">
        <f t="shared" si="22"/>
        <v>7213.1592435917955</v>
      </c>
      <c r="Q57" s="1215">
        <f>'[30]Oct midyear adj_OJJ'!$K56</f>
        <v>0</v>
      </c>
      <c r="R57" s="642">
        <f t="shared" si="23"/>
        <v>7213.1592435917955</v>
      </c>
      <c r="S57" s="642">
        <f t="shared" si="24"/>
        <v>601</v>
      </c>
      <c r="T57" s="643">
        <f t="shared" si="25"/>
        <v>21949.406113455057</v>
      </c>
      <c r="U57" s="670"/>
      <c r="V57" s="671"/>
      <c r="W57" s="643">
        <f t="shared" si="26"/>
        <v>1829</v>
      </c>
    </row>
    <row r="58" spans="1:23">
      <c r="A58" s="644">
        <v>52</v>
      </c>
      <c r="B58" s="645" t="s">
        <v>145</v>
      </c>
      <c r="C58" s="667">
        <f>'[29]Summary for MFP'!$E58</f>
        <v>13.215285</v>
      </c>
      <c r="D58" s="668">
        <f>'Table 3 Levels 1&amp;2'!BR60+'Table 3 Levels 1&amp;2'!BV60</f>
        <v>5646.7304838872305</v>
      </c>
      <c r="E58" s="668">
        <f t="shared" si="15"/>
        <v>7433.2666821792354</v>
      </c>
      <c r="F58" s="668">
        <f t="shared" si="16"/>
        <v>8903.6140740414303</v>
      </c>
      <c r="G58" s="669">
        <f t="shared" si="17"/>
        <v>117663.79751846861</v>
      </c>
      <c r="H58" s="670"/>
      <c r="I58" s="1209">
        <f>'[30]Oct midyear adj_OJJ'!$I57</f>
        <v>0</v>
      </c>
      <c r="J58" s="669">
        <f t="shared" si="18"/>
        <v>117663.79751846861</v>
      </c>
      <c r="K58" s="669">
        <f t="shared" si="19"/>
        <v>9805</v>
      </c>
      <c r="L58" s="639">
        <f>'Table 3 Levels 1&amp;2'!CA60</f>
        <v>131745873.59999999</v>
      </c>
      <c r="M58" s="672">
        <f>'Table 3 Levels 1&amp;2'!C60</f>
        <v>37183</v>
      </c>
      <c r="N58" s="672">
        <f t="shared" si="20"/>
        <v>37196.215284999998</v>
      </c>
      <c r="O58" s="650">
        <f>L58/N58</f>
        <v>3541.9160952412471</v>
      </c>
      <c r="P58" s="651">
        <f t="shared" si="22"/>
        <v>46807.430644700224</v>
      </c>
      <c r="Q58" s="1216">
        <f>'[30]Oct midyear adj_OJJ'!$K57</f>
        <v>0</v>
      </c>
      <c r="R58" s="651">
        <f t="shared" si="23"/>
        <v>46807.430644700224</v>
      </c>
      <c r="S58" s="651">
        <f t="shared" si="24"/>
        <v>3901</v>
      </c>
      <c r="T58" s="652">
        <f t="shared" si="25"/>
        <v>164471.22816316882</v>
      </c>
      <c r="U58" s="670"/>
      <c r="V58" s="671"/>
      <c r="W58" s="652">
        <f t="shared" si="26"/>
        <v>13706</v>
      </c>
    </row>
    <row r="59" spans="1:23">
      <c r="A59" s="644">
        <v>53</v>
      </c>
      <c r="B59" s="645" t="s">
        <v>146</v>
      </c>
      <c r="C59" s="667">
        <f>'[29]Summary for MFP'!$E59</f>
        <v>8.5482180000000003</v>
      </c>
      <c r="D59" s="668">
        <f>'Table 3 Levels 1&amp;2'!BR61+'Table 3 Levels 1&amp;2'!BV61</f>
        <v>5429.0672090209528</v>
      </c>
      <c r="E59" s="668">
        <f t="shared" si="15"/>
        <v>7146.7381904061131</v>
      </c>
      <c r="F59" s="668">
        <f t="shared" si="16"/>
        <v>8617.0855822683079</v>
      </c>
      <c r="G59" s="669">
        <f t="shared" si="17"/>
        <v>73660.726081886431</v>
      </c>
      <c r="H59" s="670"/>
      <c r="I59" s="1209">
        <f>'[30]Oct midyear adj_OJJ'!$I58</f>
        <v>0</v>
      </c>
      <c r="J59" s="669">
        <f t="shared" si="18"/>
        <v>73660.726081886431</v>
      </c>
      <c r="K59" s="669">
        <f t="shared" si="19"/>
        <v>6138</v>
      </c>
      <c r="L59" s="639">
        <f>'Table 3 Levels 1&amp;2'!CA61</f>
        <v>37298233</v>
      </c>
      <c r="M59" s="672">
        <f>'Table 3 Levels 1&amp;2'!C61</f>
        <v>19215</v>
      </c>
      <c r="N59" s="672">
        <f t="shared" si="20"/>
        <v>19223.548218</v>
      </c>
      <c r="O59" s="650">
        <f t="shared" si="21"/>
        <v>1940.2366606324913</v>
      </c>
      <c r="P59" s="651">
        <f t="shared" si="22"/>
        <v>16585.565946678555</v>
      </c>
      <c r="Q59" s="1216">
        <f>'[30]Oct midyear adj_OJJ'!$K58</f>
        <v>0</v>
      </c>
      <c r="R59" s="651">
        <f t="shared" si="23"/>
        <v>16585.565946678555</v>
      </c>
      <c r="S59" s="651">
        <f t="shared" si="24"/>
        <v>1382</v>
      </c>
      <c r="T59" s="652">
        <f t="shared" si="25"/>
        <v>90246.292028564989</v>
      </c>
      <c r="U59" s="670"/>
      <c r="V59" s="671"/>
      <c r="W59" s="652">
        <f t="shared" si="26"/>
        <v>7520</v>
      </c>
    </row>
    <row r="60" spans="1:23">
      <c r="A60" s="644">
        <v>54</v>
      </c>
      <c r="B60" s="645" t="s">
        <v>147</v>
      </c>
      <c r="C60" s="667">
        <f>'[29]Summary for MFP'!$E60</f>
        <v>2.1395119999999999</v>
      </c>
      <c r="D60" s="668">
        <f>'Table 3 Levels 1&amp;2'!BR62+'Table 3 Levels 1&amp;2'!BV62</f>
        <v>6856.0243527457278</v>
      </c>
      <c r="E60" s="668">
        <f t="shared" si="15"/>
        <v>9025.1620010720599</v>
      </c>
      <c r="F60" s="668">
        <f t="shared" si="16"/>
        <v>10495.509392934255</v>
      </c>
      <c r="G60" s="669">
        <f t="shared" si="17"/>
        <v>22455.26829229555</v>
      </c>
      <c r="H60" s="670"/>
      <c r="I60" s="1209">
        <f>'[30]Oct midyear adj_OJJ'!$I59</f>
        <v>0</v>
      </c>
      <c r="J60" s="669">
        <f t="shared" si="18"/>
        <v>22455.26829229555</v>
      </c>
      <c r="K60" s="669">
        <f t="shared" si="19"/>
        <v>1871</v>
      </c>
      <c r="L60" s="639">
        <f>'Table 3 Levels 1&amp;2'!CA62</f>
        <v>2396074.5</v>
      </c>
      <c r="M60" s="672">
        <f>'Table 3 Levels 1&amp;2'!C62</f>
        <v>685</v>
      </c>
      <c r="N60" s="672">
        <f t="shared" si="20"/>
        <v>687.13951199999997</v>
      </c>
      <c r="O60" s="650">
        <f t="shared" si="21"/>
        <v>3487.0276823784225</v>
      </c>
      <c r="P60" s="651">
        <f t="shared" si="22"/>
        <v>7460.5375707808225</v>
      </c>
      <c r="Q60" s="1216">
        <f>'[30]Oct midyear adj_OJJ'!$K59</f>
        <v>0</v>
      </c>
      <c r="R60" s="651">
        <f t="shared" si="23"/>
        <v>7460.5375707808225</v>
      </c>
      <c r="S60" s="651">
        <f t="shared" si="24"/>
        <v>622</v>
      </c>
      <c r="T60" s="652">
        <f t="shared" si="25"/>
        <v>29915.805863076373</v>
      </c>
      <c r="U60" s="670"/>
      <c r="V60" s="671"/>
      <c r="W60" s="652">
        <f t="shared" si="26"/>
        <v>2493</v>
      </c>
    </row>
    <row r="61" spans="1:23">
      <c r="A61" s="655">
        <v>55</v>
      </c>
      <c r="B61" s="656" t="s">
        <v>148</v>
      </c>
      <c r="C61" s="673">
        <f>'[29]Summary for MFP'!$E61</f>
        <v>13.236518</v>
      </c>
      <c r="D61" s="674">
        <f>'Table 3 Levels 1&amp;2'!BR63+'Table 3 Levels 1&amp;2'!BV63</f>
        <v>4909.6405612853259</v>
      </c>
      <c r="E61" s="674">
        <f t="shared" si="15"/>
        <v>6462.973168245655</v>
      </c>
      <c r="F61" s="674">
        <f t="shared" si="16"/>
        <v>7933.3205601078498</v>
      </c>
      <c r="G61" s="675">
        <f t="shared" si="17"/>
        <v>105009.54039363764</v>
      </c>
      <c r="H61" s="671"/>
      <c r="I61" s="1210">
        <v>0</v>
      </c>
      <c r="J61" s="675">
        <f t="shared" si="18"/>
        <v>105009.54039363764</v>
      </c>
      <c r="K61" s="675">
        <f t="shared" si="19"/>
        <v>8751</v>
      </c>
      <c r="L61" s="661">
        <f>'Table 3 Levels 1&amp;2'!CA63</f>
        <v>56116188.5</v>
      </c>
      <c r="M61" s="676">
        <f>'Table 3 Levels 1&amp;2'!C63</f>
        <v>17844</v>
      </c>
      <c r="N61" s="676">
        <f t="shared" si="20"/>
        <v>17857.236518000002</v>
      </c>
      <c r="O61" s="663">
        <f t="shared" si="21"/>
        <v>3142.4900736144236</v>
      </c>
      <c r="P61" s="664">
        <f t="shared" si="22"/>
        <v>41595.626424218644</v>
      </c>
      <c r="Q61" s="1217">
        <v>0</v>
      </c>
      <c r="R61" s="664">
        <f t="shared" si="23"/>
        <v>41595.626424218644</v>
      </c>
      <c r="S61" s="664">
        <f t="shared" si="24"/>
        <v>3466</v>
      </c>
      <c r="T61" s="665">
        <f t="shared" si="25"/>
        <v>146605.16681785628</v>
      </c>
      <c r="U61" s="671"/>
      <c r="V61" s="671"/>
      <c r="W61" s="665">
        <f t="shared" si="26"/>
        <v>12217</v>
      </c>
    </row>
    <row r="62" spans="1:23">
      <c r="A62" s="632">
        <v>56</v>
      </c>
      <c r="B62" s="633" t="s">
        <v>149</v>
      </c>
      <c r="C62" s="677">
        <f>'[29]Summary for MFP'!$E62</f>
        <v>0</v>
      </c>
      <c r="D62" s="678">
        <f>'Table 3 Levels 1&amp;2'!BR64+'Table 3 Levels 1&amp;2'!BV64</f>
        <v>5539.3069196842262</v>
      </c>
      <c r="E62" s="678">
        <f t="shared" si="15"/>
        <v>7291.8560016182182</v>
      </c>
      <c r="F62" s="678">
        <f t="shared" si="16"/>
        <v>8762.2033934804131</v>
      </c>
      <c r="G62" s="679">
        <f t="shared" si="17"/>
        <v>0</v>
      </c>
      <c r="H62" s="670"/>
      <c r="I62" s="1211">
        <f>'[30]Oct midyear adj_OJJ'!$I61</f>
        <v>0</v>
      </c>
      <c r="J62" s="679">
        <f t="shared" si="18"/>
        <v>0</v>
      </c>
      <c r="K62" s="679">
        <f t="shared" si="19"/>
        <v>0</v>
      </c>
      <c r="L62" s="639">
        <f>'Table 3 Levels 1&amp;2'!CA64</f>
        <v>8175594</v>
      </c>
      <c r="M62" s="680">
        <f>'Table 3 Levels 1&amp;2'!C64</f>
        <v>2878</v>
      </c>
      <c r="N62" s="680">
        <f t="shared" si="20"/>
        <v>2878</v>
      </c>
      <c r="O62" s="641">
        <f t="shared" si="21"/>
        <v>2840.7206393328702</v>
      </c>
      <c r="P62" s="642">
        <f t="shared" si="22"/>
        <v>0</v>
      </c>
      <c r="Q62" s="1215">
        <f>'[30]Oct midyear adj_OJJ'!$K61</f>
        <v>0</v>
      </c>
      <c r="R62" s="642">
        <f t="shared" si="23"/>
        <v>0</v>
      </c>
      <c r="S62" s="642">
        <f t="shared" si="24"/>
        <v>0</v>
      </c>
      <c r="T62" s="643">
        <f t="shared" si="25"/>
        <v>0</v>
      </c>
      <c r="U62" s="670"/>
      <c r="V62" s="671"/>
      <c r="W62" s="643">
        <f t="shared" si="26"/>
        <v>0</v>
      </c>
    </row>
    <row r="63" spans="1:23">
      <c r="A63" s="644">
        <v>57</v>
      </c>
      <c r="B63" s="645" t="s">
        <v>150</v>
      </c>
      <c r="C63" s="667">
        <f>'[29]Summary for MFP'!$E63</f>
        <v>2.748532</v>
      </c>
      <c r="D63" s="668">
        <f>'Table 3 Levels 1&amp;2'!BR65+'Table 3 Levels 1&amp;2'!BV65</f>
        <v>5198.92669139594</v>
      </c>
      <c r="E63" s="668">
        <f t="shared" si="15"/>
        <v>6843.7848536455031</v>
      </c>
      <c r="F63" s="668">
        <f t="shared" si="16"/>
        <v>8314.1322455076988</v>
      </c>
      <c r="G63" s="669">
        <f t="shared" si="17"/>
        <v>22851.658529009765</v>
      </c>
      <c r="H63" s="670"/>
      <c r="I63" s="1209">
        <f>'[30]Oct midyear adj_OJJ'!$I62</f>
        <v>0</v>
      </c>
      <c r="J63" s="669">
        <f t="shared" si="18"/>
        <v>22851.658529009765</v>
      </c>
      <c r="K63" s="669">
        <f t="shared" si="19"/>
        <v>1904</v>
      </c>
      <c r="L63" s="639">
        <f>'Table 3 Levels 1&amp;2'!CA65</f>
        <v>25760842</v>
      </c>
      <c r="M63" s="672">
        <f>'Table 3 Levels 1&amp;2'!C65</f>
        <v>9062</v>
      </c>
      <c r="N63" s="672">
        <f t="shared" si="20"/>
        <v>9064.7485319999996</v>
      </c>
      <c r="O63" s="650">
        <f t="shared" si="21"/>
        <v>2841.8705614458186</v>
      </c>
      <c r="P63" s="651">
        <f t="shared" si="22"/>
        <v>7810.9721779917982</v>
      </c>
      <c r="Q63" s="1216">
        <f>'[30]Oct midyear adj_OJJ'!$K62</f>
        <v>0</v>
      </c>
      <c r="R63" s="651">
        <f t="shared" si="23"/>
        <v>7810.9721779917982</v>
      </c>
      <c r="S63" s="651">
        <f t="shared" si="24"/>
        <v>651</v>
      </c>
      <c r="T63" s="652">
        <f t="shared" si="25"/>
        <v>30662.630707001561</v>
      </c>
      <c r="U63" s="670"/>
      <c r="V63" s="671"/>
      <c r="W63" s="652">
        <f t="shared" si="26"/>
        <v>2555</v>
      </c>
    </row>
    <row r="64" spans="1:23">
      <c r="A64" s="644">
        <v>58</v>
      </c>
      <c r="B64" s="645" t="s">
        <v>151</v>
      </c>
      <c r="C64" s="667">
        <f>'[29]Summary for MFP'!$E64</f>
        <v>0.54800000000000004</v>
      </c>
      <c r="D64" s="668">
        <f>'Table 3 Levels 1&amp;2'!BR66+'Table 3 Levels 1&amp;2'!BV66</f>
        <v>6131.3130202174189</v>
      </c>
      <c r="E64" s="668">
        <f t="shared" si="15"/>
        <v>8071.1634672918563</v>
      </c>
      <c r="F64" s="668">
        <f t="shared" si="16"/>
        <v>9541.510859154052</v>
      </c>
      <c r="G64" s="669">
        <f t="shared" si="17"/>
        <v>5228.7479508164206</v>
      </c>
      <c r="H64" s="670"/>
      <c r="I64" s="1209">
        <f>'[30]Oct midyear adj_OJJ'!$I63</f>
        <v>0</v>
      </c>
      <c r="J64" s="669">
        <f t="shared" si="18"/>
        <v>5228.7479508164206</v>
      </c>
      <c r="K64" s="669">
        <f t="shared" si="19"/>
        <v>436</v>
      </c>
      <c r="L64" s="639">
        <f>'Table 3 Levels 1&amp;2'!CA66</f>
        <v>19717004</v>
      </c>
      <c r="M64" s="672">
        <f>'Table 3 Levels 1&amp;2'!C66</f>
        <v>9105</v>
      </c>
      <c r="N64" s="672">
        <f t="shared" si="20"/>
        <v>9105.5480000000007</v>
      </c>
      <c r="O64" s="650">
        <f t="shared" si="21"/>
        <v>2165.383566151098</v>
      </c>
      <c r="P64" s="651">
        <f t="shared" si="22"/>
        <v>1186.6301942508019</v>
      </c>
      <c r="Q64" s="1216">
        <f>'[30]Oct midyear adj_OJJ'!$K63</f>
        <v>0</v>
      </c>
      <c r="R64" s="651">
        <f t="shared" si="23"/>
        <v>1186.6301942508019</v>
      </c>
      <c r="S64" s="651">
        <f t="shared" si="24"/>
        <v>99</v>
      </c>
      <c r="T64" s="652">
        <f t="shared" si="25"/>
        <v>6415.3781450672222</v>
      </c>
      <c r="U64" s="670"/>
      <c r="V64" s="671"/>
      <c r="W64" s="652">
        <f t="shared" si="26"/>
        <v>535</v>
      </c>
    </row>
    <row r="65" spans="1:23">
      <c r="A65" s="644">
        <v>59</v>
      </c>
      <c r="B65" s="645" t="s">
        <v>152</v>
      </c>
      <c r="C65" s="667">
        <f>'[29]Summary for MFP'!$E65</f>
        <v>3.8155779999999999</v>
      </c>
      <c r="D65" s="668">
        <f>'Table 3 Levels 1&amp;2'!BR67+'Table 3 Levels 1&amp;2'!BV67</f>
        <v>6941.4041252514735</v>
      </c>
      <c r="E65" s="668">
        <f t="shared" si="15"/>
        <v>9137.5545829581533</v>
      </c>
      <c r="F65" s="668">
        <f t="shared" si="16"/>
        <v>10607.901974820348</v>
      </c>
      <c r="G65" s="669">
        <f t="shared" si="17"/>
        <v>40475.277401281077</v>
      </c>
      <c r="H65" s="670"/>
      <c r="I65" s="1209">
        <f>'[30]Oct midyear adj_OJJ'!$I64</f>
        <v>0</v>
      </c>
      <c r="J65" s="669">
        <f t="shared" si="18"/>
        <v>40475.277401281077</v>
      </c>
      <c r="K65" s="669">
        <f t="shared" si="19"/>
        <v>3373</v>
      </c>
      <c r="L65" s="639">
        <f>'Table 3 Levels 1&amp;2'!CA67</f>
        <v>8225589</v>
      </c>
      <c r="M65" s="672">
        <f>'Table 3 Levels 1&amp;2'!C67</f>
        <v>5253</v>
      </c>
      <c r="N65" s="672">
        <f t="shared" si="20"/>
        <v>5256.8155779999997</v>
      </c>
      <c r="O65" s="650">
        <f t="shared" si="21"/>
        <v>1564.7474936013441</v>
      </c>
      <c r="P65" s="651">
        <f t="shared" si="22"/>
        <v>5970.4161121404295</v>
      </c>
      <c r="Q65" s="1216">
        <f>'[30]Oct midyear adj_OJJ'!$K64</f>
        <v>0</v>
      </c>
      <c r="R65" s="651">
        <f t="shared" si="23"/>
        <v>5970.4161121404295</v>
      </c>
      <c r="S65" s="651">
        <f t="shared" si="24"/>
        <v>498</v>
      </c>
      <c r="T65" s="652">
        <f t="shared" si="25"/>
        <v>46445.693513421509</v>
      </c>
      <c r="U65" s="670"/>
      <c r="V65" s="671"/>
      <c r="W65" s="652">
        <f t="shared" si="26"/>
        <v>3871</v>
      </c>
    </row>
    <row r="66" spans="1:23">
      <c r="A66" s="655">
        <v>60</v>
      </c>
      <c r="B66" s="656" t="s">
        <v>153</v>
      </c>
      <c r="C66" s="673">
        <f>'[29]Summary for MFP'!$E66</f>
        <v>3.513636</v>
      </c>
      <c r="D66" s="674">
        <f>'Table 3 Levels 1&amp;2'!BR68+'Table 3 Levels 1&amp;2'!BV68</f>
        <v>5496.3051936392185</v>
      </c>
      <c r="E66" s="674">
        <f t="shared" si="15"/>
        <v>7235.2492097058639</v>
      </c>
      <c r="F66" s="674">
        <f t="shared" si="16"/>
        <v>8705.5966015680588</v>
      </c>
      <c r="G66" s="675">
        <f t="shared" si="17"/>
        <v>30588.297620747187</v>
      </c>
      <c r="H66" s="671"/>
      <c r="I66" s="1210">
        <f>'[30]Oct midyear adj_OJJ'!$I65</f>
        <v>0</v>
      </c>
      <c r="J66" s="675">
        <f t="shared" si="18"/>
        <v>30588.297620747187</v>
      </c>
      <c r="K66" s="675">
        <f t="shared" si="19"/>
        <v>2549</v>
      </c>
      <c r="L66" s="661">
        <f>'Table 3 Levels 1&amp;2'!CA68</f>
        <v>21875143</v>
      </c>
      <c r="M66" s="676">
        <f>'Table 3 Levels 1&amp;2'!C68</f>
        <v>6511</v>
      </c>
      <c r="N66" s="676">
        <f t="shared" si="20"/>
        <v>6514.5136359999997</v>
      </c>
      <c r="O66" s="663">
        <f t="shared" si="21"/>
        <v>3357.9088512633211</v>
      </c>
      <c r="P66" s="664">
        <f t="shared" si="22"/>
        <v>11798.469424517451</v>
      </c>
      <c r="Q66" s="1217">
        <f>'[30]Oct midyear adj_OJJ'!$K65</f>
        <v>0</v>
      </c>
      <c r="R66" s="664">
        <f t="shared" si="23"/>
        <v>11798.469424517451</v>
      </c>
      <c r="S66" s="664">
        <f t="shared" si="24"/>
        <v>983</v>
      </c>
      <c r="T66" s="665">
        <f t="shared" si="25"/>
        <v>42386.767045264642</v>
      </c>
      <c r="U66" s="671"/>
      <c r="V66" s="671"/>
      <c r="W66" s="665">
        <f t="shared" si="26"/>
        <v>3532</v>
      </c>
    </row>
    <row r="67" spans="1:23">
      <c r="A67" s="632">
        <v>61</v>
      </c>
      <c r="B67" s="633" t="s">
        <v>154</v>
      </c>
      <c r="C67" s="677">
        <f>'[29]Summary for MFP'!$E67</f>
        <v>2.7744490000000002</v>
      </c>
      <c r="D67" s="678">
        <f>'Table 3 Levels 1&amp;2'!BR69+'Table 3 Levels 1&amp;2'!BV69</f>
        <v>3706.1381594467334</v>
      </c>
      <c r="E67" s="678">
        <f t="shared" si="15"/>
        <v>4878.7016449214061</v>
      </c>
      <c r="F67" s="678">
        <f t="shared" si="16"/>
        <v>6349.049036783601</v>
      </c>
      <c r="G67" s="679">
        <f t="shared" si="17"/>
        <v>17615.112751055225</v>
      </c>
      <c r="H67" s="670"/>
      <c r="I67" s="1211">
        <f>'[30]Oct midyear adj_OJJ'!$I66</f>
        <v>0</v>
      </c>
      <c r="J67" s="679">
        <f t="shared" si="18"/>
        <v>17615.112751055225</v>
      </c>
      <c r="K67" s="679">
        <f t="shared" si="19"/>
        <v>1468</v>
      </c>
      <c r="L67" s="639">
        <f>'Table 3 Levels 1&amp;2'!CA69</f>
        <v>17936623.800000001</v>
      </c>
      <c r="M67" s="680">
        <f>'Table 3 Levels 1&amp;2'!C69</f>
        <v>3638</v>
      </c>
      <c r="N67" s="680">
        <f t="shared" si="20"/>
        <v>3640.774449</v>
      </c>
      <c r="O67" s="641">
        <f t="shared" si="21"/>
        <v>4926.5957150755648</v>
      </c>
      <c r="P67" s="642">
        <f t="shared" si="22"/>
        <v>13668.588555095686</v>
      </c>
      <c r="Q67" s="1215">
        <f>'[30]Oct midyear adj_OJJ'!$K66</f>
        <v>0</v>
      </c>
      <c r="R67" s="642">
        <f t="shared" si="23"/>
        <v>13668.588555095686</v>
      </c>
      <c r="S67" s="642">
        <f t="shared" si="24"/>
        <v>1139</v>
      </c>
      <c r="T67" s="643">
        <f t="shared" si="25"/>
        <v>31283.701306150913</v>
      </c>
      <c r="U67" s="670"/>
      <c r="V67" s="671"/>
      <c r="W67" s="643">
        <f t="shared" si="26"/>
        <v>2607</v>
      </c>
    </row>
    <row r="68" spans="1:23">
      <c r="A68" s="644">
        <v>62</v>
      </c>
      <c r="B68" s="645" t="s">
        <v>155</v>
      </c>
      <c r="C68" s="667">
        <f>'[29]Summary for MFP'!$E68</f>
        <v>0.346883</v>
      </c>
      <c r="D68" s="668">
        <f>'Table 3 Levels 1&amp;2'!BR70+'Table 3 Levels 1&amp;2'!BV70</f>
        <v>6110.4671148189882</v>
      </c>
      <c r="E68" s="668">
        <f t="shared" si="15"/>
        <v>8043.7222471910973</v>
      </c>
      <c r="F68" s="668">
        <f t="shared" si="16"/>
        <v>9514.0696390532921</v>
      </c>
      <c r="G68" s="669">
        <f t="shared" si="17"/>
        <v>3300.269018603723</v>
      </c>
      <c r="H68" s="670"/>
      <c r="I68" s="1209">
        <f>'[30]Oct midyear adj_OJJ'!$I67</f>
        <v>0</v>
      </c>
      <c r="J68" s="669">
        <f t="shared" si="18"/>
        <v>3300.269018603723</v>
      </c>
      <c r="K68" s="669">
        <f t="shared" si="19"/>
        <v>275</v>
      </c>
      <c r="L68" s="639">
        <f>'Table 3 Levels 1&amp;2'!CA70</f>
        <v>3860612</v>
      </c>
      <c r="M68" s="672">
        <f>'Table 3 Levels 1&amp;2'!C70</f>
        <v>2143</v>
      </c>
      <c r="N68" s="672">
        <f t="shared" si="20"/>
        <v>2143.3468830000002</v>
      </c>
      <c r="O68" s="650">
        <f t="shared" si="21"/>
        <v>1801.2072756960263</v>
      </c>
      <c r="P68" s="651">
        <f t="shared" si="22"/>
        <v>624.80818341526469</v>
      </c>
      <c r="Q68" s="1216">
        <f>'[30]Oct midyear adj_OJJ'!$K67</f>
        <v>0</v>
      </c>
      <c r="R68" s="651">
        <f t="shared" si="23"/>
        <v>624.80818341526469</v>
      </c>
      <c r="S68" s="651">
        <f t="shared" si="24"/>
        <v>52</v>
      </c>
      <c r="T68" s="652">
        <f t="shared" si="25"/>
        <v>3925.0772020189879</v>
      </c>
      <c r="U68" s="670"/>
      <c r="V68" s="671"/>
      <c r="W68" s="652">
        <f t="shared" si="26"/>
        <v>327</v>
      </c>
    </row>
    <row r="69" spans="1:23">
      <c r="A69" s="644">
        <v>63</v>
      </c>
      <c r="B69" s="645" t="s">
        <v>156</v>
      </c>
      <c r="C69" s="667">
        <f>'[29]Summary for MFP'!$E69</f>
        <v>1.487805</v>
      </c>
      <c r="D69" s="668">
        <f>'Table 3 Levels 1&amp;2'!BR71+'Table 3 Levels 1&amp;2'!BV71</f>
        <v>5075.613887015973</v>
      </c>
      <c r="E69" s="668">
        <f t="shared" si="15"/>
        <v>6681.4578286707438</v>
      </c>
      <c r="F69" s="668">
        <f t="shared" si="16"/>
        <v>8151.8052205329386</v>
      </c>
      <c r="G69" s="669">
        <f t="shared" si="17"/>
        <v>12128.29656613501</v>
      </c>
      <c r="H69" s="670"/>
      <c r="I69" s="1209">
        <f>'[30]Oct midyear adj_OJJ'!$I68</f>
        <v>0</v>
      </c>
      <c r="J69" s="669">
        <f t="shared" si="18"/>
        <v>12128.29656613501</v>
      </c>
      <c r="K69" s="669">
        <f t="shared" si="19"/>
        <v>1011</v>
      </c>
      <c r="L69" s="639">
        <f>'Table 3 Levels 1&amp;2'!CA71</f>
        <v>10179978.1</v>
      </c>
      <c r="M69" s="672">
        <f>'Table 3 Levels 1&amp;2'!C71</f>
        <v>2043</v>
      </c>
      <c r="N69" s="672">
        <f t="shared" si="20"/>
        <v>2044.487805</v>
      </c>
      <c r="O69" s="650">
        <f t="shared" si="21"/>
        <v>4979.2315097717101</v>
      </c>
      <c r="P69" s="651">
        <f t="shared" si="22"/>
        <v>7408.125536395899</v>
      </c>
      <c r="Q69" s="1216">
        <f>'[30]Oct midyear adj_OJJ'!$K68</f>
        <v>0</v>
      </c>
      <c r="R69" s="651">
        <f t="shared" si="23"/>
        <v>7408.125536395899</v>
      </c>
      <c r="S69" s="651">
        <f t="shared" si="24"/>
        <v>617</v>
      </c>
      <c r="T69" s="652">
        <f t="shared" si="25"/>
        <v>19536.422102530909</v>
      </c>
      <c r="U69" s="670"/>
      <c r="V69" s="671"/>
      <c r="W69" s="652">
        <f t="shared" si="26"/>
        <v>1628</v>
      </c>
    </row>
    <row r="70" spans="1:23">
      <c r="A70" s="644">
        <v>64</v>
      </c>
      <c r="B70" s="645" t="s">
        <v>157</v>
      </c>
      <c r="C70" s="667">
        <f>'[29]Summary for MFP'!$E70</f>
        <v>0</v>
      </c>
      <c r="D70" s="668">
        <f>'Table 3 Levels 1&amp;2'!BR72+'Table 3 Levels 1&amp;2'!BV72</f>
        <v>6514.2783195269394</v>
      </c>
      <c r="E70" s="668">
        <f t="shared" si="15"/>
        <v>8575.292929094785</v>
      </c>
      <c r="F70" s="668">
        <f t="shared" si="16"/>
        <v>10045.64032095698</v>
      </c>
      <c r="G70" s="669">
        <f t="shared" si="17"/>
        <v>0</v>
      </c>
      <c r="H70" s="670"/>
      <c r="I70" s="1209">
        <f>'[30]Oct midyear adj_OJJ'!$I69</f>
        <v>0</v>
      </c>
      <c r="J70" s="669">
        <f t="shared" si="18"/>
        <v>0</v>
      </c>
      <c r="K70" s="669">
        <f t="shared" si="19"/>
        <v>0</v>
      </c>
      <c r="L70" s="639">
        <f>'Table 3 Levels 1&amp;2'!CA72</f>
        <v>6892061</v>
      </c>
      <c r="M70" s="672">
        <f>'Table 3 Levels 1&amp;2'!C72</f>
        <v>2398</v>
      </c>
      <c r="N70" s="672">
        <f t="shared" si="20"/>
        <v>2398</v>
      </c>
      <c r="O70" s="650">
        <f t="shared" si="21"/>
        <v>2874.0871559633028</v>
      </c>
      <c r="P70" s="651">
        <f t="shared" si="22"/>
        <v>0</v>
      </c>
      <c r="Q70" s="1216">
        <f>'[30]Oct midyear adj_OJJ'!$K69</f>
        <v>0</v>
      </c>
      <c r="R70" s="651">
        <f t="shared" si="23"/>
        <v>0</v>
      </c>
      <c r="S70" s="651">
        <f t="shared" si="24"/>
        <v>0</v>
      </c>
      <c r="T70" s="652">
        <f t="shared" si="25"/>
        <v>0</v>
      </c>
      <c r="U70" s="670"/>
      <c r="V70" s="671"/>
      <c r="W70" s="652">
        <f t="shared" si="26"/>
        <v>0</v>
      </c>
    </row>
    <row r="71" spans="1:23">
      <c r="A71" s="655">
        <v>65</v>
      </c>
      <c r="B71" s="656" t="s">
        <v>158</v>
      </c>
      <c r="C71" s="673">
        <f>'[29]Summary for MFP'!$E71</f>
        <v>1.232</v>
      </c>
      <c r="D71" s="674">
        <f>'Table 3 Levels 1&amp;2'!BR73+'Table 3 Levels 1&amp;2'!BV73</f>
        <v>5405.5511781857895</v>
      </c>
      <c r="E71" s="674">
        <f t="shared" ref="E71:E76" si="27">D71*(1+$E$4)</f>
        <v>7115.782059419711</v>
      </c>
      <c r="F71" s="674">
        <f t="shared" si="16"/>
        <v>8586.1294512819059</v>
      </c>
      <c r="G71" s="675">
        <f t="shared" si="17"/>
        <v>10578.111483979308</v>
      </c>
      <c r="H71" s="671"/>
      <c r="I71" s="1210">
        <f>'[30]Oct midyear adj_OJJ'!$I70</f>
        <v>0</v>
      </c>
      <c r="J71" s="675">
        <f t="shared" si="18"/>
        <v>10578.111483979308</v>
      </c>
      <c r="K71" s="675">
        <f t="shared" si="19"/>
        <v>882</v>
      </c>
      <c r="L71" s="661">
        <f>'Table 3 Levels 1&amp;2'!CA73</f>
        <v>32983129.48</v>
      </c>
      <c r="M71" s="676">
        <f>'Table 3 Levels 1&amp;2'!C73</f>
        <v>8474</v>
      </c>
      <c r="N71" s="676">
        <f t="shared" si="20"/>
        <v>8475.232</v>
      </c>
      <c r="O71" s="663">
        <f t="shared" si="21"/>
        <v>3891.7081538298894</v>
      </c>
      <c r="P71" s="664">
        <f t="shared" si="22"/>
        <v>4794.5844455184233</v>
      </c>
      <c r="Q71" s="1217">
        <f>'[30]Oct midyear adj_OJJ'!$K70</f>
        <v>0</v>
      </c>
      <c r="R71" s="664">
        <f t="shared" si="23"/>
        <v>4794.5844455184233</v>
      </c>
      <c r="S71" s="664">
        <f t="shared" si="24"/>
        <v>400</v>
      </c>
      <c r="T71" s="665">
        <f t="shared" si="25"/>
        <v>15372.695929497731</v>
      </c>
      <c r="U71" s="671"/>
      <c r="V71" s="671"/>
      <c r="W71" s="665">
        <f t="shared" si="26"/>
        <v>1282</v>
      </c>
    </row>
    <row r="72" spans="1:23">
      <c r="A72" s="632">
        <v>66</v>
      </c>
      <c r="B72" s="633" t="s">
        <v>159</v>
      </c>
      <c r="C72" s="677">
        <f>'[29]Summary for MFP'!$E72</f>
        <v>0</v>
      </c>
      <c r="D72" s="678">
        <f>'Table 3 Levels 1&amp;2'!BR74+'Table 3 Levels 1&amp;2'!BV74</f>
        <v>7070.757041507859</v>
      </c>
      <c r="E72" s="678">
        <f t="shared" si="27"/>
        <v>9307.8327156572377</v>
      </c>
      <c r="F72" s="678">
        <f t="shared" ref="F72:F76" si="28">E72+$F$4</f>
        <v>10778.180107519433</v>
      </c>
      <c r="G72" s="679">
        <f>C72*F72</f>
        <v>0</v>
      </c>
      <c r="H72" s="670"/>
      <c r="I72" s="1211">
        <v>0</v>
      </c>
      <c r="J72" s="679">
        <f t="shared" ref="J72:J75" si="29">SUM(G72:I72)</f>
        <v>0</v>
      </c>
      <c r="K72" s="679">
        <f t="shared" ref="K72:K75" si="30">ROUND(J72/12,0)</f>
        <v>0</v>
      </c>
      <c r="L72" s="639">
        <f>'Table 3 Levels 1&amp;2'!CA74</f>
        <v>7447578</v>
      </c>
      <c r="M72" s="680">
        <f>'Table 3 Levels 1&amp;2'!C74</f>
        <v>2036</v>
      </c>
      <c r="N72" s="680">
        <f>C72+M72</f>
        <v>2036</v>
      </c>
      <c r="O72" s="641">
        <f t="shared" ref="O72:O76" si="31">L72/N72</f>
        <v>3657.9459724950884</v>
      </c>
      <c r="P72" s="642">
        <f>C72*O72</f>
        <v>0</v>
      </c>
      <c r="Q72" s="1215">
        <v>0</v>
      </c>
      <c r="R72" s="642">
        <f t="shared" ref="R72:R75" si="32">SUM(P72:Q72)</f>
        <v>0</v>
      </c>
      <c r="S72" s="642">
        <f t="shared" ref="S72:S75" si="33">ROUND(R72/12,0)</f>
        <v>0</v>
      </c>
      <c r="T72" s="643">
        <f>G72+P72</f>
        <v>0</v>
      </c>
      <c r="U72" s="670"/>
      <c r="V72" s="671"/>
      <c r="W72" s="643">
        <f>K72+S72</f>
        <v>0</v>
      </c>
    </row>
    <row r="73" spans="1:23">
      <c r="A73" s="644">
        <v>67</v>
      </c>
      <c r="B73" s="645" t="s">
        <v>32</v>
      </c>
      <c r="C73" s="667">
        <f>'[29]Summary for MFP'!$E73</f>
        <v>7.1999999999999995E-2</v>
      </c>
      <c r="D73" s="668">
        <f>'Table 3 Levels 1&amp;2'!BR75+'Table 3 Levels 1&amp;2'!BV75</f>
        <v>5699.6639474150161</v>
      </c>
      <c r="E73" s="668">
        <f t="shared" si="27"/>
        <v>7502.9474562016876</v>
      </c>
      <c r="F73" s="668">
        <f t="shared" si="28"/>
        <v>8973.2948480638825</v>
      </c>
      <c r="G73" s="669">
        <f>C73*F73</f>
        <v>646.07722906059951</v>
      </c>
      <c r="H73" s="670"/>
      <c r="I73" s="1209">
        <f>'[30]Oct midyear adj_OJJ'!$I72</f>
        <v>0</v>
      </c>
      <c r="J73" s="669">
        <f t="shared" si="29"/>
        <v>646.07722906059951</v>
      </c>
      <c r="K73" s="669">
        <f t="shared" si="30"/>
        <v>54</v>
      </c>
      <c r="L73" s="639">
        <f>'Table 3 Levels 1&amp;2'!CA75</f>
        <v>16521229.18</v>
      </c>
      <c r="M73" s="672">
        <f>'Table 3 Levels 1&amp;2'!C75</f>
        <v>5104</v>
      </c>
      <c r="N73" s="672">
        <f>C73+M73</f>
        <v>5104.0720000000001</v>
      </c>
      <c r="O73" s="650">
        <f t="shared" si="31"/>
        <v>3236.8722815822348</v>
      </c>
      <c r="P73" s="651">
        <f>C73*O73</f>
        <v>233.05480427392089</v>
      </c>
      <c r="Q73" s="1216">
        <f>'[30]Oct midyear adj_OJJ'!$K72</f>
        <v>0</v>
      </c>
      <c r="R73" s="651">
        <f t="shared" si="32"/>
        <v>233.05480427392089</v>
      </c>
      <c r="S73" s="651">
        <f t="shared" si="33"/>
        <v>19</v>
      </c>
      <c r="T73" s="652">
        <f>G73+P73</f>
        <v>879.13203333452043</v>
      </c>
      <c r="U73" s="670"/>
      <c r="V73" s="671"/>
      <c r="W73" s="652">
        <f>K73+S73</f>
        <v>73</v>
      </c>
    </row>
    <row r="74" spans="1:23">
      <c r="A74" s="644">
        <v>68</v>
      </c>
      <c r="B74" s="645" t="s">
        <v>30</v>
      </c>
      <c r="C74" s="667">
        <f>'[29]Summary for MFP'!$E74</f>
        <v>0</v>
      </c>
      <c r="D74" s="668">
        <f>'Table 3 Levels 1&amp;2'!BR76+'Table 3 Levels 1&amp;2'!BV76</f>
        <v>6810.8471999303656</v>
      </c>
      <c r="E74" s="668">
        <f t="shared" si="27"/>
        <v>8965.6915117727403</v>
      </c>
      <c r="F74" s="668">
        <f t="shared" si="28"/>
        <v>10436.038903634935</v>
      </c>
      <c r="G74" s="669">
        <f>C74*F74</f>
        <v>0</v>
      </c>
      <c r="H74" s="670"/>
      <c r="I74" s="1209">
        <f>'[30]Oct midyear adj_OJJ'!$I73</f>
        <v>0</v>
      </c>
      <c r="J74" s="669">
        <f t="shared" si="29"/>
        <v>0</v>
      </c>
      <c r="K74" s="669">
        <f t="shared" si="30"/>
        <v>0</v>
      </c>
      <c r="L74" s="639">
        <f>'Table 3 Levels 1&amp;2'!CA76</f>
        <v>4864522</v>
      </c>
      <c r="M74" s="672">
        <f>'Table 3 Levels 1&amp;2'!C76</f>
        <v>1752</v>
      </c>
      <c r="N74" s="672">
        <f>C74+M74</f>
        <v>1752</v>
      </c>
      <c r="O74" s="650">
        <f t="shared" si="31"/>
        <v>2776.5536529680367</v>
      </c>
      <c r="P74" s="651">
        <f>C74*O74</f>
        <v>0</v>
      </c>
      <c r="Q74" s="1216">
        <f>'[30]Oct midyear adj_OJJ'!$K73</f>
        <v>0</v>
      </c>
      <c r="R74" s="651">
        <f t="shared" si="32"/>
        <v>0</v>
      </c>
      <c r="S74" s="651">
        <f t="shared" si="33"/>
        <v>0</v>
      </c>
      <c r="T74" s="652">
        <f>G74+P74</f>
        <v>0</v>
      </c>
      <c r="U74" s="670"/>
      <c r="V74" s="671"/>
      <c r="W74" s="652">
        <f>K74+S74</f>
        <v>0</v>
      </c>
    </row>
    <row r="75" spans="1:23">
      <c r="A75" s="681">
        <v>69</v>
      </c>
      <c r="B75" s="682" t="s">
        <v>213</v>
      </c>
      <c r="C75" s="683">
        <f>'[29]Summary for MFP'!$E75</f>
        <v>0</v>
      </c>
      <c r="D75" s="684">
        <f>'Table 3 Levels 1&amp;2'!BR77+'Table 3 Levels 1&amp;2'!BV77</f>
        <v>6265.2325056362106</v>
      </c>
      <c r="E75" s="684">
        <f t="shared" si="27"/>
        <v>8247.45295939682</v>
      </c>
      <c r="F75" s="684">
        <f t="shared" si="28"/>
        <v>9717.8003512590149</v>
      </c>
      <c r="G75" s="685">
        <f>C75*F75</f>
        <v>0</v>
      </c>
      <c r="H75" s="670"/>
      <c r="I75" s="1212">
        <f>'[30]Oct midyear adj_OJJ'!$I74</f>
        <v>0</v>
      </c>
      <c r="J75" s="685">
        <f t="shared" si="29"/>
        <v>0</v>
      </c>
      <c r="K75" s="685">
        <f t="shared" si="30"/>
        <v>0</v>
      </c>
      <c r="L75" s="639">
        <f>'Table 3 Levels 1&amp;2'!CA77</f>
        <v>11935915.220000001</v>
      </c>
      <c r="M75" s="686">
        <f>'Table 3 Levels 1&amp;2'!C77</f>
        <v>4195</v>
      </c>
      <c r="N75" s="686">
        <f>C75+M75</f>
        <v>4195</v>
      </c>
      <c r="O75" s="687">
        <f t="shared" si="31"/>
        <v>2845.2718045292017</v>
      </c>
      <c r="P75" s="688">
        <f>C75*O75</f>
        <v>0</v>
      </c>
      <c r="Q75" s="1218">
        <f>'[30]Oct midyear adj_OJJ'!$K74</f>
        <v>0</v>
      </c>
      <c r="R75" s="688">
        <f t="shared" si="32"/>
        <v>0</v>
      </c>
      <c r="S75" s="688">
        <f t="shared" si="33"/>
        <v>0</v>
      </c>
      <c r="T75" s="689">
        <f>G75+P75</f>
        <v>0</v>
      </c>
      <c r="U75" s="670"/>
      <c r="V75" s="671"/>
      <c r="W75" s="689">
        <f>K75+S75</f>
        <v>0</v>
      </c>
    </row>
    <row r="76" spans="1:23" s="8" customFormat="1" ht="13.5" thickBot="1">
      <c r="A76" s="690"/>
      <c r="B76" s="691" t="s">
        <v>160</v>
      </c>
      <c r="C76" s="692">
        <f>SUM(C7:C75)</f>
        <v>310.69909400000006</v>
      </c>
      <c r="D76" s="693">
        <f>'Table 3 Levels 1&amp;2'!BR78+'Table 3 Levels 1&amp;2'!BV78</f>
        <v>5033.8735221678262</v>
      </c>
      <c r="E76" s="693">
        <f t="shared" si="27"/>
        <v>6626.5114726842003</v>
      </c>
      <c r="F76" s="693">
        <f t="shared" si="28"/>
        <v>8096.8588645463951</v>
      </c>
      <c r="G76" s="694">
        <f>SUM(G7:G75)</f>
        <v>2445354.4442602289</v>
      </c>
      <c r="H76" s="695"/>
      <c r="I76" s="1213">
        <f t="shared" ref="I76:N76" si="34">SUM(I7:I75)</f>
        <v>0</v>
      </c>
      <c r="J76" s="694">
        <f t="shared" si="34"/>
        <v>2445354.4442602289</v>
      </c>
      <c r="K76" s="694">
        <f t="shared" si="34"/>
        <v>203777</v>
      </c>
      <c r="L76" s="696">
        <f t="shared" si="34"/>
        <v>2418984024.2499995</v>
      </c>
      <c r="M76" s="697">
        <f t="shared" si="34"/>
        <v>684048</v>
      </c>
      <c r="N76" s="697">
        <f t="shared" si="34"/>
        <v>684358.69909400016</v>
      </c>
      <c r="O76" s="696">
        <f t="shared" si="31"/>
        <v>3534.672719806751</v>
      </c>
      <c r="P76" s="698">
        <f>SUM(P7:P75)</f>
        <v>1143214.5291476222</v>
      </c>
      <c r="Q76" s="1219">
        <f>SUM(Q7:Q75)</f>
        <v>0</v>
      </c>
      <c r="R76" s="1219">
        <f>SUM(R7:R75)</f>
        <v>1143214.5291476222</v>
      </c>
      <c r="S76" s="698">
        <f>SUM(S7:S75)</f>
        <v>95267</v>
      </c>
      <c r="T76" s="699">
        <f>SUM(T7:T75)</f>
        <v>3588568.9734078515</v>
      </c>
      <c r="U76" s="695"/>
      <c r="V76" s="695"/>
      <c r="W76" s="699">
        <f>SUM(W7:W75)</f>
        <v>299044</v>
      </c>
    </row>
    <row r="77" spans="1:23" s="8" customFormat="1" ht="13.5" thickTop="1">
      <c r="A77" s="700"/>
      <c r="B77" s="700"/>
      <c r="C77" s="701"/>
      <c r="D77" s="701"/>
      <c r="E77" s="701"/>
      <c r="F77" s="701"/>
      <c r="H77" s="702"/>
      <c r="I77" s="702"/>
      <c r="J77" s="702"/>
      <c r="L77" s="703"/>
      <c r="M77" s="704"/>
      <c r="N77" s="703"/>
      <c r="O77" s="703"/>
      <c r="P77" s="703"/>
      <c r="Q77" s="703"/>
      <c r="R77" s="703"/>
      <c r="S77" s="703"/>
      <c r="U77" s="702"/>
      <c r="V77" s="702"/>
    </row>
    <row r="78" spans="1:23" ht="16.5" customHeight="1">
      <c r="A78" s="705"/>
      <c r="C78" s="706"/>
      <c r="M78" s="706"/>
    </row>
    <row r="79" spans="1:23" ht="12.75" hidden="1" customHeight="1">
      <c r="E79" s="2">
        <v>177</v>
      </c>
      <c r="F79" s="2"/>
    </row>
    <row r="80" spans="1:23" hidden="1">
      <c r="E80" s="340">
        <v>233</v>
      </c>
      <c r="F80" s="64"/>
    </row>
    <row r="81" spans="3:22" hidden="1">
      <c r="E81" s="2">
        <f>E80-E79</f>
        <v>56</v>
      </c>
      <c r="F81" s="2"/>
    </row>
    <row r="82" spans="3:22" hidden="1">
      <c r="E82" s="2"/>
      <c r="F82" s="2"/>
    </row>
    <row r="83" spans="3:22" hidden="1">
      <c r="E83" s="2">
        <f>E81/E79</f>
        <v>0.31638418079096048</v>
      </c>
      <c r="F83" s="2"/>
      <c r="G83" s="707" t="s">
        <v>373</v>
      </c>
      <c r="H83" s="708"/>
      <c r="I83" s="708"/>
      <c r="J83" s="708"/>
      <c r="K83" s="707"/>
      <c r="U83" s="708"/>
      <c r="V83" s="708"/>
    </row>
    <row r="84" spans="3:22" ht="10.5" hidden="1" customHeight="1"/>
    <row r="85" spans="3:22" hidden="1"/>
    <row r="86" spans="3:22" hidden="1">
      <c r="C86" s="709">
        <v>85661</v>
      </c>
      <c r="D86" s="710" t="s">
        <v>374</v>
      </c>
    </row>
    <row r="87" spans="3:22" hidden="1">
      <c r="C87" s="709">
        <v>650290</v>
      </c>
      <c r="D87" s="710" t="s">
        <v>375</v>
      </c>
    </row>
    <row r="88" spans="3:22" hidden="1">
      <c r="C88" s="711">
        <f>C86/C87</f>
        <v>0.13172738316750987</v>
      </c>
      <c r="D88" s="710" t="s">
        <v>376</v>
      </c>
    </row>
    <row r="89" spans="3:22" hidden="1">
      <c r="C89" s="709"/>
      <c r="D89" s="710"/>
    </row>
    <row r="90" spans="3:22" hidden="1">
      <c r="C90" s="709">
        <v>128510</v>
      </c>
      <c r="D90" s="710" t="s">
        <v>377</v>
      </c>
    </row>
    <row r="91" spans="3:22" hidden="1">
      <c r="C91" s="709">
        <v>911320</v>
      </c>
      <c r="D91" s="710" t="s">
        <v>378</v>
      </c>
    </row>
    <row r="92" spans="3:22" hidden="1">
      <c r="C92" s="711">
        <f>C90/C91</f>
        <v>0.14101523065443533</v>
      </c>
      <c r="D92" s="710" t="s">
        <v>379</v>
      </c>
    </row>
    <row r="93" spans="3:22" hidden="1">
      <c r="C93" s="709"/>
      <c r="D93" s="710"/>
    </row>
    <row r="94" spans="3:22" hidden="1">
      <c r="C94" s="712">
        <v>2663489616</v>
      </c>
      <c r="D94" s="587" t="s">
        <v>380</v>
      </c>
    </row>
    <row r="95" spans="3:22" hidden="1">
      <c r="C95" s="713">
        <f>C92</f>
        <v>0.14101523065443533</v>
      </c>
      <c r="D95" s="587"/>
    </row>
    <row r="96" spans="3:22" hidden="1">
      <c r="C96" s="714">
        <f>C94*C95</f>
        <v>375592602.54593337</v>
      </c>
      <c r="D96" s="710" t="s">
        <v>381</v>
      </c>
    </row>
    <row r="97" spans="3:4" hidden="1">
      <c r="C97" s="715">
        <f>50%/C92</f>
        <v>3.5457162866702978</v>
      </c>
      <c r="D97" s="587" t="s">
        <v>382</v>
      </c>
    </row>
    <row r="98" spans="3:4" hidden="1">
      <c r="C98" s="714">
        <f>C96*C97</f>
        <v>1331744808</v>
      </c>
      <c r="D98" s="716" t="s">
        <v>383</v>
      </c>
    </row>
    <row r="99" spans="3:4" hidden="1">
      <c r="C99" s="717">
        <f>C87</f>
        <v>650290</v>
      </c>
      <c r="D99" s="587" t="s">
        <v>384</v>
      </c>
    </row>
    <row r="100" spans="3:4" hidden="1">
      <c r="C100" s="714">
        <f>C98/C99</f>
        <v>2047.9244767719017</v>
      </c>
      <c r="D100" s="587" t="s">
        <v>385</v>
      </c>
    </row>
    <row r="101" spans="3:4" hidden="1">
      <c r="C101" s="718">
        <f>(C96/C99)*-1</f>
        <v>-577.57708490970697</v>
      </c>
      <c r="D101" s="587" t="s">
        <v>386</v>
      </c>
    </row>
    <row r="102" spans="3:4" hidden="1">
      <c r="C102" s="719">
        <f>SUM(C100:C101)</f>
        <v>1470.3473918621949</v>
      </c>
      <c r="D102" s="587" t="s">
        <v>387</v>
      </c>
    </row>
    <row r="103" spans="3:4">
      <c r="C103" s="719"/>
      <c r="D103" s="587"/>
    </row>
    <row r="104" spans="3:4">
      <c r="C104" s="719"/>
      <c r="D104" s="587"/>
    </row>
    <row r="105" spans="3:4">
      <c r="D105" s="587"/>
    </row>
  </sheetData>
  <mergeCells count="23">
    <mergeCell ref="W2:W4"/>
    <mergeCell ref="V16:V18"/>
    <mergeCell ref="L3:L4"/>
    <mergeCell ref="M3:M4"/>
    <mergeCell ref="N3:N4"/>
    <mergeCell ref="V20:V22"/>
    <mergeCell ref="O3:O4"/>
    <mergeCell ref="P3:P4"/>
    <mergeCell ref="V9:V10"/>
    <mergeCell ref="V12:V14"/>
    <mergeCell ref="S3:S4"/>
    <mergeCell ref="A2:B4"/>
    <mergeCell ref="T2:T4"/>
    <mergeCell ref="C3:C4"/>
    <mergeCell ref="D3:D4"/>
    <mergeCell ref="G3:G4"/>
    <mergeCell ref="K3:K4"/>
    <mergeCell ref="C2:K2"/>
    <mergeCell ref="L2:S2"/>
    <mergeCell ref="I3:I4"/>
    <mergeCell ref="J3:J4"/>
    <mergeCell ref="Q3:Q4"/>
    <mergeCell ref="R3:R4"/>
  </mergeCells>
  <printOptions horizontalCentered="1"/>
  <pageMargins left="0.27" right="0.25" top="0.87" bottom="0.2" header="0.25" footer="0.2"/>
  <pageSetup paperSize="5" scale="63" firstPageNumber="116" fitToWidth="3" orientation="portrait" useFirstPageNumber="1" r:id="rId1"/>
  <headerFooter alignWithMargins="0">
    <oddHeader xml:space="preserve">&amp;L&amp;"Arial,Bold"&amp;16Table 5E:  FY2013-14 MFP Budget Letter (Projection)&amp;"Arial,Regular"&amp;10
&amp;"Arial,Bold"&amp;14Office of Juvenile Justice (Based on Preliminary Data) &amp;R&amp;"Arial,Bold"&amp;12&amp;KFF0000
</oddHeader>
    <oddFooter>&amp;R&amp;9&amp;P</oddFooter>
  </headerFooter>
  <colBreaks count="1" manualBreakCount="1">
    <brk id="11" min="1" max="78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975"/>
  <sheetViews>
    <sheetView view="pageBreakPreview" topLeftCell="A2" zoomScaleNormal="90" zoomScaleSheetLayoutView="100" workbookViewId="0">
      <pane xSplit="2" ySplit="9" topLeftCell="C11" activePane="bottomRight" state="frozen"/>
      <selection activeCell="B3" sqref="B3:B5"/>
      <selection pane="topRight" activeCell="B3" sqref="B3:B5"/>
      <selection pane="bottomLeft" activeCell="B3" sqref="B3:B5"/>
      <selection pane="bottomRight" activeCell="B7" sqref="B7:B8"/>
    </sheetView>
  </sheetViews>
  <sheetFormatPr defaultRowHeight="12.75" outlineLevelRow="2"/>
  <cols>
    <col min="1" max="1" width="4.7109375" style="1608" customWidth="1"/>
    <col min="2" max="2" width="25.85546875" style="1608" customWidth="1"/>
    <col min="3" max="3" width="10.7109375" style="1608" bestFit="1" customWidth="1"/>
    <col min="4" max="4" width="10" style="1608" customWidth="1"/>
    <col min="5" max="5" width="41" style="1608" customWidth="1"/>
    <col min="6" max="6" width="6.7109375" style="1608" bestFit="1" customWidth="1"/>
    <col min="7" max="9" width="10.140625" style="1608" bestFit="1" customWidth="1"/>
    <col min="10" max="10" width="13.85546875" style="1608" customWidth="1"/>
    <col min="11" max="11" width="7.140625" style="1608" bestFit="1" customWidth="1"/>
    <col min="12" max="12" width="12.140625" style="1608" bestFit="1" customWidth="1"/>
    <col min="13" max="13" width="12.85546875" style="1608" bestFit="1" customWidth="1"/>
    <col min="14" max="14" width="12.7109375" style="1608" bestFit="1" customWidth="1"/>
    <col min="15" max="16" width="10.42578125" style="1608" bestFit="1" customWidth="1"/>
    <col min="17" max="17" width="11.7109375" style="1608" customWidth="1"/>
    <col min="18" max="18" width="11.5703125" style="1608" bestFit="1" customWidth="1"/>
    <col min="19" max="19" width="14.140625" style="1608" customWidth="1"/>
    <col min="20" max="20" width="13.28515625" style="1608" bestFit="1" customWidth="1"/>
    <col min="21" max="22" width="11.5703125" style="1608" bestFit="1" customWidth="1"/>
    <col min="23" max="23" width="12.7109375" style="1608" bestFit="1" customWidth="1"/>
    <col min="24" max="24" width="3.28515625" style="1610" bestFit="1" customWidth="1"/>
    <col min="25" max="25" width="8.140625" style="1609" hidden="1" customWidth="1"/>
    <col min="26" max="26" width="8.85546875" style="1608" hidden="1" customWidth="1"/>
    <col min="27" max="16384" width="9.140625" style="1608"/>
  </cols>
  <sheetData>
    <row r="1" spans="1:129" ht="11.25" hidden="1" customHeight="1">
      <c r="D1" s="1693" t="s">
        <v>76</v>
      </c>
      <c r="E1" s="1693"/>
      <c r="F1" s="1693"/>
      <c r="G1" s="1693"/>
      <c r="H1" s="1693"/>
      <c r="I1" s="1692"/>
      <c r="J1" s="1692"/>
      <c r="K1" s="1611"/>
      <c r="L1" s="1611"/>
      <c r="M1" s="1611"/>
      <c r="O1" s="1611"/>
      <c r="S1" s="1611"/>
      <c r="T1" s="1611"/>
      <c r="U1" s="1611"/>
      <c r="V1" s="1611"/>
    </row>
    <row r="2" spans="1:129" ht="59.25" customHeight="1">
      <c r="B2" s="2145" t="s">
        <v>1171</v>
      </c>
      <c r="C2" s="2145"/>
      <c r="D2" s="2145"/>
      <c r="E2" s="2145"/>
      <c r="F2" s="2145"/>
      <c r="G2" s="2145"/>
      <c r="H2" s="2145"/>
      <c r="I2" s="2145"/>
      <c r="J2" s="2145"/>
      <c r="K2" s="2145"/>
      <c r="L2" s="2145"/>
      <c r="M2" s="2145"/>
      <c r="N2" s="2145"/>
      <c r="O2" s="2145"/>
      <c r="P2" s="2145"/>
      <c r="Q2" s="2145"/>
      <c r="R2" s="2145"/>
      <c r="S2" s="2145"/>
      <c r="T2" s="2145"/>
      <c r="U2" s="2145"/>
      <c r="V2" s="2145"/>
      <c r="W2" s="2145"/>
    </row>
    <row r="3" spans="1:129" ht="6.75" customHeight="1">
      <c r="B3" s="1605"/>
      <c r="C3" s="1605"/>
      <c r="D3" s="1605"/>
      <c r="E3" s="1605"/>
      <c r="F3" s="1605"/>
      <c r="G3" s="1605"/>
      <c r="H3" s="1605"/>
      <c r="I3" s="1605"/>
      <c r="J3" s="1605"/>
      <c r="K3" s="1605"/>
      <c r="L3" s="1605"/>
      <c r="M3" s="1605"/>
      <c r="O3" s="1605"/>
      <c r="S3" s="1605"/>
      <c r="T3" s="1605"/>
      <c r="U3" s="1605"/>
      <c r="V3" s="1605"/>
    </row>
    <row r="4" spans="1:129" ht="8.25" customHeight="1">
      <c r="B4" s="1605"/>
      <c r="C4" s="1605"/>
      <c r="D4" s="1605"/>
      <c r="E4" s="1605"/>
      <c r="F4" s="1605"/>
      <c r="G4" s="1605"/>
      <c r="H4" s="1605"/>
      <c r="I4" s="1605"/>
      <c r="J4" s="1691"/>
      <c r="K4" s="1605"/>
      <c r="L4" s="1605"/>
      <c r="M4" s="1605"/>
      <c r="O4" s="1605"/>
      <c r="S4" s="1605"/>
      <c r="T4" s="1605"/>
      <c r="U4" s="1605"/>
      <c r="V4" s="1605"/>
    </row>
    <row r="5" spans="1:129" s="1687" customFormat="1" ht="8.25" customHeight="1">
      <c r="B5" s="1690"/>
      <c r="C5" s="1690"/>
      <c r="D5" s="1689"/>
      <c r="E5" s="1689"/>
      <c r="F5" s="1689"/>
      <c r="G5" s="1689"/>
      <c r="H5" s="1689"/>
      <c r="X5" s="1610"/>
      <c r="Y5" s="1688"/>
    </row>
    <row r="6" spans="1:129" s="1682" customFormat="1" ht="39.75" customHeight="1">
      <c r="B6" s="1686"/>
      <c r="C6" s="1686"/>
      <c r="D6" s="1685"/>
      <c r="E6" s="1685"/>
      <c r="F6" s="1685"/>
      <c r="G6" s="1685"/>
      <c r="H6" s="1685"/>
      <c r="I6" s="2146" t="s">
        <v>1032</v>
      </c>
      <c r="J6" s="2147"/>
      <c r="K6" s="2148" t="s">
        <v>524</v>
      </c>
      <c r="L6" s="2149"/>
      <c r="M6" s="2150"/>
      <c r="O6" s="2151"/>
      <c r="P6" s="2152"/>
      <c r="Q6" s="2153"/>
      <c r="R6" s="2153"/>
      <c r="S6" s="2148" t="s">
        <v>1031</v>
      </c>
      <c r="T6" s="2150"/>
      <c r="U6" s="2148" t="s">
        <v>1128</v>
      </c>
      <c r="V6" s="2149"/>
      <c r="W6" s="2150"/>
      <c r="X6" s="1684"/>
      <c r="Y6" s="1683"/>
    </row>
    <row r="7" spans="1:129" ht="99" customHeight="1">
      <c r="A7" s="2168" t="s">
        <v>425</v>
      </c>
      <c r="B7" s="2170" t="s">
        <v>544</v>
      </c>
      <c r="C7" s="2154" t="s">
        <v>1126</v>
      </c>
      <c r="D7" s="2170" t="s">
        <v>1030</v>
      </c>
      <c r="E7" s="2170" t="s">
        <v>1029</v>
      </c>
      <c r="F7" s="1681" t="s">
        <v>1028</v>
      </c>
      <c r="G7" s="2154" t="s">
        <v>1027</v>
      </c>
      <c r="H7" s="2160" t="s">
        <v>1026</v>
      </c>
      <c r="I7" s="2164" t="s">
        <v>1025</v>
      </c>
      <c r="J7" s="2166" t="s">
        <v>1024</v>
      </c>
      <c r="K7" s="2163" t="s">
        <v>1023</v>
      </c>
      <c r="L7" s="2164" t="s">
        <v>1022</v>
      </c>
      <c r="M7" s="2163" t="s">
        <v>1021</v>
      </c>
      <c r="N7" s="2156" t="s">
        <v>1020</v>
      </c>
      <c r="O7" s="2158" t="s">
        <v>1017</v>
      </c>
      <c r="P7" s="2160" t="s">
        <v>1016</v>
      </c>
      <c r="Q7" s="2162" t="s">
        <v>1019</v>
      </c>
      <c r="R7" s="2144" t="s">
        <v>1018</v>
      </c>
      <c r="S7" s="1680" t="s">
        <v>1017</v>
      </c>
      <c r="T7" s="1680" t="s">
        <v>1016</v>
      </c>
      <c r="U7" s="1680" t="s">
        <v>1017</v>
      </c>
      <c r="V7" s="1680" t="s">
        <v>1016</v>
      </c>
      <c r="W7" s="1679" t="s">
        <v>1127</v>
      </c>
    </row>
    <row r="8" spans="1:129" ht="28.5" customHeight="1">
      <c r="A8" s="2169"/>
      <c r="B8" s="2170"/>
      <c r="C8" s="2155"/>
      <c r="D8" s="2170"/>
      <c r="E8" s="2170"/>
      <c r="F8" s="1678"/>
      <c r="G8" s="2155"/>
      <c r="H8" s="2161"/>
      <c r="I8" s="2165"/>
      <c r="J8" s="2167"/>
      <c r="K8" s="2163"/>
      <c r="L8" s="2165"/>
      <c r="M8" s="2163"/>
      <c r="N8" s="2157"/>
      <c r="O8" s="2159"/>
      <c r="P8" s="2161"/>
      <c r="Q8" s="2162"/>
      <c r="R8" s="2144"/>
      <c r="S8" s="1677"/>
      <c r="T8" s="1677"/>
      <c r="U8" s="1677"/>
      <c r="V8" s="1677"/>
      <c r="W8" s="1676"/>
      <c r="X8" s="1665"/>
      <c r="Y8" s="1613" t="s">
        <v>1015</v>
      </c>
      <c r="Z8" s="1611"/>
      <c r="AA8" s="1611"/>
      <c r="AB8" s="1611"/>
      <c r="AC8" s="1611"/>
      <c r="AD8" s="1611"/>
      <c r="AE8" s="1611"/>
      <c r="AF8" s="1611"/>
      <c r="AG8" s="1611"/>
      <c r="AH8" s="1611"/>
      <c r="AI8" s="1611"/>
      <c r="AJ8" s="1611"/>
      <c r="AK8" s="1611"/>
      <c r="AL8" s="1611"/>
      <c r="AM8" s="1611"/>
      <c r="AN8" s="1611"/>
      <c r="AO8" s="1611"/>
      <c r="AP8" s="1611"/>
      <c r="AQ8" s="1611"/>
      <c r="AR8" s="1611"/>
      <c r="AS8" s="1611"/>
      <c r="AT8" s="1611"/>
      <c r="AU8" s="1611"/>
      <c r="AV8" s="1611"/>
      <c r="AW8" s="1611"/>
      <c r="AX8" s="1611"/>
      <c r="AY8" s="1611"/>
      <c r="AZ8" s="1611"/>
      <c r="BA8" s="1611"/>
      <c r="BB8" s="1611"/>
      <c r="BC8" s="1611"/>
      <c r="BD8" s="1611"/>
      <c r="BE8" s="1611"/>
      <c r="BF8" s="1611"/>
      <c r="BG8" s="1611"/>
      <c r="BH8" s="1611"/>
      <c r="BI8" s="1611"/>
      <c r="BJ8" s="1611"/>
      <c r="BK8" s="1611"/>
      <c r="BL8" s="1611"/>
      <c r="BM8" s="1611"/>
      <c r="BN8" s="1611"/>
      <c r="BO8" s="1611"/>
      <c r="BP8" s="1611"/>
      <c r="BQ8" s="1611"/>
      <c r="BR8" s="1611"/>
      <c r="BS8" s="1611"/>
      <c r="BT8" s="1611"/>
      <c r="BU8" s="1611"/>
      <c r="BV8" s="1611"/>
      <c r="BW8" s="1611"/>
      <c r="BX8" s="1611"/>
      <c r="BY8" s="1611"/>
      <c r="BZ8" s="1611"/>
      <c r="CA8" s="1611"/>
      <c r="CB8" s="1611"/>
      <c r="CC8" s="1611"/>
      <c r="CD8" s="1611"/>
      <c r="CE8" s="1611"/>
      <c r="CF8" s="1611"/>
      <c r="CG8" s="1611"/>
      <c r="CH8" s="1611"/>
      <c r="CI8" s="1611"/>
      <c r="CJ8" s="1611"/>
      <c r="CK8" s="1611"/>
      <c r="CL8" s="1611"/>
      <c r="CM8" s="1611"/>
      <c r="CN8" s="1611"/>
      <c r="CO8" s="1611"/>
      <c r="CP8" s="1611"/>
      <c r="CQ8" s="1611"/>
      <c r="CR8" s="1611"/>
      <c r="CS8" s="1611"/>
      <c r="CT8" s="1611"/>
      <c r="CU8" s="1611"/>
      <c r="CV8" s="1611"/>
      <c r="CW8" s="1611"/>
      <c r="CX8" s="1611"/>
      <c r="CY8" s="1611"/>
      <c r="CZ8" s="1611"/>
      <c r="DA8" s="1611"/>
      <c r="DB8" s="1611"/>
      <c r="DC8" s="1611"/>
      <c r="DD8" s="1611"/>
      <c r="DE8" s="1611"/>
      <c r="DF8" s="1611"/>
      <c r="DG8" s="1611"/>
      <c r="DH8" s="1611"/>
      <c r="DI8" s="1611"/>
      <c r="DJ8" s="1611"/>
      <c r="DK8" s="1611"/>
      <c r="DL8" s="1611"/>
      <c r="DM8" s="1611"/>
      <c r="DN8" s="1611"/>
      <c r="DO8" s="1611"/>
      <c r="DP8" s="1611"/>
      <c r="DQ8" s="1611"/>
      <c r="DR8" s="1611"/>
      <c r="DS8" s="1611"/>
      <c r="DT8" s="1611"/>
      <c r="DU8" s="1611"/>
      <c r="DV8" s="1611"/>
      <c r="DW8" s="1611"/>
      <c r="DX8" s="1611"/>
      <c r="DY8" s="1611"/>
    </row>
    <row r="9" spans="1:129" s="1668" customFormat="1" ht="28.5" customHeight="1">
      <c r="A9" s="1675"/>
      <c r="B9" s="1674"/>
      <c r="C9" s="1673"/>
      <c r="D9" s="1674"/>
      <c r="E9" s="1674"/>
      <c r="F9" s="1673"/>
      <c r="G9" s="1673" t="s">
        <v>1014</v>
      </c>
      <c r="H9" s="1673" t="s">
        <v>1013</v>
      </c>
      <c r="I9" s="1673" t="s">
        <v>1012</v>
      </c>
      <c r="J9" s="1673" t="s">
        <v>1011</v>
      </c>
      <c r="K9" s="1674"/>
      <c r="L9" s="1673" t="s">
        <v>1010</v>
      </c>
      <c r="M9" s="1674" t="s">
        <v>1009</v>
      </c>
      <c r="N9" s="1673" t="s">
        <v>1008</v>
      </c>
      <c r="O9" s="1673" t="s">
        <v>1007</v>
      </c>
      <c r="P9" s="1673" t="s">
        <v>1006</v>
      </c>
      <c r="Q9" s="1674" t="s">
        <v>1005</v>
      </c>
      <c r="R9" s="1674" t="s">
        <v>1004</v>
      </c>
      <c r="S9" s="1673" t="s">
        <v>1003</v>
      </c>
      <c r="T9" s="1673" t="s">
        <v>1002</v>
      </c>
      <c r="U9" s="1673" t="s">
        <v>1001</v>
      </c>
      <c r="V9" s="1673" t="s">
        <v>1000</v>
      </c>
      <c r="W9" s="1672" t="s">
        <v>999</v>
      </c>
      <c r="X9" s="1671"/>
      <c r="Y9" s="1670"/>
      <c r="Z9" s="1669"/>
      <c r="AA9" s="1669"/>
      <c r="AB9" s="1669"/>
      <c r="AC9" s="1669"/>
      <c r="AD9" s="1669"/>
      <c r="AE9" s="1669"/>
      <c r="AF9" s="1669"/>
      <c r="AG9" s="1669"/>
      <c r="AH9" s="1669"/>
      <c r="AI9" s="1669"/>
      <c r="AJ9" s="1669"/>
      <c r="AK9" s="1669"/>
      <c r="AL9" s="1669"/>
      <c r="AM9" s="1669"/>
      <c r="AN9" s="1669"/>
      <c r="AO9" s="1669"/>
      <c r="AP9" s="1669"/>
      <c r="AQ9" s="1669"/>
      <c r="AR9" s="1669"/>
      <c r="AS9" s="1669"/>
      <c r="AT9" s="1669"/>
      <c r="AU9" s="1669"/>
      <c r="AV9" s="1669"/>
      <c r="AW9" s="1669"/>
      <c r="AX9" s="1669"/>
      <c r="AY9" s="1669"/>
      <c r="AZ9" s="1669"/>
      <c r="BA9" s="1669"/>
      <c r="BB9" s="1669"/>
      <c r="BC9" s="1669"/>
      <c r="BD9" s="1669"/>
      <c r="BE9" s="1669"/>
      <c r="BF9" s="1669"/>
      <c r="BG9" s="1669"/>
      <c r="BH9" s="1669"/>
      <c r="BI9" s="1669"/>
      <c r="BJ9" s="1669"/>
      <c r="BK9" s="1669"/>
      <c r="BL9" s="1669"/>
      <c r="BM9" s="1669"/>
      <c r="BN9" s="1669"/>
      <c r="BO9" s="1669"/>
      <c r="BP9" s="1669"/>
      <c r="BQ9" s="1669"/>
      <c r="BR9" s="1669"/>
      <c r="BS9" s="1669"/>
      <c r="BT9" s="1669"/>
      <c r="BU9" s="1669"/>
      <c r="BV9" s="1669"/>
      <c r="BW9" s="1669"/>
      <c r="BX9" s="1669"/>
      <c r="BY9" s="1669"/>
      <c r="BZ9" s="1669"/>
      <c r="CA9" s="1669"/>
      <c r="CB9" s="1669"/>
      <c r="CC9" s="1669"/>
      <c r="CD9" s="1669"/>
      <c r="CE9" s="1669"/>
      <c r="CF9" s="1669"/>
      <c r="CG9" s="1669"/>
      <c r="CH9" s="1669"/>
      <c r="CI9" s="1669"/>
      <c r="CJ9" s="1669"/>
      <c r="CK9" s="1669"/>
      <c r="CL9" s="1669"/>
      <c r="CM9" s="1669"/>
      <c r="CN9" s="1669"/>
      <c r="CO9" s="1669"/>
      <c r="CP9" s="1669"/>
      <c r="CQ9" s="1669"/>
      <c r="CR9" s="1669"/>
      <c r="CS9" s="1669"/>
      <c r="CT9" s="1669"/>
      <c r="CU9" s="1669"/>
      <c r="CV9" s="1669"/>
      <c r="CW9" s="1669"/>
      <c r="CX9" s="1669"/>
      <c r="CY9" s="1669"/>
      <c r="CZ9" s="1669"/>
      <c r="DA9" s="1669"/>
      <c r="DB9" s="1669"/>
      <c r="DC9" s="1669"/>
      <c r="DD9" s="1669"/>
      <c r="DE9" s="1669"/>
      <c r="DF9" s="1669"/>
      <c r="DG9" s="1669"/>
      <c r="DH9" s="1669"/>
      <c r="DI9" s="1669"/>
      <c r="DJ9" s="1669"/>
      <c r="DK9" s="1669"/>
      <c r="DL9" s="1669"/>
      <c r="DM9" s="1669"/>
      <c r="DN9" s="1669"/>
      <c r="DO9" s="1669"/>
      <c r="DP9" s="1669"/>
      <c r="DQ9" s="1669"/>
      <c r="DR9" s="1669"/>
      <c r="DS9" s="1669"/>
      <c r="DT9" s="1669"/>
      <c r="DU9" s="1669"/>
      <c r="DV9" s="1669"/>
      <c r="DW9" s="1669"/>
      <c r="DX9" s="1669"/>
      <c r="DY9" s="1669"/>
    </row>
    <row r="10" spans="1:129">
      <c r="A10" s="1667"/>
      <c r="B10" s="1667"/>
      <c r="C10" s="1666">
        <v>1</v>
      </c>
      <c r="D10" s="1666">
        <f>C10+1</f>
        <v>2</v>
      </c>
      <c r="E10" s="1666">
        <f>D10+1</f>
        <v>3</v>
      </c>
      <c r="F10" s="1666">
        <f>E10+1</f>
        <v>4</v>
      </c>
      <c r="G10" s="1666">
        <v>5</v>
      </c>
      <c r="H10" s="1666">
        <v>6</v>
      </c>
      <c r="I10" s="1666">
        <f t="shared" ref="I10:N10" si="0">H10+1</f>
        <v>7</v>
      </c>
      <c r="J10" s="1666">
        <f t="shared" si="0"/>
        <v>8</v>
      </c>
      <c r="K10" s="1666">
        <f t="shared" si="0"/>
        <v>9</v>
      </c>
      <c r="L10" s="1666">
        <f t="shared" si="0"/>
        <v>10</v>
      </c>
      <c r="M10" s="1666">
        <f t="shared" si="0"/>
        <v>11</v>
      </c>
      <c r="N10" s="1666">
        <f t="shared" si="0"/>
        <v>12</v>
      </c>
      <c r="O10" s="1666">
        <v>13</v>
      </c>
      <c r="P10" s="1666">
        <v>14</v>
      </c>
      <c r="Q10" s="1666">
        <f t="shared" ref="Q10:V10" si="1">P10+1</f>
        <v>15</v>
      </c>
      <c r="R10" s="1666">
        <f t="shared" si="1"/>
        <v>16</v>
      </c>
      <c r="S10" s="1666">
        <f t="shared" si="1"/>
        <v>17</v>
      </c>
      <c r="T10" s="1666">
        <f t="shared" si="1"/>
        <v>18</v>
      </c>
      <c r="U10" s="1666">
        <f t="shared" si="1"/>
        <v>19</v>
      </c>
      <c r="V10" s="1666">
        <f t="shared" si="1"/>
        <v>20</v>
      </c>
      <c r="W10" s="1666">
        <v>21</v>
      </c>
      <c r="X10" s="1665"/>
      <c r="Y10" s="1613"/>
      <c r="Z10" s="1611"/>
      <c r="AA10" s="1611"/>
      <c r="AB10" s="1611"/>
      <c r="AC10" s="1611"/>
      <c r="AD10" s="1611"/>
      <c r="AE10" s="1611"/>
      <c r="AF10" s="1611"/>
      <c r="AG10" s="1611"/>
      <c r="AH10" s="1611"/>
      <c r="AI10" s="1611"/>
      <c r="AJ10" s="1611"/>
      <c r="AK10" s="1611"/>
      <c r="AL10" s="1611"/>
      <c r="AM10" s="1611"/>
      <c r="AN10" s="1611"/>
      <c r="AO10" s="1611"/>
      <c r="AP10" s="1611"/>
      <c r="AQ10" s="1611"/>
      <c r="AR10" s="1611"/>
      <c r="AS10" s="1611"/>
      <c r="AT10" s="1611"/>
      <c r="AU10" s="1611"/>
      <c r="AV10" s="1611"/>
      <c r="AW10" s="1611"/>
      <c r="AX10" s="1611"/>
      <c r="AY10" s="1611"/>
      <c r="AZ10" s="1611"/>
      <c r="BA10" s="1611"/>
      <c r="BB10" s="1611"/>
      <c r="BC10" s="1611"/>
      <c r="BD10" s="1611"/>
      <c r="BE10" s="1611"/>
      <c r="BF10" s="1611"/>
      <c r="BG10" s="1611"/>
      <c r="BH10" s="1611"/>
      <c r="BI10" s="1611"/>
      <c r="BJ10" s="1611"/>
      <c r="BK10" s="1611"/>
      <c r="BL10" s="1611"/>
      <c r="BM10" s="1611"/>
      <c r="BN10" s="1611"/>
      <c r="BO10" s="1611"/>
      <c r="BP10" s="1611"/>
      <c r="BQ10" s="1611"/>
      <c r="BR10" s="1611"/>
      <c r="BS10" s="1611"/>
      <c r="BT10" s="1611"/>
      <c r="BU10" s="1611"/>
      <c r="BV10" s="1611"/>
      <c r="BW10" s="1611"/>
      <c r="BX10" s="1611"/>
      <c r="BY10" s="1611"/>
      <c r="BZ10" s="1611"/>
      <c r="CA10" s="1611"/>
      <c r="CB10" s="1611"/>
      <c r="CC10" s="1611"/>
      <c r="CD10" s="1611"/>
      <c r="CE10" s="1611"/>
      <c r="CF10" s="1611"/>
      <c r="CG10" s="1611"/>
      <c r="CH10" s="1611"/>
      <c r="CI10" s="1611"/>
      <c r="CJ10" s="1611"/>
      <c r="CK10" s="1611"/>
      <c r="CL10" s="1611"/>
      <c r="CM10" s="1611"/>
      <c r="CN10" s="1611"/>
      <c r="CO10" s="1611"/>
      <c r="CP10" s="1611"/>
      <c r="CQ10" s="1611"/>
      <c r="CR10" s="1611"/>
      <c r="CS10" s="1611"/>
      <c r="CT10" s="1611"/>
      <c r="CU10" s="1611"/>
      <c r="CV10" s="1611"/>
      <c r="CW10" s="1611"/>
      <c r="CX10" s="1611"/>
      <c r="CY10" s="1611"/>
      <c r="CZ10" s="1611"/>
      <c r="DA10" s="1611"/>
      <c r="DB10" s="1611"/>
      <c r="DC10" s="1611"/>
      <c r="DD10" s="1611"/>
      <c r="DE10" s="1611"/>
      <c r="DF10" s="1611"/>
      <c r="DG10" s="1611"/>
      <c r="DH10" s="1611"/>
      <c r="DI10" s="1611"/>
      <c r="DJ10" s="1611"/>
      <c r="DK10" s="1611"/>
      <c r="DL10" s="1611"/>
      <c r="DM10" s="1611"/>
      <c r="DN10" s="1611"/>
      <c r="DO10" s="1611"/>
      <c r="DP10" s="1611"/>
      <c r="DQ10" s="1611"/>
      <c r="DR10" s="1611"/>
      <c r="DS10" s="1611"/>
      <c r="DT10" s="1611"/>
      <c r="DU10" s="1611"/>
      <c r="DV10" s="1611"/>
      <c r="DW10" s="1611"/>
      <c r="DX10" s="1611"/>
      <c r="DY10" s="1611"/>
    </row>
    <row r="11" spans="1:129" outlineLevel="2">
      <c r="A11" s="1638" t="s">
        <v>296</v>
      </c>
      <c r="B11" s="1637" t="s">
        <v>95</v>
      </c>
      <c r="C11" s="1636"/>
      <c r="D11" s="1635">
        <v>1</v>
      </c>
      <c r="E11" s="1634" t="s">
        <v>927</v>
      </c>
      <c r="F11" s="1633" t="s">
        <v>1069</v>
      </c>
      <c r="G11" s="1632">
        <v>5359.6947157116938</v>
      </c>
      <c r="H11" s="1632">
        <v>2145.4299999999998</v>
      </c>
      <c r="I11" s="1630">
        <f>G11+H11</f>
        <v>7505.1247157116941</v>
      </c>
      <c r="J11" s="1630">
        <f>D11*I11</f>
        <v>7505.1247157116941</v>
      </c>
      <c r="K11" s="1631">
        <v>7444</v>
      </c>
      <c r="L11" s="1630">
        <f>IF(I11&gt;K11,K11,I11)</f>
        <v>7444</v>
      </c>
      <c r="M11" s="1630">
        <f>L11*D11</f>
        <v>7444</v>
      </c>
      <c r="N11" s="1625">
        <f>J11-M11</f>
        <v>61.12471571169408</v>
      </c>
      <c r="O11" s="1629">
        <v>0.75839999999999996</v>
      </c>
      <c r="P11" s="1629">
        <v>0.24160000000000001</v>
      </c>
      <c r="Q11" s="1625">
        <f>N11*O11</f>
        <v>46.356984395748789</v>
      </c>
      <c r="R11" s="1628">
        <f>N11*P11</f>
        <v>14.767731315945291</v>
      </c>
      <c r="S11" s="1627">
        <f>(G11*D11)-Q11</f>
        <v>5313.3377313159453</v>
      </c>
      <c r="T11" s="1627">
        <f>(H11*D11)-R11</f>
        <v>2130.6622686840547</v>
      </c>
      <c r="U11" s="1626">
        <f t="shared" ref="U11:V14" si="2">S11/4</f>
        <v>1328.3344328289863</v>
      </c>
      <c r="V11" s="1626">
        <f t="shared" si="2"/>
        <v>532.66556717101366</v>
      </c>
      <c r="W11" s="1625">
        <f>V11+U11</f>
        <v>1861</v>
      </c>
      <c r="X11" s="1614"/>
      <c r="Y11" s="1613"/>
      <c r="Z11" s="1612">
        <f>K11/I11</f>
        <v>0.99185560293438801</v>
      </c>
      <c r="AA11" s="1611"/>
      <c r="AB11" s="1611"/>
      <c r="AC11" s="1611"/>
      <c r="AD11" s="1611"/>
      <c r="AE11" s="1611"/>
      <c r="AF11" s="1611"/>
      <c r="AG11" s="1611"/>
      <c r="AH11" s="1611"/>
      <c r="AI11" s="1611"/>
      <c r="AJ11" s="1611"/>
      <c r="AK11" s="1611"/>
      <c r="AL11" s="1611"/>
      <c r="AM11" s="1611"/>
      <c r="AN11" s="1611"/>
      <c r="AO11" s="1611"/>
      <c r="AP11" s="1611"/>
      <c r="AQ11" s="1611"/>
    </row>
    <row r="12" spans="1:129" outlineLevel="2">
      <c r="A12" s="1638" t="s">
        <v>296</v>
      </c>
      <c r="B12" s="1637" t="s">
        <v>95</v>
      </c>
      <c r="C12" s="1636"/>
      <c r="D12" s="1635">
        <v>1</v>
      </c>
      <c r="E12" s="1634" t="s">
        <v>926</v>
      </c>
      <c r="F12" s="1633" t="s">
        <v>1069</v>
      </c>
      <c r="G12" s="1632">
        <v>5359.6947157116938</v>
      </c>
      <c r="H12" s="1632">
        <v>2145.4299999999998</v>
      </c>
      <c r="I12" s="1630">
        <f>G12+H12</f>
        <v>7505.1247157116941</v>
      </c>
      <c r="J12" s="1630">
        <f>D12*I12</f>
        <v>7505.1247157116941</v>
      </c>
      <c r="K12" s="1631">
        <v>4745</v>
      </c>
      <c r="L12" s="1630">
        <f>IF(I12&gt;K12,K12,I12)</f>
        <v>4745</v>
      </c>
      <c r="M12" s="1630">
        <f>L12*D12</f>
        <v>4745</v>
      </c>
      <c r="N12" s="1625">
        <f>J12-M12</f>
        <v>2760.1247157116941</v>
      </c>
      <c r="O12" s="1629">
        <v>0.75839999999999996</v>
      </c>
      <c r="P12" s="1629">
        <v>0.24160000000000001</v>
      </c>
      <c r="Q12" s="1625">
        <f>N12*O12</f>
        <v>2093.2785843957486</v>
      </c>
      <c r="R12" s="1628">
        <f>N12*P12</f>
        <v>666.84613131594529</v>
      </c>
      <c r="S12" s="1627">
        <f>(G12*D12)-Q12</f>
        <v>3266.4161313159452</v>
      </c>
      <c r="T12" s="1627">
        <f>(H12*D12)-R12</f>
        <v>1478.5838686840546</v>
      </c>
      <c r="U12" s="1627">
        <f t="shared" si="2"/>
        <v>816.60403282898631</v>
      </c>
      <c r="V12" s="1627">
        <f t="shared" si="2"/>
        <v>369.64596717101364</v>
      </c>
      <c r="W12" s="1625">
        <f>V12+U12</f>
        <v>1186.25</v>
      </c>
      <c r="X12" s="1614"/>
      <c r="Y12" s="1613"/>
      <c r="Z12" s="1612">
        <f>K12/I12</f>
        <v>0.63223466361145508</v>
      </c>
      <c r="AA12" s="1611"/>
      <c r="AB12" s="1611"/>
      <c r="AC12" s="1611"/>
      <c r="AD12" s="1611"/>
      <c r="AE12" s="1611"/>
      <c r="AF12" s="1611"/>
      <c r="AG12" s="1611"/>
      <c r="AH12" s="1611"/>
      <c r="AI12" s="1611"/>
      <c r="AJ12" s="1611"/>
      <c r="AK12" s="1611"/>
      <c r="AL12" s="1611"/>
      <c r="AM12" s="1611"/>
      <c r="AN12" s="1611"/>
      <c r="AO12" s="1611"/>
      <c r="AP12" s="1611"/>
      <c r="AQ12" s="1611"/>
    </row>
    <row r="13" spans="1:129" outlineLevel="2">
      <c r="A13" s="1638" t="s">
        <v>296</v>
      </c>
      <c r="B13" s="1637" t="s">
        <v>95</v>
      </c>
      <c r="C13" s="1636"/>
      <c r="D13" s="1635">
        <v>1</v>
      </c>
      <c r="E13" s="1634" t="s">
        <v>926</v>
      </c>
      <c r="F13" s="1633" t="s">
        <v>1068</v>
      </c>
      <c r="G13" s="1632">
        <v>5359.6947157116938</v>
      </c>
      <c r="H13" s="1632">
        <v>2145.4299999999998</v>
      </c>
      <c r="I13" s="1630">
        <f>G13+H13</f>
        <v>7505.1247157116941</v>
      </c>
      <c r="J13" s="1630">
        <f>D13*I13</f>
        <v>7505.1247157116941</v>
      </c>
      <c r="K13" s="1631">
        <v>4745</v>
      </c>
      <c r="L13" s="1630">
        <f>IF(I13&gt;K13,K13,I13)</f>
        <v>4745</v>
      </c>
      <c r="M13" s="1630">
        <f>L13*D13</f>
        <v>4745</v>
      </c>
      <c r="N13" s="1625">
        <f>J13-M13</f>
        <v>2760.1247157116941</v>
      </c>
      <c r="O13" s="1629">
        <v>0.75839999999999996</v>
      </c>
      <c r="P13" s="1629">
        <v>0.24160000000000001</v>
      </c>
      <c r="Q13" s="1625">
        <f>N13*O13</f>
        <v>2093.2785843957486</v>
      </c>
      <c r="R13" s="1628">
        <f>N13*P13</f>
        <v>666.84613131594529</v>
      </c>
      <c r="S13" s="1627">
        <f>(G13*D13)-Q13</f>
        <v>3266.4161313159452</v>
      </c>
      <c r="T13" s="1627">
        <f>(H13*D13)-R13</f>
        <v>1478.5838686840546</v>
      </c>
      <c r="U13" s="1627">
        <f t="shared" si="2"/>
        <v>816.60403282898631</v>
      </c>
      <c r="V13" s="1627">
        <f t="shared" si="2"/>
        <v>369.64596717101364</v>
      </c>
      <c r="W13" s="1625">
        <f>V13+U13</f>
        <v>1186.25</v>
      </c>
      <c r="X13" s="1614"/>
      <c r="Y13" s="1613"/>
      <c r="Z13" s="1612">
        <f>K13/I13</f>
        <v>0.63223466361145508</v>
      </c>
      <c r="AA13" s="1611"/>
      <c r="AB13" s="1611"/>
      <c r="AC13" s="1611"/>
      <c r="AD13" s="1611"/>
      <c r="AE13" s="1611"/>
      <c r="AF13" s="1611"/>
      <c r="AG13" s="1611"/>
      <c r="AH13" s="1611"/>
      <c r="AI13" s="1611"/>
      <c r="AJ13" s="1611"/>
      <c r="AK13" s="1611"/>
      <c r="AL13" s="1611"/>
      <c r="AM13" s="1611"/>
      <c r="AN13" s="1611"/>
      <c r="AO13" s="1611"/>
      <c r="AP13" s="1611"/>
      <c r="AQ13" s="1611"/>
    </row>
    <row r="14" spans="1:129" outlineLevel="2">
      <c r="A14" s="1664" t="s">
        <v>296</v>
      </c>
      <c r="B14" s="1663" t="s">
        <v>95</v>
      </c>
      <c r="C14" s="1662"/>
      <c r="D14" s="1661">
        <v>1</v>
      </c>
      <c r="E14" s="1660" t="s">
        <v>903</v>
      </c>
      <c r="F14" s="1659" t="s">
        <v>1063</v>
      </c>
      <c r="G14" s="1632">
        <v>5359.6947157116938</v>
      </c>
      <c r="H14" s="1632">
        <v>2145.4299999999998</v>
      </c>
      <c r="I14" s="1627">
        <f>G14+H14</f>
        <v>7505.1247157116941</v>
      </c>
      <c r="J14" s="1627">
        <f>D14*I14</f>
        <v>7505.1247157116941</v>
      </c>
      <c r="K14" s="1658">
        <v>3656.7</v>
      </c>
      <c r="L14" s="1627">
        <f>IF(I14&gt;K14,K14,I14)</f>
        <v>3656.7</v>
      </c>
      <c r="M14" s="1627">
        <f>L14*D14</f>
        <v>3656.7</v>
      </c>
      <c r="N14" s="1656">
        <f>J14-M14</f>
        <v>3848.4247157116943</v>
      </c>
      <c r="O14" s="1629">
        <v>0.75839999999999996</v>
      </c>
      <c r="P14" s="1629">
        <v>0.24160000000000001</v>
      </c>
      <c r="Q14" s="1656">
        <f>N14*O14</f>
        <v>2918.645304395749</v>
      </c>
      <c r="R14" s="1657">
        <f>N14*P14</f>
        <v>929.77941131594537</v>
      </c>
      <c r="S14" s="1627">
        <f>(G14*D14)-Q14</f>
        <v>2441.0494113159448</v>
      </c>
      <c r="T14" s="1627">
        <f>(H14*D14)-R14</f>
        <v>1215.6505886840546</v>
      </c>
      <c r="U14" s="1627">
        <f t="shared" si="2"/>
        <v>610.2623528289862</v>
      </c>
      <c r="V14" s="1627">
        <f t="shared" si="2"/>
        <v>303.91264717101365</v>
      </c>
      <c r="W14" s="1656">
        <f>V14+U14</f>
        <v>914.17499999999984</v>
      </c>
      <c r="X14" s="1614"/>
      <c r="Y14" s="1613"/>
      <c r="Z14" s="1612">
        <f>K14/I14</f>
        <v>0.48722707996375292</v>
      </c>
      <c r="AA14" s="1611"/>
      <c r="AB14" s="1611"/>
      <c r="AC14" s="1611"/>
      <c r="AD14" s="1611"/>
      <c r="AE14" s="1611"/>
      <c r="AF14" s="1611"/>
      <c r="AG14" s="1611"/>
      <c r="AH14" s="1611"/>
      <c r="AI14" s="1611"/>
      <c r="AJ14" s="1611"/>
      <c r="AK14" s="1611"/>
      <c r="AL14" s="1611"/>
      <c r="AM14" s="1611"/>
      <c r="AN14" s="1611"/>
      <c r="AO14" s="1611"/>
      <c r="AP14" s="1611"/>
      <c r="AQ14" s="1611"/>
    </row>
    <row r="15" spans="1:129" outlineLevel="1">
      <c r="A15" s="1624"/>
      <c r="B15" s="1623" t="s">
        <v>1125</v>
      </c>
      <c r="C15" s="1622"/>
      <c r="D15" s="1621">
        <f>SUBTOTAL(9,D11:D14)</f>
        <v>4</v>
      </c>
      <c r="E15" s="1620"/>
      <c r="F15" s="1639"/>
      <c r="G15" s="1639"/>
      <c r="H15" s="1639"/>
      <c r="I15" s="1616"/>
      <c r="J15" s="1616">
        <f>SUBTOTAL(9,J11:J14)</f>
        <v>30020.498862846776</v>
      </c>
      <c r="K15" s="1615"/>
      <c r="L15" s="1616"/>
      <c r="M15" s="1616">
        <f>SUBTOTAL(9,M11:M14)</f>
        <v>20590.7</v>
      </c>
      <c r="N15" s="1615">
        <f>SUBTOTAL(9,N11:N14)</f>
        <v>9429.7988628467756</v>
      </c>
      <c r="O15" s="1617"/>
      <c r="P15" s="1617"/>
      <c r="Q15" s="1615">
        <f t="shared" ref="Q15:W15" si="3">SUBTOTAL(9,Q11:Q14)</f>
        <v>7151.5594575829955</v>
      </c>
      <c r="R15" s="1615">
        <f t="shared" si="3"/>
        <v>2278.239405263781</v>
      </c>
      <c r="S15" s="1616">
        <f t="shared" si="3"/>
        <v>14287.219405263782</v>
      </c>
      <c r="T15" s="1616">
        <f t="shared" si="3"/>
        <v>6303.4805947362183</v>
      </c>
      <c r="U15" s="1616">
        <f t="shared" si="3"/>
        <v>3571.8048513159456</v>
      </c>
      <c r="V15" s="1616">
        <f t="shared" si="3"/>
        <v>1575.8701486840546</v>
      </c>
      <c r="W15" s="1615">
        <f t="shared" si="3"/>
        <v>5147.6750000000002</v>
      </c>
      <c r="X15" s="1614"/>
      <c r="Y15" s="1613"/>
      <c r="Z15" s="1612"/>
      <c r="AA15" s="1611"/>
      <c r="AB15" s="1611"/>
      <c r="AC15" s="1611"/>
      <c r="AD15" s="1611"/>
      <c r="AE15" s="1611"/>
      <c r="AF15" s="1611"/>
      <c r="AG15" s="1611"/>
      <c r="AH15" s="1611"/>
      <c r="AI15" s="1611"/>
      <c r="AJ15" s="1611"/>
      <c r="AK15" s="1611"/>
      <c r="AL15" s="1611"/>
      <c r="AM15" s="1611"/>
      <c r="AN15" s="1611"/>
      <c r="AO15" s="1611"/>
      <c r="AP15" s="1611"/>
      <c r="AQ15" s="1611"/>
    </row>
    <row r="16" spans="1:129" outlineLevel="2">
      <c r="A16" s="1655" t="s">
        <v>297</v>
      </c>
      <c r="B16" s="1654" t="s">
        <v>97</v>
      </c>
      <c r="C16" s="1653"/>
      <c r="D16" s="1652">
        <v>4</v>
      </c>
      <c r="E16" s="1651" t="s">
        <v>939</v>
      </c>
      <c r="F16" s="1650" t="s">
        <v>1070</v>
      </c>
      <c r="G16" s="1632">
        <v>4755.2214394859757</v>
      </c>
      <c r="H16" s="1632">
        <v>3435.92</v>
      </c>
      <c r="I16" s="1648">
        <f t="shared" ref="I16:I40" si="4">G16+H16</f>
        <v>8191.1414394859758</v>
      </c>
      <c r="J16" s="1648">
        <f t="shared" ref="J16:J40" si="5">D16*I16</f>
        <v>32764.565757943903</v>
      </c>
      <c r="K16" s="1649">
        <v>4260</v>
      </c>
      <c r="L16" s="1648">
        <f t="shared" ref="L16:L40" si="6">IF(I16&gt;K16,K16,I16)</f>
        <v>4260</v>
      </c>
      <c r="M16" s="1648">
        <f t="shared" ref="M16:M40" si="7">L16*D16</f>
        <v>17040</v>
      </c>
      <c r="N16" s="1645">
        <f t="shared" ref="N16:N40" si="8">J16-M16</f>
        <v>15724.565757943903</v>
      </c>
      <c r="O16" s="1629">
        <v>0.66010000000000002</v>
      </c>
      <c r="P16" s="1629">
        <v>0.33989999999999998</v>
      </c>
      <c r="Q16" s="1645">
        <f t="shared" ref="Q16:Q40" si="9">N16*O16</f>
        <v>10379.785856818771</v>
      </c>
      <c r="R16" s="1647">
        <f t="shared" ref="R16:R40" si="10">N16*P16</f>
        <v>5344.7799011251327</v>
      </c>
      <c r="S16" s="1646">
        <f t="shared" ref="S16:S40" si="11">(G16*D16)-Q16</f>
        <v>8641.0999011251315</v>
      </c>
      <c r="T16" s="1646">
        <f t="shared" ref="T16:T40" si="12">(H16*D16)-R16</f>
        <v>8398.9000988748667</v>
      </c>
      <c r="U16" s="1646">
        <f t="shared" ref="U16:U40" si="13">S16/4</f>
        <v>2160.2749752812829</v>
      </c>
      <c r="V16" s="1646">
        <f t="shared" ref="V16:V40" si="14">T16/4</f>
        <v>2099.7250247187167</v>
      </c>
      <c r="W16" s="1645">
        <f t="shared" ref="W16:W40" si="15">V16+U16</f>
        <v>4260</v>
      </c>
      <c r="X16" s="1614"/>
      <c r="Y16" s="1613"/>
      <c r="Z16" s="1612">
        <f t="shared" ref="Z16:Z40" si="16">K16/I16</f>
        <v>0.52007403747960801</v>
      </c>
      <c r="AA16" s="1611"/>
      <c r="AB16" s="1611"/>
      <c r="AC16" s="1611"/>
      <c r="AD16" s="1611"/>
      <c r="AE16" s="1611"/>
      <c r="AF16" s="1611"/>
      <c r="AG16" s="1611"/>
      <c r="AH16" s="1611"/>
      <c r="AI16" s="1611"/>
      <c r="AJ16" s="1611"/>
      <c r="AK16" s="1611"/>
      <c r="AL16" s="1611"/>
      <c r="AM16" s="1611"/>
      <c r="AN16" s="1611"/>
      <c r="AO16" s="1611"/>
      <c r="AP16" s="1611"/>
      <c r="AQ16" s="1611"/>
    </row>
    <row r="17" spans="1:43" outlineLevel="2">
      <c r="A17" s="1638" t="s">
        <v>297</v>
      </c>
      <c r="B17" s="1637" t="s">
        <v>97</v>
      </c>
      <c r="C17" s="1636"/>
      <c r="D17" s="1635">
        <v>6</v>
      </c>
      <c r="E17" s="1634" t="s">
        <v>939</v>
      </c>
      <c r="F17" s="1633" t="s">
        <v>1069</v>
      </c>
      <c r="G17" s="1632">
        <v>4755.2214394859757</v>
      </c>
      <c r="H17" s="1632">
        <v>3435.92</v>
      </c>
      <c r="I17" s="1630">
        <f t="shared" si="4"/>
        <v>8191.1414394859758</v>
      </c>
      <c r="J17" s="1630">
        <f t="shared" si="5"/>
        <v>49146.848636915856</v>
      </c>
      <c r="K17" s="1631">
        <v>4360</v>
      </c>
      <c r="L17" s="1630">
        <f t="shared" si="6"/>
        <v>4360</v>
      </c>
      <c r="M17" s="1630">
        <f t="shared" si="7"/>
        <v>26160</v>
      </c>
      <c r="N17" s="1625">
        <f t="shared" si="8"/>
        <v>22986.848636915856</v>
      </c>
      <c r="O17" s="1629">
        <v>0.66010000000000002</v>
      </c>
      <c r="P17" s="1629">
        <v>0.33989999999999998</v>
      </c>
      <c r="Q17" s="1625">
        <f t="shared" si="9"/>
        <v>15173.618785228156</v>
      </c>
      <c r="R17" s="1628">
        <f t="shared" si="10"/>
        <v>7813.229851687699</v>
      </c>
      <c r="S17" s="1627">
        <f t="shared" si="11"/>
        <v>13357.709851687696</v>
      </c>
      <c r="T17" s="1627">
        <f t="shared" si="12"/>
        <v>12802.290148312302</v>
      </c>
      <c r="U17" s="1627">
        <f t="shared" si="13"/>
        <v>3339.427462921924</v>
      </c>
      <c r="V17" s="1627">
        <f t="shared" si="14"/>
        <v>3200.5725370780756</v>
      </c>
      <c r="W17" s="1625">
        <f t="shared" si="15"/>
        <v>6540</v>
      </c>
      <c r="X17" s="1614"/>
      <c r="Y17" s="1613"/>
      <c r="Z17" s="1612">
        <f t="shared" si="16"/>
        <v>0.53228234821856601</v>
      </c>
      <c r="AA17" s="1611"/>
      <c r="AB17" s="1611"/>
      <c r="AC17" s="1611"/>
      <c r="AD17" s="1611"/>
      <c r="AE17" s="1611"/>
      <c r="AF17" s="1611"/>
      <c r="AG17" s="1611"/>
      <c r="AH17" s="1611"/>
      <c r="AI17" s="1611"/>
      <c r="AJ17" s="1611"/>
      <c r="AK17" s="1611"/>
      <c r="AL17" s="1611"/>
      <c r="AM17" s="1611"/>
      <c r="AN17" s="1611"/>
      <c r="AO17" s="1611"/>
      <c r="AP17" s="1611"/>
      <c r="AQ17" s="1611"/>
    </row>
    <row r="18" spans="1:43" outlineLevel="2">
      <c r="A18" s="1638" t="s">
        <v>297</v>
      </c>
      <c r="B18" s="1637" t="s">
        <v>97</v>
      </c>
      <c r="C18" s="1636"/>
      <c r="D18" s="1635">
        <v>1</v>
      </c>
      <c r="E18" s="1634" t="s">
        <v>939</v>
      </c>
      <c r="F18" s="1633" t="s">
        <v>1068</v>
      </c>
      <c r="G18" s="1632">
        <v>4755.2214394859757</v>
      </c>
      <c r="H18" s="1632">
        <v>3435.92</v>
      </c>
      <c r="I18" s="1630">
        <f t="shared" si="4"/>
        <v>8191.1414394859758</v>
      </c>
      <c r="J18" s="1630">
        <f t="shared" si="5"/>
        <v>8191.1414394859758</v>
      </c>
      <c r="K18" s="1631">
        <v>4360</v>
      </c>
      <c r="L18" s="1630">
        <f t="shared" si="6"/>
        <v>4360</v>
      </c>
      <c r="M18" s="1630">
        <f t="shared" si="7"/>
        <v>4360</v>
      </c>
      <c r="N18" s="1625">
        <f t="shared" si="8"/>
        <v>3831.1414394859758</v>
      </c>
      <c r="O18" s="1629">
        <v>0.66010000000000002</v>
      </c>
      <c r="P18" s="1629">
        <v>0.33989999999999998</v>
      </c>
      <c r="Q18" s="1625">
        <f t="shared" si="9"/>
        <v>2528.9364642046926</v>
      </c>
      <c r="R18" s="1628">
        <f t="shared" si="10"/>
        <v>1302.2049752812832</v>
      </c>
      <c r="S18" s="1627">
        <f t="shared" si="11"/>
        <v>2226.2849752812831</v>
      </c>
      <c r="T18" s="1627">
        <f t="shared" si="12"/>
        <v>2133.7150247187169</v>
      </c>
      <c r="U18" s="1627">
        <f t="shared" si="13"/>
        <v>556.57124382032077</v>
      </c>
      <c r="V18" s="1627">
        <f t="shared" si="14"/>
        <v>533.42875617967923</v>
      </c>
      <c r="W18" s="1625">
        <f t="shared" si="15"/>
        <v>1090</v>
      </c>
      <c r="X18" s="1614"/>
      <c r="Y18" s="1613"/>
      <c r="Z18" s="1612">
        <f t="shared" si="16"/>
        <v>0.53228234821856601</v>
      </c>
      <c r="AA18" s="1611"/>
      <c r="AB18" s="1611"/>
      <c r="AC18" s="1611"/>
      <c r="AD18" s="1611"/>
      <c r="AE18" s="1611"/>
      <c r="AF18" s="1611"/>
      <c r="AG18" s="1611"/>
      <c r="AH18" s="1611"/>
      <c r="AI18" s="1611"/>
      <c r="AJ18" s="1611"/>
      <c r="AK18" s="1611"/>
      <c r="AL18" s="1611"/>
      <c r="AM18" s="1611"/>
      <c r="AN18" s="1611"/>
      <c r="AO18" s="1611"/>
      <c r="AP18" s="1611"/>
      <c r="AQ18" s="1611"/>
    </row>
    <row r="19" spans="1:43" outlineLevel="2">
      <c r="A19" s="1638" t="s">
        <v>297</v>
      </c>
      <c r="B19" s="1637" t="s">
        <v>97</v>
      </c>
      <c r="C19" s="1636"/>
      <c r="D19" s="1635">
        <v>2</v>
      </c>
      <c r="E19" s="1634" t="s">
        <v>939</v>
      </c>
      <c r="F19" s="1633" t="s">
        <v>1071</v>
      </c>
      <c r="G19" s="1632">
        <v>4755.2214394859757</v>
      </c>
      <c r="H19" s="1632">
        <v>3435.92</v>
      </c>
      <c r="I19" s="1630">
        <f t="shared" si="4"/>
        <v>8191.1414394859758</v>
      </c>
      <c r="J19" s="1630">
        <f t="shared" si="5"/>
        <v>16382.282878971952</v>
      </c>
      <c r="K19" s="1631">
        <v>4360</v>
      </c>
      <c r="L19" s="1630">
        <f t="shared" si="6"/>
        <v>4360</v>
      </c>
      <c r="M19" s="1630">
        <f t="shared" si="7"/>
        <v>8720</v>
      </c>
      <c r="N19" s="1625">
        <f t="shared" si="8"/>
        <v>7662.2828789719515</v>
      </c>
      <c r="O19" s="1629">
        <v>0.66010000000000002</v>
      </c>
      <c r="P19" s="1629">
        <v>0.33989999999999998</v>
      </c>
      <c r="Q19" s="1625">
        <f t="shared" si="9"/>
        <v>5057.8729284093852</v>
      </c>
      <c r="R19" s="1628">
        <f t="shared" si="10"/>
        <v>2604.4099505625663</v>
      </c>
      <c r="S19" s="1627">
        <f t="shared" si="11"/>
        <v>4452.5699505625662</v>
      </c>
      <c r="T19" s="1627">
        <f t="shared" si="12"/>
        <v>4267.4300494374338</v>
      </c>
      <c r="U19" s="1627">
        <f t="shared" si="13"/>
        <v>1113.1424876406415</v>
      </c>
      <c r="V19" s="1627">
        <f t="shared" si="14"/>
        <v>1066.8575123593585</v>
      </c>
      <c r="W19" s="1625">
        <f t="shared" si="15"/>
        <v>2180</v>
      </c>
      <c r="X19" s="1614"/>
      <c r="Y19" s="1613"/>
      <c r="Z19" s="1612">
        <f t="shared" si="16"/>
        <v>0.53228234821856601</v>
      </c>
      <c r="AA19" s="1611"/>
      <c r="AB19" s="1611"/>
      <c r="AC19" s="1611"/>
      <c r="AD19" s="1611"/>
      <c r="AE19" s="1611"/>
      <c r="AF19" s="1611"/>
      <c r="AG19" s="1611"/>
      <c r="AH19" s="1611"/>
      <c r="AI19" s="1611"/>
      <c r="AJ19" s="1611"/>
      <c r="AK19" s="1611"/>
      <c r="AL19" s="1611"/>
      <c r="AM19" s="1611"/>
      <c r="AN19" s="1611"/>
      <c r="AO19" s="1611"/>
      <c r="AP19" s="1611"/>
      <c r="AQ19" s="1611"/>
    </row>
    <row r="20" spans="1:43" outlineLevel="2">
      <c r="A20" s="1638" t="s">
        <v>297</v>
      </c>
      <c r="B20" s="1637" t="s">
        <v>97</v>
      </c>
      <c r="C20" s="1636"/>
      <c r="D20" s="1635">
        <v>1</v>
      </c>
      <c r="E20" s="1634" t="s">
        <v>939</v>
      </c>
      <c r="F20" s="1633" t="s">
        <v>1065</v>
      </c>
      <c r="G20" s="1632">
        <v>4755.2214394859757</v>
      </c>
      <c r="H20" s="1632">
        <v>3435.92</v>
      </c>
      <c r="I20" s="1630">
        <f t="shared" si="4"/>
        <v>8191.1414394859758</v>
      </c>
      <c r="J20" s="1630">
        <f t="shared" si="5"/>
        <v>8191.1414394859758</v>
      </c>
      <c r="K20" s="1631">
        <v>4452</v>
      </c>
      <c r="L20" s="1630">
        <f t="shared" si="6"/>
        <v>4452</v>
      </c>
      <c r="M20" s="1630">
        <f t="shared" si="7"/>
        <v>4452</v>
      </c>
      <c r="N20" s="1625">
        <f t="shared" si="8"/>
        <v>3739.1414394859758</v>
      </c>
      <c r="O20" s="1629">
        <v>0.66010000000000002</v>
      </c>
      <c r="P20" s="1629">
        <v>0.33989999999999998</v>
      </c>
      <c r="Q20" s="1625">
        <f t="shared" si="9"/>
        <v>2468.2072642046928</v>
      </c>
      <c r="R20" s="1628">
        <f t="shared" si="10"/>
        <v>1270.9341752812832</v>
      </c>
      <c r="S20" s="1627">
        <f t="shared" si="11"/>
        <v>2287.0141752812829</v>
      </c>
      <c r="T20" s="1627">
        <f t="shared" si="12"/>
        <v>2164.9858247187167</v>
      </c>
      <c r="U20" s="1627">
        <f t="shared" si="13"/>
        <v>571.75354382032071</v>
      </c>
      <c r="V20" s="1627">
        <f t="shared" si="14"/>
        <v>541.24645617967917</v>
      </c>
      <c r="W20" s="1625">
        <f t="shared" si="15"/>
        <v>1113</v>
      </c>
      <c r="X20" s="1614"/>
      <c r="Y20" s="1613"/>
      <c r="Z20" s="1612">
        <f t="shared" si="16"/>
        <v>0.54351399409840728</v>
      </c>
      <c r="AA20" s="1611"/>
      <c r="AB20" s="1611"/>
      <c r="AC20" s="1611"/>
      <c r="AD20" s="1611"/>
      <c r="AE20" s="1611"/>
      <c r="AF20" s="1611"/>
      <c r="AG20" s="1611"/>
      <c r="AH20" s="1611"/>
      <c r="AI20" s="1611"/>
      <c r="AJ20" s="1611"/>
      <c r="AK20" s="1611"/>
      <c r="AL20" s="1611"/>
      <c r="AM20" s="1611"/>
      <c r="AN20" s="1611"/>
      <c r="AO20" s="1611"/>
      <c r="AP20" s="1611"/>
      <c r="AQ20" s="1611"/>
    </row>
    <row r="21" spans="1:43" outlineLevel="2">
      <c r="A21" s="1638" t="s">
        <v>297</v>
      </c>
      <c r="B21" s="1637" t="s">
        <v>97</v>
      </c>
      <c r="C21" s="1636"/>
      <c r="D21" s="1635">
        <v>5</v>
      </c>
      <c r="E21" s="1634" t="s">
        <v>939</v>
      </c>
      <c r="F21" s="1633" t="s">
        <v>1064</v>
      </c>
      <c r="G21" s="1632">
        <v>4755.2214394859757</v>
      </c>
      <c r="H21" s="1632">
        <v>3435.92</v>
      </c>
      <c r="I21" s="1630">
        <f t="shared" si="4"/>
        <v>8191.1414394859758</v>
      </c>
      <c r="J21" s="1630">
        <f t="shared" si="5"/>
        <v>40955.707197429881</v>
      </c>
      <c r="K21" s="1631">
        <v>4452</v>
      </c>
      <c r="L21" s="1630">
        <f t="shared" si="6"/>
        <v>4452</v>
      </c>
      <c r="M21" s="1630">
        <f t="shared" si="7"/>
        <v>22260</v>
      </c>
      <c r="N21" s="1625">
        <f t="shared" si="8"/>
        <v>18695.707197429881</v>
      </c>
      <c r="O21" s="1629">
        <v>0.66010000000000002</v>
      </c>
      <c r="P21" s="1629">
        <v>0.33989999999999998</v>
      </c>
      <c r="Q21" s="1625">
        <f t="shared" si="9"/>
        <v>12341.036321023465</v>
      </c>
      <c r="R21" s="1628">
        <f t="shared" si="10"/>
        <v>6354.670876406416</v>
      </c>
      <c r="S21" s="1627">
        <f t="shared" si="11"/>
        <v>11435.070876406415</v>
      </c>
      <c r="T21" s="1627">
        <f t="shared" si="12"/>
        <v>10824.929123593582</v>
      </c>
      <c r="U21" s="1627">
        <f t="shared" si="13"/>
        <v>2858.7677191016037</v>
      </c>
      <c r="V21" s="1627">
        <f t="shared" si="14"/>
        <v>2706.2322808983954</v>
      </c>
      <c r="W21" s="1625">
        <f t="shared" si="15"/>
        <v>5564.9999999999991</v>
      </c>
      <c r="X21" s="1614"/>
      <c r="Y21" s="1613"/>
      <c r="Z21" s="1612">
        <f t="shared" si="16"/>
        <v>0.54351399409840728</v>
      </c>
      <c r="AA21" s="1611"/>
      <c r="AB21" s="1611"/>
      <c r="AC21" s="1611"/>
      <c r="AD21" s="1611"/>
      <c r="AE21" s="1611"/>
      <c r="AF21" s="1611"/>
      <c r="AG21" s="1611"/>
      <c r="AH21" s="1611"/>
      <c r="AI21" s="1611"/>
      <c r="AJ21" s="1611"/>
      <c r="AK21" s="1611"/>
      <c r="AL21" s="1611"/>
      <c r="AM21" s="1611"/>
      <c r="AN21" s="1611"/>
      <c r="AO21" s="1611"/>
      <c r="AP21" s="1611"/>
      <c r="AQ21" s="1611"/>
    </row>
    <row r="22" spans="1:43" outlineLevel="2">
      <c r="A22" s="1638" t="s">
        <v>297</v>
      </c>
      <c r="B22" s="1637" t="s">
        <v>97</v>
      </c>
      <c r="C22" s="1636"/>
      <c r="D22" s="1635">
        <v>6</v>
      </c>
      <c r="E22" s="1634" t="s">
        <v>939</v>
      </c>
      <c r="F22" s="1633" t="s">
        <v>1063</v>
      </c>
      <c r="G22" s="1632">
        <v>4755.2214394859757</v>
      </c>
      <c r="H22" s="1632">
        <v>3435.92</v>
      </c>
      <c r="I22" s="1630">
        <f t="shared" si="4"/>
        <v>8191.1414394859758</v>
      </c>
      <c r="J22" s="1630">
        <f t="shared" si="5"/>
        <v>49146.848636915856</v>
      </c>
      <c r="K22" s="1631">
        <v>4452</v>
      </c>
      <c r="L22" s="1630">
        <f t="shared" si="6"/>
        <v>4452</v>
      </c>
      <c r="M22" s="1630">
        <f t="shared" si="7"/>
        <v>26712</v>
      </c>
      <c r="N22" s="1625">
        <f t="shared" si="8"/>
        <v>22434.848636915856</v>
      </c>
      <c r="O22" s="1629">
        <v>0.66010000000000002</v>
      </c>
      <c r="P22" s="1629">
        <v>0.33989999999999998</v>
      </c>
      <c r="Q22" s="1625">
        <f t="shared" si="9"/>
        <v>14809.243585228158</v>
      </c>
      <c r="R22" s="1628">
        <f t="shared" si="10"/>
        <v>7625.6050516876994</v>
      </c>
      <c r="S22" s="1627">
        <f t="shared" si="11"/>
        <v>13722.085051687694</v>
      </c>
      <c r="T22" s="1627">
        <f t="shared" si="12"/>
        <v>12989.9149483123</v>
      </c>
      <c r="U22" s="1627">
        <f t="shared" si="13"/>
        <v>3430.5212629219236</v>
      </c>
      <c r="V22" s="1627">
        <f t="shared" si="14"/>
        <v>3247.478737078075</v>
      </c>
      <c r="W22" s="1625">
        <f t="shared" si="15"/>
        <v>6677.9999999999982</v>
      </c>
      <c r="X22" s="1614"/>
      <c r="Y22" s="1613"/>
      <c r="Z22" s="1612">
        <f t="shared" si="16"/>
        <v>0.54351399409840728</v>
      </c>
      <c r="AA22" s="1611"/>
      <c r="AB22" s="1611"/>
      <c r="AC22" s="1611"/>
      <c r="AD22" s="1611"/>
      <c r="AE22" s="1611"/>
      <c r="AF22" s="1611"/>
      <c r="AG22" s="1611"/>
      <c r="AH22" s="1611"/>
      <c r="AI22" s="1611"/>
      <c r="AJ22" s="1611"/>
      <c r="AK22" s="1611"/>
      <c r="AL22" s="1611"/>
      <c r="AM22" s="1611"/>
      <c r="AN22" s="1611"/>
      <c r="AO22" s="1611"/>
      <c r="AP22" s="1611"/>
      <c r="AQ22" s="1611"/>
    </row>
    <row r="23" spans="1:43" outlineLevel="2">
      <c r="A23" s="1638" t="s">
        <v>297</v>
      </c>
      <c r="B23" s="1637" t="s">
        <v>97</v>
      </c>
      <c r="C23" s="1636"/>
      <c r="D23" s="1635">
        <v>6</v>
      </c>
      <c r="E23" s="1634" t="s">
        <v>939</v>
      </c>
      <c r="F23" s="1633" t="s">
        <v>1066</v>
      </c>
      <c r="G23" s="1632">
        <v>4755.2214394859757</v>
      </c>
      <c r="H23" s="1632">
        <v>3435.92</v>
      </c>
      <c r="I23" s="1630">
        <f t="shared" si="4"/>
        <v>8191.1414394859758</v>
      </c>
      <c r="J23" s="1630">
        <f t="shared" si="5"/>
        <v>49146.848636915856</v>
      </c>
      <c r="K23" s="1631">
        <v>4452</v>
      </c>
      <c r="L23" s="1630">
        <f t="shared" si="6"/>
        <v>4452</v>
      </c>
      <c r="M23" s="1630">
        <f t="shared" si="7"/>
        <v>26712</v>
      </c>
      <c r="N23" s="1625">
        <f t="shared" si="8"/>
        <v>22434.848636915856</v>
      </c>
      <c r="O23" s="1629">
        <v>0.66010000000000002</v>
      </c>
      <c r="P23" s="1629">
        <v>0.33989999999999998</v>
      </c>
      <c r="Q23" s="1625">
        <f t="shared" si="9"/>
        <v>14809.243585228158</v>
      </c>
      <c r="R23" s="1628">
        <f t="shared" si="10"/>
        <v>7625.6050516876994</v>
      </c>
      <c r="S23" s="1627">
        <f t="shared" si="11"/>
        <v>13722.085051687694</v>
      </c>
      <c r="T23" s="1627">
        <f t="shared" si="12"/>
        <v>12989.9149483123</v>
      </c>
      <c r="U23" s="1627">
        <f t="shared" si="13"/>
        <v>3430.5212629219236</v>
      </c>
      <c r="V23" s="1627">
        <f t="shared" si="14"/>
        <v>3247.478737078075</v>
      </c>
      <c r="W23" s="1625">
        <f t="shared" si="15"/>
        <v>6677.9999999999982</v>
      </c>
      <c r="X23" s="1614"/>
      <c r="Y23" s="1613"/>
      <c r="Z23" s="1612">
        <f t="shared" si="16"/>
        <v>0.54351399409840728</v>
      </c>
      <c r="AA23" s="1611"/>
      <c r="AB23" s="1611"/>
      <c r="AC23" s="1611"/>
      <c r="AD23" s="1611"/>
      <c r="AE23" s="1611"/>
      <c r="AF23" s="1611"/>
      <c r="AG23" s="1611"/>
      <c r="AH23" s="1611"/>
      <c r="AI23" s="1611"/>
      <c r="AJ23" s="1611"/>
      <c r="AK23" s="1611"/>
      <c r="AL23" s="1611"/>
      <c r="AM23" s="1611"/>
      <c r="AN23" s="1611"/>
      <c r="AO23" s="1611"/>
      <c r="AP23" s="1611"/>
      <c r="AQ23" s="1611"/>
    </row>
    <row r="24" spans="1:43" outlineLevel="2">
      <c r="A24" s="1638" t="s">
        <v>297</v>
      </c>
      <c r="B24" s="1637" t="s">
        <v>97</v>
      </c>
      <c r="C24" s="1636"/>
      <c r="D24" s="1635">
        <v>3</v>
      </c>
      <c r="E24" s="1634" t="s">
        <v>939</v>
      </c>
      <c r="F24" s="1633" t="s">
        <v>1067</v>
      </c>
      <c r="G24" s="1632">
        <v>4755.2214394859757</v>
      </c>
      <c r="H24" s="1632">
        <v>3435.92</v>
      </c>
      <c r="I24" s="1630">
        <f t="shared" si="4"/>
        <v>8191.1414394859758</v>
      </c>
      <c r="J24" s="1630">
        <f t="shared" si="5"/>
        <v>24573.424318457928</v>
      </c>
      <c r="K24" s="1631">
        <v>5762</v>
      </c>
      <c r="L24" s="1630">
        <f t="shared" si="6"/>
        <v>5762</v>
      </c>
      <c r="M24" s="1630">
        <f t="shared" si="7"/>
        <v>17286</v>
      </c>
      <c r="N24" s="1625">
        <f t="shared" si="8"/>
        <v>7287.4243184579282</v>
      </c>
      <c r="O24" s="1629">
        <v>0.66010000000000002</v>
      </c>
      <c r="P24" s="1629">
        <v>0.33989999999999998</v>
      </c>
      <c r="Q24" s="1625">
        <f t="shared" si="9"/>
        <v>4810.4287926140787</v>
      </c>
      <c r="R24" s="1628">
        <f t="shared" si="10"/>
        <v>2476.9955258438495</v>
      </c>
      <c r="S24" s="1627">
        <f t="shared" si="11"/>
        <v>9455.2355258438474</v>
      </c>
      <c r="T24" s="1627">
        <f t="shared" si="12"/>
        <v>7830.7644741561508</v>
      </c>
      <c r="U24" s="1627">
        <f t="shared" si="13"/>
        <v>2363.8088814609619</v>
      </c>
      <c r="V24" s="1627">
        <f t="shared" si="14"/>
        <v>1957.6911185390377</v>
      </c>
      <c r="W24" s="1625">
        <f t="shared" si="15"/>
        <v>4321.5</v>
      </c>
      <c r="X24" s="1614"/>
      <c r="Y24" s="1613"/>
      <c r="Z24" s="1612">
        <f t="shared" si="16"/>
        <v>0.70344286477875628</v>
      </c>
      <c r="AA24" s="1611"/>
      <c r="AB24" s="1611"/>
      <c r="AC24" s="1611"/>
      <c r="AD24" s="1611"/>
      <c r="AE24" s="1611"/>
      <c r="AF24" s="1611"/>
      <c r="AG24" s="1611"/>
      <c r="AH24" s="1611"/>
      <c r="AI24" s="1611"/>
      <c r="AJ24" s="1611"/>
      <c r="AK24" s="1611"/>
      <c r="AL24" s="1611"/>
      <c r="AM24" s="1611"/>
      <c r="AN24" s="1611"/>
      <c r="AO24" s="1611"/>
      <c r="AP24" s="1611"/>
      <c r="AQ24" s="1611"/>
    </row>
    <row r="25" spans="1:43" outlineLevel="2">
      <c r="A25" s="1638" t="s">
        <v>297</v>
      </c>
      <c r="B25" s="1637" t="s">
        <v>97</v>
      </c>
      <c r="C25" s="1636"/>
      <c r="D25" s="1635">
        <v>6</v>
      </c>
      <c r="E25" s="1634" t="s">
        <v>939</v>
      </c>
      <c r="F25" s="1633" t="s">
        <v>979</v>
      </c>
      <c r="G25" s="1632">
        <v>4755.2214394859757</v>
      </c>
      <c r="H25" s="1632">
        <v>3435.92</v>
      </c>
      <c r="I25" s="1630">
        <f t="shared" si="4"/>
        <v>8191.1414394859758</v>
      </c>
      <c r="J25" s="1630">
        <f t="shared" si="5"/>
        <v>49146.848636915856</v>
      </c>
      <c r="K25" s="1631">
        <v>4260</v>
      </c>
      <c r="L25" s="1630">
        <f t="shared" si="6"/>
        <v>4260</v>
      </c>
      <c r="M25" s="1630">
        <f t="shared" si="7"/>
        <v>25560</v>
      </c>
      <c r="N25" s="1625">
        <f t="shared" si="8"/>
        <v>23586.848636915856</v>
      </c>
      <c r="O25" s="1629">
        <v>0.66010000000000002</v>
      </c>
      <c r="P25" s="1629">
        <v>0.33989999999999998</v>
      </c>
      <c r="Q25" s="1625">
        <f t="shared" si="9"/>
        <v>15569.678785228158</v>
      </c>
      <c r="R25" s="1628">
        <f t="shared" si="10"/>
        <v>8017.1698516876995</v>
      </c>
      <c r="S25" s="1627">
        <f t="shared" si="11"/>
        <v>12961.649851687695</v>
      </c>
      <c r="T25" s="1627">
        <f t="shared" si="12"/>
        <v>12598.3501483123</v>
      </c>
      <c r="U25" s="1627">
        <f t="shared" si="13"/>
        <v>3240.4124629219236</v>
      </c>
      <c r="V25" s="1627">
        <f t="shared" si="14"/>
        <v>3149.587537078075</v>
      </c>
      <c r="W25" s="1625">
        <f t="shared" si="15"/>
        <v>6389.9999999999982</v>
      </c>
      <c r="X25" s="1614"/>
      <c r="Y25" s="1613"/>
      <c r="Z25" s="1612">
        <f t="shared" si="16"/>
        <v>0.52007403747960801</v>
      </c>
      <c r="AA25" s="1611"/>
      <c r="AB25" s="1611"/>
      <c r="AC25" s="1611"/>
      <c r="AD25" s="1611"/>
      <c r="AE25" s="1611"/>
      <c r="AF25" s="1611"/>
      <c r="AG25" s="1611"/>
      <c r="AH25" s="1611"/>
      <c r="AI25" s="1611"/>
      <c r="AJ25" s="1611"/>
      <c r="AK25" s="1611"/>
      <c r="AL25" s="1611"/>
      <c r="AM25" s="1611"/>
      <c r="AN25" s="1611"/>
      <c r="AO25" s="1611"/>
      <c r="AP25" s="1611"/>
      <c r="AQ25" s="1611"/>
    </row>
    <row r="26" spans="1:43" outlineLevel="2">
      <c r="A26" s="1638" t="s">
        <v>297</v>
      </c>
      <c r="B26" s="1637" t="s">
        <v>97</v>
      </c>
      <c r="C26" s="1636"/>
      <c r="D26" s="1635">
        <v>1</v>
      </c>
      <c r="E26" s="1634" t="s">
        <v>998</v>
      </c>
      <c r="F26" s="1633" t="s">
        <v>1068</v>
      </c>
      <c r="G26" s="1632">
        <v>4755.2214394859757</v>
      </c>
      <c r="H26" s="1632">
        <v>3435.92</v>
      </c>
      <c r="I26" s="1630">
        <f t="shared" si="4"/>
        <v>8191.1414394859758</v>
      </c>
      <c r="J26" s="1630">
        <f t="shared" si="5"/>
        <v>8191.1414394859758</v>
      </c>
      <c r="K26" s="1631">
        <v>4505</v>
      </c>
      <c r="L26" s="1630">
        <f t="shared" si="6"/>
        <v>4505</v>
      </c>
      <c r="M26" s="1630">
        <f t="shared" si="7"/>
        <v>4505</v>
      </c>
      <c r="N26" s="1625">
        <f t="shared" si="8"/>
        <v>3686.1414394859758</v>
      </c>
      <c r="O26" s="1629">
        <v>0.66010000000000002</v>
      </c>
      <c r="P26" s="1629">
        <v>0.33989999999999998</v>
      </c>
      <c r="Q26" s="1625">
        <f t="shared" si="9"/>
        <v>2433.2219642046925</v>
      </c>
      <c r="R26" s="1628">
        <f t="shared" si="10"/>
        <v>1252.919475281283</v>
      </c>
      <c r="S26" s="1627">
        <f t="shared" si="11"/>
        <v>2321.9994752812831</v>
      </c>
      <c r="T26" s="1627">
        <f t="shared" si="12"/>
        <v>2183.0005247187173</v>
      </c>
      <c r="U26" s="1627">
        <f t="shared" si="13"/>
        <v>580.49986882032078</v>
      </c>
      <c r="V26" s="1627">
        <f t="shared" si="14"/>
        <v>545.75013117967933</v>
      </c>
      <c r="W26" s="1625">
        <f t="shared" si="15"/>
        <v>1126.25</v>
      </c>
      <c r="X26" s="1614"/>
      <c r="Y26" s="1613"/>
      <c r="Z26" s="1612">
        <f t="shared" si="16"/>
        <v>0.54998439879005501</v>
      </c>
      <c r="AA26" s="1611"/>
      <c r="AB26" s="1611"/>
      <c r="AC26" s="1611"/>
      <c r="AD26" s="1611"/>
      <c r="AE26" s="1611"/>
      <c r="AF26" s="1611"/>
      <c r="AG26" s="1611"/>
      <c r="AH26" s="1611"/>
      <c r="AI26" s="1611"/>
      <c r="AJ26" s="1611"/>
      <c r="AK26" s="1611"/>
      <c r="AL26" s="1611"/>
      <c r="AM26" s="1611"/>
      <c r="AN26" s="1611"/>
      <c r="AO26" s="1611"/>
      <c r="AP26" s="1611"/>
      <c r="AQ26" s="1611"/>
    </row>
    <row r="27" spans="1:43" outlineLevel="2">
      <c r="A27" s="1638" t="s">
        <v>297</v>
      </c>
      <c r="B27" s="1637" t="s">
        <v>97</v>
      </c>
      <c r="C27" s="1636"/>
      <c r="D27" s="1635">
        <v>1</v>
      </c>
      <c r="E27" s="1634" t="s">
        <v>907</v>
      </c>
      <c r="F27" s="1633" t="s">
        <v>1068</v>
      </c>
      <c r="G27" s="1632">
        <v>4755.2214394859757</v>
      </c>
      <c r="H27" s="1632">
        <v>3435.92</v>
      </c>
      <c r="I27" s="1630">
        <f t="shared" si="4"/>
        <v>8191.1414394859758</v>
      </c>
      <c r="J27" s="1630">
        <f t="shared" si="5"/>
        <v>8191.1414394859758</v>
      </c>
      <c r="K27" s="1631">
        <v>5384</v>
      </c>
      <c r="L27" s="1630">
        <f t="shared" si="6"/>
        <v>5384</v>
      </c>
      <c r="M27" s="1630">
        <f t="shared" si="7"/>
        <v>5384</v>
      </c>
      <c r="N27" s="1625">
        <f t="shared" si="8"/>
        <v>2807.1414394859758</v>
      </c>
      <c r="O27" s="1629">
        <v>0.66010000000000002</v>
      </c>
      <c r="P27" s="1629">
        <v>0.33989999999999998</v>
      </c>
      <c r="Q27" s="1625">
        <f t="shared" si="9"/>
        <v>1852.9940642046927</v>
      </c>
      <c r="R27" s="1628">
        <f t="shared" si="10"/>
        <v>954.14737528128308</v>
      </c>
      <c r="S27" s="1627">
        <f t="shared" si="11"/>
        <v>2902.227375281283</v>
      </c>
      <c r="T27" s="1627">
        <f t="shared" si="12"/>
        <v>2481.772624718717</v>
      </c>
      <c r="U27" s="1627">
        <f t="shared" si="13"/>
        <v>725.55684382032075</v>
      </c>
      <c r="V27" s="1627">
        <f t="shared" si="14"/>
        <v>620.44315617967925</v>
      </c>
      <c r="W27" s="1625">
        <f t="shared" si="15"/>
        <v>1346</v>
      </c>
      <c r="X27" s="1614"/>
      <c r="Y27" s="1613"/>
      <c r="Z27" s="1612">
        <f t="shared" si="16"/>
        <v>0.65729545018549529</v>
      </c>
      <c r="AA27" s="1611"/>
      <c r="AB27" s="1611"/>
      <c r="AC27" s="1611"/>
      <c r="AD27" s="1611"/>
      <c r="AE27" s="1611"/>
      <c r="AF27" s="1611"/>
      <c r="AG27" s="1611"/>
      <c r="AH27" s="1611"/>
      <c r="AI27" s="1611"/>
      <c r="AJ27" s="1611"/>
      <c r="AK27" s="1611"/>
      <c r="AL27" s="1611"/>
      <c r="AM27" s="1611"/>
      <c r="AN27" s="1611"/>
      <c r="AO27" s="1611"/>
      <c r="AP27" s="1611"/>
      <c r="AQ27" s="1611"/>
    </row>
    <row r="28" spans="1:43" outlineLevel="2">
      <c r="A28" s="1638" t="s">
        <v>297</v>
      </c>
      <c r="B28" s="1637" t="s">
        <v>97</v>
      </c>
      <c r="C28" s="1636"/>
      <c r="D28" s="1635">
        <v>1</v>
      </c>
      <c r="E28" s="1634" t="s">
        <v>918</v>
      </c>
      <c r="F28" s="1633" t="s">
        <v>1070</v>
      </c>
      <c r="G28" s="1632">
        <v>4755.2214394859757</v>
      </c>
      <c r="H28" s="1632">
        <v>3435.92</v>
      </c>
      <c r="I28" s="1630">
        <f t="shared" si="4"/>
        <v>8191.1414394859758</v>
      </c>
      <c r="J28" s="1630">
        <f t="shared" si="5"/>
        <v>8191.1414394859758</v>
      </c>
      <c r="K28" s="1631">
        <v>4539.5200000000004</v>
      </c>
      <c r="L28" s="1630">
        <f t="shared" si="6"/>
        <v>4539.5200000000004</v>
      </c>
      <c r="M28" s="1630">
        <f t="shared" si="7"/>
        <v>4539.5200000000004</v>
      </c>
      <c r="N28" s="1625">
        <f t="shared" si="8"/>
        <v>3651.6214394859753</v>
      </c>
      <c r="O28" s="1629">
        <v>0.66010000000000002</v>
      </c>
      <c r="P28" s="1629">
        <v>0.33989999999999998</v>
      </c>
      <c r="Q28" s="1625">
        <f t="shared" si="9"/>
        <v>2410.4353122046923</v>
      </c>
      <c r="R28" s="1628">
        <f t="shared" si="10"/>
        <v>1241.186127281283</v>
      </c>
      <c r="S28" s="1627">
        <f t="shared" si="11"/>
        <v>2344.7861272812834</v>
      </c>
      <c r="T28" s="1627">
        <f t="shared" si="12"/>
        <v>2194.7338727187171</v>
      </c>
      <c r="U28" s="1627">
        <f t="shared" si="13"/>
        <v>586.19653182032084</v>
      </c>
      <c r="V28" s="1627">
        <f t="shared" si="14"/>
        <v>548.68346817967927</v>
      </c>
      <c r="W28" s="1625">
        <f t="shared" si="15"/>
        <v>1134.8800000000001</v>
      </c>
      <c r="X28" s="1614"/>
      <c r="Y28" s="1613"/>
      <c r="Z28" s="1612">
        <f t="shared" si="16"/>
        <v>0.5541987076571433</v>
      </c>
      <c r="AA28" s="1611"/>
      <c r="AB28" s="1611"/>
      <c r="AC28" s="1611"/>
      <c r="AD28" s="1611"/>
      <c r="AE28" s="1611"/>
      <c r="AF28" s="1611"/>
      <c r="AG28" s="1611"/>
      <c r="AH28" s="1611"/>
      <c r="AI28" s="1611"/>
      <c r="AJ28" s="1611"/>
      <c r="AK28" s="1611"/>
      <c r="AL28" s="1611"/>
      <c r="AM28" s="1611"/>
      <c r="AN28" s="1611"/>
      <c r="AO28" s="1611"/>
      <c r="AP28" s="1611"/>
      <c r="AQ28" s="1611"/>
    </row>
    <row r="29" spans="1:43" outlineLevel="2">
      <c r="A29" s="1638" t="s">
        <v>297</v>
      </c>
      <c r="B29" s="1637" t="s">
        <v>97</v>
      </c>
      <c r="C29" s="1636"/>
      <c r="D29" s="1635">
        <v>1</v>
      </c>
      <c r="E29" s="1634" t="s">
        <v>918</v>
      </c>
      <c r="F29" s="1633" t="s">
        <v>1068</v>
      </c>
      <c r="G29" s="1632">
        <v>4755.2214394859757</v>
      </c>
      <c r="H29" s="1632">
        <v>3435.92</v>
      </c>
      <c r="I29" s="1630">
        <f t="shared" si="4"/>
        <v>8191.1414394859758</v>
      </c>
      <c r="J29" s="1630">
        <f t="shared" si="5"/>
        <v>8191.1414394859758</v>
      </c>
      <c r="K29" s="1631">
        <v>4539.5200000000004</v>
      </c>
      <c r="L29" s="1630">
        <f t="shared" si="6"/>
        <v>4539.5200000000004</v>
      </c>
      <c r="M29" s="1630">
        <f t="shared" si="7"/>
        <v>4539.5200000000004</v>
      </c>
      <c r="N29" s="1625">
        <f t="shared" si="8"/>
        <v>3651.6214394859753</v>
      </c>
      <c r="O29" s="1629">
        <v>0.66010000000000002</v>
      </c>
      <c r="P29" s="1629">
        <v>0.33989999999999998</v>
      </c>
      <c r="Q29" s="1625">
        <f t="shared" si="9"/>
        <v>2410.4353122046923</v>
      </c>
      <c r="R29" s="1628">
        <f t="shared" si="10"/>
        <v>1241.186127281283</v>
      </c>
      <c r="S29" s="1627">
        <f t="shared" si="11"/>
        <v>2344.7861272812834</v>
      </c>
      <c r="T29" s="1627">
        <f t="shared" si="12"/>
        <v>2194.7338727187171</v>
      </c>
      <c r="U29" s="1627">
        <f t="shared" si="13"/>
        <v>586.19653182032084</v>
      </c>
      <c r="V29" s="1627">
        <f t="shared" si="14"/>
        <v>548.68346817967927</v>
      </c>
      <c r="W29" s="1625">
        <f t="shared" si="15"/>
        <v>1134.8800000000001</v>
      </c>
      <c r="X29" s="1614"/>
      <c r="Y29" s="1613"/>
      <c r="Z29" s="1612">
        <f t="shared" si="16"/>
        <v>0.5541987076571433</v>
      </c>
      <c r="AA29" s="1611"/>
      <c r="AB29" s="1611"/>
      <c r="AC29" s="1611"/>
      <c r="AD29" s="1611"/>
      <c r="AE29" s="1611"/>
      <c r="AF29" s="1611"/>
      <c r="AG29" s="1611"/>
      <c r="AH29" s="1611"/>
      <c r="AI29" s="1611"/>
      <c r="AJ29" s="1611"/>
      <c r="AK29" s="1611"/>
      <c r="AL29" s="1611"/>
      <c r="AM29" s="1611"/>
      <c r="AN29" s="1611"/>
      <c r="AO29" s="1611"/>
      <c r="AP29" s="1611"/>
      <c r="AQ29" s="1611"/>
    </row>
    <row r="30" spans="1:43" outlineLevel="2">
      <c r="A30" s="1638" t="s">
        <v>297</v>
      </c>
      <c r="B30" s="1637" t="s">
        <v>97</v>
      </c>
      <c r="C30" s="1636"/>
      <c r="D30" s="1635">
        <v>1</v>
      </c>
      <c r="E30" s="1634" t="s">
        <v>918</v>
      </c>
      <c r="F30" s="1633" t="s">
        <v>1065</v>
      </c>
      <c r="G30" s="1632">
        <v>4755.2214394859757</v>
      </c>
      <c r="H30" s="1632">
        <v>3435.92</v>
      </c>
      <c r="I30" s="1630">
        <f t="shared" si="4"/>
        <v>8191.1414394859758</v>
      </c>
      <c r="J30" s="1630">
        <f t="shared" si="5"/>
        <v>8191.1414394859758</v>
      </c>
      <c r="K30" s="1631">
        <v>4539.5200000000004</v>
      </c>
      <c r="L30" s="1630">
        <f t="shared" si="6"/>
        <v>4539.5200000000004</v>
      </c>
      <c r="M30" s="1630">
        <f t="shared" si="7"/>
        <v>4539.5200000000004</v>
      </c>
      <c r="N30" s="1625">
        <f t="shared" si="8"/>
        <v>3651.6214394859753</v>
      </c>
      <c r="O30" s="1629">
        <v>0.66010000000000002</v>
      </c>
      <c r="P30" s="1629">
        <v>0.33989999999999998</v>
      </c>
      <c r="Q30" s="1625">
        <f t="shared" si="9"/>
        <v>2410.4353122046923</v>
      </c>
      <c r="R30" s="1628">
        <f t="shared" si="10"/>
        <v>1241.186127281283</v>
      </c>
      <c r="S30" s="1627">
        <f t="shared" si="11"/>
        <v>2344.7861272812834</v>
      </c>
      <c r="T30" s="1627">
        <f t="shared" si="12"/>
        <v>2194.7338727187171</v>
      </c>
      <c r="U30" s="1627">
        <f t="shared" si="13"/>
        <v>586.19653182032084</v>
      </c>
      <c r="V30" s="1627">
        <f t="shared" si="14"/>
        <v>548.68346817967927</v>
      </c>
      <c r="W30" s="1625">
        <f t="shared" si="15"/>
        <v>1134.8800000000001</v>
      </c>
      <c r="X30" s="1614"/>
      <c r="Y30" s="1613"/>
      <c r="Z30" s="1612">
        <f t="shared" si="16"/>
        <v>0.5541987076571433</v>
      </c>
      <c r="AA30" s="1611"/>
      <c r="AB30" s="1611"/>
      <c r="AC30" s="1611"/>
      <c r="AD30" s="1611"/>
      <c r="AE30" s="1611"/>
      <c r="AF30" s="1611"/>
      <c r="AG30" s="1611"/>
      <c r="AH30" s="1611"/>
      <c r="AI30" s="1611"/>
      <c r="AJ30" s="1611"/>
      <c r="AK30" s="1611"/>
      <c r="AL30" s="1611"/>
      <c r="AM30" s="1611"/>
      <c r="AN30" s="1611"/>
      <c r="AO30" s="1611"/>
      <c r="AP30" s="1611"/>
      <c r="AQ30" s="1611"/>
    </row>
    <row r="31" spans="1:43" outlineLevel="2">
      <c r="A31" s="1638" t="s">
        <v>297</v>
      </c>
      <c r="B31" s="1637" t="s">
        <v>97</v>
      </c>
      <c r="C31" s="1636"/>
      <c r="D31" s="1635">
        <v>1</v>
      </c>
      <c r="E31" s="1634" t="s">
        <v>991</v>
      </c>
      <c r="F31" s="1633" t="s">
        <v>979</v>
      </c>
      <c r="G31" s="1632">
        <v>4755.2214394859757</v>
      </c>
      <c r="H31" s="1632">
        <v>3435.92</v>
      </c>
      <c r="I31" s="1630">
        <f t="shared" si="4"/>
        <v>8191.1414394859758</v>
      </c>
      <c r="J31" s="1630">
        <f t="shared" si="5"/>
        <v>8191.1414394859758</v>
      </c>
      <c r="K31" s="1631">
        <v>8035</v>
      </c>
      <c r="L31" s="1630">
        <f t="shared" si="6"/>
        <v>8035</v>
      </c>
      <c r="M31" s="1630">
        <f t="shared" si="7"/>
        <v>8035</v>
      </c>
      <c r="N31" s="1625">
        <f t="shared" si="8"/>
        <v>156.14143948597575</v>
      </c>
      <c r="O31" s="1629">
        <v>0.66010000000000002</v>
      </c>
      <c r="P31" s="1629">
        <v>0.33989999999999998</v>
      </c>
      <c r="Q31" s="1625">
        <f t="shared" si="9"/>
        <v>103.06896420469259</v>
      </c>
      <c r="R31" s="1628">
        <f t="shared" si="10"/>
        <v>53.072475281283154</v>
      </c>
      <c r="S31" s="1627">
        <f t="shared" si="11"/>
        <v>4652.1524752812829</v>
      </c>
      <c r="T31" s="1627">
        <f t="shared" si="12"/>
        <v>3382.8475247187171</v>
      </c>
      <c r="U31" s="1627">
        <f t="shared" si="13"/>
        <v>1163.0381188203207</v>
      </c>
      <c r="V31" s="1627">
        <f t="shared" si="14"/>
        <v>845.71188117967927</v>
      </c>
      <c r="W31" s="1625">
        <f t="shared" si="15"/>
        <v>2008.75</v>
      </c>
      <c r="X31" s="1614"/>
      <c r="Y31" s="1613"/>
      <c r="Z31" s="1612">
        <f t="shared" si="16"/>
        <v>0.98093776787527009</v>
      </c>
      <c r="AA31" s="1611"/>
      <c r="AB31" s="1611"/>
      <c r="AC31" s="1611"/>
      <c r="AD31" s="1611"/>
      <c r="AE31" s="1611"/>
      <c r="AF31" s="1611"/>
      <c r="AG31" s="1611"/>
      <c r="AH31" s="1611"/>
      <c r="AI31" s="1611"/>
      <c r="AJ31" s="1611"/>
      <c r="AK31" s="1611"/>
      <c r="AL31" s="1611"/>
      <c r="AM31" s="1611"/>
      <c r="AN31" s="1611"/>
      <c r="AO31" s="1611"/>
      <c r="AP31" s="1611"/>
      <c r="AQ31" s="1611"/>
    </row>
    <row r="32" spans="1:43" outlineLevel="2">
      <c r="A32" s="1638" t="s">
        <v>297</v>
      </c>
      <c r="B32" s="1637" t="s">
        <v>97</v>
      </c>
      <c r="C32" s="1636"/>
      <c r="D32" s="1635">
        <v>1</v>
      </c>
      <c r="E32" s="1634" t="s">
        <v>938</v>
      </c>
      <c r="F32" s="1633" t="s">
        <v>1070</v>
      </c>
      <c r="G32" s="1632">
        <v>4755.2214394859757</v>
      </c>
      <c r="H32" s="1632">
        <v>3435.92</v>
      </c>
      <c r="I32" s="1630">
        <f t="shared" si="4"/>
        <v>8191.1414394859758</v>
      </c>
      <c r="J32" s="1630">
        <f t="shared" si="5"/>
        <v>8191.1414394859758</v>
      </c>
      <c r="K32" s="1631">
        <v>4827</v>
      </c>
      <c r="L32" s="1630">
        <f t="shared" si="6"/>
        <v>4827</v>
      </c>
      <c r="M32" s="1630">
        <f t="shared" si="7"/>
        <v>4827</v>
      </c>
      <c r="N32" s="1625">
        <f t="shared" si="8"/>
        <v>3364.1414394859758</v>
      </c>
      <c r="O32" s="1629">
        <v>0.66010000000000002</v>
      </c>
      <c r="P32" s="1629">
        <v>0.33989999999999998</v>
      </c>
      <c r="Q32" s="1625">
        <f t="shared" si="9"/>
        <v>2220.6697642046925</v>
      </c>
      <c r="R32" s="1628">
        <f t="shared" si="10"/>
        <v>1143.4716752812831</v>
      </c>
      <c r="S32" s="1627">
        <f t="shared" si="11"/>
        <v>2534.5516752812832</v>
      </c>
      <c r="T32" s="1627">
        <f t="shared" si="12"/>
        <v>2292.4483247187172</v>
      </c>
      <c r="U32" s="1627">
        <f t="shared" si="13"/>
        <v>633.63791882032081</v>
      </c>
      <c r="V32" s="1627">
        <f t="shared" si="14"/>
        <v>573.11208117967931</v>
      </c>
      <c r="W32" s="1625">
        <f t="shared" si="15"/>
        <v>1206.75</v>
      </c>
      <c r="X32" s="1614"/>
      <c r="Y32" s="1613"/>
      <c r="Z32" s="1612">
        <f t="shared" si="16"/>
        <v>0.5892951593694995</v>
      </c>
      <c r="AA32" s="1611"/>
      <c r="AB32" s="1611"/>
      <c r="AC32" s="1611"/>
      <c r="AD32" s="1611"/>
      <c r="AE32" s="1611"/>
      <c r="AF32" s="1611"/>
      <c r="AG32" s="1611"/>
      <c r="AH32" s="1611"/>
      <c r="AI32" s="1611"/>
      <c r="AJ32" s="1611"/>
      <c r="AK32" s="1611"/>
      <c r="AL32" s="1611"/>
      <c r="AM32" s="1611"/>
      <c r="AN32" s="1611"/>
      <c r="AO32" s="1611"/>
      <c r="AP32" s="1611"/>
      <c r="AQ32" s="1611"/>
    </row>
    <row r="33" spans="1:43" outlineLevel="2">
      <c r="A33" s="1638" t="s">
        <v>297</v>
      </c>
      <c r="B33" s="1637" t="s">
        <v>97</v>
      </c>
      <c r="C33" s="1636"/>
      <c r="D33" s="1635">
        <v>1</v>
      </c>
      <c r="E33" s="1634" t="s">
        <v>938</v>
      </c>
      <c r="F33" s="1633" t="s">
        <v>1069</v>
      </c>
      <c r="G33" s="1632">
        <v>4755.2214394859757</v>
      </c>
      <c r="H33" s="1632">
        <v>3435.92</v>
      </c>
      <c r="I33" s="1630">
        <f t="shared" si="4"/>
        <v>8191.1414394859758</v>
      </c>
      <c r="J33" s="1630">
        <f t="shared" si="5"/>
        <v>8191.1414394859758</v>
      </c>
      <c r="K33" s="1631">
        <v>4827</v>
      </c>
      <c r="L33" s="1630">
        <f t="shared" si="6"/>
        <v>4827</v>
      </c>
      <c r="M33" s="1630">
        <f t="shared" si="7"/>
        <v>4827</v>
      </c>
      <c r="N33" s="1625">
        <f t="shared" si="8"/>
        <v>3364.1414394859758</v>
      </c>
      <c r="O33" s="1629">
        <v>0.66010000000000002</v>
      </c>
      <c r="P33" s="1629">
        <v>0.33989999999999998</v>
      </c>
      <c r="Q33" s="1625">
        <f t="shared" si="9"/>
        <v>2220.6697642046925</v>
      </c>
      <c r="R33" s="1628">
        <f t="shared" si="10"/>
        <v>1143.4716752812831</v>
      </c>
      <c r="S33" s="1627">
        <f t="shared" si="11"/>
        <v>2534.5516752812832</v>
      </c>
      <c r="T33" s="1627">
        <f t="shared" si="12"/>
        <v>2292.4483247187172</v>
      </c>
      <c r="U33" s="1627">
        <f t="shared" si="13"/>
        <v>633.63791882032081</v>
      </c>
      <c r="V33" s="1627">
        <f t="shared" si="14"/>
        <v>573.11208117967931</v>
      </c>
      <c r="W33" s="1625">
        <f t="shared" si="15"/>
        <v>1206.75</v>
      </c>
      <c r="X33" s="1614"/>
      <c r="Y33" s="1613"/>
      <c r="Z33" s="1612">
        <f t="shared" si="16"/>
        <v>0.5892951593694995</v>
      </c>
      <c r="AA33" s="1611"/>
      <c r="AB33" s="1611"/>
      <c r="AC33" s="1611"/>
      <c r="AD33" s="1611"/>
      <c r="AE33" s="1611"/>
      <c r="AF33" s="1611"/>
      <c r="AG33" s="1611"/>
      <c r="AH33" s="1611"/>
      <c r="AI33" s="1611"/>
      <c r="AJ33" s="1611"/>
      <c r="AK33" s="1611"/>
      <c r="AL33" s="1611"/>
      <c r="AM33" s="1611"/>
      <c r="AN33" s="1611"/>
      <c r="AO33" s="1611"/>
      <c r="AP33" s="1611"/>
      <c r="AQ33" s="1611"/>
    </row>
    <row r="34" spans="1:43" outlineLevel="2">
      <c r="A34" s="1638" t="s">
        <v>297</v>
      </c>
      <c r="B34" s="1637" t="s">
        <v>97</v>
      </c>
      <c r="C34" s="1636"/>
      <c r="D34" s="1635">
        <v>3</v>
      </c>
      <c r="E34" s="1634" t="s">
        <v>938</v>
      </c>
      <c r="F34" s="1633" t="s">
        <v>1071</v>
      </c>
      <c r="G34" s="1632">
        <v>4755.2214394859757</v>
      </c>
      <c r="H34" s="1632">
        <v>3435.92</v>
      </c>
      <c r="I34" s="1630">
        <f t="shared" si="4"/>
        <v>8191.1414394859758</v>
      </c>
      <c r="J34" s="1630">
        <f t="shared" si="5"/>
        <v>24573.424318457928</v>
      </c>
      <c r="K34" s="1631">
        <v>4770</v>
      </c>
      <c r="L34" s="1630">
        <f t="shared" si="6"/>
        <v>4770</v>
      </c>
      <c r="M34" s="1630">
        <f t="shared" si="7"/>
        <v>14310</v>
      </c>
      <c r="N34" s="1625">
        <f t="shared" si="8"/>
        <v>10263.424318457928</v>
      </c>
      <c r="O34" s="1629">
        <v>0.66010000000000002</v>
      </c>
      <c r="P34" s="1629">
        <v>0.33989999999999998</v>
      </c>
      <c r="Q34" s="1625">
        <f t="shared" si="9"/>
        <v>6774.8863926140784</v>
      </c>
      <c r="R34" s="1628">
        <f t="shared" si="10"/>
        <v>3488.5379258438497</v>
      </c>
      <c r="S34" s="1627">
        <f t="shared" si="11"/>
        <v>7490.7779258438477</v>
      </c>
      <c r="T34" s="1627">
        <f t="shared" si="12"/>
        <v>6819.2220741561505</v>
      </c>
      <c r="U34" s="1627">
        <f t="shared" si="13"/>
        <v>1872.6944814609619</v>
      </c>
      <c r="V34" s="1627">
        <f t="shared" si="14"/>
        <v>1704.8055185390376</v>
      </c>
      <c r="W34" s="1625">
        <f t="shared" si="15"/>
        <v>3577.4999999999995</v>
      </c>
      <c r="X34" s="1614"/>
      <c r="Y34" s="1613"/>
      <c r="Z34" s="1612">
        <f t="shared" si="16"/>
        <v>0.58233642224829352</v>
      </c>
      <c r="AA34" s="1611"/>
      <c r="AB34" s="1611"/>
      <c r="AC34" s="1611"/>
      <c r="AD34" s="1611"/>
      <c r="AE34" s="1611"/>
      <c r="AF34" s="1611"/>
      <c r="AG34" s="1611"/>
      <c r="AH34" s="1611"/>
      <c r="AI34" s="1611"/>
      <c r="AJ34" s="1611"/>
      <c r="AK34" s="1611"/>
      <c r="AL34" s="1611"/>
      <c r="AM34" s="1611"/>
      <c r="AN34" s="1611"/>
      <c r="AO34" s="1611"/>
      <c r="AP34" s="1611"/>
      <c r="AQ34" s="1611"/>
    </row>
    <row r="35" spans="1:43" outlineLevel="2">
      <c r="A35" s="1638" t="s">
        <v>297</v>
      </c>
      <c r="B35" s="1637" t="s">
        <v>97</v>
      </c>
      <c r="C35" s="1636"/>
      <c r="D35" s="1635">
        <v>3</v>
      </c>
      <c r="E35" s="1634" t="s">
        <v>938</v>
      </c>
      <c r="F35" s="1633" t="s">
        <v>1065</v>
      </c>
      <c r="G35" s="1632">
        <v>4755.2214394859757</v>
      </c>
      <c r="H35" s="1632">
        <v>3435.92</v>
      </c>
      <c r="I35" s="1630">
        <f t="shared" si="4"/>
        <v>8191.1414394859758</v>
      </c>
      <c r="J35" s="1630">
        <f t="shared" si="5"/>
        <v>24573.424318457928</v>
      </c>
      <c r="K35" s="1631">
        <v>4770</v>
      </c>
      <c r="L35" s="1630">
        <f t="shared" si="6"/>
        <v>4770</v>
      </c>
      <c r="M35" s="1630">
        <f t="shared" si="7"/>
        <v>14310</v>
      </c>
      <c r="N35" s="1625">
        <f t="shared" si="8"/>
        <v>10263.424318457928</v>
      </c>
      <c r="O35" s="1629">
        <v>0.66010000000000002</v>
      </c>
      <c r="P35" s="1629">
        <v>0.33989999999999998</v>
      </c>
      <c r="Q35" s="1625">
        <f t="shared" si="9"/>
        <v>6774.8863926140784</v>
      </c>
      <c r="R35" s="1628">
        <f t="shared" si="10"/>
        <v>3488.5379258438497</v>
      </c>
      <c r="S35" s="1627">
        <f t="shared" si="11"/>
        <v>7490.7779258438477</v>
      </c>
      <c r="T35" s="1627">
        <f t="shared" si="12"/>
        <v>6819.2220741561505</v>
      </c>
      <c r="U35" s="1627">
        <f t="shared" si="13"/>
        <v>1872.6944814609619</v>
      </c>
      <c r="V35" s="1627">
        <f t="shared" si="14"/>
        <v>1704.8055185390376</v>
      </c>
      <c r="W35" s="1625">
        <f t="shared" si="15"/>
        <v>3577.4999999999995</v>
      </c>
      <c r="X35" s="1614"/>
      <c r="Y35" s="1613"/>
      <c r="Z35" s="1612">
        <f t="shared" si="16"/>
        <v>0.58233642224829352</v>
      </c>
      <c r="AA35" s="1611"/>
      <c r="AB35" s="1611"/>
      <c r="AC35" s="1611"/>
      <c r="AD35" s="1611"/>
      <c r="AE35" s="1611"/>
      <c r="AF35" s="1611"/>
      <c r="AG35" s="1611"/>
      <c r="AH35" s="1611"/>
      <c r="AI35" s="1611"/>
      <c r="AJ35" s="1611"/>
      <c r="AK35" s="1611"/>
      <c r="AL35" s="1611"/>
      <c r="AM35" s="1611"/>
      <c r="AN35" s="1611"/>
      <c r="AO35" s="1611"/>
      <c r="AP35" s="1611"/>
      <c r="AQ35" s="1611"/>
    </row>
    <row r="36" spans="1:43" outlineLevel="2">
      <c r="A36" s="1638" t="s">
        <v>297</v>
      </c>
      <c r="B36" s="1637" t="s">
        <v>97</v>
      </c>
      <c r="C36" s="1636"/>
      <c r="D36" s="1635">
        <v>5</v>
      </c>
      <c r="E36" s="1634" t="s">
        <v>938</v>
      </c>
      <c r="F36" s="1633" t="s">
        <v>1064</v>
      </c>
      <c r="G36" s="1632">
        <v>4755.2214394859757</v>
      </c>
      <c r="H36" s="1632">
        <v>3435.92</v>
      </c>
      <c r="I36" s="1630">
        <f t="shared" si="4"/>
        <v>8191.1414394859758</v>
      </c>
      <c r="J36" s="1630">
        <f t="shared" si="5"/>
        <v>40955.707197429881</v>
      </c>
      <c r="K36" s="1631">
        <v>4770</v>
      </c>
      <c r="L36" s="1630">
        <f t="shared" si="6"/>
        <v>4770</v>
      </c>
      <c r="M36" s="1630">
        <f t="shared" si="7"/>
        <v>23850</v>
      </c>
      <c r="N36" s="1625">
        <f t="shared" si="8"/>
        <v>17105.707197429881</v>
      </c>
      <c r="O36" s="1629">
        <v>0.66010000000000002</v>
      </c>
      <c r="P36" s="1629">
        <v>0.33989999999999998</v>
      </c>
      <c r="Q36" s="1625">
        <f t="shared" si="9"/>
        <v>11291.477321023465</v>
      </c>
      <c r="R36" s="1628">
        <f t="shared" si="10"/>
        <v>5814.2298764064162</v>
      </c>
      <c r="S36" s="1627">
        <f t="shared" si="11"/>
        <v>12484.629876406414</v>
      </c>
      <c r="T36" s="1627">
        <f t="shared" si="12"/>
        <v>11365.370123593582</v>
      </c>
      <c r="U36" s="1627">
        <f t="shared" si="13"/>
        <v>3121.1574691016035</v>
      </c>
      <c r="V36" s="1627">
        <f t="shared" si="14"/>
        <v>2841.3425308983956</v>
      </c>
      <c r="W36" s="1625">
        <f t="shared" si="15"/>
        <v>5962.4999999999991</v>
      </c>
      <c r="X36" s="1614"/>
      <c r="Y36" s="1613"/>
      <c r="Z36" s="1612">
        <f t="shared" si="16"/>
        <v>0.58233642224829352</v>
      </c>
      <c r="AA36" s="1611"/>
      <c r="AB36" s="1611"/>
      <c r="AC36" s="1611"/>
      <c r="AD36" s="1611"/>
      <c r="AE36" s="1611"/>
      <c r="AF36" s="1611"/>
      <c r="AG36" s="1611"/>
      <c r="AH36" s="1611"/>
      <c r="AI36" s="1611"/>
      <c r="AJ36" s="1611"/>
      <c r="AK36" s="1611"/>
      <c r="AL36" s="1611"/>
      <c r="AM36" s="1611"/>
      <c r="AN36" s="1611"/>
      <c r="AO36" s="1611"/>
      <c r="AP36" s="1611"/>
      <c r="AQ36" s="1611"/>
    </row>
    <row r="37" spans="1:43" outlineLevel="2">
      <c r="A37" s="1638" t="s">
        <v>297</v>
      </c>
      <c r="B37" s="1637" t="s">
        <v>97</v>
      </c>
      <c r="C37" s="1636"/>
      <c r="D37" s="1635">
        <v>2</v>
      </c>
      <c r="E37" s="1634" t="s">
        <v>938</v>
      </c>
      <c r="F37" s="1633" t="s">
        <v>1063</v>
      </c>
      <c r="G37" s="1632">
        <v>4755.2214394859757</v>
      </c>
      <c r="H37" s="1632">
        <v>3435.92</v>
      </c>
      <c r="I37" s="1630">
        <f t="shared" si="4"/>
        <v>8191.1414394859758</v>
      </c>
      <c r="J37" s="1630">
        <f t="shared" si="5"/>
        <v>16382.282878971952</v>
      </c>
      <c r="K37" s="1631">
        <v>4770</v>
      </c>
      <c r="L37" s="1630">
        <f t="shared" si="6"/>
        <v>4770</v>
      </c>
      <c r="M37" s="1630">
        <f t="shared" si="7"/>
        <v>9540</v>
      </c>
      <c r="N37" s="1625">
        <f t="shared" si="8"/>
        <v>6842.2828789719515</v>
      </c>
      <c r="O37" s="1629">
        <v>0.66010000000000002</v>
      </c>
      <c r="P37" s="1629">
        <v>0.33989999999999998</v>
      </c>
      <c r="Q37" s="1625">
        <f t="shared" si="9"/>
        <v>4516.590928409385</v>
      </c>
      <c r="R37" s="1628">
        <f t="shared" si="10"/>
        <v>2325.691950562566</v>
      </c>
      <c r="S37" s="1627">
        <f t="shared" si="11"/>
        <v>4993.8519505625663</v>
      </c>
      <c r="T37" s="1627">
        <f t="shared" si="12"/>
        <v>4546.1480494374337</v>
      </c>
      <c r="U37" s="1627">
        <f t="shared" si="13"/>
        <v>1248.4629876406416</v>
      </c>
      <c r="V37" s="1627">
        <f t="shared" si="14"/>
        <v>1136.5370123593584</v>
      </c>
      <c r="W37" s="1625">
        <f t="shared" si="15"/>
        <v>2385</v>
      </c>
      <c r="X37" s="1614"/>
      <c r="Y37" s="1613"/>
      <c r="Z37" s="1612">
        <f t="shared" si="16"/>
        <v>0.58233642224829352</v>
      </c>
      <c r="AA37" s="1611"/>
      <c r="AB37" s="1611"/>
      <c r="AC37" s="1611"/>
      <c r="AD37" s="1611"/>
      <c r="AE37" s="1611"/>
      <c r="AF37" s="1611"/>
      <c r="AG37" s="1611"/>
      <c r="AH37" s="1611"/>
      <c r="AI37" s="1611"/>
      <c r="AJ37" s="1611"/>
      <c r="AK37" s="1611"/>
      <c r="AL37" s="1611"/>
      <c r="AM37" s="1611"/>
      <c r="AN37" s="1611"/>
      <c r="AO37" s="1611"/>
      <c r="AP37" s="1611"/>
      <c r="AQ37" s="1611"/>
    </row>
    <row r="38" spans="1:43" outlineLevel="2">
      <c r="A38" s="1638" t="s">
        <v>297</v>
      </c>
      <c r="B38" s="1637" t="s">
        <v>97</v>
      </c>
      <c r="C38" s="1636"/>
      <c r="D38" s="1635">
        <v>1</v>
      </c>
      <c r="E38" s="1634" t="s">
        <v>938</v>
      </c>
      <c r="F38" s="1633" t="s">
        <v>979</v>
      </c>
      <c r="G38" s="1632">
        <v>4755.2214394859757</v>
      </c>
      <c r="H38" s="1632">
        <v>3435.92</v>
      </c>
      <c r="I38" s="1630">
        <f t="shared" si="4"/>
        <v>8191.1414394859758</v>
      </c>
      <c r="J38" s="1630">
        <f t="shared" si="5"/>
        <v>8191.1414394859758</v>
      </c>
      <c r="K38" s="1631">
        <v>4827</v>
      </c>
      <c r="L38" s="1630">
        <f t="shared" si="6"/>
        <v>4827</v>
      </c>
      <c r="M38" s="1630">
        <f t="shared" si="7"/>
        <v>4827</v>
      </c>
      <c r="N38" s="1625">
        <f t="shared" si="8"/>
        <v>3364.1414394859758</v>
      </c>
      <c r="O38" s="1629">
        <v>0.66010000000000002</v>
      </c>
      <c r="P38" s="1629">
        <v>0.33989999999999998</v>
      </c>
      <c r="Q38" s="1625">
        <f t="shared" si="9"/>
        <v>2220.6697642046925</v>
      </c>
      <c r="R38" s="1628">
        <f t="shared" si="10"/>
        <v>1143.4716752812831</v>
      </c>
      <c r="S38" s="1627">
        <f t="shared" si="11"/>
        <v>2534.5516752812832</v>
      </c>
      <c r="T38" s="1627">
        <f t="shared" si="12"/>
        <v>2292.4483247187172</v>
      </c>
      <c r="U38" s="1627">
        <f t="shared" si="13"/>
        <v>633.63791882032081</v>
      </c>
      <c r="V38" s="1627">
        <f t="shared" si="14"/>
        <v>573.11208117967931</v>
      </c>
      <c r="W38" s="1625">
        <f t="shared" si="15"/>
        <v>1206.75</v>
      </c>
      <c r="X38" s="1614"/>
      <c r="Y38" s="1613"/>
      <c r="Z38" s="1612">
        <f t="shared" si="16"/>
        <v>0.5892951593694995</v>
      </c>
      <c r="AA38" s="1611"/>
      <c r="AB38" s="1611"/>
      <c r="AC38" s="1611"/>
      <c r="AD38" s="1611"/>
      <c r="AE38" s="1611"/>
      <c r="AF38" s="1611"/>
      <c r="AG38" s="1611"/>
      <c r="AH38" s="1611"/>
      <c r="AI38" s="1611"/>
      <c r="AJ38" s="1611"/>
      <c r="AK38" s="1611"/>
      <c r="AL38" s="1611"/>
      <c r="AM38" s="1611"/>
      <c r="AN38" s="1611"/>
      <c r="AO38" s="1611"/>
      <c r="AP38" s="1611"/>
      <c r="AQ38" s="1611"/>
    </row>
    <row r="39" spans="1:43" outlineLevel="2">
      <c r="A39" s="1638" t="s">
        <v>297</v>
      </c>
      <c r="B39" s="1637" t="s">
        <v>97</v>
      </c>
      <c r="C39" s="1636"/>
      <c r="D39" s="1635">
        <v>2</v>
      </c>
      <c r="E39" s="1634" t="s">
        <v>984</v>
      </c>
      <c r="F39" s="1633" t="s">
        <v>1066</v>
      </c>
      <c r="G39" s="1632">
        <v>4755.2214394859757</v>
      </c>
      <c r="H39" s="1632">
        <v>3435.92</v>
      </c>
      <c r="I39" s="1630">
        <f t="shared" si="4"/>
        <v>8191.1414394859758</v>
      </c>
      <c r="J39" s="1630">
        <f t="shared" si="5"/>
        <v>16382.282878971952</v>
      </c>
      <c r="K39" s="1631">
        <v>5480</v>
      </c>
      <c r="L39" s="1630">
        <f t="shared" si="6"/>
        <v>5480</v>
      </c>
      <c r="M39" s="1630">
        <f t="shared" si="7"/>
        <v>10960</v>
      </c>
      <c r="N39" s="1625">
        <f t="shared" si="8"/>
        <v>5422.2828789719515</v>
      </c>
      <c r="O39" s="1629">
        <v>0.66010000000000002</v>
      </c>
      <c r="P39" s="1629">
        <v>0.33989999999999998</v>
      </c>
      <c r="Q39" s="1625">
        <f t="shared" si="9"/>
        <v>3579.2489284093854</v>
      </c>
      <c r="R39" s="1628">
        <f t="shared" si="10"/>
        <v>1843.0339505625661</v>
      </c>
      <c r="S39" s="1627">
        <f t="shared" si="11"/>
        <v>5931.193950562566</v>
      </c>
      <c r="T39" s="1627">
        <f t="shared" si="12"/>
        <v>5028.806049437434</v>
      </c>
      <c r="U39" s="1627">
        <f t="shared" si="13"/>
        <v>1482.7984876406415</v>
      </c>
      <c r="V39" s="1627">
        <f t="shared" si="14"/>
        <v>1257.2015123593585</v>
      </c>
      <c r="W39" s="1625">
        <f t="shared" si="15"/>
        <v>2740</v>
      </c>
      <c r="X39" s="1614"/>
      <c r="Y39" s="1613"/>
      <c r="Z39" s="1612">
        <f t="shared" si="16"/>
        <v>0.66901542849489481</v>
      </c>
      <c r="AA39" s="1611"/>
      <c r="AB39" s="1611"/>
      <c r="AC39" s="1611"/>
      <c r="AD39" s="1611"/>
      <c r="AE39" s="1611"/>
      <c r="AF39" s="1611"/>
      <c r="AG39" s="1611"/>
      <c r="AH39" s="1611"/>
      <c r="AI39" s="1611"/>
      <c r="AJ39" s="1611"/>
      <c r="AK39" s="1611"/>
      <c r="AL39" s="1611"/>
      <c r="AM39" s="1611"/>
      <c r="AN39" s="1611"/>
      <c r="AO39" s="1611"/>
      <c r="AP39" s="1611"/>
      <c r="AQ39" s="1611"/>
    </row>
    <row r="40" spans="1:43" outlineLevel="2">
      <c r="A40" s="1638" t="s">
        <v>297</v>
      </c>
      <c r="B40" s="1637" t="s">
        <v>97</v>
      </c>
      <c r="C40" s="1636"/>
      <c r="D40" s="1635">
        <v>1</v>
      </c>
      <c r="E40" s="1634" t="s">
        <v>984</v>
      </c>
      <c r="F40" s="1633" t="s">
        <v>1067</v>
      </c>
      <c r="G40" s="1632">
        <v>4755.2214394859757</v>
      </c>
      <c r="H40" s="1632">
        <v>3435.92</v>
      </c>
      <c r="I40" s="1630">
        <f t="shared" si="4"/>
        <v>8191.1414394859758</v>
      </c>
      <c r="J40" s="1630">
        <f t="shared" si="5"/>
        <v>8191.1414394859758</v>
      </c>
      <c r="K40" s="1631">
        <v>5480</v>
      </c>
      <c r="L40" s="1630">
        <f t="shared" si="6"/>
        <v>5480</v>
      </c>
      <c r="M40" s="1630">
        <f t="shared" si="7"/>
        <v>5480</v>
      </c>
      <c r="N40" s="1625">
        <f t="shared" si="8"/>
        <v>2711.1414394859758</v>
      </c>
      <c r="O40" s="1629">
        <v>0.66010000000000002</v>
      </c>
      <c r="P40" s="1629">
        <v>0.33989999999999998</v>
      </c>
      <c r="Q40" s="1625">
        <f t="shared" si="9"/>
        <v>1789.6244642046927</v>
      </c>
      <c r="R40" s="1628">
        <f t="shared" si="10"/>
        <v>921.51697528128307</v>
      </c>
      <c r="S40" s="1627">
        <f t="shared" si="11"/>
        <v>2965.596975281283</v>
      </c>
      <c r="T40" s="1627">
        <f t="shared" si="12"/>
        <v>2514.403024718717</v>
      </c>
      <c r="U40" s="1627">
        <f t="shared" si="13"/>
        <v>741.39924382032075</v>
      </c>
      <c r="V40" s="1627">
        <f t="shared" si="14"/>
        <v>628.60075617967925</v>
      </c>
      <c r="W40" s="1625">
        <f t="shared" si="15"/>
        <v>1370</v>
      </c>
      <c r="X40" s="1614"/>
      <c r="Y40" s="1613"/>
      <c r="Z40" s="1612">
        <f t="shared" si="16"/>
        <v>0.66901542849489481</v>
      </c>
      <c r="AA40" s="1611"/>
      <c r="AB40" s="1611"/>
      <c r="AC40" s="1611"/>
      <c r="AD40" s="1611"/>
      <c r="AE40" s="1611"/>
      <c r="AF40" s="1611"/>
      <c r="AG40" s="1611"/>
      <c r="AH40" s="1611"/>
      <c r="AI40" s="1611"/>
      <c r="AJ40" s="1611"/>
      <c r="AK40" s="1611"/>
      <c r="AL40" s="1611"/>
      <c r="AM40" s="1611"/>
      <c r="AN40" s="1611"/>
      <c r="AO40" s="1611"/>
      <c r="AP40" s="1611"/>
      <c r="AQ40" s="1611"/>
    </row>
    <row r="41" spans="1:43" outlineLevel="1">
      <c r="A41" s="1624"/>
      <c r="B41" s="1623" t="s">
        <v>1124</v>
      </c>
      <c r="C41" s="1622"/>
      <c r="D41" s="1621">
        <f>SUBTOTAL(9,D16:D40)</f>
        <v>65</v>
      </c>
      <c r="E41" s="1620"/>
      <c r="F41" s="1639"/>
      <c r="G41" s="1639"/>
      <c r="H41" s="1639"/>
      <c r="I41" s="1616"/>
      <c r="J41" s="1616">
        <f>SUBTOTAL(9,J16:J40)</f>
        <v>532424.1935665888</v>
      </c>
      <c r="K41" s="1615"/>
      <c r="L41" s="1616"/>
      <c r="M41" s="1616">
        <f>SUBTOTAL(9,M16:M40)</f>
        <v>303735.55999999994</v>
      </c>
      <c r="N41" s="1615">
        <f>SUBTOTAL(9,N16:N40)</f>
        <v>228688.63356658843</v>
      </c>
      <c r="O41" s="1616"/>
      <c r="P41" s="1616"/>
      <c r="Q41" s="1615">
        <f t="shared" ref="Q41:W41" si="17">SUBTOTAL(9,Q16:Q40)</f>
        <v>150957.36701730499</v>
      </c>
      <c r="R41" s="1615">
        <f t="shared" si="17"/>
        <v>77731.266549283391</v>
      </c>
      <c r="S41" s="1616">
        <f t="shared" si="17"/>
        <v>158132.02654928339</v>
      </c>
      <c r="T41" s="1616">
        <f t="shared" si="17"/>
        <v>145603.53345071661</v>
      </c>
      <c r="U41" s="1616">
        <f t="shared" si="17"/>
        <v>39533.006637320846</v>
      </c>
      <c r="V41" s="1616">
        <f t="shared" si="17"/>
        <v>36400.883362679153</v>
      </c>
      <c r="W41" s="1615">
        <f t="shared" si="17"/>
        <v>75933.889999999985</v>
      </c>
      <c r="X41" s="1614"/>
      <c r="Y41" s="1613"/>
      <c r="Z41" s="1612"/>
      <c r="AA41" s="1611"/>
      <c r="AB41" s="1611"/>
      <c r="AC41" s="1611"/>
      <c r="AD41" s="1611"/>
      <c r="AE41" s="1611"/>
      <c r="AF41" s="1611"/>
      <c r="AG41" s="1611"/>
      <c r="AH41" s="1611"/>
      <c r="AI41" s="1611"/>
      <c r="AJ41" s="1611"/>
      <c r="AK41" s="1611"/>
      <c r="AL41" s="1611"/>
      <c r="AM41" s="1611"/>
      <c r="AN41" s="1611"/>
      <c r="AO41" s="1611"/>
      <c r="AP41" s="1611"/>
      <c r="AQ41" s="1611"/>
    </row>
    <row r="42" spans="1:43" outlineLevel="2">
      <c r="A42" s="1638" t="s">
        <v>298</v>
      </c>
      <c r="B42" s="1637" t="s">
        <v>98</v>
      </c>
      <c r="C42" s="1636"/>
      <c r="D42" s="1635">
        <v>2</v>
      </c>
      <c r="E42" s="1634" t="s">
        <v>998</v>
      </c>
      <c r="F42" s="1633" t="s">
        <v>1070</v>
      </c>
      <c r="G42" s="1632">
        <v>6527.7378878655463</v>
      </c>
      <c r="H42" s="1632">
        <v>3169.49</v>
      </c>
      <c r="I42" s="1630">
        <f t="shared" ref="I42:I48" si="18">G42+H42</f>
        <v>9697.2278878655452</v>
      </c>
      <c r="J42" s="1630">
        <f t="shared" ref="J42:J48" si="19">D42*I42</f>
        <v>19394.45577573109</v>
      </c>
      <c r="K42" s="1631">
        <v>4505</v>
      </c>
      <c r="L42" s="1630">
        <f t="shared" ref="L42:L48" si="20">IF(I42&gt;K42,K42,I42)</f>
        <v>4505</v>
      </c>
      <c r="M42" s="1630">
        <f t="shared" ref="M42:M48" si="21">L42*D42</f>
        <v>9010</v>
      </c>
      <c r="N42" s="1625">
        <f t="shared" ref="N42:N48" si="22">J42-M42</f>
        <v>10384.45577573109</v>
      </c>
      <c r="O42" s="1629">
        <v>0.78500000000000003</v>
      </c>
      <c r="P42" s="1629">
        <v>0.215</v>
      </c>
      <c r="Q42" s="1625">
        <f t="shared" ref="Q42:Q48" si="23">N42*O42</f>
        <v>8151.7977839489067</v>
      </c>
      <c r="R42" s="1628">
        <f t="shared" ref="R42:R48" si="24">N42*P42</f>
        <v>2232.6579917821846</v>
      </c>
      <c r="S42" s="1627">
        <f t="shared" ref="S42:S48" si="25">(G42*D42)-Q42</f>
        <v>4903.6779917821859</v>
      </c>
      <c r="T42" s="1627">
        <f t="shared" ref="T42:T48" si="26">(H42*D42)-R42</f>
        <v>4106.322008217815</v>
      </c>
      <c r="U42" s="1626">
        <f t="shared" ref="U42:V48" si="27">S42/4</f>
        <v>1225.9194979455465</v>
      </c>
      <c r="V42" s="1626">
        <f t="shared" si="27"/>
        <v>1026.5805020544537</v>
      </c>
      <c r="W42" s="1625">
        <f t="shared" ref="W42:W48" si="28">V42+U42</f>
        <v>2252.5</v>
      </c>
      <c r="X42" s="1614"/>
      <c r="Y42" s="1613"/>
      <c r="Z42" s="1612">
        <f t="shared" ref="Z42:Z48" si="29">K42/I42</f>
        <v>0.4645657555018638</v>
      </c>
      <c r="AA42" s="1611"/>
      <c r="AB42" s="1611"/>
      <c r="AC42" s="1611"/>
      <c r="AD42" s="1611"/>
      <c r="AE42" s="1611"/>
      <c r="AF42" s="1611"/>
      <c r="AG42" s="1611"/>
      <c r="AH42" s="1611"/>
      <c r="AI42" s="1611"/>
      <c r="AJ42" s="1611"/>
      <c r="AK42" s="1611"/>
      <c r="AL42" s="1611"/>
      <c r="AM42" s="1611"/>
      <c r="AN42" s="1611"/>
      <c r="AO42" s="1611"/>
      <c r="AP42" s="1611"/>
      <c r="AQ42" s="1611"/>
    </row>
    <row r="43" spans="1:43" outlineLevel="2">
      <c r="A43" s="1638" t="s">
        <v>298</v>
      </c>
      <c r="B43" s="1637" t="s">
        <v>98</v>
      </c>
      <c r="C43" s="1636"/>
      <c r="D43" s="1635">
        <v>2</v>
      </c>
      <c r="E43" s="1634" t="s">
        <v>998</v>
      </c>
      <c r="F43" s="1633" t="s">
        <v>1069</v>
      </c>
      <c r="G43" s="1632">
        <v>6527.7378878655463</v>
      </c>
      <c r="H43" s="1632">
        <v>3169.49</v>
      </c>
      <c r="I43" s="1630">
        <f t="shared" si="18"/>
        <v>9697.2278878655452</v>
      </c>
      <c r="J43" s="1630">
        <f t="shared" si="19"/>
        <v>19394.45577573109</v>
      </c>
      <c r="K43" s="1631">
        <v>4505</v>
      </c>
      <c r="L43" s="1630">
        <f t="shared" si="20"/>
        <v>4505</v>
      </c>
      <c r="M43" s="1630">
        <f t="shared" si="21"/>
        <v>9010</v>
      </c>
      <c r="N43" s="1625">
        <f t="shared" si="22"/>
        <v>10384.45577573109</v>
      </c>
      <c r="O43" s="1629">
        <v>0.78500000000000003</v>
      </c>
      <c r="P43" s="1629">
        <v>0.215</v>
      </c>
      <c r="Q43" s="1625">
        <f t="shared" si="23"/>
        <v>8151.7977839489067</v>
      </c>
      <c r="R43" s="1628">
        <f t="shared" si="24"/>
        <v>2232.6579917821846</v>
      </c>
      <c r="S43" s="1627">
        <f t="shared" si="25"/>
        <v>4903.6779917821859</v>
      </c>
      <c r="T43" s="1627">
        <f t="shared" si="26"/>
        <v>4106.322008217815</v>
      </c>
      <c r="U43" s="1626">
        <f t="shared" si="27"/>
        <v>1225.9194979455465</v>
      </c>
      <c r="V43" s="1626">
        <f t="shared" si="27"/>
        <v>1026.5805020544537</v>
      </c>
      <c r="W43" s="1625">
        <f t="shared" si="28"/>
        <v>2252.5</v>
      </c>
      <c r="X43" s="1614"/>
      <c r="Y43" s="1613"/>
      <c r="Z43" s="1612">
        <f t="shared" si="29"/>
        <v>0.4645657555018638</v>
      </c>
      <c r="AA43" s="1611"/>
      <c r="AB43" s="1611"/>
      <c r="AC43" s="1611"/>
      <c r="AD43" s="1611"/>
      <c r="AE43" s="1611"/>
      <c r="AF43" s="1611"/>
      <c r="AG43" s="1611"/>
      <c r="AH43" s="1611"/>
      <c r="AI43" s="1611"/>
      <c r="AJ43" s="1611"/>
      <c r="AK43" s="1611"/>
      <c r="AL43" s="1611"/>
      <c r="AM43" s="1611"/>
      <c r="AN43" s="1611"/>
      <c r="AO43" s="1611"/>
      <c r="AP43" s="1611"/>
      <c r="AQ43" s="1611"/>
    </row>
    <row r="44" spans="1:43" outlineLevel="2">
      <c r="A44" s="1638" t="s">
        <v>298</v>
      </c>
      <c r="B44" s="1637" t="s">
        <v>98</v>
      </c>
      <c r="C44" s="1636"/>
      <c r="D44" s="1635">
        <v>1</v>
      </c>
      <c r="E44" s="1634" t="s">
        <v>998</v>
      </c>
      <c r="F44" s="1633" t="s">
        <v>1068</v>
      </c>
      <c r="G44" s="1632">
        <v>6527.7378878655463</v>
      </c>
      <c r="H44" s="1632">
        <v>3169.49</v>
      </c>
      <c r="I44" s="1630">
        <f t="shared" si="18"/>
        <v>9697.2278878655452</v>
      </c>
      <c r="J44" s="1630">
        <f t="shared" si="19"/>
        <v>9697.2278878655452</v>
      </c>
      <c r="K44" s="1631">
        <v>4505</v>
      </c>
      <c r="L44" s="1630">
        <f t="shared" si="20"/>
        <v>4505</v>
      </c>
      <c r="M44" s="1630">
        <f t="shared" si="21"/>
        <v>4505</v>
      </c>
      <c r="N44" s="1625">
        <f t="shared" si="22"/>
        <v>5192.2278878655452</v>
      </c>
      <c r="O44" s="1629">
        <v>0.78500000000000003</v>
      </c>
      <c r="P44" s="1629">
        <v>0.215</v>
      </c>
      <c r="Q44" s="1625">
        <f t="shared" si="23"/>
        <v>4075.8988919744534</v>
      </c>
      <c r="R44" s="1628">
        <f t="shared" si="24"/>
        <v>1116.3289958910923</v>
      </c>
      <c r="S44" s="1627">
        <f t="shared" si="25"/>
        <v>2451.838995891093</v>
      </c>
      <c r="T44" s="1627">
        <f t="shared" si="26"/>
        <v>2053.1610041089075</v>
      </c>
      <c r="U44" s="1626">
        <f t="shared" si="27"/>
        <v>612.95974897277324</v>
      </c>
      <c r="V44" s="1626">
        <f t="shared" si="27"/>
        <v>513.29025102722687</v>
      </c>
      <c r="W44" s="1625">
        <f t="shared" si="28"/>
        <v>1126.25</v>
      </c>
      <c r="X44" s="1614"/>
      <c r="Y44" s="1613"/>
      <c r="Z44" s="1612">
        <f t="shared" si="29"/>
        <v>0.4645657555018638</v>
      </c>
      <c r="AA44" s="1611"/>
      <c r="AB44" s="1611"/>
      <c r="AC44" s="1611"/>
      <c r="AD44" s="1611"/>
      <c r="AE44" s="1611"/>
      <c r="AF44" s="1611"/>
      <c r="AG44" s="1611"/>
      <c r="AH44" s="1611"/>
      <c r="AI44" s="1611"/>
      <c r="AJ44" s="1611"/>
      <c r="AK44" s="1611"/>
      <c r="AL44" s="1611"/>
      <c r="AM44" s="1611"/>
      <c r="AN44" s="1611"/>
      <c r="AO44" s="1611"/>
      <c r="AP44" s="1611"/>
      <c r="AQ44" s="1611"/>
    </row>
    <row r="45" spans="1:43" outlineLevel="2">
      <c r="A45" s="1638" t="s">
        <v>298</v>
      </c>
      <c r="B45" s="1637" t="s">
        <v>98</v>
      </c>
      <c r="C45" s="1636"/>
      <c r="D45" s="1635">
        <v>2</v>
      </c>
      <c r="E45" s="1634" t="s">
        <v>998</v>
      </c>
      <c r="F45" s="1633" t="s">
        <v>1065</v>
      </c>
      <c r="G45" s="1632">
        <v>6527.7378878655463</v>
      </c>
      <c r="H45" s="1632">
        <v>3169.49</v>
      </c>
      <c r="I45" s="1630">
        <f t="shared" si="18"/>
        <v>9697.2278878655452</v>
      </c>
      <c r="J45" s="1630">
        <f t="shared" si="19"/>
        <v>19394.45577573109</v>
      </c>
      <c r="K45" s="1631">
        <v>4505</v>
      </c>
      <c r="L45" s="1630">
        <f t="shared" si="20"/>
        <v>4505</v>
      </c>
      <c r="M45" s="1630">
        <f t="shared" si="21"/>
        <v>9010</v>
      </c>
      <c r="N45" s="1625">
        <f t="shared" si="22"/>
        <v>10384.45577573109</v>
      </c>
      <c r="O45" s="1629">
        <v>0.78500000000000003</v>
      </c>
      <c r="P45" s="1629">
        <v>0.215</v>
      </c>
      <c r="Q45" s="1625">
        <f t="shared" si="23"/>
        <v>8151.7977839489067</v>
      </c>
      <c r="R45" s="1628">
        <f t="shared" si="24"/>
        <v>2232.6579917821846</v>
      </c>
      <c r="S45" s="1627">
        <f t="shared" si="25"/>
        <v>4903.6779917821859</v>
      </c>
      <c r="T45" s="1627">
        <f t="shared" si="26"/>
        <v>4106.322008217815</v>
      </c>
      <c r="U45" s="1626">
        <f t="shared" si="27"/>
        <v>1225.9194979455465</v>
      </c>
      <c r="V45" s="1626">
        <f t="shared" si="27"/>
        <v>1026.5805020544537</v>
      </c>
      <c r="W45" s="1625">
        <f t="shared" si="28"/>
        <v>2252.5</v>
      </c>
      <c r="X45" s="1614"/>
      <c r="Y45" s="1613"/>
      <c r="Z45" s="1612">
        <f t="shared" si="29"/>
        <v>0.4645657555018638</v>
      </c>
      <c r="AA45" s="1611"/>
      <c r="AB45" s="1611"/>
      <c r="AC45" s="1611"/>
      <c r="AD45" s="1611"/>
      <c r="AE45" s="1611"/>
      <c r="AF45" s="1611"/>
      <c r="AG45" s="1611"/>
      <c r="AH45" s="1611"/>
      <c r="AI45" s="1611"/>
      <c r="AJ45" s="1611"/>
      <c r="AK45" s="1611"/>
      <c r="AL45" s="1611"/>
      <c r="AM45" s="1611"/>
      <c r="AN45" s="1611"/>
      <c r="AO45" s="1611"/>
      <c r="AP45" s="1611"/>
      <c r="AQ45" s="1611"/>
    </row>
    <row r="46" spans="1:43" outlineLevel="2">
      <c r="A46" s="1638" t="s">
        <v>298</v>
      </c>
      <c r="B46" s="1637" t="s">
        <v>98</v>
      </c>
      <c r="C46" s="1636"/>
      <c r="D46" s="1635">
        <v>1</v>
      </c>
      <c r="E46" s="1634" t="s">
        <v>998</v>
      </c>
      <c r="F46" s="1633" t="s">
        <v>1064</v>
      </c>
      <c r="G46" s="1632">
        <v>6527.7378878655463</v>
      </c>
      <c r="H46" s="1632">
        <v>3169.49</v>
      </c>
      <c r="I46" s="1630">
        <f t="shared" si="18"/>
        <v>9697.2278878655452</v>
      </c>
      <c r="J46" s="1630">
        <f t="shared" si="19"/>
        <v>9697.2278878655452</v>
      </c>
      <c r="K46" s="1631">
        <v>4505</v>
      </c>
      <c r="L46" s="1630">
        <f t="shared" si="20"/>
        <v>4505</v>
      </c>
      <c r="M46" s="1630">
        <f t="shared" si="21"/>
        <v>4505</v>
      </c>
      <c r="N46" s="1625">
        <f t="shared" si="22"/>
        <v>5192.2278878655452</v>
      </c>
      <c r="O46" s="1629">
        <v>0.78500000000000003</v>
      </c>
      <c r="P46" s="1629">
        <v>0.215</v>
      </c>
      <c r="Q46" s="1625">
        <f t="shared" si="23"/>
        <v>4075.8988919744534</v>
      </c>
      <c r="R46" s="1628">
        <f t="shared" si="24"/>
        <v>1116.3289958910923</v>
      </c>
      <c r="S46" s="1627">
        <f t="shared" si="25"/>
        <v>2451.838995891093</v>
      </c>
      <c r="T46" s="1627">
        <f t="shared" si="26"/>
        <v>2053.1610041089075</v>
      </c>
      <c r="U46" s="1626">
        <f t="shared" si="27"/>
        <v>612.95974897277324</v>
      </c>
      <c r="V46" s="1626">
        <f t="shared" si="27"/>
        <v>513.29025102722687</v>
      </c>
      <c r="W46" s="1625">
        <f t="shared" si="28"/>
        <v>1126.25</v>
      </c>
      <c r="X46" s="1614"/>
      <c r="Y46" s="1613"/>
      <c r="Z46" s="1612">
        <f t="shared" si="29"/>
        <v>0.4645657555018638</v>
      </c>
      <c r="AA46" s="1611"/>
      <c r="AB46" s="1611"/>
      <c r="AC46" s="1611"/>
      <c r="AD46" s="1611"/>
      <c r="AE46" s="1611"/>
      <c r="AF46" s="1611"/>
      <c r="AG46" s="1611"/>
      <c r="AH46" s="1611"/>
      <c r="AI46" s="1611"/>
      <c r="AJ46" s="1611"/>
      <c r="AK46" s="1611"/>
      <c r="AL46" s="1611"/>
      <c r="AM46" s="1611"/>
      <c r="AN46" s="1611"/>
      <c r="AO46" s="1611"/>
      <c r="AP46" s="1611"/>
      <c r="AQ46" s="1611"/>
    </row>
    <row r="47" spans="1:43" outlineLevel="2">
      <c r="A47" s="1638" t="s">
        <v>298</v>
      </c>
      <c r="B47" s="1637" t="s">
        <v>98</v>
      </c>
      <c r="C47" s="1636"/>
      <c r="D47" s="1635">
        <v>1</v>
      </c>
      <c r="E47" s="1634" t="s">
        <v>923</v>
      </c>
      <c r="F47" s="1633" t="s">
        <v>1067</v>
      </c>
      <c r="G47" s="1632">
        <v>6527.7378878655463</v>
      </c>
      <c r="H47" s="1632">
        <v>3169.49</v>
      </c>
      <c r="I47" s="1630">
        <f t="shared" si="18"/>
        <v>9697.2278878655452</v>
      </c>
      <c r="J47" s="1630">
        <f t="shared" si="19"/>
        <v>9697.2278878655452</v>
      </c>
      <c r="K47" s="1631">
        <v>6100</v>
      </c>
      <c r="L47" s="1630">
        <f t="shared" si="20"/>
        <v>6100</v>
      </c>
      <c r="M47" s="1630">
        <f t="shared" si="21"/>
        <v>6100</v>
      </c>
      <c r="N47" s="1625">
        <f t="shared" si="22"/>
        <v>3597.2278878655452</v>
      </c>
      <c r="O47" s="1629">
        <v>0.78500000000000003</v>
      </c>
      <c r="P47" s="1629">
        <v>0.215</v>
      </c>
      <c r="Q47" s="1625">
        <f t="shared" si="23"/>
        <v>2823.8238919744531</v>
      </c>
      <c r="R47" s="1628">
        <f t="shared" si="24"/>
        <v>773.40399589109222</v>
      </c>
      <c r="S47" s="1627">
        <f t="shared" si="25"/>
        <v>3703.9139958910932</v>
      </c>
      <c r="T47" s="1627">
        <f t="shared" si="26"/>
        <v>2396.0860041089077</v>
      </c>
      <c r="U47" s="1626">
        <f t="shared" si="27"/>
        <v>925.97849897277331</v>
      </c>
      <c r="V47" s="1626">
        <f t="shared" si="27"/>
        <v>599.02150102722692</v>
      </c>
      <c r="W47" s="1625">
        <f t="shared" si="28"/>
        <v>1525.0000000000002</v>
      </c>
      <c r="X47" s="1614"/>
      <c r="Y47" s="1613"/>
      <c r="Z47" s="1612">
        <f t="shared" si="29"/>
        <v>0.62904575106800653</v>
      </c>
      <c r="AA47" s="1611"/>
      <c r="AB47" s="1611"/>
      <c r="AC47" s="1611"/>
      <c r="AD47" s="1611"/>
      <c r="AE47" s="1611"/>
      <c r="AF47" s="1611"/>
      <c r="AG47" s="1611"/>
      <c r="AH47" s="1611"/>
      <c r="AI47" s="1611"/>
      <c r="AJ47" s="1611"/>
      <c r="AK47" s="1611"/>
      <c r="AL47" s="1611"/>
      <c r="AM47" s="1611"/>
      <c r="AN47" s="1611"/>
      <c r="AO47" s="1611"/>
      <c r="AP47" s="1611"/>
      <c r="AQ47" s="1611"/>
    </row>
    <row r="48" spans="1:43" outlineLevel="2">
      <c r="A48" s="1638" t="s">
        <v>298</v>
      </c>
      <c r="B48" s="1637" t="s">
        <v>98</v>
      </c>
      <c r="C48" s="1636"/>
      <c r="D48" s="1635">
        <v>1</v>
      </c>
      <c r="E48" s="1634" t="s">
        <v>984</v>
      </c>
      <c r="F48" s="1633" t="s">
        <v>1067</v>
      </c>
      <c r="G48" s="1632">
        <v>6527.7378878655463</v>
      </c>
      <c r="H48" s="1632">
        <v>3169.49</v>
      </c>
      <c r="I48" s="1630">
        <f t="shared" si="18"/>
        <v>9697.2278878655452</v>
      </c>
      <c r="J48" s="1630">
        <f t="shared" si="19"/>
        <v>9697.2278878655452</v>
      </c>
      <c r="K48" s="1631">
        <v>5480</v>
      </c>
      <c r="L48" s="1630">
        <f t="shared" si="20"/>
        <v>5480</v>
      </c>
      <c r="M48" s="1630">
        <f t="shared" si="21"/>
        <v>5480</v>
      </c>
      <c r="N48" s="1625">
        <f t="shared" si="22"/>
        <v>4217.2278878655452</v>
      </c>
      <c r="O48" s="1629">
        <v>0.78500000000000003</v>
      </c>
      <c r="P48" s="1629">
        <v>0.215</v>
      </c>
      <c r="Q48" s="1625">
        <f t="shared" si="23"/>
        <v>3310.5238919744529</v>
      </c>
      <c r="R48" s="1628">
        <f t="shared" si="24"/>
        <v>906.70399589109218</v>
      </c>
      <c r="S48" s="1627">
        <f t="shared" si="25"/>
        <v>3217.2139958910934</v>
      </c>
      <c r="T48" s="1627">
        <f t="shared" si="26"/>
        <v>2262.7860041089075</v>
      </c>
      <c r="U48" s="1626">
        <f t="shared" si="27"/>
        <v>804.30349897277335</v>
      </c>
      <c r="V48" s="1626">
        <f t="shared" si="27"/>
        <v>565.69650102722687</v>
      </c>
      <c r="W48" s="1625">
        <f t="shared" si="28"/>
        <v>1370.0000000000002</v>
      </c>
      <c r="X48" s="1614"/>
      <c r="Y48" s="1613"/>
      <c r="Z48" s="1612">
        <f t="shared" si="29"/>
        <v>0.56510995341847137</v>
      </c>
      <c r="AA48" s="1611"/>
      <c r="AB48" s="1611"/>
      <c r="AC48" s="1611"/>
      <c r="AD48" s="1611"/>
      <c r="AE48" s="1611"/>
      <c r="AF48" s="1611"/>
      <c r="AG48" s="1611"/>
      <c r="AH48" s="1611"/>
      <c r="AI48" s="1611"/>
      <c r="AJ48" s="1611"/>
      <c r="AK48" s="1611"/>
      <c r="AL48" s="1611"/>
      <c r="AM48" s="1611"/>
      <c r="AN48" s="1611"/>
      <c r="AO48" s="1611"/>
      <c r="AP48" s="1611"/>
      <c r="AQ48" s="1611"/>
    </row>
    <row r="49" spans="1:43" outlineLevel="1">
      <c r="A49" s="1624"/>
      <c r="B49" s="1623" t="s">
        <v>1123</v>
      </c>
      <c r="C49" s="1622"/>
      <c r="D49" s="1621">
        <f>SUBTOTAL(9,D42:D48)</f>
        <v>10</v>
      </c>
      <c r="E49" s="1620"/>
      <c r="F49" s="1639"/>
      <c r="G49" s="1639"/>
      <c r="H49" s="1639"/>
      <c r="I49" s="1616"/>
      <c r="J49" s="1616">
        <f>SUBTOTAL(9,J42:J48)</f>
        <v>96972.278878655474</v>
      </c>
      <c r="K49" s="1615"/>
      <c r="L49" s="1616"/>
      <c r="M49" s="1616">
        <f>SUBTOTAL(9,M42:M48)</f>
        <v>47620</v>
      </c>
      <c r="N49" s="1615">
        <f>SUBTOTAL(9,N42:N48)</f>
        <v>49352.278878655459</v>
      </c>
      <c r="O49" s="1616"/>
      <c r="P49" s="1616"/>
      <c r="Q49" s="1615">
        <f t="shared" ref="Q49:W49" si="30">SUBTOTAL(9,Q42:Q48)</f>
        <v>38741.538919744533</v>
      </c>
      <c r="R49" s="1615">
        <f t="shared" si="30"/>
        <v>10610.739958910923</v>
      </c>
      <c r="S49" s="1616">
        <f t="shared" si="30"/>
        <v>26535.839958910929</v>
      </c>
      <c r="T49" s="1616">
        <f t="shared" si="30"/>
        <v>21084.160041089075</v>
      </c>
      <c r="U49" s="1616">
        <f t="shared" si="30"/>
        <v>6633.9599897277321</v>
      </c>
      <c r="V49" s="1616">
        <f t="shared" si="30"/>
        <v>5271.0400102722688</v>
      </c>
      <c r="W49" s="1615">
        <f t="shared" si="30"/>
        <v>11905</v>
      </c>
      <c r="X49" s="1614"/>
      <c r="Y49" s="1613"/>
      <c r="Z49" s="1612"/>
      <c r="AA49" s="1611"/>
      <c r="AB49" s="1611"/>
      <c r="AC49" s="1611"/>
      <c r="AD49" s="1611"/>
      <c r="AE49" s="1611"/>
      <c r="AF49" s="1611"/>
      <c r="AG49" s="1611"/>
      <c r="AH49" s="1611"/>
      <c r="AI49" s="1611"/>
      <c r="AJ49" s="1611"/>
      <c r="AK49" s="1611"/>
      <c r="AL49" s="1611"/>
      <c r="AM49" s="1611"/>
      <c r="AN49" s="1611"/>
      <c r="AO49" s="1611"/>
      <c r="AP49" s="1611"/>
      <c r="AQ49" s="1611"/>
    </row>
    <row r="50" spans="1:43" outlineLevel="2">
      <c r="A50" s="1638" t="s">
        <v>299</v>
      </c>
      <c r="B50" s="1637" t="s">
        <v>100</v>
      </c>
      <c r="C50" s="1636"/>
      <c r="D50" s="1635">
        <v>0</v>
      </c>
      <c r="E50" s="1634" t="s">
        <v>929</v>
      </c>
      <c r="F50" s="1633" t="s">
        <v>1067</v>
      </c>
      <c r="G50" s="1632">
        <v>5937.1229784178058</v>
      </c>
      <c r="H50" s="1632">
        <v>3162.88</v>
      </c>
      <c r="I50" s="1630">
        <f>G50+H50</f>
        <v>9100.0029784178059</v>
      </c>
      <c r="J50" s="1630">
        <f>D50*I50</f>
        <v>0</v>
      </c>
      <c r="K50" s="1631">
        <v>4600</v>
      </c>
      <c r="L50" s="1630">
        <f>IF(I50&gt;K50,K50,I50)</f>
        <v>4600</v>
      </c>
      <c r="M50" s="1630">
        <f>L50*D50</f>
        <v>0</v>
      </c>
      <c r="N50" s="1625">
        <f>J50-M50</f>
        <v>0</v>
      </c>
      <c r="O50" s="1629">
        <v>0.76259999999999994</v>
      </c>
      <c r="P50" s="1629">
        <v>0.2374</v>
      </c>
      <c r="Q50" s="1625">
        <f>N50*O50</f>
        <v>0</v>
      </c>
      <c r="R50" s="1628">
        <f>N50*P50</f>
        <v>0</v>
      </c>
      <c r="S50" s="1627">
        <f>(G50*D50)-Q50</f>
        <v>0</v>
      </c>
      <c r="T50" s="1627">
        <f>(H50*D50)-R50</f>
        <v>0</v>
      </c>
      <c r="U50" s="1626">
        <f>S50/4</f>
        <v>0</v>
      </c>
      <c r="V50" s="1626">
        <f>T50/4</f>
        <v>0</v>
      </c>
      <c r="W50" s="1625">
        <f>V50+U50</f>
        <v>0</v>
      </c>
      <c r="X50" s="1614"/>
      <c r="Y50" s="1613"/>
      <c r="Z50" s="1612">
        <f>K50/I50</f>
        <v>0.50549434004688532</v>
      </c>
      <c r="AA50" s="1611"/>
      <c r="AB50" s="1611"/>
      <c r="AC50" s="1611"/>
      <c r="AD50" s="1611"/>
      <c r="AE50" s="1611"/>
      <c r="AF50" s="1611"/>
      <c r="AG50" s="1611"/>
      <c r="AH50" s="1611"/>
      <c r="AI50" s="1611"/>
      <c r="AJ50" s="1611"/>
      <c r="AK50" s="1611"/>
      <c r="AL50" s="1611"/>
      <c r="AM50" s="1611"/>
      <c r="AN50" s="1611"/>
      <c r="AO50" s="1611"/>
      <c r="AP50" s="1611"/>
      <c r="AQ50" s="1611"/>
    </row>
    <row r="51" spans="1:43" outlineLevel="1">
      <c r="A51" s="1624"/>
      <c r="B51" s="1623" t="s">
        <v>1122</v>
      </c>
      <c r="C51" s="1622"/>
      <c r="D51" s="1621">
        <f>SUBTOTAL(9,D50:D50)</f>
        <v>0</v>
      </c>
      <c r="E51" s="1620"/>
      <c r="F51" s="1639"/>
      <c r="G51" s="1639"/>
      <c r="H51" s="1639"/>
      <c r="I51" s="1616"/>
      <c r="J51" s="1616">
        <f>SUBTOTAL(9,J50:J50)</f>
        <v>0</v>
      </c>
      <c r="K51" s="1615"/>
      <c r="L51" s="1616"/>
      <c r="M51" s="1616">
        <f>SUBTOTAL(9,M50:M50)</f>
        <v>0</v>
      </c>
      <c r="N51" s="1615">
        <f>SUBTOTAL(9,N50:N50)</f>
        <v>0</v>
      </c>
      <c r="O51" s="1616"/>
      <c r="P51" s="1616"/>
      <c r="Q51" s="1615">
        <f t="shared" ref="Q51:W51" si="31">SUBTOTAL(9,Q50:Q50)</f>
        <v>0</v>
      </c>
      <c r="R51" s="1615">
        <f t="shared" si="31"/>
        <v>0</v>
      </c>
      <c r="S51" s="1616">
        <f t="shared" si="31"/>
        <v>0</v>
      </c>
      <c r="T51" s="1616">
        <f t="shared" si="31"/>
        <v>0</v>
      </c>
      <c r="U51" s="1616">
        <f t="shared" si="31"/>
        <v>0</v>
      </c>
      <c r="V51" s="1616">
        <f t="shared" si="31"/>
        <v>0</v>
      </c>
      <c r="W51" s="1615">
        <f t="shared" si="31"/>
        <v>0</v>
      </c>
      <c r="X51" s="1614"/>
      <c r="Y51" s="1613"/>
      <c r="Z51" s="1612"/>
      <c r="AA51" s="1611"/>
      <c r="AB51" s="1611"/>
      <c r="AC51" s="1611"/>
      <c r="AD51" s="1611"/>
      <c r="AE51" s="1611"/>
      <c r="AF51" s="1611"/>
      <c r="AG51" s="1611"/>
      <c r="AH51" s="1611"/>
      <c r="AI51" s="1611"/>
      <c r="AJ51" s="1611"/>
      <c r="AK51" s="1611"/>
      <c r="AL51" s="1611"/>
      <c r="AM51" s="1611"/>
      <c r="AN51" s="1611"/>
      <c r="AO51" s="1611"/>
      <c r="AP51" s="1611"/>
      <c r="AQ51" s="1611"/>
    </row>
    <row r="52" spans="1:43" outlineLevel="2">
      <c r="A52" s="1638" t="s">
        <v>300</v>
      </c>
      <c r="B52" s="1637" t="s">
        <v>101</v>
      </c>
      <c r="C52" s="1636"/>
      <c r="D52" s="1635">
        <v>0</v>
      </c>
      <c r="E52" s="1634" t="s">
        <v>904</v>
      </c>
      <c r="F52" s="1633" t="s">
        <v>1069</v>
      </c>
      <c r="G52" s="1632">
        <v>2494.9947705055956</v>
      </c>
      <c r="H52" s="1632">
        <v>5916.63</v>
      </c>
      <c r="I52" s="1630">
        <f t="shared" ref="I52:I57" si="32">G52+H52</f>
        <v>8411.6247705055957</v>
      </c>
      <c r="J52" s="1630">
        <f t="shared" ref="J52:J57" si="33">D52*I52</f>
        <v>0</v>
      </c>
      <c r="K52" s="1631">
        <v>6300</v>
      </c>
      <c r="L52" s="1630">
        <f t="shared" ref="L52:L57" si="34">IF(I52&gt;K52,K52,I52)</f>
        <v>6300</v>
      </c>
      <c r="M52" s="1630">
        <f t="shared" ref="M52:M57" si="35">L52*D52</f>
        <v>0</v>
      </c>
      <c r="N52" s="1625">
        <f t="shared" ref="N52:N57" si="36">J52-M52</f>
        <v>0</v>
      </c>
      <c r="O52" s="1629">
        <v>0.28570000000000001</v>
      </c>
      <c r="P52" s="1629">
        <v>0.71430000000000005</v>
      </c>
      <c r="Q52" s="1625">
        <f t="shared" ref="Q52:Q57" si="37">N52*O52</f>
        <v>0</v>
      </c>
      <c r="R52" s="1628">
        <f t="shared" ref="R52:R57" si="38">N52*P52</f>
        <v>0</v>
      </c>
      <c r="S52" s="1627">
        <f t="shared" ref="S52:S57" si="39">(G52*D52)-Q52</f>
        <v>0</v>
      </c>
      <c r="T52" s="1627">
        <f t="shared" ref="T52:T57" si="40">(H52*D52)-R52</f>
        <v>0</v>
      </c>
      <c r="U52" s="1626">
        <f t="shared" ref="U52:V57" si="41">S52/4</f>
        <v>0</v>
      </c>
      <c r="V52" s="1626">
        <f t="shared" si="41"/>
        <v>0</v>
      </c>
      <c r="W52" s="1625">
        <f t="shared" ref="W52:W57" si="42">V52+U52</f>
        <v>0</v>
      </c>
      <c r="X52" s="1614"/>
      <c r="Y52" s="1613"/>
      <c r="Z52" s="1612">
        <f t="shared" ref="Z52:Z57" si="43">K52/I52</f>
        <v>0.74896350846393345</v>
      </c>
      <c r="AA52" s="1611"/>
      <c r="AB52" s="1611"/>
      <c r="AC52" s="1611"/>
      <c r="AD52" s="1611"/>
      <c r="AE52" s="1611"/>
      <c r="AF52" s="1611"/>
      <c r="AG52" s="1611"/>
      <c r="AH52" s="1611"/>
      <c r="AI52" s="1611"/>
      <c r="AJ52" s="1611"/>
      <c r="AK52" s="1611"/>
      <c r="AL52" s="1611"/>
      <c r="AM52" s="1611"/>
      <c r="AN52" s="1611"/>
      <c r="AO52" s="1611"/>
      <c r="AP52" s="1611"/>
      <c r="AQ52" s="1611"/>
    </row>
    <row r="53" spans="1:43" outlineLevel="2">
      <c r="A53" s="1638" t="s">
        <v>300</v>
      </c>
      <c r="B53" s="1637" t="s">
        <v>101</v>
      </c>
      <c r="C53" s="1636"/>
      <c r="D53" s="1635">
        <v>1</v>
      </c>
      <c r="E53" s="1634" t="s">
        <v>904</v>
      </c>
      <c r="F53" s="1633" t="s">
        <v>1068</v>
      </c>
      <c r="G53" s="1632">
        <v>2494.9947705055956</v>
      </c>
      <c r="H53" s="1632">
        <v>5916.63</v>
      </c>
      <c r="I53" s="1630">
        <f t="shared" si="32"/>
        <v>8411.6247705055957</v>
      </c>
      <c r="J53" s="1630">
        <f t="shared" si="33"/>
        <v>8411.6247705055957</v>
      </c>
      <c r="K53" s="1631">
        <v>6300</v>
      </c>
      <c r="L53" s="1630">
        <f t="shared" si="34"/>
        <v>6300</v>
      </c>
      <c r="M53" s="1630">
        <f t="shared" si="35"/>
        <v>6300</v>
      </c>
      <c r="N53" s="1625">
        <f t="shared" si="36"/>
        <v>2111.6247705055957</v>
      </c>
      <c r="O53" s="1629">
        <v>0.28570000000000001</v>
      </c>
      <c r="P53" s="1629">
        <v>0.71430000000000005</v>
      </c>
      <c r="Q53" s="1625">
        <f t="shared" si="37"/>
        <v>603.29119693344876</v>
      </c>
      <c r="R53" s="1628">
        <f t="shared" si="38"/>
        <v>1508.3335735721471</v>
      </c>
      <c r="S53" s="1627">
        <f t="shared" si="39"/>
        <v>1891.703573572147</v>
      </c>
      <c r="T53" s="1627">
        <f t="shared" si="40"/>
        <v>4408.2964264278526</v>
      </c>
      <c r="U53" s="1626">
        <f t="shared" si="41"/>
        <v>472.92589339303674</v>
      </c>
      <c r="V53" s="1626">
        <f t="shared" si="41"/>
        <v>1102.0741066069631</v>
      </c>
      <c r="W53" s="1625">
        <f t="shared" si="42"/>
        <v>1575</v>
      </c>
      <c r="X53" s="1614"/>
      <c r="Y53" s="1613"/>
      <c r="Z53" s="1612">
        <f t="shared" si="43"/>
        <v>0.74896350846393345</v>
      </c>
      <c r="AA53" s="1611"/>
      <c r="AB53" s="1611"/>
      <c r="AC53" s="1611"/>
      <c r="AD53" s="1611"/>
      <c r="AE53" s="1611"/>
      <c r="AF53" s="1611"/>
      <c r="AG53" s="1611"/>
      <c r="AH53" s="1611"/>
      <c r="AI53" s="1611"/>
      <c r="AJ53" s="1611"/>
      <c r="AK53" s="1611"/>
      <c r="AL53" s="1611"/>
      <c r="AM53" s="1611"/>
      <c r="AN53" s="1611"/>
      <c r="AO53" s="1611"/>
      <c r="AP53" s="1611"/>
      <c r="AQ53" s="1611"/>
    </row>
    <row r="54" spans="1:43" outlineLevel="2">
      <c r="A54" s="1638" t="s">
        <v>300</v>
      </c>
      <c r="B54" s="1637" t="s">
        <v>101</v>
      </c>
      <c r="C54" s="1636"/>
      <c r="D54" s="1635">
        <v>2</v>
      </c>
      <c r="E54" s="1634" t="s">
        <v>904</v>
      </c>
      <c r="F54" s="1633" t="s">
        <v>1065</v>
      </c>
      <c r="G54" s="1632">
        <v>2494.9947705055956</v>
      </c>
      <c r="H54" s="1632">
        <v>5916.63</v>
      </c>
      <c r="I54" s="1630">
        <f t="shared" si="32"/>
        <v>8411.6247705055957</v>
      </c>
      <c r="J54" s="1630">
        <f t="shared" si="33"/>
        <v>16823.249541011191</v>
      </c>
      <c r="K54" s="1631">
        <v>6300</v>
      </c>
      <c r="L54" s="1630">
        <f t="shared" si="34"/>
        <v>6300</v>
      </c>
      <c r="M54" s="1630">
        <f t="shared" si="35"/>
        <v>12600</v>
      </c>
      <c r="N54" s="1625">
        <f t="shared" si="36"/>
        <v>4223.2495410111915</v>
      </c>
      <c r="O54" s="1629">
        <v>0.28570000000000001</v>
      </c>
      <c r="P54" s="1629">
        <v>0.71430000000000005</v>
      </c>
      <c r="Q54" s="1625">
        <f t="shared" si="37"/>
        <v>1206.5823938668975</v>
      </c>
      <c r="R54" s="1628">
        <f t="shared" si="38"/>
        <v>3016.6671471442942</v>
      </c>
      <c r="S54" s="1627">
        <f t="shared" si="39"/>
        <v>3783.407147144294</v>
      </c>
      <c r="T54" s="1627">
        <f t="shared" si="40"/>
        <v>8816.5928528557051</v>
      </c>
      <c r="U54" s="1626">
        <f t="shared" si="41"/>
        <v>945.85178678607349</v>
      </c>
      <c r="V54" s="1626">
        <f t="shared" si="41"/>
        <v>2204.1482132139263</v>
      </c>
      <c r="W54" s="1625">
        <f t="shared" si="42"/>
        <v>3150</v>
      </c>
      <c r="X54" s="1614"/>
      <c r="Y54" s="1613"/>
      <c r="Z54" s="1612">
        <f t="shared" si="43"/>
        <v>0.74896350846393345</v>
      </c>
      <c r="AA54" s="1611"/>
      <c r="AB54" s="1611"/>
      <c r="AC54" s="1611"/>
      <c r="AD54" s="1611"/>
      <c r="AE54" s="1611"/>
      <c r="AF54" s="1611"/>
      <c r="AG54" s="1611"/>
      <c r="AH54" s="1611"/>
      <c r="AI54" s="1611"/>
      <c r="AJ54" s="1611"/>
      <c r="AK54" s="1611"/>
      <c r="AL54" s="1611"/>
      <c r="AM54" s="1611"/>
      <c r="AN54" s="1611"/>
      <c r="AO54" s="1611"/>
      <c r="AP54" s="1611"/>
      <c r="AQ54" s="1611"/>
    </row>
    <row r="55" spans="1:43" outlineLevel="2">
      <c r="A55" s="1638" t="s">
        <v>300</v>
      </c>
      <c r="B55" s="1637" t="s">
        <v>101</v>
      </c>
      <c r="C55" s="1636"/>
      <c r="D55" s="1635">
        <v>2</v>
      </c>
      <c r="E55" s="1634" t="s">
        <v>904</v>
      </c>
      <c r="F55" s="1633" t="s">
        <v>1064</v>
      </c>
      <c r="G55" s="1632">
        <v>2494.9947705055956</v>
      </c>
      <c r="H55" s="1632">
        <v>5916.63</v>
      </c>
      <c r="I55" s="1630">
        <f t="shared" si="32"/>
        <v>8411.6247705055957</v>
      </c>
      <c r="J55" s="1630">
        <f t="shared" si="33"/>
        <v>16823.249541011191</v>
      </c>
      <c r="K55" s="1631">
        <v>6300</v>
      </c>
      <c r="L55" s="1630">
        <f t="shared" si="34"/>
        <v>6300</v>
      </c>
      <c r="M55" s="1630">
        <f t="shared" si="35"/>
        <v>12600</v>
      </c>
      <c r="N55" s="1625">
        <f t="shared" si="36"/>
        <v>4223.2495410111915</v>
      </c>
      <c r="O55" s="1629">
        <v>0.28570000000000001</v>
      </c>
      <c r="P55" s="1629">
        <v>0.71430000000000005</v>
      </c>
      <c r="Q55" s="1625">
        <f t="shared" si="37"/>
        <v>1206.5823938668975</v>
      </c>
      <c r="R55" s="1628">
        <f t="shared" si="38"/>
        <v>3016.6671471442942</v>
      </c>
      <c r="S55" s="1627">
        <f t="shared" si="39"/>
        <v>3783.407147144294</v>
      </c>
      <c r="T55" s="1627">
        <f t="shared" si="40"/>
        <v>8816.5928528557051</v>
      </c>
      <c r="U55" s="1626">
        <f t="shared" si="41"/>
        <v>945.85178678607349</v>
      </c>
      <c r="V55" s="1626">
        <f t="shared" si="41"/>
        <v>2204.1482132139263</v>
      </c>
      <c r="W55" s="1625">
        <f t="shared" si="42"/>
        <v>3150</v>
      </c>
      <c r="X55" s="1614"/>
      <c r="Y55" s="1613"/>
      <c r="Z55" s="1612">
        <f t="shared" si="43"/>
        <v>0.74896350846393345</v>
      </c>
      <c r="AA55" s="1611"/>
      <c r="AB55" s="1611"/>
      <c r="AC55" s="1611"/>
      <c r="AD55" s="1611"/>
      <c r="AE55" s="1611"/>
      <c r="AF55" s="1611"/>
      <c r="AG55" s="1611"/>
      <c r="AH55" s="1611"/>
      <c r="AI55" s="1611"/>
      <c r="AJ55" s="1611"/>
      <c r="AK55" s="1611"/>
      <c r="AL55" s="1611"/>
      <c r="AM55" s="1611"/>
      <c r="AN55" s="1611"/>
      <c r="AO55" s="1611"/>
      <c r="AP55" s="1611"/>
      <c r="AQ55" s="1611"/>
    </row>
    <row r="56" spans="1:43" outlineLevel="2">
      <c r="A56" s="1638" t="s">
        <v>300</v>
      </c>
      <c r="B56" s="1637" t="s">
        <v>101</v>
      </c>
      <c r="C56" s="1636"/>
      <c r="D56" s="1635">
        <v>1</v>
      </c>
      <c r="E56" s="1634" t="s">
        <v>904</v>
      </c>
      <c r="F56" s="1633" t="s">
        <v>979</v>
      </c>
      <c r="G56" s="1632">
        <v>2494.9947705055956</v>
      </c>
      <c r="H56" s="1632">
        <v>5916.63</v>
      </c>
      <c r="I56" s="1630">
        <f t="shared" si="32"/>
        <v>8411.6247705055957</v>
      </c>
      <c r="J56" s="1630">
        <f t="shared" si="33"/>
        <v>8411.6247705055957</v>
      </c>
      <c r="K56" s="1631">
        <v>6300</v>
      </c>
      <c r="L56" s="1630">
        <f t="shared" si="34"/>
        <v>6300</v>
      </c>
      <c r="M56" s="1630">
        <f t="shared" si="35"/>
        <v>6300</v>
      </c>
      <c r="N56" s="1625">
        <f t="shared" si="36"/>
        <v>2111.6247705055957</v>
      </c>
      <c r="O56" s="1629">
        <v>0.28570000000000001</v>
      </c>
      <c r="P56" s="1629">
        <v>0.71430000000000005</v>
      </c>
      <c r="Q56" s="1625">
        <f t="shared" si="37"/>
        <v>603.29119693344876</v>
      </c>
      <c r="R56" s="1628">
        <f t="shared" si="38"/>
        <v>1508.3335735721471</v>
      </c>
      <c r="S56" s="1627">
        <f t="shared" si="39"/>
        <v>1891.703573572147</v>
      </c>
      <c r="T56" s="1627">
        <f t="shared" si="40"/>
        <v>4408.2964264278526</v>
      </c>
      <c r="U56" s="1626">
        <f t="shared" si="41"/>
        <v>472.92589339303674</v>
      </c>
      <c r="V56" s="1626">
        <f t="shared" si="41"/>
        <v>1102.0741066069631</v>
      </c>
      <c r="W56" s="1625">
        <f t="shared" si="42"/>
        <v>1575</v>
      </c>
      <c r="X56" s="1614"/>
      <c r="Y56" s="1613"/>
      <c r="Z56" s="1612">
        <f t="shared" si="43"/>
        <v>0.74896350846393345</v>
      </c>
      <c r="AA56" s="1611"/>
      <c r="AB56" s="1611"/>
      <c r="AC56" s="1611"/>
      <c r="AD56" s="1611"/>
      <c r="AE56" s="1611"/>
      <c r="AF56" s="1611"/>
      <c r="AG56" s="1611"/>
      <c r="AH56" s="1611"/>
      <c r="AI56" s="1611"/>
      <c r="AJ56" s="1611"/>
      <c r="AK56" s="1611"/>
      <c r="AL56" s="1611"/>
      <c r="AM56" s="1611"/>
      <c r="AN56" s="1611"/>
      <c r="AO56" s="1611"/>
      <c r="AP56" s="1611"/>
      <c r="AQ56" s="1611"/>
    </row>
    <row r="57" spans="1:43" outlineLevel="2">
      <c r="A57" s="1638" t="s">
        <v>300</v>
      </c>
      <c r="B57" s="1637" t="s">
        <v>101</v>
      </c>
      <c r="C57" s="1636"/>
      <c r="D57" s="1635">
        <v>1</v>
      </c>
      <c r="E57" s="1634" t="s">
        <v>996</v>
      </c>
      <c r="F57" s="1633" t="s">
        <v>1067</v>
      </c>
      <c r="G57" s="1632">
        <v>2494.9947705055956</v>
      </c>
      <c r="H57" s="1632">
        <v>5916.63</v>
      </c>
      <c r="I57" s="1630">
        <f t="shared" si="32"/>
        <v>8411.6247705055957</v>
      </c>
      <c r="J57" s="1630">
        <f t="shared" si="33"/>
        <v>8411.6247705055957</v>
      </c>
      <c r="K57" s="1631">
        <v>5750</v>
      </c>
      <c r="L57" s="1630">
        <f t="shared" si="34"/>
        <v>5750</v>
      </c>
      <c r="M57" s="1630">
        <f t="shared" si="35"/>
        <v>5750</v>
      </c>
      <c r="N57" s="1625">
        <f t="shared" si="36"/>
        <v>2661.6247705055957</v>
      </c>
      <c r="O57" s="1629">
        <v>0.28570000000000001</v>
      </c>
      <c r="P57" s="1629">
        <v>0.71430000000000005</v>
      </c>
      <c r="Q57" s="1625">
        <f t="shared" si="37"/>
        <v>760.42619693344875</v>
      </c>
      <c r="R57" s="1628">
        <f t="shared" si="38"/>
        <v>1901.1985735721471</v>
      </c>
      <c r="S57" s="1627">
        <f t="shared" si="39"/>
        <v>1734.5685735721468</v>
      </c>
      <c r="T57" s="1627">
        <f t="shared" si="40"/>
        <v>4015.4314264278528</v>
      </c>
      <c r="U57" s="1626">
        <f t="shared" si="41"/>
        <v>433.64214339303669</v>
      </c>
      <c r="V57" s="1626">
        <f t="shared" si="41"/>
        <v>1003.8578566069632</v>
      </c>
      <c r="W57" s="1625">
        <f t="shared" si="42"/>
        <v>1437.5</v>
      </c>
      <c r="X57" s="1614"/>
      <c r="Y57" s="1613"/>
      <c r="Z57" s="1612">
        <f t="shared" si="43"/>
        <v>0.6835778053440662</v>
      </c>
      <c r="AA57" s="1611"/>
      <c r="AB57" s="1611"/>
      <c r="AC57" s="1611"/>
      <c r="AD57" s="1611"/>
      <c r="AE57" s="1611"/>
      <c r="AF57" s="1611"/>
      <c r="AG57" s="1611"/>
      <c r="AH57" s="1611"/>
      <c r="AI57" s="1611"/>
      <c r="AJ57" s="1611"/>
      <c r="AK57" s="1611"/>
      <c r="AL57" s="1611"/>
      <c r="AM57" s="1611"/>
      <c r="AN57" s="1611"/>
      <c r="AO57" s="1611"/>
      <c r="AP57" s="1611"/>
      <c r="AQ57" s="1611"/>
    </row>
    <row r="58" spans="1:43" outlineLevel="1">
      <c r="A58" s="1624"/>
      <c r="B58" s="1623" t="s">
        <v>1121</v>
      </c>
      <c r="C58" s="1622"/>
      <c r="D58" s="1621">
        <f>SUBTOTAL(9,D52:D57)</f>
        <v>7</v>
      </c>
      <c r="E58" s="1620"/>
      <c r="F58" s="1639"/>
      <c r="G58" s="1639"/>
      <c r="H58" s="1639"/>
      <c r="I58" s="1639"/>
      <c r="J58" s="1616">
        <f>SUBTOTAL(9,J52:J57)</f>
        <v>58881.373393539165</v>
      </c>
      <c r="K58" s="1615"/>
      <c r="L58" s="1616"/>
      <c r="M58" s="1616">
        <f>SUBTOTAL(9,M52:M57)</f>
        <v>43550</v>
      </c>
      <c r="N58" s="1615">
        <f>SUBTOTAL(9,N52:N57)</f>
        <v>15331.37339353917</v>
      </c>
      <c r="O58" s="1616"/>
      <c r="P58" s="1616"/>
      <c r="Q58" s="1615">
        <f t="shared" ref="Q58:W58" si="44">SUBTOTAL(9,Q52:Q57)</f>
        <v>4380.1733785341412</v>
      </c>
      <c r="R58" s="1615">
        <f t="shared" si="44"/>
        <v>10951.20001500503</v>
      </c>
      <c r="S58" s="1616">
        <f t="shared" si="44"/>
        <v>13084.790015005028</v>
      </c>
      <c r="T58" s="1616">
        <f t="shared" si="44"/>
        <v>30465.209984994966</v>
      </c>
      <c r="U58" s="1616">
        <f t="shared" si="44"/>
        <v>3271.197503751257</v>
      </c>
      <c r="V58" s="1616">
        <f t="shared" si="44"/>
        <v>7616.3024962487416</v>
      </c>
      <c r="W58" s="1615">
        <f t="shared" si="44"/>
        <v>10887.5</v>
      </c>
      <c r="X58" s="1614"/>
      <c r="Y58" s="1613"/>
      <c r="Z58" s="1612"/>
      <c r="AA58" s="1611"/>
      <c r="AB58" s="1611"/>
      <c r="AC58" s="1611"/>
      <c r="AD58" s="1611"/>
      <c r="AE58" s="1611"/>
      <c r="AF58" s="1611"/>
      <c r="AG58" s="1611"/>
      <c r="AH58" s="1611"/>
      <c r="AI58" s="1611"/>
      <c r="AJ58" s="1611"/>
      <c r="AK58" s="1611"/>
      <c r="AL58" s="1611"/>
      <c r="AM58" s="1611"/>
      <c r="AN58" s="1611"/>
      <c r="AO58" s="1611"/>
      <c r="AP58" s="1611"/>
      <c r="AQ58" s="1611"/>
    </row>
    <row r="59" spans="1:43" outlineLevel="2">
      <c r="A59" s="1638" t="s">
        <v>301</v>
      </c>
      <c r="B59" s="1637" t="s">
        <v>102</v>
      </c>
      <c r="C59" s="1636"/>
      <c r="D59" s="1635">
        <v>1</v>
      </c>
      <c r="E59" s="1634" t="s">
        <v>912</v>
      </c>
      <c r="F59" s="1633" t="s">
        <v>1069</v>
      </c>
      <c r="G59" s="1632">
        <v>4893.3676065607178</v>
      </c>
      <c r="H59" s="1632">
        <v>3450.34</v>
      </c>
      <c r="I59" s="1630">
        <f>G59+H59</f>
        <v>8343.707606560718</v>
      </c>
      <c r="J59" s="1630">
        <f>D59*I59</f>
        <v>8343.707606560718</v>
      </c>
      <c r="K59" s="1631">
        <v>6350</v>
      </c>
      <c r="L59" s="1630">
        <f>IF(I59&gt;K59,K59,I59)</f>
        <v>6350</v>
      </c>
      <c r="M59" s="1630">
        <f>L59*D59</f>
        <v>6350</v>
      </c>
      <c r="N59" s="1625">
        <f>J59-M59</f>
        <v>1993.707606560718</v>
      </c>
      <c r="O59" s="1629">
        <v>0.66210000000000002</v>
      </c>
      <c r="P59" s="1629">
        <v>0.33789999999999998</v>
      </c>
      <c r="Q59" s="1625">
        <f>N59*O59</f>
        <v>1320.0338063038514</v>
      </c>
      <c r="R59" s="1628">
        <f>N59*P59</f>
        <v>673.67380025686657</v>
      </c>
      <c r="S59" s="1627">
        <f>(G59*D59)-Q59</f>
        <v>3573.3338002568662</v>
      </c>
      <c r="T59" s="1627">
        <f>(H59*D59)-R59</f>
        <v>2776.6661997431338</v>
      </c>
      <c r="U59" s="1626">
        <f>S59/4</f>
        <v>893.33345006421655</v>
      </c>
      <c r="V59" s="1626">
        <f>T59/4</f>
        <v>694.16654993578345</v>
      </c>
      <c r="W59" s="1625">
        <f>V59+U59</f>
        <v>1587.5</v>
      </c>
      <c r="X59" s="1614"/>
      <c r="Y59" s="1613"/>
      <c r="Z59" s="1612">
        <f>K59/I59</f>
        <v>0.76105255594131183</v>
      </c>
      <c r="AA59" s="1611"/>
      <c r="AB59" s="1611"/>
      <c r="AC59" s="1611"/>
      <c r="AD59" s="1611"/>
      <c r="AE59" s="1611"/>
      <c r="AF59" s="1611"/>
      <c r="AG59" s="1611"/>
      <c r="AH59" s="1611"/>
      <c r="AI59" s="1611"/>
      <c r="AJ59" s="1611"/>
      <c r="AK59" s="1611"/>
      <c r="AL59" s="1611"/>
      <c r="AM59" s="1611"/>
      <c r="AN59" s="1611"/>
      <c r="AO59" s="1611"/>
      <c r="AP59" s="1611"/>
      <c r="AQ59" s="1611"/>
    </row>
    <row r="60" spans="1:43" outlineLevel="2">
      <c r="A60" s="1638" t="s">
        <v>301</v>
      </c>
      <c r="B60" s="1637" t="s">
        <v>102</v>
      </c>
      <c r="C60" s="1636"/>
      <c r="D60" s="1635">
        <v>1</v>
      </c>
      <c r="E60" s="1634" t="s">
        <v>996</v>
      </c>
      <c r="F60" s="1633" t="s">
        <v>979</v>
      </c>
      <c r="G60" s="1632">
        <v>4893.3676065607178</v>
      </c>
      <c r="H60" s="1632">
        <v>3450.34</v>
      </c>
      <c r="I60" s="1630">
        <f>G60+H60</f>
        <v>8343.707606560718</v>
      </c>
      <c r="J60" s="1630">
        <f>D60*I60</f>
        <v>8343.707606560718</v>
      </c>
      <c r="K60" s="1631">
        <v>4950</v>
      </c>
      <c r="L60" s="1630">
        <f>IF(I60&gt;K60,K60,I60)</f>
        <v>4950</v>
      </c>
      <c r="M60" s="1630">
        <f>L60*D60</f>
        <v>4950</v>
      </c>
      <c r="N60" s="1625">
        <f>J60-M60</f>
        <v>3393.707606560718</v>
      </c>
      <c r="O60" s="1629">
        <v>0.66210000000000002</v>
      </c>
      <c r="P60" s="1629">
        <v>0.33789999999999998</v>
      </c>
      <c r="Q60" s="1625">
        <f>N60*O60</f>
        <v>2246.9738063038512</v>
      </c>
      <c r="R60" s="1628">
        <f>N60*P60</f>
        <v>1146.7338002568665</v>
      </c>
      <c r="S60" s="1627">
        <f>(G60*D60)-Q60</f>
        <v>2646.3938002568666</v>
      </c>
      <c r="T60" s="1627">
        <f>(H60*D60)-R60</f>
        <v>2303.6061997431334</v>
      </c>
      <c r="U60" s="1626">
        <f>S60/4</f>
        <v>661.59845006421665</v>
      </c>
      <c r="V60" s="1626">
        <f>T60/4</f>
        <v>575.90154993578335</v>
      </c>
      <c r="W60" s="1625">
        <f>V60+U60</f>
        <v>1237.5</v>
      </c>
      <c r="X60" s="1614"/>
      <c r="Y60" s="1613"/>
      <c r="Z60" s="1612">
        <f>K60/I60</f>
        <v>0.59326144124558955</v>
      </c>
      <c r="AA60" s="1611"/>
      <c r="AB60" s="1611"/>
      <c r="AC60" s="1611"/>
      <c r="AD60" s="1611"/>
      <c r="AE60" s="1611"/>
      <c r="AF60" s="1611"/>
      <c r="AG60" s="1611"/>
      <c r="AH60" s="1611"/>
      <c r="AI60" s="1611"/>
      <c r="AJ60" s="1611"/>
      <c r="AK60" s="1611"/>
      <c r="AL60" s="1611"/>
      <c r="AM60" s="1611"/>
      <c r="AN60" s="1611"/>
      <c r="AO60" s="1611"/>
      <c r="AP60" s="1611"/>
      <c r="AQ60" s="1611"/>
    </row>
    <row r="61" spans="1:43" outlineLevel="1">
      <c r="A61" s="1624"/>
      <c r="B61" s="1623" t="s">
        <v>1120</v>
      </c>
      <c r="C61" s="1622"/>
      <c r="D61" s="1621">
        <f>SUBTOTAL(9,D59:D60)</f>
        <v>2</v>
      </c>
      <c r="E61" s="1620"/>
      <c r="F61" s="1639"/>
      <c r="G61" s="1639"/>
      <c r="H61" s="1639"/>
      <c r="I61" s="1616"/>
      <c r="J61" s="1616">
        <f>SUBTOTAL(9,J59:J60)</f>
        <v>16687.415213121436</v>
      </c>
      <c r="K61" s="1615"/>
      <c r="L61" s="1616"/>
      <c r="M61" s="1616">
        <f>SUBTOTAL(9,M59:M60)</f>
        <v>11300</v>
      </c>
      <c r="N61" s="1615">
        <f>SUBTOTAL(9,N59:N60)</f>
        <v>5387.415213121436</v>
      </c>
      <c r="O61" s="1616"/>
      <c r="P61" s="1616"/>
      <c r="Q61" s="1615">
        <f t="shared" ref="Q61:W61" si="45">SUBTOTAL(9,Q59:Q60)</f>
        <v>3567.0076126077029</v>
      </c>
      <c r="R61" s="1615">
        <f t="shared" si="45"/>
        <v>1820.4076005137331</v>
      </c>
      <c r="S61" s="1616">
        <f t="shared" si="45"/>
        <v>6219.7276005137328</v>
      </c>
      <c r="T61" s="1616">
        <f t="shared" si="45"/>
        <v>5080.2723994862672</v>
      </c>
      <c r="U61" s="1616">
        <f t="shared" si="45"/>
        <v>1554.9319001284332</v>
      </c>
      <c r="V61" s="1616">
        <f t="shared" si="45"/>
        <v>1270.0680998715668</v>
      </c>
      <c r="W61" s="1615">
        <f t="shared" si="45"/>
        <v>2825</v>
      </c>
      <c r="X61" s="1614"/>
      <c r="Y61" s="1613"/>
      <c r="Z61" s="1612"/>
      <c r="AA61" s="1611"/>
      <c r="AB61" s="1611"/>
      <c r="AC61" s="1611"/>
      <c r="AD61" s="1611"/>
      <c r="AE61" s="1611"/>
      <c r="AF61" s="1611"/>
      <c r="AG61" s="1611"/>
      <c r="AH61" s="1611"/>
      <c r="AI61" s="1611"/>
      <c r="AJ61" s="1611"/>
      <c r="AK61" s="1611"/>
      <c r="AL61" s="1611"/>
      <c r="AM61" s="1611"/>
      <c r="AN61" s="1611"/>
      <c r="AO61" s="1611"/>
      <c r="AP61" s="1611"/>
      <c r="AQ61" s="1611"/>
    </row>
    <row r="62" spans="1:43" outlineLevel="2">
      <c r="A62" s="1638" t="s">
        <v>302</v>
      </c>
      <c r="B62" s="1637" t="s">
        <v>103</v>
      </c>
      <c r="C62" s="1636"/>
      <c r="D62" s="1635">
        <v>1</v>
      </c>
      <c r="E62" s="1634" t="s">
        <v>894</v>
      </c>
      <c r="F62" s="1633" t="s">
        <v>1064</v>
      </c>
      <c r="G62" s="1632">
        <v>5125.5141795108384</v>
      </c>
      <c r="H62" s="1632">
        <v>3440.45</v>
      </c>
      <c r="I62" s="1630">
        <f t="shared" ref="I62:I78" si="46">G62+H62</f>
        <v>8565.9641795108382</v>
      </c>
      <c r="J62" s="1630">
        <f t="shared" ref="J62:J78" si="47">D62*I62</f>
        <v>8565.9641795108382</v>
      </c>
      <c r="K62" s="1631">
        <v>4550</v>
      </c>
      <c r="L62" s="1630">
        <f t="shared" ref="L62:L78" si="48">IF(I62&gt;K62,K62,I62)</f>
        <v>4550</v>
      </c>
      <c r="M62" s="1630">
        <f t="shared" ref="M62:M78" si="49">L62*D62</f>
        <v>4550</v>
      </c>
      <c r="N62" s="1625">
        <f t="shared" ref="N62:N78" si="50">J62-M62</f>
        <v>4015.9641795108382</v>
      </c>
      <c r="O62" s="1629">
        <v>0.67300000000000004</v>
      </c>
      <c r="P62" s="1629">
        <v>0.32700000000000001</v>
      </c>
      <c r="Q62" s="1625">
        <f t="shared" ref="Q62:Q78" si="51">N62*O62</f>
        <v>2702.7438928107945</v>
      </c>
      <c r="R62" s="1628">
        <f t="shared" ref="R62:R78" si="52">N62*P62</f>
        <v>1313.2202867000442</v>
      </c>
      <c r="S62" s="1627">
        <f t="shared" ref="S62:S78" si="53">(G62*D62)-Q62</f>
        <v>2422.7702867000439</v>
      </c>
      <c r="T62" s="1627">
        <f t="shared" ref="T62:T78" si="54">(H62*D62)-R62</f>
        <v>2127.2297132999556</v>
      </c>
      <c r="U62" s="1626">
        <f t="shared" ref="U62:U78" si="55">S62/4</f>
        <v>605.69257167501098</v>
      </c>
      <c r="V62" s="1626">
        <f t="shared" ref="V62:V78" si="56">T62/4</f>
        <v>531.8074283249889</v>
      </c>
      <c r="W62" s="1625">
        <f t="shared" ref="W62:W78" si="57">V62+U62</f>
        <v>1137.5</v>
      </c>
      <c r="X62" s="1614"/>
      <c r="Y62" s="1613"/>
      <c r="Z62" s="1612">
        <f t="shared" ref="Z62:Z78" si="58">K62/I62</f>
        <v>0.53117196204056849</v>
      </c>
      <c r="AA62" s="1611"/>
      <c r="AB62" s="1611"/>
      <c r="AC62" s="1611"/>
      <c r="AD62" s="1611"/>
      <c r="AE62" s="1611"/>
      <c r="AF62" s="1611"/>
      <c r="AG62" s="1611"/>
      <c r="AH62" s="1611"/>
      <c r="AI62" s="1611"/>
      <c r="AJ62" s="1611"/>
      <c r="AK62" s="1611"/>
      <c r="AL62" s="1611"/>
      <c r="AM62" s="1611"/>
      <c r="AN62" s="1611"/>
      <c r="AO62" s="1611"/>
      <c r="AP62" s="1611"/>
      <c r="AQ62" s="1611"/>
    </row>
    <row r="63" spans="1:43" outlineLevel="2">
      <c r="A63" s="1638" t="s">
        <v>302</v>
      </c>
      <c r="B63" s="1637" t="s">
        <v>103</v>
      </c>
      <c r="C63" s="1636"/>
      <c r="D63" s="1635">
        <v>3</v>
      </c>
      <c r="E63" s="1634" t="s">
        <v>912</v>
      </c>
      <c r="F63" s="1633" t="s">
        <v>1070</v>
      </c>
      <c r="G63" s="1632">
        <v>5125.5141795108384</v>
      </c>
      <c r="H63" s="1632">
        <v>3440.45</v>
      </c>
      <c r="I63" s="1630">
        <f t="shared" si="46"/>
        <v>8565.9641795108382</v>
      </c>
      <c r="J63" s="1630">
        <f t="shared" si="47"/>
        <v>25697.892538532513</v>
      </c>
      <c r="K63" s="1631">
        <v>6350</v>
      </c>
      <c r="L63" s="1630">
        <f t="shared" si="48"/>
        <v>6350</v>
      </c>
      <c r="M63" s="1630">
        <f t="shared" si="49"/>
        <v>19050</v>
      </c>
      <c r="N63" s="1625">
        <f t="shared" si="50"/>
        <v>6647.8925385325128</v>
      </c>
      <c r="O63" s="1629">
        <v>0.67300000000000004</v>
      </c>
      <c r="P63" s="1629">
        <v>0.32700000000000001</v>
      </c>
      <c r="Q63" s="1625">
        <f t="shared" si="51"/>
        <v>4474.0316784323813</v>
      </c>
      <c r="R63" s="1628">
        <f t="shared" si="52"/>
        <v>2173.860860100132</v>
      </c>
      <c r="S63" s="1627">
        <f t="shared" si="53"/>
        <v>10902.510860100134</v>
      </c>
      <c r="T63" s="1627">
        <f t="shared" si="54"/>
        <v>8147.4891398998661</v>
      </c>
      <c r="U63" s="1626">
        <f t="shared" si="55"/>
        <v>2725.6277150250335</v>
      </c>
      <c r="V63" s="1626">
        <f t="shared" si="56"/>
        <v>2036.8722849749665</v>
      </c>
      <c r="W63" s="1625">
        <f t="shared" si="57"/>
        <v>4762.5</v>
      </c>
      <c r="X63" s="1614"/>
      <c r="Y63" s="1613"/>
      <c r="Z63" s="1612">
        <f t="shared" si="58"/>
        <v>0.74130592504562853</v>
      </c>
      <c r="AA63" s="1611"/>
      <c r="AB63" s="1611"/>
      <c r="AC63" s="1611"/>
      <c r="AD63" s="1611"/>
      <c r="AE63" s="1611"/>
      <c r="AF63" s="1611"/>
      <c r="AG63" s="1611"/>
      <c r="AH63" s="1611"/>
      <c r="AI63" s="1611"/>
      <c r="AJ63" s="1611"/>
      <c r="AK63" s="1611"/>
      <c r="AL63" s="1611"/>
      <c r="AM63" s="1611"/>
      <c r="AN63" s="1611"/>
      <c r="AO63" s="1611"/>
      <c r="AP63" s="1611"/>
      <c r="AQ63" s="1611"/>
    </row>
    <row r="64" spans="1:43" outlineLevel="2">
      <c r="A64" s="1638" t="s">
        <v>302</v>
      </c>
      <c r="B64" s="1637" t="s">
        <v>103</v>
      </c>
      <c r="C64" s="1636"/>
      <c r="D64" s="1635">
        <v>1</v>
      </c>
      <c r="E64" s="1634" t="s">
        <v>912</v>
      </c>
      <c r="F64" s="1633" t="s">
        <v>1069</v>
      </c>
      <c r="G64" s="1632">
        <v>5125.5141795108384</v>
      </c>
      <c r="H64" s="1632">
        <v>3440.45</v>
      </c>
      <c r="I64" s="1630">
        <f t="shared" si="46"/>
        <v>8565.9641795108382</v>
      </c>
      <c r="J64" s="1630">
        <f t="shared" si="47"/>
        <v>8565.9641795108382</v>
      </c>
      <c r="K64" s="1631">
        <v>6350</v>
      </c>
      <c r="L64" s="1630">
        <f t="shared" si="48"/>
        <v>6350</v>
      </c>
      <c r="M64" s="1630">
        <f t="shared" si="49"/>
        <v>6350</v>
      </c>
      <c r="N64" s="1625">
        <f t="shared" si="50"/>
        <v>2215.9641795108382</v>
      </c>
      <c r="O64" s="1629">
        <v>0.67300000000000004</v>
      </c>
      <c r="P64" s="1629">
        <v>0.32700000000000001</v>
      </c>
      <c r="Q64" s="1625">
        <f t="shared" si="51"/>
        <v>1491.3438928107942</v>
      </c>
      <c r="R64" s="1628">
        <f t="shared" si="52"/>
        <v>724.62028670004418</v>
      </c>
      <c r="S64" s="1627">
        <f t="shared" si="53"/>
        <v>3634.170286700044</v>
      </c>
      <c r="T64" s="1627">
        <f t="shared" si="54"/>
        <v>2715.8297132999555</v>
      </c>
      <c r="U64" s="1626">
        <f t="shared" si="55"/>
        <v>908.542571675011</v>
      </c>
      <c r="V64" s="1626">
        <f t="shared" si="56"/>
        <v>678.95742832498888</v>
      </c>
      <c r="W64" s="1625">
        <f t="shared" si="57"/>
        <v>1587.5</v>
      </c>
      <c r="X64" s="1614"/>
      <c r="Y64" s="1613"/>
      <c r="Z64" s="1612">
        <f t="shared" si="58"/>
        <v>0.74130592504562853</v>
      </c>
      <c r="AA64" s="1611"/>
      <c r="AB64" s="1611"/>
      <c r="AC64" s="1611"/>
      <c r="AD64" s="1611"/>
      <c r="AE64" s="1611"/>
      <c r="AF64" s="1611"/>
      <c r="AG64" s="1611"/>
      <c r="AH64" s="1611"/>
      <c r="AI64" s="1611"/>
      <c r="AJ64" s="1611"/>
      <c r="AK64" s="1611"/>
      <c r="AL64" s="1611"/>
      <c r="AM64" s="1611"/>
      <c r="AN64" s="1611"/>
      <c r="AO64" s="1611"/>
      <c r="AP64" s="1611"/>
      <c r="AQ64" s="1611"/>
    </row>
    <row r="65" spans="1:43" outlineLevel="2">
      <c r="A65" s="1638" t="s">
        <v>302</v>
      </c>
      <c r="B65" s="1637" t="s">
        <v>103</v>
      </c>
      <c r="C65" s="1636"/>
      <c r="D65" s="1635">
        <v>2</v>
      </c>
      <c r="E65" s="1634" t="s">
        <v>912</v>
      </c>
      <c r="F65" s="1633" t="s">
        <v>1071</v>
      </c>
      <c r="G65" s="1632">
        <v>5125.5141795108384</v>
      </c>
      <c r="H65" s="1632">
        <v>3440.45</v>
      </c>
      <c r="I65" s="1630">
        <f t="shared" si="46"/>
        <v>8565.9641795108382</v>
      </c>
      <c r="J65" s="1630">
        <f t="shared" si="47"/>
        <v>17131.928359021676</v>
      </c>
      <c r="K65" s="1631">
        <v>6350</v>
      </c>
      <c r="L65" s="1630">
        <f t="shared" si="48"/>
        <v>6350</v>
      </c>
      <c r="M65" s="1630">
        <f t="shared" si="49"/>
        <v>12700</v>
      </c>
      <c r="N65" s="1625">
        <f t="shared" si="50"/>
        <v>4431.9283590216764</v>
      </c>
      <c r="O65" s="1629">
        <v>0.67300000000000004</v>
      </c>
      <c r="P65" s="1629">
        <v>0.32700000000000001</v>
      </c>
      <c r="Q65" s="1625">
        <f t="shared" si="51"/>
        <v>2982.6877856215883</v>
      </c>
      <c r="R65" s="1628">
        <f t="shared" si="52"/>
        <v>1449.2405734000884</v>
      </c>
      <c r="S65" s="1627">
        <f t="shared" si="53"/>
        <v>7268.340573400088</v>
      </c>
      <c r="T65" s="1627">
        <f t="shared" si="54"/>
        <v>5431.6594265999111</v>
      </c>
      <c r="U65" s="1626">
        <f t="shared" si="55"/>
        <v>1817.085143350022</v>
      </c>
      <c r="V65" s="1626">
        <f t="shared" si="56"/>
        <v>1357.9148566499778</v>
      </c>
      <c r="W65" s="1625">
        <f t="shared" si="57"/>
        <v>3175</v>
      </c>
      <c r="X65" s="1614"/>
      <c r="Y65" s="1613"/>
      <c r="Z65" s="1612">
        <f t="shared" si="58"/>
        <v>0.74130592504562853</v>
      </c>
      <c r="AA65" s="1611"/>
      <c r="AB65" s="1611"/>
      <c r="AC65" s="1611"/>
      <c r="AD65" s="1611"/>
      <c r="AE65" s="1611"/>
      <c r="AF65" s="1611"/>
      <c r="AG65" s="1611"/>
      <c r="AH65" s="1611"/>
      <c r="AI65" s="1611"/>
      <c r="AJ65" s="1611"/>
      <c r="AK65" s="1611"/>
      <c r="AL65" s="1611"/>
      <c r="AM65" s="1611"/>
      <c r="AN65" s="1611"/>
      <c r="AO65" s="1611"/>
      <c r="AP65" s="1611"/>
      <c r="AQ65" s="1611"/>
    </row>
    <row r="66" spans="1:43" outlineLevel="2">
      <c r="A66" s="1638" t="s">
        <v>302</v>
      </c>
      <c r="B66" s="1637" t="s">
        <v>103</v>
      </c>
      <c r="C66" s="1636"/>
      <c r="D66" s="1635">
        <v>0</v>
      </c>
      <c r="E66" s="1634" t="s">
        <v>912</v>
      </c>
      <c r="F66" s="1633" t="s">
        <v>1065</v>
      </c>
      <c r="G66" s="1632">
        <v>5125.5141795108384</v>
      </c>
      <c r="H66" s="1632">
        <v>3440.45</v>
      </c>
      <c r="I66" s="1630">
        <f t="shared" si="46"/>
        <v>8565.9641795108382</v>
      </c>
      <c r="J66" s="1630">
        <f t="shared" si="47"/>
        <v>0</v>
      </c>
      <c r="K66" s="1631">
        <v>6350</v>
      </c>
      <c r="L66" s="1630">
        <f t="shared" si="48"/>
        <v>6350</v>
      </c>
      <c r="M66" s="1630">
        <f t="shared" si="49"/>
        <v>0</v>
      </c>
      <c r="N66" s="1625">
        <f t="shared" si="50"/>
        <v>0</v>
      </c>
      <c r="O66" s="1629">
        <v>0.67300000000000004</v>
      </c>
      <c r="P66" s="1629">
        <v>0.32700000000000001</v>
      </c>
      <c r="Q66" s="1625">
        <f t="shared" si="51"/>
        <v>0</v>
      </c>
      <c r="R66" s="1628">
        <f t="shared" si="52"/>
        <v>0</v>
      </c>
      <c r="S66" s="1627">
        <f t="shared" si="53"/>
        <v>0</v>
      </c>
      <c r="T66" s="1627">
        <f t="shared" si="54"/>
        <v>0</v>
      </c>
      <c r="U66" s="1626">
        <f t="shared" si="55"/>
        <v>0</v>
      </c>
      <c r="V66" s="1626">
        <f t="shared" si="56"/>
        <v>0</v>
      </c>
      <c r="W66" s="1625">
        <f t="shared" si="57"/>
        <v>0</v>
      </c>
      <c r="X66" s="1614"/>
      <c r="Y66" s="1613"/>
      <c r="Z66" s="1612">
        <f t="shared" si="58"/>
        <v>0.74130592504562853</v>
      </c>
      <c r="AA66" s="1611"/>
      <c r="AB66" s="1611"/>
      <c r="AC66" s="1611"/>
      <c r="AD66" s="1611"/>
      <c r="AE66" s="1611"/>
      <c r="AF66" s="1611"/>
      <c r="AG66" s="1611"/>
      <c r="AH66" s="1611"/>
      <c r="AI66" s="1611"/>
      <c r="AJ66" s="1611"/>
      <c r="AK66" s="1611"/>
      <c r="AL66" s="1611"/>
      <c r="AM66" s="1611"/>
      <c r="AN66" s="1611"/>
      <c r="AO66" s="1611"/>
      <c r="AP66" s="1611"/>
      <c r="AQ66" s="1611"/>
    </row>
    <row r="67" spans="1:43" outlineLevel="2">
      <c r="A67" s="1638" t="s">
        <v>302</v>
      </c>
      <c r="B67" s="1637" t="s">
        <v>103</v>
      </c>
      <c r="C67" s="1636"/>
      <c r="D67" s="1635">
        <v>1</v>
      </c>
      <c r="E67" s="1634" t="s">
        <v>997</v>
      </c>
      <c r="F67" s="1633" t="s">
        <v>1070</v>
      </c>
      <c r="G67" s="1632">
        <v>5125.5141795108384</v>
      </c>
      <c r="H67" s="1632">
        <v>3440.45</v>
      </c>
      <c r="I67" s="1630">
        <f t="shared" si="46"/>
        <v>8565.9641795108382</v>
      </c>
      <c r="J67" s="1630">
        <f t="shared" si="47"/>
        <v>8565.9641795108382</v>
      </c>
      <c r="K67" s="1631">
        <v>3225</v>
      </c>
      <c r="L67" s="1630">
        <f t="shared" si="48"/>
        <v>3225</v>
      </c>
      <c r="M67" s="1630">
        <f t="shared" si="49"/>
        <v>3225</v>
      </c>
      <c r="N67" s="1625">
        <f t="shared" si="50"/>
        <v>5340.9641795108382</v>
      </c>
      <c r="O67" s="1629">
        <v>0.67300000000000004</v>
      </c>
      <c r="P67" s="1629">
        <v>0.32700000000000001</v>
      </c>
      <c r="Q67" s="1625">
        <f t="shared" si="51"/>
        <v>3594.4688928107944</v>
      </c>
      <c r="R67" s="1628">
        <f t="shared" si="52"/>
        <v>1746.4952867000441</v>
      </c>
      <c r="S67" s="1627">
        <f t="shared" si="53"/>
        <v>1531.045286700044</v>
      </c>
      <c r="T67" s="1627">
        <f t="shared" si="54"/>
        <v>1693.9547132999558</v>
      </c>
      <c r="U67" s="1626">
        <f t="shared" si="55"/>
        <v>382.761321675011</v>
      </c>
      <c r="V67" s="1626">
        <f t="shared" si="56"/>
        <v>423.48867832498894</v>
      </c>
      <c r="W67" s="1625">
        <f t="shared" si="57"/>
        <v>806.25</v>
      </c>
      <c r="X67" s="1614"/>
      <c r="Y67" s="1613"/>
      <c r="Z67" s="1612">
        <f t="shared" si="58"/>
        <v>0.37649001705073259</v>
      </c>
      <c r="AA67" s="1611"/>
      <c r="AB67" s="1611"/>
      <c r="AC67" s="1611"/>
      <c r="AD67" s="1611"/>
      <c r="AE67" s="1611"/>
      <c r="AF67" s="1611"/>
      <c r="AG67" s="1611"/>
      <c r="AH67" s="1611"/>
      <c r="AI67" s="1611"/>
      <c r="AJ67" s="1611"/>
      <c r="AK67" s="1611"/>
      <c r="AL67" s="1611"/>
      <c r="AM67" s="1611"/>
      <c r="AN67" s="1611"/>
      <c r="AO67" s="1611"/>
      <c r="AP67" s="1611"/>
      <c r="AQ67" s="1611"/>
    </row>
    <row r="68" spans="1:43" outlineLevel="2">
      <c r="A68" s="1638" t="s">
        <v>302</v>
      </c>
      <c r="B68" s="1637" t="s">
        <v>103</v>
      </c>
      <c r="C68" s="1636"/>
      <c r="D68" s="1635">
        <v>2</v>
      </c>
      <c r="E68" s="1634" t="s">
        <v>997</v>
      </c>
      <c r="F68" s="1633" t="s">
        <v>1069</v>
      </c>
      <c r="G68" s="1632">
        <v>5125.5141795108384</v>
      </c>
      <c r="H68" s="1632">
        <v>3440.45</v>
      </c>
      <c r="I68" s="1630">
        <f t="shared" si="46"/>
        <v>8565.9641795108382</v>
      </c>
      <c r="J68" s="1630">
        <f t="shared" si="47"/>
        <v>17131.928359021676</v>
      </c>
      <c r="K68" s="1631">
        <v>3225</v>
      </c>
      <c r="L68" s="1630">
        <f t="shared" si="48"/>
        <v>3225</v>
      </c>
      <c r="M68" s="1630">
        <f t="shared" si="49"/>
        <v>6450</v>
      </c>
      <c r="N68" s="1625">
        <f t="shared" si="50"/>
        <v>10681.928359021676</v>
      </c>
      <c r="O68" s="1629">
        <v>0.67300000000000004</v>
      </c>
      <c r="P68" s="1629">
        <v>0.32700000000000001</v>
      </c>
      <c r="Q68" s="1625">
        <f t="shared" si="51"/>
        <v>7188.9377856215888</v>
      </c>
      <c r="R68" s="1628">
        <f t="shared" si="52"/>
        <v>3492.9905734000881</v>
      </c>
      <c r="S68" s="1627">
        <f t="shared" si="53"/>
        <v>3062.090573400088</v>
      </c>
      <c r="T68" s="1627">
        <f t="shared" si="54"/>
        <v>3387.9094265999115</v>
      </c>
      <c r="U68" s="1626">
        <f t="shared" si="55"/>
        <v>765.52264335002201</v>
      </c>
      <c r="V68" s="1626">
        <f t="shared" si="56"/>
        <v>846.97735664997788</v>
      </c>
      <c r="W68" s="1625">
        <f t="shared" si="57"/>
        <v>1612.5</v>
      </c>
      <c r="X68" s="1614"/>
      <c r="Y68" s="1613"/>
      <c r="Z68" s="1612">
        <f t="shared" si="58"/>
        <v>0.37649001705073259</v>
      </c>
      <c r="AA68" s="1611"/>
      <c r="AB68" s="1611"/>
      <c r="AC68" s="1611"/>
      <c r="AD68" s="1611"/>
      <c r="AE68" s="1611"/>
      <c r="AF68" s="1611"/>
      <c r="AG68" s="1611"/>
      <c r="AH68" s="1611"/>
      <c r="AI68" s="1611"/>
      <c r="AJ68" s="1611"/>
      <c r="AK68" s="1611"/>
      <c r="AL68" s="1611"/>
      <c r="AM68" s="1611"/>
      <c r="AN68" s="1611"/>
      <c r="AO68" s="1611"/>
      <c r="AP68" s="1611"/>
      <c r="AQ68" s="1611"/>
    </row>
    <row r="69" spans="1:43" outlineLevel="2">
      <c r="A69" s="1638" t="s">
        <v>302</v>
      </c>
      <c r="B69" s="1637" t="s">
        <v>103</v>
      </c>
      <c r="C69" s="1636"/>
      <c r="D69" s="1635">
        <v>3</v>
      </c>
      <c r="E69" s="1634" t="s">
        <v>996</v>
      </c>
      <c r="F69" s="1633" t="s">
        <v>1070</v>
      </c>
      <c r="G69" s="1632">
        <v>5125.5141795108384</v>
      </c>
      <c r="H69" s="1632">
        <v>3440.45</v>
      </c>
      <c r="I69" s="1630">
        <f t="shared" si="46"/>
        <v>8565.9641795108382</v>
      </c>
      <c r="J69" s="1630">
        <f t="shared" si="47"/>
        <v>25697.892538532513</v>
      </c>
      <c r="K69" s="1631">
        <v>5420</v>
      </c>
      <c r="L69" s="1630">
        <f t="shared" si="48"/>
        <v>5420</v>
      </c>
      <c r="M69" s="1630">
        <f t="shared" si="49"/>
        <v>16260</v>
      </c>
      <c r="N69" s="1625">
        <f t="shared" si="50"/>
        <v>9437.8925385325128</v>
      </c>
      <c r="O69" s="1629">
        <v>0.67300000000000004</v>
      </c>
      <c r="P69" s="1629">
        <v>0.32700000000000001</v>
      </c>
      <c r="Q69" s="1625">
        <f t="shared" si="51"/>
        <v>6351.7016784323814</v>
      </c>
      <c r="R69" s="1628">
        <f t="shared" si="52"/>
        <v>3086.1908601001319</v>
      </c>
      <c r="S69" s="1627">
        <f t="shared" si="53"/>
        <v>9024.840860100132</v>
      </c>
      <c r="T69" s="1627">
        <f t="shared" si="54"/>
        <v>7235.1591398998662</v>
      </c>
      <c r="U69" s="1626">
        <f t="shared" si="55"/>
        <v>2256.210215025033</v>
      </c>
      <c r="V69" s="1626">
        <f t="shared" si="56"/>
        <v>1808.7897849749666</v>
      </c>
      <c r="W69" s="1625">
        <f t="shared" si="57"/>
        <v>4064.9999999999995</v>
      </c>
      <c r="X69" s="1614"/>
      <c r="Y69" s="1613"/>
      <c r="Z69" s="1612">
        <f t="shared" si="58"/>
        <v>0.63273671082634741</v>
      </c>
      <c r="AA69" s="1611"/>
      <c r="AB69" s="1611"/>
      <c r="AC69" s="1611"/>
      <c r="AD69" s="1611"/>
      <c r="AE69" s="1611"/>
      <c r="AF69" s="1611"/>
      <c r="AG69" s="1611"/>
      <c r="AH69" s="1611"/>
      <c r="AI69" s="1611"/>
      <c r="AJ69" s="1611"/>
      <c r="AK69" s="1611"/>
      <c r="AL69" s="1611"/>
      <c r="AM69" s="1611"/>
      <c r="AN69" s="1611"/>
      <c r="AO69" s="1611"/>
      <c r="AP69" s="1611"/>
      <c r="AQ69" s="1611"/>
    </row>
    <row r="70" spans="1:43" outlineLevel="2">
      <c r="A70" s="1638" t="s">
        <v>302</v>
      </c>
      <c r="B70" s="1637" t="s">
        <v>103</v>
      </c>
      <c r="C70" s="1636"/>
      <c r="D70" s="1635">
        <v>7</v>
      </c>
      <c r="E70" s="1634" t="s">
        <v>996</v>
      </c>
      <c r="F70" s="1633" t="s">
        <v>1069</v>
      </c>
      <c r="G70" s="1632">
        <v>5125.5141795108384</v>
      </c>
      <c r="H70" s="1632">
        <v>3440.45</v>
      </c>
      <c r="I70" s="1630">
        <f t="shared" si="46"/>
        <v>8565.9641795108382</v>
      </c>
      <c r="J70" s="1630">
        <f t="shared" si="47"/>
        <v>59961.749256575866</v>
      </c>
      <c r="K70" s="1631">
        <v>5420</v>
      </c>
      <c r="L70" s="1630">
        <f t="shared" si="48"/>
        <v>5420</v>
      </c>
      <c r="M70" s="1630">
        <f t="shared" si="49"/>
        <v>37940</v>
      </c>
      <c r="N70" s="1625">
        <f t="shared" si="50"/>
        <v>22021.749256575866</v>
      </c>
      <c r="O70" s="1629">
        <v>0.67300000000000004</v>
      </c>
      <c r="P70" s="1629">
        <v>0.32700000000000001</v>
      </c>
      <c r="Q70" s="1625">
        <f t="shared" si="51"/>
        <v>14820.637249675559</v>
      </c>
      <c r="R70" s="1628">
        <f t="shared" si="52"/>
        <v>7201.1120069003082</v>
      </c>
      <c r="S70" s="1627">
        <f t="shared" si="53"/>
        <v>21057.962006900314</v>
      </c>
      <c r="T70" s="1627">
        <f t="shared" si="54"/>
        <v>16882.03799309969</v>
      </c>
      <c r="U70" s="1626">
        <f t="shared" si="55"/>
        <v>5264.4905017250785</v>
      </c>
      <c r="V70" s="1626">
        <f t="shared" si="56"/>
        <v>4220.5094982749224</v>
      </c>
      <c r="W70" s="1625">
        <f t="shared" si="57"/>
        <v>9485</v>
      </c>
      <c r="X70" s="1614"/>
      <c r="Y70" s="1613"/>
      <c r="Z70" s="1612">
        <f t="shared" si="58"/>
        <v>0.63273671082634741</v>
      </c>
      <c r="AA70" s="1611"/>
      <c r="AB70" s="1611"/>
      <c r="AC70" s="1611"/>
      <c r="AD70" s="1611"/>
      <c r="AE70" s="1611"/>
      <c r="AF70" s="1611"/>
      <c r="AG70" s="1611"/>
      <c r="AH70" s="1611"/>
      <c r="AI70" s="1611"/>
      <c r="AJ70" s="1611"/>
      <c r="AK70" s="1611"/>
      <c r="AL70" s="1611"/>
      <c r="AM70" s="1611"/>
      <c r="AN70" s="1611"/>
      <c r="AO70" s="1611"/>
      <c r="AP70" s="1611"/>
      <c r="AQ70" s="1611"/>
    </row>
    <row r="71" spans="1:43" outlineLevel="2">
      <c r="A71" s="1638" t="s">
        <v>302</v>
      </c>
      <c r="B71" s="1637" t="s">
        <v>103</v>
      </c>
      <c r="C71" s="1636"/>
      <c r="D71" s="1635">
        <v>4</v>
      </c>
      <c r="E71" s="1634" t="s">
        <v>996</v>
      </c>
      <c r="F71" s="1633" t="s">
        <v>1068</v>
      </c>
      <c r="G71" s="1632">
        <v>5125.5141795108384</v>
      </c>
      <c r="H71" s="1632">
        <v>3440.45</v>
      </c>
      <c r="I71" s="1630">
        <f t="shared" si="46"/>
        <v>8565.9641795108382</v>
      </c>
      <c r="J71" s="1630">
        <f t="shared" si="47"/>
        <v>34263.856718043353</v>
      </c>
      <c r="K71" s="1631">
        <v>5420</v>
      </c>
      <c r="L71" s="1630">
        <f t="shared" si="48"/>
        <v>5420</v>
      </c>
      <c r="M71" s="1630">
        <f t="shared" si="49"/>
        <v>21680</v>
      </c>
      <c r="N71" s="1625">
        <f t="shared" si="50"/>
        <v>12583.856718043353</v>
      </c>
      <c r="O71" s="1629">
        <v>0.67300000000000004</v>
      </c>
      <c r="P71" s="1629">
        <v>0.32700000000000001</v>
      </c>
      <c r="Q71" s="1625">
        <f t="shared" si="51"/>
        <v>8468.935571243177</v>
      </c>
      <c r="R71" s="1628">
        <f t="shared" si="52"/>
        <v>4114.9211468001768</v>
      </c>
      <c r="S71" s="1627">
        <f t="shared" si="53"/>
        <v>12033.121146800177</v>
      </c>
      <c r="T71" s="1627">
        <f t="shared" si="54"/>
        <v>9646.8788531998216</v>
      </c>
      <c r="U71" s="1626">
        <f t="shared" si="55"/>
        <v>3008.2802867000441</v>
      </c>
      <c r="V71" s="1626">
        <f t="shared" si="56"/>
        <v>2411.7197132999554</v>
      </c>
      <c r="W71" s="1625">
        <f t="shared" si="57"/>
        <v>5420</v>
      </c>
      <c r="X71" s="1614"/>
      <c r="Y71" s="1613"/>
      <c r="Z71" s="1612">
        <f t="shared" si="58"/>
        <v>0.63273671082634741</v>
      </c>
      <c r="AA71" s="1611"/>
      <c r="AB71" s="1611"/>
      <c r="AC71" s="1611"/>
      <c r="AD71" s="1611"/>
      <c r="AE71" s="1611"/>
      <c r="AF71" s="1611"/>
      <c r="AG71" s="1611"/>
      <c r="AH71" s="1611"/>
      <c r="AI71" s="1611"/>
      <c r="AJ71" s="1611"/>
      <c r="AK71" s="1611"/>
      <c r="AL71" s="1611"/>
      <c r="AM71" s="1611"/>
      <c r="AN71" s="1611"/>
      <c r="AO71" s="1611"/>
      <c r="AP71" s="1611"/>
      <c r="AQ71" s="1611"/>
    </row>
    <row r="72" spans="1:43" outlineLevel="2">
      <c r="A72" s="1638" t="s">
        <v>302</v>
      </c>
      <c r="B72" s="1637" t="s">
        <v>103</v>
      </c>
      <c r="C72" s="1636"/>
      <c r="D72" s="1635">
        <v>4</v>
      </c>
      <c r="E72" s="1634" t="s">
        <v>996</v>
      </c>
      <c r="F72" s="1633" t="s">
        <v>1071</v>
      </c>
      <c r="G72" s="1632">
        <v>5125.5141795108384</v>
      </c>
      <c r="H72" s="1632">
        <v>3440.45</v>
      </c>
      <c r="I72" s="1630">
        <f t="shared" si="46"/>
        <v>8565.9641795108382</v>
      </c>
      <c r="J72" s="1630">
        <f t="shared" si="47"/>
        <v>34263.856718043353</v>
      </c>
      <c r="K72" s="1631">
        <v>5420</v>
      </c>
      <c r="L72" s="1630">
        <f t="shared" si="48"/>
        <v>5420</v>
      </c>
      <c r="M72" s="1630">
        <f t="shared" si="49"/>
        <v>21680</v>
      </c>
      <c r="N72" s="1625">
        <f t="shared" si="50"/>
        <v>12583.856718043353</v>
      </c>
      <c r="O72" s="1629">
        <v>0.67300000000000004</v>
      </c>
      <c r="P72" s="1629">
        <v>0.32700000000000001</v>
      </c>
      <c r="Q72" s="1625">
        <f t="shared" si="51"/>
        <v>8468.935571243177</v>
      </c>
      <c r="R72" s="1628">
        <f t="shared" si="52"/>
        <v>4114.9211468001768</v>
      </c>
      <c r="S72" s="1627">
        <f t="shared" si="53"/>
        <v>12033.121146800177</v>
      </c>
      <c r="T72" s="1627">
        <f t="shared" si="54"/>
        <v>9646.8788531998216</v>
      </c>
      <c r="U72" s="1626">
        <f t="shared" si="55"/>
        <v>3008.2802867000441</v>
      </c>
      <c r="V72" s="1626">
        <f t="shared" si="56"/>
        <v>2411.7197132999554</v>
      </c>
      <c r="W72" s="1625">
        <f t="shared" si="57"/>
        <v>5420</v>
      </c>
      <c r="X72" s="1614"/>
      <c r="Y72" s="1613"/>
      <c r="Z72" s="1612">
        <f t="shared" si="58"/>
        <v>0.63273671082634741</v>
      </c>
      <c r="AA72" s="1611"/>
      <c r="AB72" s="1611"/>
      <c r="AC72" s="1611"/>
      <c r="AD72" s="1611"/>
      <c r="AE72" s="1611"/>
      <c r="AF72" s="1611"/>
      <c r="AG72" s="1611"/>
      <c r="AH72" s="1611"/>
      <c r="AI72" s="1611"/>
      <c r="AJ72" s="1611"/>
      <c r="AK72" s="1611"/>
      <c r="AL72" s="1611"/>
      <c r="AM72" s="1611"/>
      <c r="AN72" s="1611"/>
      <c r="AO72" s="1611"/>
      <c r="AP72" s="1611"/>
      <c r="AQ72" s="1611"/>
    </row>
    <row r="73" spans="1:43" outlineLevel="2">
      <c r="A73" s="1638" t="s">
        <v>302</v>
      </c>
      <c r="B73" s="1637" t="s">
        <v>103</v>
      </c>
      <c r="C73" s="1636"/>
      <c r="D73" s="1635">
        <v>8</v>
      </c>
      <c r="E73" s="1634" t="s">
        <v>996</v>
      </c>
      <c r="F73" s="1633" t="s">
        <v>1063</v>
      </c>
      <c r="G73" s="1632">
        <v>5125.5141795108384</v>
      </c>
      <c r="H73" s="1632">
        <v>3440.45</v>
      </c>
      <c r="I73" s="1630">
        <f t="shared" si="46"/>
        <v>8565.9641795108382</v>
      </c>
      <c r="J73" s="1630">
        <f t="shared" si="47"/>
        <v>68527.713436086706</v>
      </c>
      <c r="K73" s="1631">
        <v>5750</v>
      </c>
      <c r="L73" s="1630">
        <f t="shared" si="48"/>
        <v>5750</v>
      </c>
      <c r="M73" s="1630">
        <f t="shared" si="49"/>
        <v>46000</v>
      </c>
      <c r="N73" s="1625">
        <f t="shared" si="50"/>
        <v>22527.713436086706</v>
      </c>
      <c r="O73" s="1629">
        <v>0.67300000000000004</v>
      </c>
      <c r="P73" s="1629">
        <v>0.32700000000000001</v>
      </c>
      <c r="Q73" s="1625">
        <f t="shared" si="51"/>
        <v>15161.151142486355</v>
      </c>
      <c r="R73" s="1628">
        <f t="shared" si="52"/>
        <v>7366.5622936003529</v>
      </c>
      <c r="S73" s="1627">
        <f t="shared" si="53"/>
        <v>25842.962293600351</v>
      </c>
      <c r="T73" s="1627">
        <f t="shared" si="54"/>
        <v>20157.037706399646</v>
      </c>
      <c r="U73" s="1626">
        <f t="shared" si="55"/>
        <v>6460.7405734000877</v>
      </c>
      <c r="V73" s="1626">
        <f t="shared" si="56"/>
        <v>5039.2594265999114</v>
      </c>
      <c r="W73" s="1625">
        <f t="shared" si="57"/>
        <v>11500</v>
      </c>
      <c r="X73" s="1614"/>
      <c r="Y73" s="1613"/>
      <c r="Z73" s="1612">
        <f t="shared" si="58"/>
        <v>0.67126127071060848</v>
      </c>
      <c r="AA73" s="1611"/>
      <c r="AB73" s="1611"/>
      <c r="AC73" s="1611"/>
      <c r="AD73" s="1611"/>
      <c r="AE73" s="1611"/>
      <c r="AF73" s="1611"/>
      <c r="AG73" s="1611"/>
      <c r="AH73" s="1611"/>
      <c r="AI73" s="1611"/>
      <c r="AJ73" s="1611"/>
      <c r="AK73" s="1611"/>
      <c r="AL73" s="1611"/>
      <c r="AM73" s="1611"/>
      <c r="AN73" s="1611"/>
      <c r="AO73" s="1611"/>
      <c r="AP73" s="1611"/>
      <c r="AQ73" s="1611"/>
    </row>
    <row r="74" spans="1:43" outlineLevel="2">
      <c r="A74" s="1638" t="s">
        <v>302</v>
      </c>
      <c r="B74" s="1637" t="s">
        <v>103</v>
      </c>
      <c r="C74" s="1636"/>
      <c r="D74" s="1635">
        <v>11</v>
      </c>
      <c r="E74" s="1634" t="s">
        <v>996</v>
      </c>
      <c r="F74" s="1633" t="s">
        <v>1066</v>
      </c>
      <c r="G74" s="1632">
        <v>5125.5141795108384</v>
      </c>
      <c r="H74" s="1632">
        <v>3440.45</v>
      </c>
      <c r="I74" s="1630">
        <f t="shared" si="46"/>
        <v>8565.9641795108382</v>
      </c>
      <c r="J74" s="1630">
        <f t="shared" si="47"/>
        <v>94225.605974619219</v>
      </c>
      <c r="K74" s="1631">
        <v>5750</v>
      </c>
      <c r="L74" s="1630">
        <f t="shared" si="48"/>
        <v>5750</v>
      </c>
      <c r="M74" s="1630">
        <f t="shared" si="49"/>
        <v>63250</v>
      </c>
      <c r="N74" s="1625">
        <f t="shared" si="50"/>
        <v>30975.605974619219</v>
      </c>
      <c r="O74" s="1629">
        <v>0.67300000000000004</v>
      </c>
      <c r="P74" s="1629">
        <v>0.32700000000000001</v>
      </c>
      <c r="Q74" s="1625">
        <f t="shared" si="51"/>
        <v>20846.582820918735</v>
      </c>
      <c r="R74" s="1628">
        <f t="shared" si="52"/>
        <v>10129.023153700486</v>
      </c>
      <c r="S74" s="1627">
        <f t="shared" si="53"/>
        <v>35534.07315370049</v>
      </c>
      <c r="T74" s="1627">
        <f t="shared" si="54"/>
        <v>27715.92684629951</v>
      </c>
      <c r="U74" s="1626">
        <f t="shared" si="55"/>
        <v>8883.5182884251226</v>
      </c>
      <c r="V74" s="1626">
        <f t="shared" si="56"/>
        <v>6928.9817115748774</v>
      </c>
      <c r="W74" s="1625">
        <f t="shared" si="57"/>
        <v>15812.5</v>
      </c>
      <c r="X74" s="1614"/>
      <c r="Y74" s="1613"/>
      <c r="Z74" s="1612">
        <f t="shared" si="58"/>
        <v>0.67126127071060848</v>
      </c>
      <c r="AA74" s="1611"/>
      <c r="AB74" s="1611"/>
      <c r="AC74" s="1611"/>
      <c r="AD74" s="1611"/>
      <c r="AE74" s="1611"/>
      <c r="AF74" s="1611"/>
      <c r="AG74" s="1611"/>
      <c r="AH74" s="1611"/>
      <c r="AI74" s="1611"/>
      <c r="AJ74" s="1611"/>
      <c r="AK74" s="1611"/>
      <c r="AL74" s="1611"/>
      <c r="AM74" s="1611"/>
      <c r="AN74" s="1611"/>
      <c r="AO74" s="1611"/>
      <c r="AP74" s="1611"/>
      <c r="AQ74" s="1611"/>
    </row>
    <row r="75" spans="1:43" outlineLevel="2">
      <c r="A75" s="1638" t="s">
        <v>302</v>
      </c>
      <c r="B75" s="1637" t="s">
        <v>103</v>
      </c>
      <c r="C75" s="1636"/>
      <c r="D75" s="1635">
        <v>11</v>
      </c>
      <c r="E75" s="1634" t="s">
        <v>996</v>
      </c>
      <c r="F75" s="1633" t="s">
        <v>1067</v>
      </c>
      <c r="G75" s="1632">
        <v>5125.5141795108384</v>
      </c>
      <c r="H75" s="1632">
        <v>3440.45</v>
      </c>
      <c r="I75" s="1630">
        <f t="shared" si="46"/>
        <v>8565.9641795108382</v>
      </c>
      <c r="J75" s="1630">
        <f t="shared" si="47"/>
        <v>94225.605974619219</v>
      </c>
      <c r="K75" s="1631">
        <v>5750</v>
      </c>
      <c r="L75" s="1630">
        <f t="shared" si="48"/>
        <v>5750</v>
      </c>
      <c r="M75" s="1630">
        <f t="shared" si="49"/>
        <v>63250</v>
      </c>
      <c r="N75" s="1625">
        <f t="shared" si="50"/>
        <v>30975.605974619219</v>
      </c>
      <c r="O75" s="1629">
        <v>0.67300000000000004</v>
      </c>
      <c r="P75" s="1629">
        <v>0.32700000000000001</v>
      </c>
      <c r="Q75" s="1625">
        <f t="shared" si="51"/>
        <v>20846.582820918735</v>
      </c>
      <c r="R75" s="1628">
        <f t="shared" si="52"/>
        <v>10129.023153700486</v>
      </c>
      <c r="S75" s="1627">
        <f t="shared" si="53"/>
        <v>35534.07315370049</v>
      </c>
      <c r="T75" s="1627">
        <f t="shared" si="54"/>
        <v>27715.92684629951</v>
      </c>
      <c r="U75" s="1626">
        <f t="shared" si="55"/>
        <v>8883.5182884251226</v>
      </c>
      <c r="V75" s="1626">
        <f t="shared" si="56"/>
        <v>6928.9817115748774</v>
      </c>
      <c r="W75" s="1625">
        <f t="shared" si="57"/>
        <v>15812.5</v>
      </c>
      <c r="X75" s="1614"/>
      <c r="Y75" s="1613"/>
      <c r="Z75" s="1612">
        <f t="shared" si="58"/>
        <v>0.67126127071060848</v>
      </c>
      <c r="AA75" s="1611"/>
      <c r="AB75" s="1611"/>
      <c r="AC75" s="1611"/>
      <c r="AD75" s="1611"/>
      <c r="AE75" s="1611"/>
      <c r="AF75" s="1611"/>
      <c r="AG75" s="1611"/>
      <c r="AH75" s="1611"/>
      <c r="AI75" s="1611"/>
      <c r="AJ75" s="1611"/>
      <c r="AK75" s="1611"/>
      <c r="AL75" s="1611"/>
      <c r="AM75" s="1611"/>
      <c r="AN75" s="1611"/>
      <c r="AO75" s="1611"/>
      <c r="AP75" s="1611"/>
      <c r="AQ75" s="1611"/>
    </row>
    <row r="76" spans="1:43" outlineLevel="2">
      <c r="A76" s="1638" t="s">
        <v>302</v>
      </c>
      <c r="B76" s="1637" t="s">
        <v>103</v>
      </c>
      <c r="C76" s="1636"/>
      <c r="D76" s="1635">
        <v>4</v>
      </c>
      <c r="E76" s="1634" t="s">
        <v>996</v>
      </c>
      <c r="F76" s="1633" t="s">
        <v>1072</v>
      </c>
      <c r="G76" s="1632">
        <v>5125.5141795108384</v>
      </c>
      <c r="H76" s="1632">
        <v>3440.45</v>
      </c>
      <c r="I76" s="1630">
        <f t="shared" si="46"/>
        <v>8565.9641795108382</v>
      </c>
      <c r="J76" s="1630">
        <f t="shared" si="47"/>
        <v>34263.856718043353</v>
      </c>
      <c r="K76" s="1631">
        <v>5750</v>
      </c>
      <c r="L76" s="1630">
        <f t="shared" si="48"/>
        <v>5750</v>
      </c>
      <c r="M76" s="1630">
        <f t="shared" si="49"/>
        <v>23000</v>
      </c>
      <c r="N76" s="1625">
        <f t="shared" si="50"/>
        <v>11263.856718043353</v>
      </c>
      <c r="O76" s="1629">
        <v>0.67300000000000004</v>
      </c>
      <c r="P76" s="1629">
        <v>0.32700000000000001</v>
      </c>
      <c r="Q76" s="1625">
        <f t="shared" si="51"/>
        <v>7580.5755712431774</v>
      </c>
      <c r="R76" s="1628">
        <f t="shared" si="52"/>
        <v>3683.2811468001764</v>
      </c>
      <c r="S76" s="1627">
        <f t="shared" si="53"/>
        <v>12921.481146800175</v>
      </c>
      <c r="T76" s="1627">
        <f t="shared" si="54"/>
        <v>10078.518853199823</v>
      </c>
      <c r="U76" s="1626">
        <f t="shared" si="55"/>
        <v>3230.3702867000438</v>
      </c>
      <c r="V76" s="1626">
        <f t="shared" si="56"/>
        <v>2519.6297132999557</v>
      </c>
      <c r="W76" s="1625">
        <f t="shared" si="57"/>
        <v>5750</v>
      </c>
      <c r="X76" s="1614"/>
      <c r="Y76" s="1613"/>
      <c r="Z76" s="1612">
        <f t="shared" si="58"/>
        <v>0.67126127071060848</v>
      </c>
      <c r="AA76" s="1611"/>
      <c r="AB76" s="1611"/>
      <c r="AC76" s="1611"/>
      <c r="AD76" s="1611"/>
      <c r="AE76" s="1611"/>
      <c r="AF76" s="1611"/>
      <c r="AG76" s="1611"/>
      <c r="AH76" s="1611"/>
      <c r="AI76" s="1611"/>
      <c r="AJ76" s="1611"/>
      <c r="AK76" s="1611"/>
      <c r="AL76" s="1611"/>
      <c r="AM76" s="1611"/>
      <c r="AN76" s="1611"/>
      <c r="AO76" s="1611"/>
      <c r="AP76" s="1611"/>
      <c r="AQ76" s="1611"/>
    </row>
    <row r="77" spans="1:43" outlineLevel="2">
      <c r="A77" s="1638" t="s">
        <v>302</v>
      </c>
      <c r="B77" s="1637" t="s">
        <v>103</v>
      </c>
      <c r="C77" s="1636"/>
      <c r="D77" s="1635">
        <v>5</v>
      </c>
      <c r="E77" s="1634" t="s">
        <v>996</v>
      </c>
      <c r="F77" s="1633" t="s">
        <v>1079</v>
      </c>
      <c r="G77" s="1632">
        <v>5125.5141795108384</v>
      </c>
      <c r="H77" s="1632">
        <v>3440.45</v>
      </c>
      <c r="I77" s="1630">
        <f t="shared" si="46"/>
        <v>8565.9641795108382</v>
      </c>
      <c r="J77" s="1630">
        <f t="shared" si="47"/>
        <v>42829.820897554193</v>
      </c>
      <c r="K77" s="1631">
        <v>5750</v>
      </c>
      <c r="L77" s="1630">
        <f t="shared" si="48"/>
        <v>5750</v>
      </c>
      <c r="M77" s="1630">
        <f t="shared" si="49"/>
        <v>28750</v>
      </c>
      <c r="N77" s="1625">
        <f t="shared" si="50"/>
        <v>14079.820897554193</v>
      </c>
      <c r="O77" s="1629">
        <v>0.67300000000000004</v>
      </c>
      <c r="P77" s="1629">
        <v>0.32700000000000001</v>
      </c>
      <c r="Q77" s="1625">
        <f t="shared" si="51"/>
        <v>9475.7194640539728</v>
      </c>
      <c r="R77" s="1628">
        <f t="shared" si="52"/>
        <v>4604.101433500221</v>
      </c>
      <c r="S77" s="1627">
        <f t="shared" si="53"/>
        <v>16151.85143350022</v>
      </c>
      <c r="T77" s="1627">
        <f t="shared" si="54"/>
        <v>12598.148566499778</v>
      </c>
      <c r="U77" s="1626">
        <f t="shared" si="55"/>
        <v>4037.962858375055</v>
      </c>
      <c r="V77" s="1626">
        <f t="shared" si="56"/>
        <v>3149.5371416249445</v>
      </c>
      <c r="W77" s="1625">
        <f t="shared" si="57"/>
        <v>7187.5</v>
      </c>
      <c r="X77" s="1614"/>
      <c r="Y77" s="1613"/>
      <c r="Z77" s="1612">
        <f t="shared" si="58"/>
        <v>0.67126127071060848</v>
      </c>
      <c r="AA77" s="1611"/>
      <c r="AB77" s="1611"/>
      <c r="AC77" s="1611"/>
      <c r="AD77" s="1611"/>
      <c r="AE77" s="1611"/>
      <c r="AF77" s="1611"/>
      <c r="AG77" s="1611"/>
      <c r="AH77" s="1611"/>
      <c r="AI77" s="1611"/>
      <c r="AJ77" s="1611"/>
      <c r="AK77" s="1611"/>
      <c r="AL77" s="1611"/>
      <c r="AM77" s="1611"/>
      <c r="AN77" s="1611"/>
      <c r="AO77" s="1611"/>
      <c r="AP77" s="1611"/>
      <c r="AQ77" s="1611"/>
    </row>
    <row r="78" spans="1:43" outlineLevel="2">
      <c r="A78" s="1638" t="s">
        <v>302</v>
      </c>
      <c r="B78" s="1637" t="s">
        <v>103</v>
      </c>
      <c r="C78" s="1636"/>
      <c r="D78" s="1635">
        <v>16</v>
      </c>
      <c r="E78" s="1634" t="s">
        <v>996</v>
      </c>
      <c r="F78" s="1633" t="s">
        <v>979</v>
      </c>
      <c r="G78" s="1632">
        <v>5125.5141795108384</v>
      </c>
      <c r="H78" s="1632">
        <v>3440.45</v>
      </c>
      <c r="I78" s="1630">
        <f t="shared" si="46"/>
        <v>8565.9641795108382</v>
      </c>
      <c r="J78" s="1630">
        <f t="shared" si="47"/>
        <v>137055.42687217341</v>
      </c>
      <c r="K78" s="1631">
        <v>4950</v>
      </c>
      <c r="L78" s="1630">
        <f t="shared" si="48"/>
        <v>4950</v>
      </c>
      <c r="M78" s="1630">
        <f t="shared" si="49"/>
        <v>79200</v>
      </c>
      <c r="N78" s="1625">
        <f t="shared" si="50"/>
        <v>57855.426872173412</v>
      </c>
      <c r="O78" s="1629">
        <v>0.67300000000000004</v>
      </c>
      <c r="P78" s="1629">
        <v>0.32700000000000001</v>
      </c>
      <c r="Q78" s="1625">
        <f t="shared" si="51"/>
        <v>38936.702284972707</v>
      </c>
      <c r="R78" s="1628">
        <f t="shared" si="52"/>
        <v>18918.724587200708</v>
      </c>
      <c r="S78" s="1627">
        <f t="shared" si="53"/>
        <v>43071.524587200707</v>
      </c>
      <c r="T78" s="1627">
        <f t="shared" si="54"/>
        <v>36128.475412799293</v>
      </c>
      <c r="U78" s="1626">
        <f t="shared" si="55"/>
        <v>10767.881146800177</v>
      </c>
      <c r="V78" s="1626">
        <f t="shared" si="56"/>
        <v>9032.1188531998232</v>
      </c>
      <c r="W78" s="1625">
        <f t="shared" si="57"/>
        <v>19800</v>
      </c>
      <c r="X78" s="1614"/>
      <c r="Y78" s="1613"/>
      <c r="Z78" s="1612">
        <f t="shared" si="58"/>
        <v>0.57786839826391512</v>
      </c>
      <c r="AA78" s="1611"/>
      <c r="AB78" s="1611"/>
      <c r="AC78" s="1611"/>
      <c r="AD78" s="1611"/>
      <c r="AE78" s="1611"/>
      <c r="AF78" s="1611"/>
      <c r="AG78" s="1611"/>
      <c r="AH78" s="1611"/>
      <c r="AI78" s="1611"/>
      <c r="AJ78" s="1611"/>
      <c r="AK78" s="1611"/>
      <c r="AL78" s="1611"/>
      <c r="AM78" s="1611"/>
      <c r="AN78" s="1611"/>
      <c r="AO78" s="1611"/>
      <c r="AP78" s="1611"/>
      <c r="AQ78" s="1611"/>
    </row>
    <row r="79" spans="1:43" outlineLevel="1">
      <c r="A79" s="1624"/>
      <c r="B79" s="1623" t="s">
        <v>1119</v>
      </c>
      <c r="C79" s="1622"/>
      <c r="D79" s="1621">
        <f>SUBTOTAL(9,D62:D78)</f>
        <v>83</v>
      </c>
      <c r="E79" s="1620"/>
      <c r="F79" s="1639"/>
      <c r="G79" s="1639"/>
      <c r="H79" s="1639"/>
      <c r="I79" s="1616"/>
      <c r="J79" s="1616">
        <f>SUBTOTAL(9,J62:J78)</f>
        <v>710975.02689939959</v>
      </c>
      <c r="K79" s="1615"/>
      <c r="L79" s="1616"/>
      <c r="M79" s="1616">
        <f>SUBTOTAL(9,M62:M78)</f>
        <v>453335</v>
      </c>
      <c r="N79" s="1615">
        <f>SUBTOTAL(9,N62:N78)</f>
        <v>257640.02689939956</v>
      </c>
      <c r="O79" s="1616"/>
      <c r="P79" s="1616"/>
      <c r="Q79" s="1615">
        <f t="shared" ref="Q79:W79" si="59">SUBTOTAL(9,Q62:Q78)</f>
        <v>173391.73810329591</v>
      </c>
      <c r="R79" s="1615">
        <f t="shared" si="59"/>
        <v>84248.288796103661</v>
      </c>
      <c r="S79" s="1616">
        <f t="shared" si="59"/>
        <v>252025.9387961037</v>
      </c>
      <c r="T79" s="1616">
        <f t="shared" si="59"/>
        <v>201309.0612038963</v>
      </c>
      <c r="U79" s="1616">
        <f t="shared" si="59"/>
        <v>63006.484699025925</v>
      </c>
      <c r="V79" s="1616">
        <f t="shared" si="59"/>
        <v>50327.265300974075</v>
      </c>
      <c r="W79" s="1615">
        <f t="shared" si="59"/>
        <v>113333.75</v>
      </c>
      <c r="X79" s="1614"/>
      <c r="Y79" s="1613"/>
      <c r="Z79" s="1612"/>
      <c r="AA79" s="1611"/>
      <c r="AB79" s="1611"/>
      <c r="AC79" s="1611"/>
      <c r="AD79" s="1611"/>
      <c r="AE79" s="1611"/>
      <c r="AF79" s="1611"/>
      <c r="AG79" s="1611"/>
      <c r="AH79" s="1611"/>
      <c r="AI79" s="1611"/>
      <c r="AJ79" s="1611"/>
      <c r="AK79" s="1611"/>
      <c r="AL79" s="1611"/>
      <c r="AM79" s="1611"/>
      <c r="AN79" s="1611"/>
      <c r="AO79" s="1611"/>
      <c r="AP79" s="1611"/>
      <c r="AQ79" s="1611"/>
    </row>
    <row r="80" spans="1:43" outlineLevel="2">
      <c r="A80" s="1638" t="s">
        <v>303</v>
      </c>
      <c r="B80" s="1637" t="s">
        <v>104</v>
      </c>
      <c r="C80" s="1636"/>
      <c r="D80" s="1635">
        <v>3</v>
      </c>
      <c r="E80" s="1634" t="s">
        <v>995</v>
      </c>
      <c r="F80" s="1633" t="s">
        <v>1069</v>
      </c>
      <c r="G80" s="1632">
        <v>4791.4619722731732</v>
      </c>
      <c r="H80" s="1632">
        <v>3827.06</v>
      </c>
      <c r="I80" s="1630">
        <f t="shared" ref="I80:I90" si="60">G80+H80</f>
        <v>8618.5219722731727</v>
      </c>
      <c r="J80" s="1630">
        <f t="shared" ref="J80:J90" si="61">D80*I80</f>
        <v>25855.56591681952</v>
      </c>
      <c r="K80" s="1631">
        <v>4984</v>
      </c>
      <c r="L80" s="1630">
        <f t="shared" ref="L80:L90" si="62">IF(I80&gt;K80,K80,I80)</f>
        <v>4984</v>
      </c>
      <c r="M80" s="1630">
        <f t="shared" ref="M80:M90" si="63">L80*D80</f>
        <v>14952</v>
      </c>
      <c r="N80" s="1625">
        <f t="shared" ref="N80:N90" si="64">J80-M80</f>
        <v>10903.56591681952</v>
      </c>
      <c r="O80" s="1629">
        <v>0.62780000000000002</v>
      </c>
      <c r="P80" s="1629">
        <v>0.37219999999999998</v>
      </c>
      <c r="Q80" s="1625">
        <f t="shared" ref="Q80:Q90" si="65">N80*O80</f>
        <v>6845.2586825792951</v>
      </c>
      <c r="R80" s="1628">
        <f t="shared" ref="R80:R90" si="66">N80*P80</f>
        <v>4058.3072342402252</v>
      </c>
      <c r="S80" s="1627">
        <f t="shared" ref="S80:S90" si="67">(G80*D80)-Q80</f>
        <v>7529.1272342402244</v>
      </c>
      <c r="T80" s="1627">
        <f t="shared" ref="T80:T90" si="68">(H80*D80)-R80</f>
        <v>7422.8727657597756</v>
      </c>
      <c r="U80" s="1626">
        <f t="shared" ref="U80:U90" si="69">S80/4</f>
        <v>1882.2818085600561</v>
      </c>
      <c r="V80" s="1626">
        <f t="shared" ref="V80:V90" si="70">T80/4</f>
        <v>1855.7181914399439</v>
      </c>
      <c r="W80" s="1625">
        <f t="shared" ref="W80:W90" si="71">V80+U80</f>
        <v>3738</v>
      </c>
      <c r="X80" s="1614"/>
      <c r="Y80" s="1613"/>
      <c r="Z80" s="1612">
        <f t="shared" ref="Z80:Z90" si="72">K80/I80</f>
        <v>0.57828941157592106</v>
      </c>
      <c r="AA80" s="1611"/>
      <c r="AB80" s="1611"/>
      <c r="AC80" s="1611"/>
      <c r="AD80" s="1611"/>
      <c r="AE80" s="1611"/>
      <c r="AF80" s="1611"/>
      <c r="AG80" s="1611"/>
      <c r="AH80" s="1611"/>
      <c r="AI80" s="1611"/>
      <c r="AJ80" s="1611"/>
      <c r="AK80" s="1611"/>
      <c r="AL80" s="1611"/>
      <c r="AM80" s="1611"/>
      <c r="AN80" s="1611"/>
      <c r="AO80" s="1611"/>
      <c r="AP80" s="1611"/>
      <c r="AQ80" s="1611"/>
    </row>
    <row r="81" spans="1:43" outlineLevel="2">
      <c r="A81" s="1638" t="s">
        <v>303</v>
      </c>
      <c r="B81" s="1637" t="s">
        <v>104</v>
      </c>
      <c r="C81" s="1636"/>
      <c r="D81" s="1635">
        <v>1</v>
      </c>
      <c r="E81" s="1634" t="s">
        <v>995</v>
      </c>
      <c r="F81" s="1633" t="s">
        <v>1068</v>
      </c>
      <c r="G81" s="1632">
        <v>4791.4619722731732</v>
      </c>
      <c r="H81" s="1632">
        <v>3827.06</v>
      </c>
      <c r="I81" s="1630">
        <f t="shared" si="60"/>
        <v>8618.5219722731727</v>
      </c>
      <c r="J81" s="1630">
        <f t="shared" si="61"/>
        <v>8618.5219722731727</v>
      </c>
      <c r="K81" s="1631">
        <v>4984</v>
      </c>
      <c r="L81" s="1630">
        <f t="shared" si="62"/>
        <v>4984</v>
      </c>
      <c r="M81" s="1630">
        <f t="shared" si="63"/>
        <v>4984</v>
      </c>
      <c r="N81" s="1625">
        <f t="shared" si="64"/>
        <v>3634.5219722731727</v>
      </c>
      <c r="O81" s="1629">
        <v>0.62780000000000002</v>
      </c>
      <c r="P81" s="1629">
        <v>0.37219999999999998</v>
      </c>
      <c r="Q81" s="1625">
        <f t="shared" si="65"/>
        <v>2281.7528941930977</v>
      </c>
      <c r="R81" s="1628">
        <f t="shared" si="66"/>
        <v>1352.7690780800747</v>
      </c>
      <c r="S81" s="1627">
        <f t="shared" si="67"/>
        <v>2509.7090780800754</v>
      </c>
      <c r="T81" s="1627">
        <f t="shared" si="68"/>
        <v>2474.2909219199255</v>
      </c>
      <c r="U81" s="1626">
        <f t="shared" si="69"/>
        <v>627.42726952001885</v>
      </c>
      <c r="V81" s="1626">
        <f t="shared" si="70"/>
        <v>618.57273047998137</v>
      </c>
      <c r="W81" s="1625">
        <f t="shared" si="71"/>
        <v>1246.0000000000002</v>
      </c>
      <c r="X81" s="1614"/>
      <c r="Y81" s="1613"/>
      <c r="Z81" s="1612">
        <f t="shared" si="72"/>
        <v>0.57828941157592106</v>
      </c>
      <c r="AA81" s="1611"/>
      <c r="AB81" s="1611"/>
      <c r="AC81" s="1611"/>
      <c r="AD81" s="1611"/>
      <c r="AE81" s="1611"/>
      <c r="AF81" s="1611"/>
      <c r="AG81" s="1611"/>
      <c r="AH81" s="1611"/>
      <c r="AI81" s="1611"/>
      <c r="AJ81" s="1611"/>
      <c r="AK81" s="1611"/>
      <c r="AL81" s="1611"/>
      <c r="AM81" s="1611"/>
      <c r="AN81" s="1611"/>
      <c r="AO81" s="1611"/>
      <c r="AP81" s="1611"/>
      <c r="AQ81" s="1611"/>
    </row>
    <row r="82" spans="1:43" outlineLevel="2">
      <c r="A82" s="1638" t="s">
        <v>303</v>
      </c>
      <c r="B82" s="1637" t="s">
        <v>104</v>
      </c>
      <c r="C82" s="1636"/>
      <c r="D82" s="1635">
        <v>3</v>
      </c>
      <c r="E82" s="1634" t="s">
        <v>995</v>
      </c>
      <c r="F82" s="1633" t="s">
        <v>1071</v>
      </c>
      <c r="G82" s="1632">
        <v>4791.4619722731732</v>
      </c>
      <c r="H82" s="1632">
        <v>3827.06</v>
      </c>
      <c r="I82" s="1630">
        <f t="shared" si="60"/>
        <v>8618.5219722731727</v>
      </c>
      <c r="J82" s="1630">
        <f t="shared" si="61"/>
        <v>25855.56591681952</v>
      </c>
      <c r="K82" s="1631">
        <v>4984</v>
      </c>
      <c r="L82" s="1630">
        <f t="shared" si="62"/>
        <v>4984</v>
      </c>
      <c r="M82" s="1630">
        <f t="shared" si="63"/>
        <v>14952</v>
      </c>
      <c r="N82" s="1625">
        <f t="shared" si="64"/>
        <v>10903.56591681952</v>
      </c>
      <c r="O82" s="1629">
        <v>0.62780000000000002</v>
      </c>
      <c r="P82" s="1629">
        <v>0.37219999999999998</v>
      </c>
      <c r="Q82" s="1625">
        <f t="shared" si="65"/>
        <v>6845.2586825792951</v>
      </c>
      <c r="R82" s="1628">
        <f t="shared" si="66"/>
        <v>4058.3072342402252</v>
      </c>
      <c r="S82" s="1627">
        <f t="shared" si="67"/>
        <v>7529.1272342402244</v>
      </c>
      <c r="T82" s="1627">
        <f t="shared" si="68"/>
        <v>7422.8727657597756</v>
      </c>
      <c r="U82" s="1626">
        <f t="shared" si="69"/>
        <v>1882.2818085600561</v>
      </c>
      <c r="V82" s="1626">
        <f t="shared" si="70"/>
        <v>1855.7181914399439</v>
      </c>
      <c r="W82" s="1625">
        <f t="shared" si="71"/>
        <v>3738</v>
      </c>
      <c r="X82" s="1614"/>
      <c r="Y82" s="1613"/>
      <c r="Z82" s="1612">
        <f t="shared" si="72"/>
        <v>0.57828941157592106</v>
      </c>
      <c r="AA82" s="1611"/>
      <c r="AB82" s="1611"/>
      <c r="AC82" s="1611"/>
      <c r="AD82" s="1611"/>
      <c r="AE82" s="1611"/>
      <c r="AF82" s="1611"/>
      <c r="AG82" s="1611"/>
      <c r="AH82" s="1611"/>
      <c r="AI82" s="1611"/>
      <c r="AJ82" s="1611"/>
      <c r="AK82" s="1611"/>
      <c r="AL82" s="1611"/>
      <c r="AM82" s="1611"/>
      <c r="AN82" s="1611"/>
      <c r="AO82" s="1611"/>
      <c r="AP82" s="1611"/>
      <c r="AQ82" s="1611"/>
    </row>
    <row r="83" spans="1:43" outlineLevel="2">
      <c r="A83" s="1638" t="s">
        <v>303</v>
      </c>
      <c r="B83" s="1637" t="s">
        <v>104</v>
      </c>
      <c r="C83" s="1636"/>
      <c r="D83" s="1635">
        <v>1</v>
      </c>
      <c r="E83" s="1634" t="s">
        <v>995</v>
      </c>
      <c r="F83" s="1633" t="s">
        <v>1063</v>
      </c>
      <c r="G83" s="1632">
        <v>4791.4619722731732</v>
      </c>
      <c r="H83" s="1632">
        <v>3827.06</v>
      </c>
      <c r="I83" s="1630">
        <f t="shared" si="60"/>
        <v>8618.5219722731727</v>
      </c>
      <c r="J83" s="1630">
        <f t="shared" si="61"/>
        <v>8618.5219722731727</v>
      </c>
      <c r="K83" s="1631">
        <v>4984</v>
      </c>
      <c r="L83" s="1630">
        <f t="shared" si="62"/>
        <v>4984</v>
      </c>
      <c r="M83" s="1630">
        <f t="shared" si="63"/>
        <v>4984</v>
      </c>
      <c r="N83" s="1625">
        <f t="shared" si="64"/>
        <v>3634.5219722731727</v>
      </c>
      <c r="O83" s="1629">
        <v>0.62780000000000002</v>
      </c>
      <c r="P83" s="1629">
        <v>0.37219999999999998</v>
      </c>
      <c r="Q83" s="1625">
        <f t="shared" si="65"/>
        <v>2281.7528941930977</v>
      </c>
      <c r="R83" s="1628">
        <f t="shared" si="66"/>
        <v>1352.7690780800747</v>
      </c>
      <c r="S83" s="1627">
        <f t="shared" si="67"/>
        <v>2509.7090780800754</v>
      </c>
      <c r="T83" s="1627">
        <f t="shared" si="68"/>
        <v>2474.2909219199255</v>
      </c>
      <c r="U83" s="1626">
        <f t="shared" si="69"/>
        <v>627.42726952001885</v>
      </c>
      <c r="V83" s="1626">
        <f t="shared" si="70"/>
        <v>618.57273047998137</v>
      </c>
      <c r="W83" s="1625">
        <f t="shared" si="71"/>
        <v>1246.0000000000002</v>
      </c>
      <c r="X83" s="1614"/>
      <c r="Y83" s="1613"/>
      <c r="Z83" s="1612">
        <f t="shared" si="72"/>
        <v>0.57828941157592106</v>
      </c>
      <c r="AA83" s="1611"/>
      <c r="AB83" s="1611"/>
      <c r="AC83" s="1611"/>
      <c r="AD83" s="1611"/>
      <c r="AE83" s="1611"/>
      <c r="AF83" s="1611"/>
      <c r="AG83" s="1611"/>
      <c r="AH83" s="1611"/>
      <c r="AI83" s="1611"/>
      <c r="AJ83" s="1611"/>
      <c r="AK83" s="1611"/>
      <c r="AL83" s="1611"/>
      <c r="AM83" s="1611"/>
      <c r="AN83" s="1611"/>
      <c r="AO83" s="1611"/>
      <c r="AP83" s="1611"/>
      <c r="AQ83" s="1611"/>
    </row>
    <row r="84" spans="1:43" outlineLevel="2">
      <c r="A84" s="1638" t="s">
        <v>303</v>
      </c>
      <c r="B84" s="1637" t="s">
        <v>104</v>
      </c>
      <c r="C84" s="1636"/>
      <c r="D84" s="1635">
        <v>1</v>
      </c>
      <c r="E84" s="1634" t="s">
        <v>994</v>
      </c>
      <c r="F84" s="1633" t="s">
        <v>1068</v>
      </c>
      <c r="G84" s="1632">
        <v>4791.4619722731732</v>
      </c>
      <c r="H84" s="1632">
        <v>3827.06</v>
      </c>
      <c r="I84" s="1630">
        <f t="shared" si="60"/>
        <v>8618.5219722731727</v>
      </c>
      <c r="J84" s="1630">
        <f t="shared" si="61"/>
        <v>8618.5219722731727</v>
      </c>
      <c r="K84" s="1631">
        <v>4545</v>
      </c>
      <c r="L84" s="1630">
        <f t="shared" si="62"/>
        <v>4545</v>
      </c>
      <c r="M84" s="1630">
        <f t="shared" si="63"/>
        <v>4545</v>
      </c>
      <c r="N84" s="1625">
        <f t="shared" si="64"/>
        <v>4073.5219722731727</v>
      </c>
      <c r="O84" s="1629">
        <v>0.62780000000000002</v>
      </c>
      <c r="P84" s="1629">
        <v>0.37219999999999998</v>
      </c>
      <c r="Q84" s="1625">
        <f t="shared" si="65"/>
        <v>2557.357094193098</v>
      </c>
      <c r="R84" s="1628">
        <f t="shared" si="66"/>
        <v>1516.1648780800747</v>
      </c>
      <c r="S84" s="1627">
        <f t="shared" si="67"/>
        <v>2234.1048780800752</v>
      </c>
      <c r="T84" s="1627">
        <f t="shared" si="68"/>
        <v>2310.8951219199253</v>
      </c>
      <c r="U84" s="1626">
        <f t="shared" si="69"/>
        <v>558.5262195200188</v>
      </c>
      <c r="V84" s="1626">
        <f t="shared" si="70"/>
        <v>577.72378047998131</v>
      </c>
      <c r="W84" s="1625">
        <f t="shared" si="71"/>
        <v>1136.25</v>
      </c>
      <c r="X84" s="1614"/>
      <c r="Y84" s="1613"/>
      <c r="Z84" s="1612">
        <f t="shared" si="72"/>
        <v>0.52735260345356372</v>
      </c>
      <c r="AA84" s="1611"/>
      <c r="AB84" s="1611"/>
      <c r="AC84" s="1611"/>
      <c r="AD84" s="1611"/>
      <c r="AE84" s="1611"/>
      <c r="AF84" s="1611"/>
      <c r="AG84" s="1611"/>
      <c r="AH84" s="1611"/>
      <c r="AI84" s="1611"/>
      <c r="AJ84" s="1611"/>
      <c r="AK84" s="1611"/>
      <c r="AL84" s="1611"/>
      <c r="AM84" s="1611"/>
      <c r="AN84" s="1611"/>
      <c r="AO84" s="1611"/>
      <c r="AP84" s="1611"/>
      <c r="AQ84" s="1611"/>
    </row>
    <row r="85" spans="1:43" outlineLevel="2">
      <c r="A85" s="1638" t="s">
        <v>303</v>
      </c>
      <c r="B85" s="1637" t="s">
        <v>104</v>
      </c>
      <c r="C85" s="1636"/>
      <c r="D85" s="1635">
        <v>1</v>
      </c>
      <c r="E85" s="1634" t="s">
        <v>994</v>
      </c>
      <c r="F85" s="1633" t="s">
        <v>1071</v>
      </c>
      <c r="G85" s="1632">
        <v>4791.4619722731732</v>
      </c>
      <c r="H85" s="1632">
        <v>3827.06</v>
      </c>
      <c r="I85" s="1630">
        <f t="shared" si="60"/>
        <v>8618.5219722731727</v>
      </c>
      <c r="J85" s="1630">
        <f t="shared" si="61"/>
        <v>8618.5219722731727</v>
      </c>
      <c r="K85" s="1631">
        <v>4545</v>
      </c>
      <c r="L85" s="1630">
        <f t="shared" si="62"/>
        <v>4545</v>
      </c>
      <c r="M85" s="1630">
        <f t="shared" si="63"/>
        <v>4545</v>
      </c>
      <c r="N85" s="1625">
        <f t="shared" si="64"/>
        <v>4073.5219722731727</v>
      </c>
      <c r="O85" s="1629">
        <v>0.62780000000000002</v>
      </c>
      <c r="P85" s="1629">
        <v>0.37219999999999998</v>
      </c>
      <c r="Q85" s="1625">
        <f t="shared" si="65"/>
        <v>2557.357094193098</v>
      </c>
      <c r="R85" s="1628">
        <f t="shared" si="66"/>
        <v>1516.1648780800747</v>
      </c>
      <c r="S85" s="1627">
        <f t="shared" si="67"/>
        <v>2234.1048780800752</v>
      </c>
      <c r="T85" s="1627">
        <f t="shared" si="68"/>
        <v>2310.8951219199253</v>
      </c>
      <c r="U85" s="1626">
        <f t="shared" si="69"/>
        <v>558.5262195200188</v>
      </c>
      <c r="V85" s="1626">
        <f t="shared" si="70"/>
        <v>577.72378047998131</v>
      </c>
      <c r="W85" s="1625">
        <f t="shared" si="71"/>
        <v>1136.25</v>
      </c>
      <c r="X85" s="1614"/>
      <c r="Y85" s="1613"/>
      <c r="Z85" s="1612">
        <f t="shared" si="72"/>
        <v>0.52735260345356372</v>
      </c>
      <c r="AA85" s="1611"/>
      <c r="AB85" s="1611"/>
      <c r="AC85" s="1611"/>
      <c r="AD85" s="1611"/>
      <c r="AE85" s="1611"/>
      <c r="AF85" s="1611"/>
      <c r="AG85" s="1611"/>
      <c r="AH85" s="1611"/>
      <c r="AI85" s="1611"/>
      <c r="AJ85" s="1611"/>
      <c r="AK85" s="1611"/>
      <c r="AL85" s="1611"/>
      <c r="AM85" s="1611"/>
      <c r="AN85" s="1611"/>
      <c r="AO85" s="1611"/>
      <c r="AP85" s="1611"/>
      <c r="AQ85" s="1611"/>
    </row>
    <row r="86" spans="1:43" outlineLevel="2">
      <c r="A86" s="1638" t="s">
        <v>303</v>
      </c>
      <c r="B86" s="1637" t="s">
        <v>104</v>
      </c>
      <c r="C86" s="1636"/>
      <c r="D86" s="1635">
        <v>1</v>
      </c>
      <c r="E86" s="1634" t="s">
        <v>994</v>
      </c>
      <c r="F86" s="1633" t="s">
        <v>1065</v>
      </c>
      <c r="G86" s="1632">
        <v>4791.4619722731732</v>
      </c>
      <c r="H86" s="1632">
        <v>3827.06</v>
      </c>
      <c r="I86" s="1630">
        <f t="shared" si="60"/>
        <v>8618.5219722731727</v>
      </c>
      <c r="J86" s="1630">
        <f t="shared" si="61"/>
        <v>8618.5219722731727</v>
      </c>
      <c r="K86" s="1631">
        <v>4545</v>
      </c>
      <c r="L86" s="1630">
        <f t="shared" si="62"/>
        <v>4545</v>
      </c>
      <c r="M86" s="1630">
        <f t="shared" si="63"/>
        <v>4545</v>
      </c>
      <c r="N86" s="1625">
        <f t="shared" si="64"/>
        <v>4073.5219722731727</v>
      </c>
      <c r="O86" s="1629">
        <v>0.62780000000000002</v>
      </c>
      <c r="P86" s="1629">
        <v>0.37219999999999998</v>
      </c>
      <c r="Q86" s="1625">
        <f t="shared" si="65"/>
        <v>2557.357094193098</v>
      </c>
      <c r="R86" s="1628">
        <f t="shared" si="66"/>
        <v>1516.1648780800747</v>
      </c>
      <c r="S86" s="1627">
        <f t="shared" si="67"/>
        <v>2234.1048780800752</v>
      </c>
      <c r="T86" s="1627">
        <f t="shared" si="68"/>
        <v>2310.8951219199253</v>
      </c>
      <c r="U86" s="1626">
        <f t="shared" si="69"/>
        <v>558.5262195200188</v>
      </c>
      <c r="V86" s="1626">
        <f t="shared" si="70"/>
        <v>577.72378047998131</v>
      </c>
      <c r="W86" s="1625">
        <f t="shared" si="71"/>
        <v>1136.25</v>
      </c>
      <c r="X86" s="1614"/>
      <c r="Y86" s="1613"/>
      <c r="Z86" s="1612">
        <f t="shared" si="72"/>
        <v>0.52735260345356372</v>
      </c>
      <c r="AA86" s="1611"/>
      <c r="AB86" s="1611"/>
      <c r="AC86" s="1611"/>
      <c r="AD86" s="1611"/>
      <c r="AE86" s="1611"/>
      <c r="AF86" s="1611"/>
      <c r="AG86" s="1611"/>
      <c r="AH86" s="1611"/>
      <c r="AI86" s="1611"/>
      <c r="AJ86" s="1611"/>
      <c r="AK86" s="1611"/>
      <c r="AL86" s="1611"/>
      <c r="AM86" s="1611"/>
      <c r="AN86" s="1611"/>
      <c r="AO86" s="1611"/>
      <c r="AP86" s="1611"/>
      <c r="AQ86" s="1611"/>
    </row>
    <row r="87" spans="1:43" outlineLevel="2">
      <c r="A87" s="1638" t="s">
        <v>303</v>
      </c>
      <c r="B87" s="1637" t="s">
        <v>104</v>
      </c>
      <c r="C87" s="1636"/>
      <c r="D87" s="1635">
        <v>3</v>
      </c>
      <c r="E87" s="1634" t="s">
        <v>994</v>
      </c>
      <c r="F87" s="1633" t="s">
        <v>1064</v>
      </c>
      <c r="G87" s="1632">
        <v>4791.4619722731732</v>
      </c>
      <c r="H87" s="1632">
        <v>3827.06</v>
      </c>
      <c r="I87" s="1630">
        <f t="shared" si="60"/>
        <v>8618.5219722731727</v>
      </c>
      <c r="J87" s="1630">
        <f t="shared" si="61"/>
        <v>25855.56591681952</v>
      </c>
      <c r="K87" s="1631">
        <v>4545</v>
      </c>
      <c r="L87" s="1630">
        <f t="shared" si="62"/>
        <v>4545</v>
      </c>
      <c r="M87" s="1630">
        <f t="shared" si="63"/>
        <v>13635</v>
      </c>
      <c r="N87" s="1625">
        <f t="shared" si="64"/>
        <v>12220.56591681952</v>
      </c>
      <c r="O87" s="1629">
        <v>0.62780000000000002</v>
      </c>
      <c r="P87" s="1629">
        <v>0.37219999999999998</v>
      </c>
      <c r="Q87" s="1625">
        <f t="shared" si="65"/>
        <v>7672.0712825792953</v>
      </c>
      <c r="R87" s="1628">
        <f t="shared" si="66"/>
        <v>4548.4946342402245</v>
      </c>
      <c r="S87" s="1627">
        <f t="shared" si="67"/>
        <v>6702.3146342402242</v>
      </c>
      <c r="T87" s="1627">
        <f t="shared" si="68"/>
        <v>6932.6853657597758</v>
      </c>
      <c r="U87" s="1626">
        <f t="shared" si="69"/>
        <v>1675.5786585600561</v>
      </c>
      <c r="V87" s="1626">
        <f t="shared" si="70"/>
        <v>1733.1713414399439</v>
      </c>
      <c r="W87" s="1625">
        <f t="shared" si="71"/>
        <v>3408.75</v>
      </c>
      <c r="X87" s="1614"/>
      <c r="Y87" s="1613"/>
      <c r="Z87" s="1612">
        <f t="shared" si="72"/>
        <v>0.52735260345356372</v>
      </c>
      <c r="AA87" s="1611"/>
      <c r="AB87" s="1611"/>
      <c r="AC87" s="1611"/>
      <c r="AD87" s="1611"/>
      <c r="AE87" s="1611"/>
      <c r="AF87" s="1611"/>
      <c r="AG87" s="1611"/>
      <c r="AH87" s="1611"/>
      <c r="AI87" s="1611"/>
      <c r="AJ87" s="1611"/>
      <c r="AK87" s="1611"/>
      <c r="AL87" s="1611"/>
      <c r="AM87" s="1611"/>
      <c r="AN87" s="1611"/>
      <c r="AO87" s="1611"/>
      <c r="AP87" s="1611"/>
      <c r="AQ87" s="1611"/>
    </row>
    <row r="88" spans="1:43" outlineLevel="2">
      <c r="A88" s="1638" t="s">
        <v>303</v>
      </c>
      <c r="B88" s="1637" t="s">
        <v>104</v>
      </c>
      <c r="C88" s="1636"/>
      <c r="D88" s="1635">
        <v>2</v>
      </c>
      <c r="E88" s="1634" t="s">
        <v>994</v>
      </c>
      <c r="F88" s="1633" t="s">
        <v>1063</v>
      </c>
      <c r="G88" s="1632">
        <v>4791.4619722731732</v>
      </c>
      <c r="H88" s="1632">
        <v>3827.06</v>
      </c>
      <c r="I88" s="1630">
        <f t="shared" si="60"/>
        <v>8618.5219722731727</v>
      </c>
      <c r="J88" s="1630">
        <f t="shared" si="61"/>
        <v>17237.043944546345</v>
      </c>
      <c r="K88" s="1631">
        <v>4545</v>
      </c>
      <c r="L88" s="1630">
        <f t="shared" si="62"/>
        <v>4545</v>
      </c>
      <c r="M88" s="1630">
        <f t="shared" si="63"/>
        <v>9090</v>
      </c>
      <c r="N88" s="1625">
        <f t="shared" si="64"/>
        <v>8147.0439445463453</v>
      </c>
      <c r="O88" s="1629">
        <v>0.62780000000000002</v>
      </c>
      <c r="P88" s="1629">
        <v>0.37219999999999998</v>
      </c>
      <c r="Q88" s="1625">
        <f t="shared" si="65"/>
        <v>5114.7141883861959</v>
      </c>
      <c r="R88" s="1628">
        <f t="shared" si="66"/>
        <v>3032.3297561601494</v>
      </c>
      <c r="S88" s="1627">
        <f t="shared" si="67"/>
        <v>4468.2097561601504</v>
      </c>
      <c r="T88" s="1627">
        <f t="shared" si="68"/>
        <v>4621.7902438398505</v>
      </c>
      <c r="U88" s="1626">
        <f t="shared" si="69"/>
        <v>1117.0524390400376</v>
      </c>
      <c r="V88" s="1626">
        <f t="shared" si="70"/>
        <v>1155.4475609599626</v>
      </c>
      <c r="W88" s="1625">
        <f t="shared" si="71"/>
        <v>2272.5</v>
      </c>
      <c r="X88" s="1614"/>
      <c r="Y88" s="1613"/>
      <c r="Z88" s="1612">
        <f t="shared" si="72"/>
        <v>0.52735260345356372</v>
      </c>
      <c r="AA88" s="1611"/>
      <c r="AB88" s="1611"/>
      <c r="AC88" s="1611"/>
      <c r="AD88" s="1611"/>
      <c r="AE88" s="1611"/>
      <c r="AF88" s="1611"/>
      <c r="AG88" s="1611"/>
      <c r="AH88" s="1611"/>
      <c r="AI88" s="1611"/>
      <c r="AJ88" s="1611"/>
      <c r="AK88" s="1611"/>
      <c r="AL88" s="1611"/>
      <c r="AM88" s="1611"/>
      <c r="AN88" s="1611"/>
      <c r="AO88" s="1611"/>
      <c r="AP88" s="1611"/>
      <c r="AQ88" s="1611"/>
    </row>
    <row r="89" spans="1:43" outlineLevel="2">
      <c r="A89" s="1638" t="s">
        <v>303</v>
      </c>
      <c r="B89" s="1637" t="s">
        <v>104</v>
      </c>
      <c r="C89" s="1636"/>
      <c r="D89" s="1635">
        <v>3</v>
      </c>
      <c r="E89" s="1634" t="s">
        <v>994</v>
      </c>
      <c r="F89" s="1633" t="s">
        <v>1066</v>
      </c>
      <c r="G89" s="1632">
        <v>4791.4619722731732</v>
      </c>
      <c r="H89" s="1632">
        <v>3827.06</v>
      </c>
      <c r="I89" s="1630">
        <f t="shared" si="60"/>
        <v>8618.5219722731727</v>
      </c>
      <c r="J89" s="1630">
        <f t="shared" si="61"/>
        <v>25855.56591681952</v>
      </c>
      <c r="K89" s="1631">
        <v>4545</v>
      </c>
      <c r="L89" s="1630">
        <f t="shared" si="62"/>
        <v>4545</v>
      </c>
      <c r="M89" s="1630">
        <f t="shared" si="63"/>
        <v>13635</v>
      </c>
      <c r="N89" s="1625">
        <f t="shared" si="64"/>
        <v>12220.56591681952</v>
      </c>
      <c r="O89" s="1629">
        <v>0.62780000000000002</v>
      </c>
      <c r="P89" s="1629">
        <v>0.37219999999999998</v>
      </c>
      <c r="Q89" s="1625">
        <f t="shared" si="65"/>
        <v>7672.0712825792953</v>
      </c>
      <c r="R89" s="1628">
        <f t="shared" si="66"/>
        <v>4548.4946342402245</v>
      </c>
      <c r="S89" s="1627">
        <f t="shared" si="67"/>
        <v>6702.3146342402242</v>
      </c>
      <c r="T89" s="1627">
        <f t="shared" si="68"/>
        <v>6932.6853657597758</v>
      </c>
      <c r="U89" s="1626">
        <f t="shared" si="69"/>
        <v>1675.5786585600561</v>
      </c>
      <c r="V89" s="1626">
        <f t="shared" si="70"/>
        <v>1733.1713414399439</v>
      </c>
      <c r="W89" s="1625">
        <f t="shared" si="71"/>
        <v>3408.75</v>
      </c>
      <c r="X89" s="1614"/>
      <c r="Y89" s="1613"/>
      <c r="Z89" s="1612">
        <f t="shared" si="72"/>
        <v>0.52735260345356372</v>
      </c>
      <c r="AA89" s="1611"/>
      <c r="AB89" s="1611"/>
      <c r="AC89" s="1611"/>
      <c r="AD89" s="1611"/>
      <c r="AE89" s="1611"/>
      <c r="AF89" s="1611"/>
      <c r="AG89" s="1611"/>
      <c r="AH89" s="1611"/>
      <c r="AI89" s="1611"/>
      <c r="AJ89" s="1611"/>
      <c r="AK89" s="1611"/>
      <c r="AL89" s="1611"/>
      <c r="AM89" s="1611"/>
      <c r="AN89" s="1611"/>
      <c r="AO89" s="1611"/>
      <c r="AP89" s="1611"/>
      <c r="AQ89" s="1611"/>
    </row>
    <row r="90" spans="1:43" outlineLevel="2">
      <c r="A90" s="1638" t="s">
        <v>303</v>
      </c>
      <c r="B90" s="1637" t="s">
        <v>104</v>
      </c>
      <c r="C90" s="1636"/>
      <c r="D90" s="1635">
        <v>3</v>
      </c>
      <c r="E90" s="1634" t="s">
        <v>994</v>
      </c>
      <c r="F90" s="1633" t="s">
        <v>979</v>
      </c>
      <c r="G90" s="1632">
        <v>4791.4619722731732</v>
      </c>
      <c r="H90" s="1632">
        <v>3827.06</v>
      </c>
      <c r="I90" s="1630">
        <f t="shared" si="60"/>
        <v>8618.5219722731727</v>
      </c>
      <c r="J90" s="1630">
        <f t="shared" si="61"/>
        <v>25855.56591681952</v>
      </c>
      <c r="K90" s="1631">
        <v>4545</v>
      </c>
      <c r="L90" s="1630">
        <f t="shared" si="62"/>
        <v>4545</v>
      </c>
      <c r="M90" s="1630">
        <f t="shared" si="63"/>
        <v>13635</v>
      </c>
      <c r="N90" s="1625">
        <f t="shared" si="64"/>
        <v>12220.56591681952</v>
      </c>
      <c r="O90" s="1629">
        <v>0.62780000000000002</v>
      </c>
      <c r="P90" s="1629">
        <v>0.37219999999999998</v>
      </c>
      <c r="Q90" s="1625">
        <f t="shared" si="65"/>
        <v>7672.0712825792953</v>
      </c>
      <c r="R90" s="1628">
        <f t="shared" si="66"/>
        <v>4548.4946342402245</v>
      </c>
      <c r="S90" s="1627">
        <f t="shared" si="67"/>
        <v>6702.3146342402242</v>
      </c>
      <c r="T90" s="1627">
        <f t="shared" si="68"/>
        <v>6932.6853657597758</v>
      </c>
      <c r="U90" s="1626">
        <f t="shared" si="69"/>
        <v>1675.5786585600561</v>
      </c>
      <c r="V90" s="1626">
        <f t="shared" si="70"/>
        <v>1733.1713414399439</v>
      </c>
      <c r="W90" s="1625">
        <f t="shared" si="71"/>
        <v>3408.75</v>
      </c>
      <c r="X90" s="1614"/>
      <c r="Y90" s="1613"/>
      <c r="Z90" s="1612">
        <f t="shared" si="72"/>
        <v>0.52735260345356372</v>
      </c>
      <c r="AA90" s="1611"/>
      <c r="AB90" s="1611"/>
      <c r="AC90" s="1611"/>
      <c r="AD90" s="1611"/>
      <c r="AE90" s="1611"/>
      <c r="AF90" s="1611"/>
      <c r="AG90" s="1611"/>
      <c r="AH90" s="1611"/>
      <c r="AI90" s="1611"/>
      <c r="AJ90" s="1611"/>
      <c r="AK90" s="1611"/>
      <c r="AL90" s="1611"/>
      <c r="AM90" s="1611"/>
      <c r="AN90" s="1611"/>
      <c r="AO90" s="1611"/>
      <c r="AP90" s="1611"/>
      <c r="AQ90" s="1611"/>
    </row>
    <row r="91" spans="1:43" outlineLevel="1">
      <c r="A91" s="1624"/>
      <c r="B91" s="1623" t="s">
        <v>1118</v>
      </c>
      <c r="C91" s="1622"/>
      <c r="D91" s="1621">
        <f>SUBTOTAL(9,D80:D90)</f>
        <v>22</v>
      </c>
      <c r="E91" s="1620"/>
      <c r="F91" s="1639"/>
      <c r="G91" s="1639"/>
      <c r="H91" s="1639"/>
      <c r="I91" s="1616"/>
      <c r="J91" s="1616">
        <f>SUBTOTAL(9,J80:J90)</f>
        <v>189607.48339000982</v>
      </c>
      <c r="K91" s="1615"/>
      <c r="L91" s="1616"/>
      <c r="M91" s="1616">
        <f>SUBTOTAL(9,M80:M90)</f>
        <v>103502</v>
      </c>
      <c r="N91" s="1615">
        <f>SUBTOTAL(9,N80:N90)</f>
        <v>86105.483390009817</v>
      </c>
      <c r="O91" s="1616"/>
      <c r="P91" s="1616"/>
      <c r="Q91" s="1615">
        <f t="shared" ref="Q91:W91" si="73">SUBTOTAL(9,Q80:Q90)</f>
        <v>54057.022472248165</v>
      </c>
      <c r="R91" s="1615">
        <f t="shared" si="73"/>
        <v>32048.460917761651</v>
      </c>
      <c r="S91" s="1616">
        <f t="shared" si="73"/>
        <v>51355.140917761644</v>
      </c>
      <c r="T91" s="1616">
        <f t="shared" si="73"/>
        <v>52146.859082238356</v>
      </c>
      <c r="U91" s="1616">
        <f t="shared" si="73"/>
        <v>12838.785229440411</v>
      </c>
      <c r="V91" s="1616">
        <f t="shared" si="73"/>
        <v>13036.714770559589</v>
      </c>
      <c r="W91" s="1615">
        <f t="shared" si="73"/>
        <v>25875.5</v>
      </c>
      <c r="X91" s="1614"/>
      <c r="Y91" s="1613"/>
      <c r="Z91" s="1612"/>
      <c r="AA91" s="1611"/>
      <c r="AB91" s="1611"/>
      <c r="AC91" s="1611"/>
      <c r="AD91" s="1611"/>
      <c r="AE91" s="1611"/>
      <c r="AF91" s="1611"/>
      <c r="AG91" s="1611"/>
      <c r="AH91" s="1611"/>
      <c r="AI91" s="1611"/>
      <c r="AJ91" s="1611"/>
      <c r="AK91" s="1611"/>
      <c r="AL91" s="1611"/>
      <c r="AM91" s="1611"/>
      <c r="AN91" s="1611"/>
      <c r="AO91" s="1611"/>
      <c r="AP91" s="1611"/>
      <c r="AQ91" s="1611"/>
    </row>
    <row r="92" spans="1:43" outlineLevel="2">
      <c r="A92" s="1638" t="s">
        <v>304</v>
      </c>
      <c r="B92" s="1637" t="s">
        <v>105</v>
      </c>
      <c r="C92" s="1636"/>
      <c r="D92" s="1635">
        <v>1</v>
      </c>
      <c r="E92" s="1634" t="s">
        <v>993</v>
      </c>
      <c r="F92" s="1633" t="s">
        <v>1070</v>
      </c>
      <c r="G92" s="1632">
        <v>7481.0343405720205</v>
      </c>
      <c r="H92" s="1632">
        <v>3233.85</v>
      </c>
      <c r="I92" s="1630">
        <f t="shared" ref="I92:I98" si="74">G92+H92</f>
        <v>10714.88434057202</v>
      </c>
      <c r="J92" s="1630">
        <f t="shared" ref="J92:J98" si="75">D92*I92</f>
        <v>10714.88434057202</v>
      </c>
      <c r="K92" s="1631">
        <v>3600</v>
      </c>
      <c r="L92" s="1630">
        <f t="shared" ref="L92:L98" si="76">IF(I92&gt;K92,K92,I92)</f>
        <v>3600</v>
      </c>
      <c r="M92" s="1630">
        <f t="shared" ref="M92:M98" si="77">L92*D92</f>
        <v>3600</v>
      </c>
      <c r="N92" s="1625">
        <f t="shared" ref="N92:N98" si="78">J92-M92</f>
        <v>7114.8843405720199</v>
      </c>
      <c r="O92" s="1629">
        <v>0.83009999999999995</v>
      </c>
      <c r="P92" s="1629">
        <v>0.1699</v>
      </c>
      <c r="Q92" s="1625">
        <f t="shared" ref="Q92:Q98" si="79">N92*O92</f>
        <v>5906.0654911088332</v>
      </c>
      <c r="R92" s="1628">
        <f t="shared" ref="R92:R98" si="80">N92*P92</f>
        <v>1208.8188494631861</v>
      </c>
      <c r="S92" s="1627">
        <f t="shared" ref="S92:S98" si="81">(G92*D92)-Q92</f>
        <v>1574.9688494631873</v>
      </c>
      <c r="T92" s="1627">
        <f t="shared" ref="T92:T98" si="82">(H92*D92)-R92</f>
        <v>2025.0311505368138</v>
      </c>
      <c r="U92" s="1626">
        <f t="shared" ref="U92:V98" si="83">S92/4</f>
        <v>393.74221236579683</v>
      </c>
      <c r="V92" s="1626">
        <f t="shared" si="83"/>
        <v>506.25778763420345</v>
      </c>
      <c r="W92" s="1625">
        <f t="shared" ref="W92:W98" si="84">V92+U92</f>
        <v>900.00000000000023</v>
      </c>
      <c r="X92" s="1614"/>
      <c r="Y92" s="1613"/>
      <c r="Z92" s="1612">
        <f t="shared" ref="Z92:Z98" si="85">K92/I92</f>
        <v>0.33598122812847947</v>
      </c>
      <c r="AA92" s="1611"/>
      <c r="AB92" s="1611"/>
      <c r="AC92" s="1611"/>
      <c r="AD92" s="1611"/>
      <c r="AE92" s="1611"/>
      <c r="AF92" s="1611"/>
      <c r="AG92" s="1611"/>
      <c r="AH92" s="1611"/>
      <c r="AI92" s="1611"/>
      <c r="AJ92" s="1611"/>
      <c r="AK92" s="1611"/>
      <c r="AL92" s="1611"/>
      <c r="AM92" s="1611"/>
      <c r="AN92" s="1611"/>
      <c r="AO92" s="1611"/>
      <c r="AP92" s="1611"/>
      <c r="AQ92" s="1611"/>
    </row>
    <row r="93" spans="1:43" outlineLevel="2">
      <c r="A93" s="1638" t="s">
        <v>304</v>
      </c>
      <c r="B93" s="1637" t="s">
        <v>105</v>
      </c>
      <c r="C93" s="1636"/>
      <c r="D93" s="1635">
        <v>3</v>
      </c>
      <c r="E93" s="1634" t="s">
        <v>993</v>
      </c>
      <c r="F93" s="1633" t="s">
        <v>1069</v>
      </c>
      <c r="G93" s="1632">
        <v>7481.0343405720205</v>
      </c>
      <c r="H93" s="1632">
        <v>3233.85</v>
      </c>
      <c r="I93" s="1630">
        <f t="shared" si="74"/>
        <v>10714.88434057202</v>
      </c>
      <c r="J93" s="1630">
        <f t="shared" si="75"/>
        <v>32144.653021716062</v>
      </c>
      <c r="K93" s="1631">
        <v>3600</v>
      </c>
      <c r="L93" s="1630">
        <f t="shared" si="76"/>
        <v>3600</v>
      </c>
      <c r="M93" s="1630">
        <f t="shared" si="77"/>
        <v>10800</v>
      </c>
      <c r="N93" s="1625">
        <f t="shared" si="78"/>
        <v>21344.653021716062</v>
      </c>
      <c r="O93" s="1629">
        <v>0.83009999999999995</v>
      </c>
      <c r="P93" s="1629">
        <v>0.1699</v>
      </c>
      <c r="Q93" s="1625">
        <f t="shared" si="79"/>
        <v>17718.196473326501</v>
      </c>
      <c r="R93" s="1628">
        <f t="shared" si="80"/>
        <v>3626.456548389559</v>
      </c>
      <c r="S93" s="1627">
        <f t="shared" si="81"/>
        <v>4724.9065483895611</v>
      </c>
      <c r="T93" s="1627">
        <f t="shared" si="82"/>
        <v>6075.0934516104408</v>
      </c>
      <c r="U93" s="1626">
        <f t="shared" si="83"/>
        <v>1181.2266370973903</v>
      </c>
      <c r="V93" s="1626">
        <f t="shared" si="83"/>
        <v>1518.7733629026102</v>
      </c>
      <c r="W93" s="1625">
        <f t="shared" si="84"/>
        <v>2700.0000000000005</v>
      </c>
      <c r="X93" s="1614"/>
      <c r="Y93" s="1613"/>
      <c r="Z93" s="1612">
        <f t="shared" si="85"/>
        <v>0.33598122812847947</v>
      </c>
      <c r="AA93" s="1611"/>
      <c r="AB93" s="1611"/>
      <c r="AC93" s="1611"/>
      <c r="AD93" s="1611"/>
      <c r="AE93" s="1611"/>
      <c r="AF93" s="1611"/>
      <c r="AG93" s="1611"/>
      <c r="AH93" s="1611"/>
      <c r="AI93" s="1611"/>
      <c r="AJ93" s="1611"/>
      <c r="AK93" s="1611"/>
      <c r="AL93" s="1611"/>
      <c r="AM93" s="1611"/>
      <c r="AN93" s="1611"/>
      <c r="AO93" s="1611"/>
      <c r="AP93" s="1611"/>
      <c r="AQ93" s="1611"/>
    </row>
    <row r="94" spans="1:43" outlineLevel="2">
      <c r="A94" s="1638" t="s">
        <v>304</v>
      </c>
      <c r="B94" s="1637" t="s">
        <v>105</v>
      </c>
      <c r="C94" s="1636"/>
      <c r="D94" s="1635">
        <v>4</v>
      </c>
      <c r="E94" s="1634" t="s">
        <v>993</v>
      </c>
      <c r="F94" s="1633" t="s">
        <v>1068</v>
      </c>
      <c r="G94" s="1632">
        <v>7481.0343405720205</v>
      </c>
      <c r="H94" s="1632">
        <v>3233.85</v>
      </c>
      <c r="I94" s="1630">
        <f t="shared" si="74"/>
        <v>10714.88434057202</v>
      </c>
      <c r="J94" s="1630">
        <f t="shared" si="75"/>
        <v>42859.53736228808</v>
      </c>
      <c r="K94" s="1631">
        <v>3600</v>
      </c>
      <c r="L94" s="1630">
        <f t="shared" si="76"/>
        <v>3600</v>
      </c>
      <c r="M94" s="1630">
        <f t="shared" si="77"/>
        <v>14400</v>
      </c>
      <c r="N94" s="1625">
        <f t="shared" si="78"/>
        <v>28459.53736228808</v>
      </c>
      <c r="O94" s="1629">
        <v>0.83009999999999995</v>
      </c>
      <c r="P94" s="1629">
        <v>0.1699</v>
      </c>
      <c r="Q94" s="1625">
        <f t="shared" si="79"/>
        <v>23624.261964435333</v>
      </c>
      <c r="R94" s="1628">
        <f t="shared" si="80"/>
        <v>4835.2753978527444</v>
      </c>
      <c r="S94" s="1627">
        <f t="shared" si="81"/>
        <v>6299.8753978527493</v>
      </c>
      <c r="T94" s="1627">
        <f t="shared" si="82"/>
        <v>8100.1246021472552</v>
      </c>
      <c r="U94" s="1626">
        <f t="shared" si="83"/>
        <v>1574.9688494631873</v>
      </c>
      <c r="V94" s="1626">
        <f t="shared" si="83"/>
        <v>2025.0311505368138</v>
      </c>
      <c r="W94" s="1625">
        <f t="shared" si="84"/>
        <v>3600.0000000000009</v>
      </c>
      <c r="X94" s="1614"/>
      <c r="Y94" s="1613"/>
      <c r="Z94" s="1612">
        <f t="shared" si="85"/>
        <v>0.33598122812847947</v>
      </c>
      <c r="AA94" s="1611"/>
      <c r="AB94" s="1611"/>
      <c r="AC94" s="1611"/>
      <c r="AD94" s="1611"/>
      <c r="AE94" s="1611"/>
      <c r="AF94" s="1611"/>
      <c r="AG94" s="1611"/>
      <c r="AH94" s="1611"/>
      <c r="AI94" s="1611"/>
      <c r="AJ94" s="1611"/>
      <c r="AK94" s="1611"/>
      <c r="AL94" s="1611"/>
      <c r="AM94" s="1611"/>
      <c r="AN94" s="1611"/>
      <c r="AO94" s="1611"/>
      <c r="AP94" s="1611"/>
      <c r="AQ94" s="1611"/>
    </row>
    <row r="95" spans="1:43" outlineLevel="2">
      <c r="A95" s="1638" t="s">
        <v>304</v>
      </c>
      <c r="B95" s="1637" t="s">
        <v>105</v>
      </c>
      <c r="C95" s="1636"/>
      <c r="D95" s="1635">
        <v>2</v>
      </c>
      <c r="E95" s="1634" t="s">
        <v>993</v>
      </c>
      <c r="F95" s="1633" t="s">
        <v>1071</v>
      </c>
      <c r="G95" s="1632">
        <v>7481.0343405720205</v>
      </c>
      <c r="H95" s="1632">
        <v>3233.85</v>
      </c>
      <c r="I95" s="1630">
        <f t="shared" si="74"/>
        <v>10714.88434057202</v>
      </c>
      <c r="J95" s="1630">
        <f t="shared" si="75"/>
        <v>21429.76868114404</v>
      </c>
      <c r="K95" s="1631">
        <v>3600</v>
      </c>
      <c r="L95" s="1630">
        <f t="shared" si="76"/>
        <v>3600</v>
      </c>
      <c r="M95" s="1630">
        <f t="shared" si="77"/>
        <v>7200</v>
      </c>
      <c r="N95" s="1625">
        <f t="shared" si="78"/>
        <v>14229.76868114404</v>
      </c>
      <c r="O95" s="1629">
        <v>0.83009999999999995</v>
      </c>
      <c r="P95" s="1629">
        <v>0.1699</v>
      </c>
      <c r="Q95" s="1625">
        <f t="shared" si="79"/>
        <v>11812.130982217666</v>
      </c>
      <c r="R95" s="1628">
        <f t="shared" si="80"/>
        <v>2417.6376989263722</v>
      </c>
      <c r="S95" s="1627">
        <f t="shared" si="81"/>
        <v>3149.9376989263747</v>
      </c>
      <c r="T95" s="1627">
        <f t="shared" si="82"/>
        <v>4050.0623010736276</v>
      </c>
      <c r="U95" s="1626">
        <f t="shared" si="83"/>
        <v>787.48442473159366</v>
      </c>
      <c r="V95" s="1626">
        <f t="shared" si="83"/>
        <v>1012.5155752684069</v>
      </c>
      <c r="W95" s="1625">
        <f t="shared" si="84"/>
        <v>1800.0000000000005</v>
      </c>
      <c r="X95" s="1614"/>
      <c r="Y95" s="1613"/>
      <c r="Z95" s="1612">
        <f t="shared" si="85"/>
        <v>0.33598122812847947</v>
      </c>
      <c r="AA95" s="1611"/>
      <c r="AB95" s="1611"/>
      <c r="AC95" s="1611"/>
      <c r="AD95" s="1611"/>
      <c r="AE95" s="1611"/>
      <c r="AF95" s="1611"/>
      <c r="AG95" s="1611"/>
      <c r="AH95" s="1611"/>
      <c r="AI95" s="1611"/>
      <c r="AJ95" s="1611"/>
      <c r="AK95" s="1611"/>
      <c r="AL95" s="1611"/>
      <c r="AM95" s="1611"/>
      <c r="AN95" s="1611"/>
      <c r="AO95" s="1611"/>
      <c r="AP95" s="1611"/>
      <c r="AQ95" s="1611"/>
    </row>
    <row r="96" spans="1:43" outlineLevel="2">
      <c r="A96" s="1638" t="s">
        <v>304</v>
      </c>
      <c r="B96" s="1637" t="s">
        <v>105</v>
      </c>
      <c r="C96" s="1636"/>
      <c r="D96" s="1635">
        <v>2</v>
      </c>
      <c r="E96" s="1634" t="s">
        <v>993</v>
      </c>
      <c r="F96" s="1633" t="s">
        <v>1065</v>
      </c>
      <c r="G96" s="1632">
        <v>7481.0343405720205</v>
      </c>
      <c r="H96" s="1632">
        <v>3233.85</v>
      </c>
      <c r="I96" s="1630">
        <f t="shared" si="74"/>
        <v>10714.88434057202</v>
      </c>
      <c r="J96" s="1630">
        <f t="shared" si="75"/>
        <v>21429.76868114404</v>
      </c>
      <c r="K96" s="1631">
        <v>3600</v>
      </c>
      <c r="L96" s="1630">
        <f t="shared" si="76"/>
        <v>3600</v>
      </c>
      <c r="M96" s="1630">
        <f t="shared" si="77"/>
        <v>7200</v>
      </c>
      <c r="N96" s="1625">
        <f t="shared" si="78"/>
        <v>14229.76868114404</v>
      </c>
      <c r="O96" s="1629">
        <v>0.83009999999999995</v>
      </c>
      <c r="P96" s="1629">
        <v>0.1699</v>
      </c>
      <c r="Q96" s="1625">
        <f t="shared" si="79"/>
        <v>11812.130982217666</v>
      </c>
      <c r="R96" s="1628">
        <f t="shared" si="80"/>
        <v>2417.6376989263722</v>
      </c>
      <c r="S96" s="1627">
        <f t="shared" si="81"/>
        <v>3149.9376989263747</v>
      </c>
      <c r="T96" s="1627">
        <f t="shared" si="82"/>
        <v>4050.0623010736276</v>
      </c>
      <c r="U96" s="1626">
        <f t="shared" si="83"/>
        <v>787.48442473159366</v>
      </c>
      <c r="V96" s="1626">
        <f t="shared" si="83"/>
        <v>1012.5155752684069</v>
      </c>
      <c r="W96" s="1625">
        <f t="shared" si="84"/>
        <v>1800.0000000000005</v>
      </c>
      <c r="X96" s="1614"/>
      <c r="Y96" s="1613"/>
      <c r="Z96" s="1612">
        <f t="shared" si="85"/>
        <v>0.33598122812847947</v>
      </c>
      <c r="AA96" s="1611"/>
      <c r="AB96" s="1611"/>
      <c r="AC96" s="1611"/>
      <c r="AD96" s="1611"/>
      <c r="AE96" s="1611"/>
      <c r="AF96" s="1611"/>
      <c r="AG96" s="1611"/>
      <c r="AH96" s="1611"/>
      <c r="AI96" s="1611"/>
      <c r="AJ96" s="1611"/>
      <c r="AK96" s="1611"/>
      <c r="AL96" s="1611"/>
      <c r="AM96" s="1611"/>
      <c r="AN96" s="1611"/>
      <c r="AO96" s="1611"/>
      <c r="AP96" s="1611"/>
      <c r="AQ96" s="1611"/>
    </row>
    <row r="97" spans="1:43" outlineLevel="2">
      <c r="A97" s="1638" t="s">
        <v>304</v>
      </c>
      <c r="B97" s="1637" t="s">
        <v>105</v>
      </c>
      <c r="C97" s="1636"/>
      <c r="D97" s="1635">
        <v>1</v>
      </c>
      <c r="E97" s="1634" t="s">
        <v>993</v>
      </c>
      <c r="F97" s="1633" t="s">
        <v>1064</v>
      </c>
      <c r="G97" s="1632">
        <v>7481.0343405720205</v>
      </c>
      <c r="H97" s="1632">
        <v>3233.85</v>
      </c>
      <c r="I97" s="1630">
        <f t="shared" si="74"/>
        <v>10714.88434057202</v>
      </c>
      <c r="J97" s="1630">
        <f t="shared" si="75"/>
        <v>10714.88434057202</v>
      </c>
      <c r="K97" s="1631">
        <v>3600</v>
      </c>
      <c r="L97" s="1630">
        <f t="shared" si="76"/>
        <v>3600</v>
      </c>
      <c r="M97" s="1630">
        <f t="shared" si="77"/>
        <v>3600</v>
      </c>
      <c r="N97" s="1625">
        <f t="shared" si="78"/>
        <v>7114.8843405720199</v>
      </c>
      <c r="O97" s="1629">
        <v>0.83009999999999995</v>
      </c>
      <c r="P97" s="1629">
        <v>0.1699</v>
      </c>
      <c r="Q97" s="1625">
        <f t="shared" si="79"/>
        <v>5906.0654911088332</v>
      </c>
      <c r="R97" s="1628">
        <f t="shared" si="80"/>
        <v>1208.8188494631861</v>
      </c>
      <c r="S97" s="1627">
        <f t="shared" si="81"/>
        <v>1574.9688494631873</v>
      </c>
      <c r="T97" s="1627">
        <f t="shared" si="82"/>
        <v>2025.0311505368138</v>
      </c>
      <c r="U97" s="1626">
        <f t="shared" si="83"/>
        <v>393.74221236579683</v>
      </c>
      <c r="V97" s="1626">
        <f t="shared" si="83"/>
        <v>506.25778763420345</v>
      </c>
      <c r="W97" s="1625">
        <f t="shared" si="84"/>
        <v>900.00000000000023</v>
      </c>
      <c r="X97" s="1614"/>
      <c r="Y97" s="1613"/>
      <c r="Z97" s="1612">
        <f t="shared" si="85"/>
        <v>0.33598122812847947</v>
      </c>
      <c r="AA97" s="1611"/>
      <c r="AB97" s="1611"/>
      <c r="AC97" s="1611"/>
      <c r="AD97" s="1611"/>
      <c r="AE97" s="1611"/>
      <c r="AF97" s="1611"/>
      <c r="AG97" s="1611"/>
      <c r="AH97" s="1611"/>
      <c r="AI97" s="1611"/>
      <c r="AJ97" s="1611"/>
      <c r="AK97" s="1611"/>
      <c r="AL97" s="1611"/>
      <c r="AM97" s="1611"/>
      <c r="AN97" s="1611"/>
      <c r="AO97" s="1611"/>
      <c r="AP97" s="1611"/>
      <c r="AQ97" s="1611"/>
    </row>
    <row r="98" spans="1:43" outlineLevel="2">
      <c r="A98" s="1638" t="s">
        <v>304</v>
      </c>
      <c r="B98" s="1637" t="s">
        <v>105</v>
      </c>
      <c r="C98" s="1636"/>
      <c r="D98" s="1635">
        <v>1</v>
      </c>
      <c r="E98" s="1634" t="s">
        <v>993</v>
      </c>
      <c r="F98" s="1633" t="s">
        <v>1063</v>
      </c>
      <c r="G98" s="1632">
        <v>7481.0343405720205</v>
      </c>
      <c r="H98" s="1632">
        <v>3233.85</v>
      </c>
      <c r="I98" s="1630">
        <f t="shared" si="74"/>
        <v>10714.88434057202</v>
      </c>
      <c r="J98" s="1630">
        <f t="shared" si="75"/>
        <v>10714.88434057202</v>
      </c>
      <c r="K98" s="1631">
        <v>3600</v>
      </c>
      <c r="L98" s="1630">
        <f t="shared" si="76"/>
        <v>3600</v>
      </c>
      <c r="M98" s="1630">
        <f t="shared" si="77"/>
        <v>3600</v>
      </c>
      <c r="N98" s="1625">
        <f t="shared" si="78"/>
        <v>7114.8843405720199</v>
      </c>
      <c r="O98" s="1629">
        <v>0.83009999999999995</v>
      </c>
      <c r="P98" s="1629">
        <v>0.1699</v>
      </c>
      <c r="Q98" s="1625">
        <f t="shared" si="79"/>
        <v>5906.0654911088332</v>
      </c>
      <c r="R98" s="1628">
        <f t="shared" si="80"/>
        <v>1208.8188494631861</v>
      </c>
      <c r="S98" s="1627">
        <f t="shared" si="81"/>
        <v>1574.9688494631873</v>
      </c>
      <c r="T98" s="1627">
        <f t="shared" si="82"/>
        <v>2025.0311505368138</v>
      </c>
      <c r="U98" s="1626">
        <f t="shared" si="83"/>
        <v>393.74221236579683</v>
      </c>
      <c r="V98" s="1626">
        <f t="shared" si="83"/>
        <v>506.25778763420345</v>
      </c>
      <c r="W98" s="1625">
        <f t="shared" si="84"/>
        <v>900.00000000000023</v>
      </c>
      <c r="X98" s="1614"/>
      <c r="Y98" s="1613"/>
      <c r="Z98" s="1612">
        <f t="shared" si="85"/>
        <v>0.33598122812847947</v>
      </c>
      <c r="AA98" s="1611"/>
      <c r="AB98" s="1611"/>
      <c r="AC98" s="1611"/>
      <c r="AD98" s="1611"/>
      <c r="AE98" s="1611"/>
      <c r="AF98" s="1611"/>
      <c r="AG98" s="1611"/>
      <c r="AH98" s="1611"/>
      <c r="AI98" s="1611"/>
      <c r="AJ98" s="1611"/>
      <c r="AK98" s="1611"/>
      <c r="AL98" s="1611"/>
      <c r="AM98" s="1611"/>
      <c r="AN98" s="1611"/>
      <c r="AO98" s="1611"/>
      <c r="AP98" s="1611"/>
      <c r="AQ98" s="1611"/>
    </row>
    <row r="99" spans="1:43" outlineLevel="1">
      <c r="A99" s="1624"/>
      <c r="B99" s="1623" t="s">
        <v>1117</v>
      </c>
      <c r="C99" s="1622"/>
      <c r="D99" s="1621">
        <f>SUBTOTAL(9,D92:D98)</f>
        <v>14</v>
      </c>
      <c r="E99" s="1620"/>
      <c r="F99" s="1639"/>
      <c r="G99" s="1639"/>
      <c r="H99" s="1639"/>
      <c r="I99" s="1616"/>
      <c r="J99" s="1616">
        <f>SUBTOTAL(9,J92:J98)</f>
        <v>150008.38076800827</v>
      </c>
      <c r="K99" s="1615"/>
      <c r="L99" s="1616"/>
      <c r="M99" s="1616">
        <f>SUBTOTAL(9,M92:M98)</f>
        <v>50400</v>
      </c>
      <c r="N99" s="1615">
        <f>SUBTOTAL(9,N92:N98)</f>
        <v>99608.380768008283</v>
      </c>
      <c r="O99" s="1616"/>
      <c r="P99" s="1616"/>
      <c r="Q99" s="1615">
        <f t="shared" ref="Q99:W99" si="86">SUBTOTAL(9,Q92:Q98)</f>
        <v>82684.916875523675</v>
      </c>
      <c r="R99" s="1615">
        <f t="shared" si="86"/>
        <v>16923.463892484608</v>
      </c>
      <c r="S99" s="1616">
        <f t="shared" si="86"/>
        <v>22049.563892484624</v>
      </c>
      <c r="T99" s="1616">
        <f t="shared" si="86"/>
        <v>28350.436107515394</v>
      </c>
      <c r="U99" s="1616">
        <f t="shared" si="86"/>
        <v>5512.3909731211561</v>
      </c>
      <c r="V99" s="1616">
        <f t="shared" si="86"/>
        <v>7087.6090268788485</v>
      </c>
      <c r="W99" s="1615">
        <f t="shared" si="86"/>
        <v>12600.000000000002</v>
      </c>
      <c r="X99" s="1614"/>
      <c r="Y99" s="1613"/>
      <c r="Z99" s="1612"/>
      <c r="AA99" s="1611"/>
      <c r="AB99" s="1611"/>
      <c r="AC99" s="1611"/>
      <c r="AD99" s="1611"/>
      <c r="AE99" s="1611"/>
      <c r="AF99" s="1611"/>
      <c r="AG99" s="1611"/>
      <c r="AH99" s="1611"/>
      <c r="AI99" s="1611"/>
      <c r="AJ99" s="1611"/>
      <c r="AK99" s="1611"/>
      <c r="AL99" s="1611"/>
      <c r="AM99" s="1611"/>
      <c r="AN99" s="1611"/>
      <c r="AO99" s="1611"/>
      <c r="AP99" s="1611"/>
      <c r="AQ99" s="1611"/>
    </row>
    <row r="100" spans="1:43" outlineLevel="2">
      <c r="A100" s="1638" t="s">
        <v>305</v>
      </c>
      <c r="B100" s="1637" t="s">
        <v>111</v>
      </c>
      <c r="C100" s="1636"/>
      <c r="D100" s="1635">
        <v>5</v>
      </c>
      <c r="E100" s="1634" t="s">
        <v>988</v>
      </c>
      <c r="F100" s="1633" t="s">
        <v>1069</v>
      </c>
      <c r="G100" s="1632">
        <v>4101.8770264142995</v>
      </c>
      <c r="H100" s="1632">
        <v>4550.6400000000003</v>
      </c>
      <c r="I100" s="1630">
        <f t="shared" ref="I100:I131" si="87">G100+H100</f>
        <v>8652.5170264142998</v>
      </c>
      <c r="J100" s="1630">
        <f t="shared" ref="J100:J131" si="88">D100*I100</f>
        <v>43262.585132071501</v>
      </c>
      <c r="K100" s="1631">
        <v>5020</v>
      </c>
      <c r="L100" s="1630">
        <f t="shared" ref="L100:L131" si="89">IF(I100&gt;K100,K100,I100)</f>
        <v>5020</v>
      </c>
      <c r="M100" s="1630">
        <f t="shared" ref="M100:M131" si="90">L100*D100</f>
        <v>25100</v>
      </c>
      <c r="N100" s="1625">
        <f t="shared" ref="N100:N131" si="91">J100-M100</f>
        <v>18162.585132071501</v>
      </c>
      <c r="O100" s="1629">
        <v>0.48120000000000002</v>
      </c>
      <c r="P100" s="1629">
        <v>0.51880000000000004</v>
      </c>
      <c r="Q100" s="1625">
        <f t="shared" ref="Q100:Q131" si="92">N100*O100</f>
        <v>8739.8359655528075</v>
      </c>
      <c r="R100" s="1628">
        <f t="shared" ref="R100:R131" si="93">N100*P100</f>
        <v>9422.7491665186953</v>
      </c>
      <c r="S100" s="1627">
        <f t="shared" ref="S100:S131" si="94">(G100*D100)-Q100</f>
        <v>11769.549166518689</v>
      </c>
      <c r="T100" s="1627">
        <f t="shared" ref="T100:T131" si="95">(H100*D100)-R100</f>
        <v>13330.450833481305</v>
      </c>
      <c r="U100" s="1626">
        <f t="shared" ref="U100:U131" si="96">S100/4</f>
        <v>2942.3872916296723</v>
      </c>
      <c r="V100" s="1626">
        <f t="shared" ref="V100:V131" si="97">T100/4</f>
        <v>3332.6127083703263</v>
      </c>
      <c r="W100" s="1625">
        <f t="shared" ref="W100:W131" si="98">V100+U100</f>
        <v>6274.9999999999982</v>
      </c>
      <c r="X100" s="1614"/>
      <c r="Y100" s="1613"/>
      <c r="Z100" s="1612">
        <f t="shared" ref="Z100:Z131" si="99">K100/I100</f>
        <v>0.58017799730124819</v>
      </c>
      <c r="AA100" s="1611"/>
      <c r="AB100" s="1611"/>
      <c r="AC100" s="1611"/>
      <c r="AD100" s="1611"/>
      <c r="AE100" s="1611"/>
      <c r="AF100" s="1611"/>
      <c r="AG100" s="1611"/>
      <c r="AH100" s="1611"/>
      <c r="AI100" s="1611"/>
      <c r="AJ100" s="1611"/>
      <c r="AK100" s="1611"/>
      <c r="AL100" s="1611"/>
      <c r="AM100" s="1611"/>
      <c r="AN100" s="1611"/>
      <c r="AO100" s="1611"/>
      <c r="AP100" s="1611"/>
      <c r="AQ100" s="1611"/>
    </row>
    <row r="101" spans="1:43" outlineLevel="2">
      <c r="A101" s="1638" t="s">
        <v>305</v>
      </c>
      <c r="B101" s="1637" t="s">
        <v>111</v>
      </c>
      <c r="C101" s="1636"/>
      <c r="D101" s="1635">
        <v>1</v>
      </c>
      <c r="E101" s="1634" t="s">
        <v>988</v>
      </c>
      <c r="F101" s="1633" t="s">
        <v>1070</v>
      </c>
      <c r="G101" s="1632">
        <v>4101.8770264142995</v>
      </c>
      <c r="H101" s="1632">
        <v>4550.6400000000003</v>
      </c>
      <c r="I101" s="1630">
        <f t="shared" si="87"/>
        <v>8652.5170264142998</v>
      </c>
      <c r="J101" s="1630">
        <f t="shared" si="88"/>
        <v>8652.5170264142998</v>
      </c>
      <c r="K101" s="1631">
        <v>5020</v>
      </c>
      <c r="L101" s="1630">
        <f t="shared" si="89"/>
        <v>5020</v>
      </c>
      <c r="M101" s="1630">
        <f t="shared" si="90"/>
        <v>5020</v>
      </c>
      <c r="N101" s="1625">
        <f t="shared" si="91"/>
        <v>3632.5170264142998</v>
      </c>
      <c r="O101" s="1629">
        <v>0.48120000000000002</v>
      </c>
      <c r="P101" s="1629">
        <v>0.51880000000000004</v>
      </c>
      <c r="Q101" s="1625">
        <f t="shared" si="92"/>
        <v>1747.9671931105611</v>
      </c>
      <c r="R101" s="1628">
        <f t="shared" si="93"/>
        <v>1884.549833303739</v>
      </c>
      <c r="S101" s="1627">
        <f t="shared" si="94"/>
        <v>2353.9098333037382</v>
      </c>
      <c r="T101" s="1627">
        <f t="shared" si="95"/>
        <v>2666.0901666962613</v>
      </c>
      <c r="U101" s="1626">
        <f t="shared" si="96"/>
        <v>588.47745832593455</v>
      </c>
      <c r="V101" s="1626">
        <f t="shared" si="97"/>
        <v>666.52254167406534</v>
      </c>
      <c r="W101" s="1625">
        <f t="shared" si="98"/>
        <v>1255</v>
      </c>
      <c r="X101" s="1614"/>
      <c r="Y101" s="1613"/>
      <c r="Z101" s="1612">
        <f t="shared" si="99"/>
        <v>0.58017799730124819</v>
      </c>
      <c r="AA101" s="1611"/>
      <c r="AB101" s="1611"/>
      <c r="AC101" s="1611"/>
      <c r="AD101" s="1611"/>
      <c r="AE101" s="1611"/>
      <c r="AF101" s="1611"/>
      <c r="AG101" s="1611"/>
      <c r="AH101" s="1611"/>
      <c r="AI101" s="1611"/>
      <c r="AJ101" s="1611"/>
      <c r="AK101" s="1611"/>
      <c r="AL101" s="1611"/>
      <c r="AM101" s="1611"/>
      <c r="AN101" s="1611"/>
      <c r="AO101" s="1611"/>
      <c r="AP101" s="1611"/>
      <c r="AQ101" s="1611"/>
    </row>
    <row r="102" spans="1:43" outlineLevel="2">
      <c r="A102" s="1638" t="s">
        <v>305</v>
      </c>
      <c r="B102" s="1637" t="s">
        <v>111</v>
      </c>
      <c r="C102" s="1636"/>
      <c r="D102" s="1635">
        <v>9</v>
      </c>
      <c r="E102" s="1634" t="s">
        <v>884</v>
      </c>
      <c r="F102" s="1633" t="s">
        <v>1072</v>
      </c>
      <c r="G102" s="1632">
        <v>4101.8770264142995</v>
      </c>
      <c r="H102" s="1632">
        <v>4550.6400000000003</v>
      </c>
      <c r="I102" s="1630">
        <f t="shared" si="87"/>
        <v>8652.5170264142998</v>
      </c>
      <c r="J102" s="1630">
        <f t="shared" si="88"/>
        <v>77872.653237728693</v>
      </c>
      <c r="K102" s="1631">
        <v>8421</v>
      </c>
      <c r="L102" s="1630">
        <f t="shared" si="89"/>
        <v>8421</v>
      </c>
      <c r="M102" s="1630">
        <f t="shared" si="90"/>
        <v>75789</v>
      </c>
      <c r="N102" s="1625">
        <f t="shared" si="91"/>
        <v>2083.6532377286931</v>
      </c>
      <c r="O102" s="1629">
        <v>0.48120000000000002</v>
      </c>
      <c r="P102" s="1629">
        <v>0.51880000000000004</v>
      </c>
      <c r="Q102" s="1625">
        <f t="shared" si="92"/>
        <v>1002.6539379950472</v>
      </c>
      <c r="R102" s="1628">
        <f t="shared" si="93"/>
        <v>1080.999299733646</v>
      </c>
      <c r="S102" s="1627">
        <f t="shared" si="94"/>
        <v>35914.23929973365</v>
      </c>
      <c r="T102" s="1627">
        <f t="shared" si="95"/>
        <v>39874.760700266357</v>
      </c>
      <c r="U102" s="1626">
        <f t="shared" si="96"/>
        <v>8978.5598249334125</v>
      </c>
      <c r="V102" s="1626">
        <f t="shared" si="97"/>
        <v>9968.6901750665893</v>
      </c>
      <c r="W102" s="1625">
        <f t="shared" si="98"/>
        <v>18947.25</v>
      </c>
      <c r="X102" s="1614"/>
      <c r="Y102" s="1613"/>
      <c r="Z102" s="1612">
        <f t="shared" si="99"/>
        <v>0.97324281180753214</v>
      </c>
      <c r="AA102" s="1611"/>
      <c r="AB102" s="1611"/>
      <c r="AC102" s="1611"/>
      <c r="AD102" s="1611"/>
      <c r="AE102" s="1611"/>
      <c r="AF102" s="1611"/>
      <c r="AG102" s="1611"/>
      <c r="AH102" s="1611"/>
      <c r="AI102" s="1611"/>
      <c r="AJ102" s="1611"/>
      <c r="AK102" s="1611"/>
      <c r="AL102" s="1611"/>
      <c r="AM102" s="1611"/>
      <c r="AN102" s="1611"/>
      <c r="AO102" s="1611"/>
      <c r="AP102" s="1611"/>
      <c r="AQ102" s="1611"/>
    </row>
    <row r="103" spans="1:43" outlineLevel="2">
      <c r="A103" s="1638" t="s">
        <v>305</v>
      </c>
      <c r="B103" s="1637" t="s">
        <v>111</v>
      </c>
      <c r="C103" s="1636"/>
      <c r="D103" s="1635">
        <v>1</v>
      </c>
      <c r="E103" s="1634" t="s">
        <v>987</v>
      </c>
      <c r="F103" s="1633" t="s">
        <v>1072</v>
      </c>
      <c r="G103" s="1632">
        <v>4101.8770264142995</v>
      </c>
      <c r="H103" s="1632">
        <v>4550.6400000000003</v>
      </c>
      <c r="I103" s="1630">
        <f t="shared" si="87"/>
        <v>8652.5170264142998</v>
      </c>
      <c r="J103" s="1630">
        <f t="shared" si="88"/>
        <v>8652.5170264142998</v>
      </c>
      <c r="K103" s="1631">
        <v>8736</v>
      </c>
      <c r="L103" s="1630">
        <f t="shared" si="89"/>
        <v>8652.5170264142998</v>
      </c>
      <c r="M103" s="1630">
        <f t="shared" si="90"/>
        <v>8652.5170264142998</v>
      </c>
      <c r="N103" s="1625">
        <f t="shared" si="91"/>
        <v>0</v>
      </c>
      <c r="O103" s="1629">
        <v>0.48120000000000002</v>
      </c>
      <c r="P103" s="1629">
        <v>0.51880000000000004</v>
      </c>
      <c r="Q103" s="1625">
        <f t="shared" si="92"/>
        <v>0</v>
      </c>
      <c r="R103" s="1628">
        <f t="shared" si="93"/>
        <v>0</v>
      </c>
      <c r="S103" s="1627">
        <f t="shared" si="94"/>
        <v>4101.8770264142995</v>
      </c>
      <c r="T103" s="1627">
        <f t="shared" si="95"/>
        <v>4550.6400000000003</v>
      </c>
      <c r="U103" s="1626">
        <f t="shared" si="96"/>
        <v>1025.4692566035749</v>
      </c>
      <c r="V103" s="1626">
        <f t="shared" si="97"/>
        <v>1137.6600000000001</v>
      </c>
      <c r="W103" s="1625">
        <f t="shared" si="98"/>
        <v>2163.129256603575</v>
      </c>
      <c r="X103" s="1614"/>
      <c r="Y103" s="1613"/>
      <c r="Z103" s="1612">
        <f t="shared" si="99"/>
        <v>1.0096484032716544</v>
      </c>
      <c r="AA103" s="1611"/>
      <c r="AB103" s="1611"/>
      <c r="AC103" s="1611"/>
      <c r="AD103" s="1611"/>
      <c r="AE103" s="1611"/>
      <c r="AF103" s="1611"/>
      <c r="AG103" s="1611"/>
      <c r="AH103" s="1611"/>
      <c r="AI103" s="1611"/>
      <c r="AJ103" s="1611"/>
      <c r="AK103" s="1611"/>
      <c r="AL103" s="1611"/>
      <c r="AM103" s="1611"/>
      <c r="AN103" s="1611"/>
      <c r="AO103" s="1611"/>
      <c r="AP103" s="1611"/>
      <c r="AQ103" s="1611"/>
    </row>
    <row r="104" spans="1:43" outlineLevel="2">
      <c r="A104" s="1638" t="s">
        <v>305</v>
      </c>
      <c r="B104" s="1637" t="s">
        <v>111</v>
      </c>
      <c r="C104" s="1636"/>
      <c r="D104" s="1635">
        <v>1</v>
      </c>
      <c r="E104" s="1634" t="s">
        <v>960</v>
      </c>
      <c r="F104" s="1633" t="s">
        <v>1069</v>
      </c>
      <c r="G104" s="1632">
        <v>4101.8770264142995</v>
      </c>
      <c r="H104" s="1632">
        <v>4550.6400000000003</v>
      </c>
      <c r="I104" s="1630">
        <f t="shared" si="87"/>
        <v>8652.5170264142998</v>
      </c>
      <c r="J104" s="1630">
        <f t="shared" si="88"/>
        <v>8652.5170264142998</v>
      </c>
      <c r="K104" s="1631">
        <v>4997</v>
      </c>
      <c r="L104" s="1630">
        <f t="shared" si="89"/>
        <v>4997</v>
      </c>
      <c r="M104" s="1630">
        <f t="shared" si="90"/>
        <v>4997</v>
      </c>
      <c r="N104" s="1625">
        <f t="shared" si="91"/>
        <v>3655.5170264142998</v>
      </c>
      <c r="O104" s="1629">
        <v>0.48120000000000002</v>
      </c>
      <c r="P104" s="1629">
        <v>0.51880000000000004</v>
      </c>
      <c r="Q104" s="1625">
        <f t="shared" si="92"/>
        <v>1759.0347931105612</v>
      </c>
      <c r="R104" s="1628">
        <f t="shared" si="93"/>
        <v>1896.4822333037389</v>
      </c>
      <c r="S104" s="1627">
        <f t="shared" si="94"/>
        <v>2342.8422333037383</v>
      </c>
      <c r="T104" s="1627">
        <f t="shared" si="95"/>
        <v>2654.1577666962612</v>
      </c>
      <c r="U104" s="1626">
        <f t="shared" si="96"/>
        <v>585.71055832593458</v>
      </c>
      <c r="V104" s="1626">
        <f t="shared" si="97"/>
        <v>663.5394416740653</v>
      </c>
      <c r="W104" s="1625">
        <f t="shared" si="98"/>
        <v>1249.25</v>
      </c>
      <c r="X104" s="1614"/>
      <c r="Y104" s="1613"/>
      <c r="Z104" s="1612">
        <f t="shared" si="99"/>
        <v>0.57751981125783614</v>
      </c>
      <c r="AA104" s="1611"/>
      <c r="AB104" s="1611"/>
      <c r="AC104" s="1611"/>
      <c r="AD104" s="1611"/>
      <c r="AE104" s="1611"/>
      <c r="AF104" s="1611"/>
      <c r="AG104" s="1611"/>
      <c r="AH104" s="1611"/>
      <c r="AI104" s="1611"/>
      <c r="AJ104" s="1611"/>
      <c r="AK104" s="1611"/>
      <c r="AL104" s="1611"/>
      <c r="AM104" s="1611"/>
      <c r="AN104" s="1611"/>
      <c r="AO104" s="1611"/>
      <c r="AP104" s="1611"/>
      <c r="AQ104" s="1611"/>
    </row>
    <row r="105" spans="1:43" outlineLevel="2">
      <c r="A105" s="1638" t="s">
        <v>305</v>
      </c>
      <c r="B105" s="1637" t="s">
        <v>111</v>
      </c>
      <c r="C105" s="1636"/>
      <c r="D105" s="1635">
        <v>11</v>
      </c>
      <c r="E105" s="1634" t="s">
        <v>880</v>
      </c>
      <c r="F105" s="1633" t="s">
        <v>1070</v>
      </c>
      <c r="G105" s="1632">
        <v>4101.8770264142995</v>
      </c>
      <c r="H105" s="1632">
        <v>4550.6400000000003</v>
      </c>
      <c r="I105" s="1630">
        <f t="shared" si="87"/>
        <v>8652.5170264142998</v>
      </c>
      <c r="J105" s="1630">
        <f t="shared" si="88"/>
        <v>95177.687290557296</v>
      </c>
      <c r="K105" s="1631">
        <v>4130</v>
      </c>
      <c r="L105" s="1630">
        <f t="shared" si="89"/>
        <v>4130</v>
      </c>
      <c r="M105" s="1630">
        <f t="shared" si="90"/>
        <v>45430</v>
      </c>
      <c r="N105" s="1625">
        <f t="shared" si="91"/>
        <v>49747.687290557296</v>
      </c>
      <c r="O105" s="1629">
        <v>0.48120000000000002</v>
      </c>
      <c r="P105" s="1629">
        <v>0.51880000000000004</v>
      </c>
      <c r="Q105" s="1625">
        <f t="shared" si="92"/>
        <v>23938.58712421617</v>
      </c>
      <c r="R105" s="1628">
        <f t="shared" si="93"/>
        <v>25809.100166341126</v>
      </c>
      <c r="S105" s="1627">
        <f t="shared" si="94"/>
        <v>21182.060166341125</v>
      </c>
      <c r="T105" s="1627">
        <f t="shared" si="95"/>
        <v>24247.939833658875</v>
      </c>
      <c r="U105" s="1626">
        <f t="shared" si="96"/>
        <v>5295.5150415852813</v>
      </c>
      <c r="V105" s="1626">
        <f t="shared" si="97"/>
        <v>6061.9849584147187</v>
      </c>
      <c r="W105" s="1625">
        <f t="shared" si="98"/>
        <v>11357.5</v>
      </c>
      <c r="X105" s="1614"/>
      <c r="Y105" s="1613"/>
      <c r="Z105" s="1612">
        <f t="shared" si="99"/>
        <v>0.47731775475182375</v>
      </c>
      <c r="AA105" s="1611"/>
      <c r="AB105" s="1611"/>
      <c r="AC105" s="1611"/>
      <c r="AD105" s="1611"/>
      <c r="AE105" s="1611"/>
      <c r="AF105" s="1611"/>
      <c r="AG105" s="1611"/>
      <c r="AH105" s="1611"/>
      <c r="AI105" s="1611"/>
      <c r="AJ105" s="1611"/>
      <c r="AK105" s="1611"/>
      <c r="AL105" s="1611"/>
      <c r="AM105" s="1611"/>
      <c r="AN105" s="1611"/>
      <c r="AO105" s="1611"/>
      <c r="AP105" s="1611"/>
      <c r="AQ105" s="1611"/>
    </row>
    <row r="106" spans="1:43" outlineLevel="2">
      <c r="A106" s="1638" t="s">
        <v>305</v>
      </c>
      <c r="B106" s="1637" t="s">
        <v>111</v>
      </c>
      <c r="C106" s="1636"/>
      <c r="D106" s="1635">
        <v>8</v>
      </c>
      <c r="E106" s="1634" t="s">
        <v>880</v>
      </c>
      <c r="F106" s="1633" t="s">
        <v>1069</v>
      </c>
      <c r="G106" s="1632">
        <v>4101.8770264142995</v>
      </c>
      <c r="H106" s="1632">
        <v>4550.6400000000003</v>
      </c>
      <c r="I106" s="1630">
        <f t="shared" si="87"/>
        <v>8652.5170264142998</v>
      </c>
      <c r="J106" s="1630">
        <f t="shared" si="88"/>
        <v>69220.136211314399</v>
      </c>
      <c r="K106" s="1631">
        <v>4130</v>
      </c>
      <c r="L106" s="1630">
        <f t="shared" si="89"/>
        <v>4130</v>
      </c>
      <c r="M106" s="1630">
        <f t="shared" si="90"/>
        <v>33040</v>
      </c>
      <c r="N106" s="1625">
        <f t="shared" si="91"/>
        <v>36180.136211314399</v>
      </c>
      <c r="O106" s="1629">
        <v>0.48120000000000002</v>
      </c>
      <c r="P106" s="1629">
        <v>0.51880000000000004</v>
      </c>
      <c r="Q106" s="1625">
        <f t="shared" si="92"/>
        <v>17409.881544884491</v>
      </c>
      <c r="R106" s="1628">
        <f t="shared" si="93"/>
        <v>18770.254666429912</v>
      </c>
      <c r="S106" s="1627">
        <f t="shared" si="94"/>
        <v>15405.134666429905</v>
      </c>
      <c r="T106" s="1627">
        <f t="shared" si="95"/>
        <v>17634.865333570091</v>
      </c>
      <c r="U106" s="1626">
        <f t="shared" si="96"/>
        <v>3851.2836666074763</v>
      </c>
      <c r="V106" s="1626">
        <f t="shared" si="97"/>
        <v>4408.7163333925228</v>
      </c>
      <c r="W106" s="1625">
        <f t="shared" si="98"/>
        <v>8260</v>
      </c>
      <c r="X106" s="1614"/>
      <c r="Y106" s="1613"/>
      <c r="Z106" s="1612">
        <f t="shared" si="99"/>
        <v>0.47731775475182375</v>
      </c>
      <c r="AA106" s="1611"/>
      <c r="AB106" s="1611"/>
      <c r="AC106" s="1611"/>
      <c r="AD106" s="1611"/>
      <c r="AE106" s="1611"/>
      <c r="AF106" s="1611"/>
      <c r="AG106" s="1611"/>
      <c r="AH106" s="1611"/>
      <c r="AI106" s="1611"/>
      <c r="AJ106" s="1611"/>
      <c r="AK106" s="1611"/>
      <c r="AL106" s="1611"/>
      <c r="AM106" s="1611"/>
      <c r="AN106" s="1611"/>
      <c r="AO106" s="1611"/>
      <c r="AP106" s="1611"/>
      <c r="AQ106" s="1611"/>
    </row>
    <row r="107" spans="1:43" outlineLevel="2">
      <c r="A107" s="1638" t="s">
        <v>305</v>
      </c>
      <c r="B107" s="1637" t="s">
        <v>111</v>
      </c>
      <c r="C107" s="1636"/>
      <c r="D107" s="1635">
        <v>5</v>
      </c>
      <c r="E107" s="1634" t="s">
        <v>880</v>
      </c>
      <c r="F107" s="1633" t="s">
        <v>1068</v>
      </c>
      <c r="G107" s="1632">
        <v>4101.8770264142995</v>
      </c>
      <c r="H107" s="1632">
        <v>4550.6400000000003</v>
      </c>
      <c r="I107" s="1630">
        <f t="shared" si="87"/>
        <v>8652.5170264142998</v>
      </c>
      <c r="J107" s="1630">
        <f t="shared" si="88"/>
        <v>43262.585132071501</v>
      </c>
      <c r="K107" s="1631">
        <v>4130</v>
      </c>
      <c r="L107" s="1630">
        <f t="shared" si="89"/>
        <v>4130</v>
      </c>
      <c r="M107" s="1630">
        <f t="shared" si="90"/>
        <v>20650</v>
      </c>
      <c r="N107" s="1625">
        <f t="shared" si="91"/>
        <v>22612.585132071501</v>
      </c>
      <c r="O107" s="1629">
        <v>0.48120000000000002</v>
      </c>
      <c r="P107" s="1629">
        <v>0.51880000000000004</v>
      </c>
      <c r="Q107" s="1625">
        <f t="shared" si="92"/>
        <v>10881.175965552806</v>
      </c>
      <c r="R107" s="1628">
        <f t="shared" si="93"/>
        <v>11731.409166518695</v>
      </c>
      <c r="S107" s="1627">
        <f t="shared" si="94"/>
        <v>9628.2091665186908</v>
      </c>
      <c r="T107" s="1627">
        <f t="shared" si="95"/>
        <v>11021.790833481306</v>
      </c>
      <c r="U107" s="1626">
        <f t="shared" si="96"/>
        <v>2407.0522916296727</v>
      </c>
      <c r="V107" s="1626">
        <f t="shared" si="97"/>
        <v>2755.4477083703264</v>
      </c>
      <c r="W107" s="1625">
        <f t="shared" si="98"/>
        <v>5162.4999999999991</v>
      </c>
      <c r="X107" s="1614"/>
      <c r="Y107" s="1613"/>
      <c r="Z107" s="1612">
        <f t="shared" si="99"/>
        <v>0.47731775475182375</v>
      </c>
      <c r="AA107" s="1611"/>
      <c r="AB107" s="1611"/>
      <c r="AC107" s="1611"/>
      <c r="AD107" s="1611"/>
      <c r="AE107" s="1611"/>
      <c r="AF107" s="1611"/>
      <c r="AG107" s="1611"/>
      <c r="AH107" s="1611"/>
      <c r="AI107" s="1611"/>
      <c r="AJ107" s="1611"/>
      <c r="AK107" s="1611"/>
      <c r="AL107" s="1611"/>
      <c r="AM107" s="1611"/>
      <c r="AN107" s="1611"/>
      <c r="AO107" s="1611"/>
      <c r="AP107" s="1611"/>
      <c r="AQ107" s="1611"/>
    </row>
    <row r="108" spans="1:43" outlineLevel="2">
      <c r="A108" s="1638" t="s">
        <v>305</v>
      </c>
      <c r="B108" s="1637" t="s">
        <v>111</v>
      </c>
      <c r="C108" s="1636"/>
      <c r="D108" s="1635">
        <v>4</v>
      </c>
      <c r="E108" s="1634" t="s">
        <v>880</v>
      </c>
      <c r="F108" s="1633" t="s">
        <v>1071</v>
      </c>
      <c r="G108" s="1632">
        <v>4101.8770264142995</v>
      </c>
      <c r="H108" s="1632">
        <v>4550.6400000000003</v>
      </c>
      <c r="I108" s="1630">
        <f t="shared" si="87"/>
        <v>8652.5170264142998</v>
      </c>
      <c r="J108" s="1630">
        <f t="shared" si="88"/>
        <v>34610.068105657199</v>
      </c>
      <c r="K108" s="1631">
        <v>4130</v>
      </c>
      <c r="L108" s="1630">
        <f t="shared" si="89"/>
        <v>4130</v>
      </c>
      <c r="M108" s="1630">
        <f t="shared" si="90"/>
        <v>16520</v>
      </c>
      <c r="N108" s="1625">
        <f t="shared" si="91"/>
        <v>18090.068105657199</v>
      </c>
      <c r="O108" s="1629">
        <v>0.48120000000000002</v>
      </c>
      <c r="P108" s="1629">
        <v>0.51880000000000004</v>
      </c>
      <c r="Q108" s="1625">
        <f t="shared" si="92"/>
        <v>8704.9407724422454</v>
      </c>
      <c r="R108" s="1628">
        <f t="shared" si="93"/>
        <v>9385.1273332149558</v>
      </c>
      <c r="S108" s="1627">
        <f t="shared" si="94"/>
        <v>7702.5673332149527</v>
      </c>
      <c r="T108" s="1627">
        <f t="shared" si="95"/>
        <v>8817.4326667850455</v>
      </c>
      <c r="U108" s="1626">
        <f t="shared" si="96"/>
        <v>1925.6418333037382</v>
      </c>
      <c r="V108" s="1626">
        <f t="shared" si="97"/>
        <v>2204.3581666962614</v>
      </c>
      <c r="W108" s="1625">
        <f t="shared" si="98"/>
        <v>4130</v>
      </c>
      <c r="X108" s="1614"/>
      <c r="Y108" s="1613"/>
      <c r="Z108" s="1612">
        <f t="shared" si="99"/>
        <v>0.47731775475182375</v>
      </c>
      <c r="AA108" s="1611"/>
      <c r="AB108" s="1611"/>
      <c r="AC108" s="1611"/>
      <c r="AD108" s="1611"/>
      <c r="AE108" s="1611"/>
      <c r="AF108" s="1611"/>
      <c r="AG108" s="1611"/>
      <c r="AH108" s="1611"/>
      <c r="AI108" s="1611"/>
      <c r="AJ108" s="1611"/>
      <c r="AK108" s="1611"/>
      <c r="AL108" s="1611"/>
      <c r="AM108" s="1611"/>
      <c r="AN108" s="1611"/>
      <c r="AO108" s="1611"/>
      <c r="AP108" s="1611"/>
      <c r="AQ108" s="1611"/>
    </row>
    <row r="109" spans="1:43" outlineLevel="2">
      <c r="A109" s="1638" t="s">
        <v>305</v>
      </c>
      <c r="B109" s="1637" t="s">
        <v>111</v>
      </c>
      <c r="C109" s="1636"/>
      <c r="D109" s="1635">
        <v>8</v>
      </c>
      <c r="E109" s="1634" t="s">
        <v>880</v>
      </c>
      <c r="F109" s="1633" t="s">
        <v>1065</v>
      </c>
      <c r="G109" s="1632">
        <v>4101.8770264142995</v>
      </c>
      <c r="H109" s="1632">
        <v>4550.6400000000003</v>
      </c>
      <c r="I109" s="1630">
        <f t="shared" si="87"/>
        <v>8652.5170264142998</v>
      </c>
      <c r="J109" s="1630">
        <f t="shared" si="88"/>
        <v>69220.136211314399</v>
      </c>
      <c r="K109" s="1631">
        <v>4330</v>
      </c>
      <c r="L109" s="1630">
        <f t="shared" si="89"/>
        <v>4330</v>
      </c>
      <c r="M109" s="1630">
        <f t="shared" si="90"/>
        <v>34640</v>
      </c>
      <c r="N109" s="1625">
        <f t="shared" si="91"/>
        <v>34580.136211314399</v>
      </c>
      <c r="O109" s="1629">
        <v>0.48120000000000002</v>
      </c>
      <c r="P109" s="1629">
        <v>0.51880000000000004</v>
      </c>
      <c r="Q109" s="1625">
        <f t="shared" si="92"/>
        <v>16639.961544884489</v>
      </c>
      <c r="R109" s="1628">
        <f t="shared" si="93"/>
        <v>17940.17466642991</v>
      </c>
      <c r="S109" s="1627">
        <f t="shared" si="94"/>
        <v>16175.054666429907</v>
      </c>
      <c r="T109" s="1627">
        <f t="shared" si="95"/>
        <v>18464.945333570093</v>
      </c>
      <c r="U109" s="1626">
        <f t="shared" si="96"/>
        <v>4043.7636666074768</v>
      </c>
      <c r="V109" s="1626">
        <f t="shared" si="97"/>
        <v>4616.2363333925232</v>
      </c>
      <c r="W109" s="1625">
        <f t="shared" si="98"/>
        <v>8660</v>
      </c>
      <c r="X109" s="1614"/>
      <c r="Y109" s="1613"/>
      <c r="Z109" s="1612">
        <f t="shared" si="99"/>
        <v>0.50043241599888544</v>
      </c>
      <c r="AA109" s="1611"/>
      <c r="AB109" s="1611"/>
      <c r="AC109" s="1611"/>
      <c r="AD109" s="1611"/>
      <c r="AE109" s="1611"/>
      <c r="AF109" s="1611"/>
      <c r="AG109" s="1611"/>
      <c r="AH109" s="1611"/>
      <c r="AI109" s="1611"/>
      <c r="AJ109" s="1611"/>
      <c r="AK109" s="1611"/>
      <c r="AL109" s="1611"/>
      <c r="AM109" s="1611"/>
      <c r="AN109" s="1611"/>
      <c r="AO109" s="1611"/>
      <c r="AP109" s="1611"/>
      <c r="AQ109" s="1611"/>
    </row>
    <row r="110" spans="1:43" outlineLevel="2">
      <c r="A110" s="1638" t="s">
        <v>305</v>
      </c>
      <c r="B110" s="1637" t="s">
        <v>111</v>
      </c>
      <c r="C110" s="1636"/>
      <c r="D110" s="1635">
        <v>9</v>
      </c>
      <c r="E110" s="1634" t="s">
        <v>880</v>
      </c>
      <c r="F110" s="1633" t="s">
        <v>1064</v>
      </c>
      <c r="G110" s="1632">
        <v>4101.8770264142995</v>
      </c>
      <c r="H110" s="1632">
        <v>4550.6400000000003</v>
      </c>
      <c r="I110" s="1630">
        <f t="shared" si="87"/>
        <v>8652.5170264142998</v>
      </c>
      <c r="J110" s="1630">
        <f t="shared" si="88"/>
        <v>77872.653237728693</v>
      </c>
      <c r="K110" s="1631">
        <v>4330</v>
      </c>
      <c r="L110" s="1630">
        <f t="shared" si="89"/>
        <v>4330</v>
      </c>
      <c r="M110" s="1630">
        <f t="shared" si="90"/>
        <v>38970</v>
      </c>
      <c r="N110" s="1625">
        <f t="shared" si="91"/>
        <v>38902.653237728693</v>
      </c>
      <c r="O110" s="1629">
        <v>0.48120000000000002</v>
      </c>
      <c r="P110" s="1629">
        <v>0.51880000000000004</v>
      </c>
      <c r="Q110" s="1625">
        <f t="shared" si="92"/>
        <v>18719.956737995049</v>
      </c>
      <c r="R110" s="1628">
        <f t="shared" si="93"/>
        <v>20182.696499733647</v>
      </c>
      <c r="S110" s="1627">
        <f t="shared" si="94"/>
        <v>18196.936499733649</v>
      </c>
      <c r="T110" s="1627">
        <f t="shared" si="95"/>
        <v>20773.063500266355</v>
      </c>
      <c r="U110" s="1626">
        <f t="shared" si="96"/>
        <v>4549.2341249334122</v>
      </c>
      <c r="V110" s="1626">
        <f t="shared" si="97"/>
        <v>5193.2658750665887</v>
      </c>
      <c r="W110" s="1625">
        <f t="shared" si="98"/>
        <v>9742.5</v>
      </c>
      <c r="X110" s="1614"/>
      <c r="Y110" s="1613"/>
      <c r="Z110" s="1612">
        <f t="shared" si="99"/>
        <v>0.50043241599888544</v>
      </c>
      <c r="AA110" s="1611"/>
      <c r="AB110" s="1611"/>
      <c r="AC110" s="1611"/>
      <c r="AD110" s="1611"/>
      <c r="AE110" s="1611"/>
      <c r="AF110" s="1611"/>
      <c r="AG110" s="1611"/>
      <c r="AH110" s="1611"/>
      <c r="AI110" s="1611"/>
      <c r="AJ110" s="1611"/>
      <c r="AK110" s="1611"/>
      <c r="AL110" s="1611"/>
      <c r="AM110" s="1611"/>
      <c r="AN110" s="1611"/>
      <c r="AO110" s="1611"/>
      <c r="AP110" s="1611"/>
      <c r="AQ110" s="1611"/>
    </row>
    <row r="111" spans="1:43" outlineLevel="2">
      <c r="A111" s="1638" t="s">
        <v>305</v>
      </c>
      <c r="B111" s="1637" t="s">
        <v>111</v>
      </c>
      <c r="C111" s="1636"/>
      <c r="D111" s="1635">
        <v>4</v>
      </c>
      <c r="E111" s="1634" t="s">
        <v>880</v>
      </c>
      <c r="F111" s="1633" t="s">
        <v>1063</v>
      </c>
      <c r="G111" s="1632">
        <v>4101.8770264142995</v>
      </c>
      <c r="H111" s="1632">
        <v>4550.6400000000003</v>
      </c>
      <c r="I111" s="1630">
        <f t="shared" si="87"/>
        <v>8652.5170264142998</v>
      </c>
      <c r="J111" s="1630">
        <f t="shared" si="88"/>
        <v>34610.068105657199</v>
      </c>
      <c r="K111" s="1631">
        <v>4330</v>
      </c>
      <c r="L111" s="1630">
        <f t="shared" si="89"/>
        <v>4330</v>
      </c>
      <c r="M111" s="1630">
        <f t="shared" si="90"/>
        <v>17320</v>
      </c>
      <c r="N111" s="1625">
        <f t="shared" si="91"/>
        <v>17290.068105657199</v>
      </c>
      <c r="O111" s="1629">
        <v>0.48120000000000002</v>
      </c>
      <c r="P111" s="1629">
        <v>0.51880000000000004</v>
      </c>
      <c r="Q111" s="1625">
        <f t="shared" si="92"/>
        <v>8319.9807724422444</v>
      </c>
      <c r="R111" s="1628">
        <f t="shared" si="93"/>
        <v>8970.0873332149549</v>
      </c>
      <c r="S111" s="1627">
        <f t="shared" si="94"/>
        <v>8087.5273332149536</v>
      </c>
      <c r="T111" s="1627">
        <f t="shared" si="95"/>
        <v>9232.4726667850464</v>
      </c>
      <c r="U111" s="1626">
        <f t="shared" si="96"/>
        <v>2021.8818333037384</v>
      </c>
      <c r="V111" s="1626">
        <f t="shared" si="97"/>
        <v>2308.1181666962616</v>
      </c>
      <c r="W111" s="1625">
        <f t="shared" si="98"/>
        <v>4330</v>
      </c>
      <c r="X111" s="1614"/>
      <c r="Y111" s="1613"/>
      <c r="Z111" s="1612">
        <f t="shared" si="99"/>
        <v>0.50043241599888544</v>
      </c>
      <c r="AA111" s="1611"/>
      <c r="AB111" s="1611"/>
      <c r="AC111" s="1611"/>
      <c r="AD111" s="1611"/>
      <c r="AE111" s="1611"/>
      <c r="AF111" s="1611"/>
      <c r="AG111" s="1611"/>
      <c r="AH111" s="1611"/>
      <c r="AI111" s="1611"/>
      <c r="AJ111" s="1611"/>
      <c r="AK111" s="1611"/>
      <c r="AL111" s="1611"/>
      <c r="AM111" s="1611"/>
      <c r="AN111" s="1611"/>
      <c r="AO111" s="1611"/>
      <c r="AP111" s="1611"/>
      <c r="AQ111" s="1611"/>
    </row>
    <row r="112" spans="1:43" outlineLevel="2">
      <c r="A112" s="1638" t="s">
        <v>305</v>
      </c>
      <c r="B112" s="1637" t="s">
        <v>111</v>
      </c>
      <c r="C112" s="1636"/>
      <c r="D112" s="1635">
        <v>9</v>
      </c>
      <c r="E112" s="1634" t="s">
        <v>880</v>
      </c>
      <c r="F112" s="1633" t="s">
        <v>979</v>
      </c>
      <c r="G112" s="1632">
        <v>4101.8770264142995</v>
      </c>
      <c r="H112" s="1632">
        <v>4550.6400000000003</v>
      </c>
      <c r="I112" s="1630">
        <f t="shared" si="87"/>
        <v>8652.5170264142998</v>
      </c>
      <c r="J112" s="1630">
        <f t="shared" si="88"/>
        <v>77872.653237728693</v>
      </c>
      <c r="K112" s="1631">
        <v>4130</v>
      </c>
      <c r="L112" s="1630">
        <f t="shared" si="89"/>
        <v>4130</v>
      </c>
      <c r="M112" s="1630">
        <f t="shared" si="90"/>
        <v>37170</v>
      </c>
      <c r="N112" s="1625">
        <f t="shared" si="91"/>
        <v>40702.653237728693</v>
      </c>
      <c r="O112" s="1629">
        <v>0.48120000000000002</v>
      </c>
      <c r="P112" s="1629">
        <v>0.51880000000000004</v>
      </c>
      <c r="Q112" s="1625">
        <f t="shared" si="92"/>
        <v>19586.116737995049</v>
      </c>
      <c r="R112" s="1628">
        <f t="shared" si="93"/>
        <v>21116.536499733647</v>
      </c>
      <c r="S112" s="1627">
        <f t="shared" si="94"/>
        <v>17330.776499733649</v>
      </c>
      <c r="T112" s="1627">
        <f t="shared" si="95"/>
        <v>19839.223500266355</v>
      </c>
      <c r="U112" s="1626">
        <f t="shared" si="96"/>
        <v>4332.6941249334122</v>
      </c>
      <c r="V112" s="1626">
        <f t="shared" si="97"/>
        <v>4959.8058750665887</v>
      </c>
      <c r="W112" s="1625">
        <f t="shared" si="98"/>
        <v>9292.5</v>
      </c>
      <c r="X112" s="1614"/>
      <c r="Y112" s="1613"/>
      <c r="Z112" s="1612">
        <f t="shared" si="99"/>
        <v>0.47731775475182375</v>
      </c>
      <c r="AA112" s="1611"/>
      <c r="AB112" s="1611"/>
      <c r="AC112" s="1611"/>
      <c r="AD112" s="1611"/>
      <c r="AE112" s="1611"/>
      <c r="AF112" s="1611"/>
      <c r="AG112" s="1611"/>
      <c r="AH112" s="1611"/>
      <c r="AI112" s="1611"/>
      <c r="AJ112" s="1611"/>
      <c r="AK112" s="1611"/>
      <c r="AL112" s="1611"/>
      <c r="AM112" s="1611"/>
      <c r="AN112" s="1611"/>
      <c r="AO112" s="1611"/>
      <c r="AP112" s="1611"/>
      <c r="AQ112" s="1611"/>
    </row>
    <row r="113" spans="1:43" outlineLevel="2">
      <c r="A113" s="1638" t="s">
        <v>305</v>
      </c>
      <c r="B113" s="1637" t="s">
        <v>111</v>
      </c>
      <c r="C113" s="1636"/>
      <c r="D113" s="1635">
        <v>8</v>
      </c>
      <c r="E113" s="1634" t="s">
        <v>882</v>
      </c>
      <c r="F113" s="1633" t="s">
        <v>1070</v>
      </c>
      <c r="G113" s="1632">
        <v>4101.8770264142995</v>
      </c>
      <c r="H113" s="1632">
        <v>4550.6400000000003</v>
      </c>
      <c r="I113" s="1630">
        <f t="shared" si="87"/>
        <v>8652.5170264142998</v>
      </c>
      <c r="J113" s="1630">
        <f t="shared" si="88"/>
        <v>69220.136211314399</v>
      </c>
      <c r="K113" s="1631">
        <v>4430</v>
      </c>
      <c r="L113" s="1630">
        <f t="shared" si="89"/>
        <v>4430</v>
      </c>
      <c r="M113" s="1630">
        <f t="shared" si="90"/>
        <v>35440</v>
      </c>
      <c r="N113" s="1625">
        <f t="shared" si="91"/>
        <v>33780.136211314399</v>
      </c>
      <c r="O113" s="1629">
        <v>0.48120000000000002</v>
      </c>
      <c r="P113" s="1629">
        <v>0.51880000000000004</v>
      </c>
      <c r="Q113" s="1625">
        <f t="shared" si="92"/>
        <v>16255.00154488449</v>
      </c>
      <c r="R113" s="1628">
        <f t="shared" si="93"/>
        <v>17525.134666429913</v>
      </c>
      <c r="S113" s="1627">
        <f t="shared" si="94"/>
        <v>16560.014666429906</v>
      </c>
      <c r="T113" s="1627">
        <f t="shared" si="95"/>
        <v>18879.98533357009</v>
      </c>
      <c r="U113" s="1626">
        <f t="shared" si="96"/>
        <v>4140.0036666074766</v>
      </c>
      <c r="V113" s="1626">
        <f t="shared" si="97"/>
        <v>4719.9963333925225</v>
      </c>
      <c r="W113" s="1625">
        <f t="shared" si="98"/>
        <v>8860</v>
      </c>
      <c r="X113" s="1614"/>
      <c r="Y113" s="1613"/>
      <c r="Z113" s="1612">
        <f t="shared" si="99"/>
        <v>0.51198974662241625</v>
      </c>
      <c r="AA113" s="1611"/>
      <c r="AB113" s="1611"/>
      <c r="AC113" s="1611"/>
      <c r="AD113" s="1611"/>
      <c r="AE113" s="1611"/>
      <c r="AF113" s="1611"/>
      <c r="AG113" s="1611"/>
      <c r="AH113" s="1611"/>
      <c r="AI113" s="1611"/>
      <c r="AJ113" s="1611"/>
      <c r="AK113" s="1611"/>
      <c r="AL113" s="1611"/>
      <c r="AM113" s="1611"/>
      <c r="AN113" s="1611"/>
      <c r="AO113" s="1611"/>
      <c r="AP113" s="1611"/>
      <c r="AQ113" s="1611"/>
    </row>
    <row r="114" spans="1:43" outlineLevel="2">
      <c r="A114" s="1638" t="s">
        <v>305</v>
      </c>
      <c r="B114" s="1637" t="s">
        <v>111</v>
      </c>
      <c r="C114" s="1636"/>
      <c r="D114" s="1635">
        <v>5</v>
      </c>
      <c r="E114" s="1634" t="s">
        <v>882</v>
      </c>
      <c r="F114" s="1633" t="s">
        <v>1069</v>
      </c>
      <c r="G114" s="1632">
        <v>4101.8770264142995</v>
      </c>
      <c r="H114" s="1632">
        <v>4550.6400000000003</v>
      </c>
      <c r="I114" s="1630">
        <f t="shared" si="87"/>
        <v>8652.5170264142998</v>
      </c>
      <c r="J114" s="1630">
        <f t="shared" si="88"/>
        <v>43262.585132071501</v>
      </c>
      <c r="K114" s="1631">
        <v>4430</v>
      </c>
      <c r="L114" s="1630">
        <f t="shared" si="89"/>
        <v>4430</v>
      </c>
      <c r="M114" s="1630">
        <f t="shared" si="90"/>
        <v>22150</v>
      </c>
      <c r="N114" s="1625">
        <f t="shared" si="91"/>
        <v>21112.585132071501</v>
      </c>
      <c r="O114" s="1629">
        <v>0.48120000000000002</v>
      </c>
      <c r="P114" s="1629">
        <v>0.51880000000000004</v>
      </c>
      <c r="Q114" s="1625">
        <f t="shared" si="92"/>
        <v>10159.375965552807</v>
      </c>
      <c r="R114" s="1628">
        <f t="shared" si="93"/>
        <v>10953.209166518696</v>
      </c>
      <c r="S114" s="1627">
        <f t="shared" si="94"/>
        <v>10350.00916651869</v>
      </c>
      <c r="T114" s="1627">
        <f t="shared" si="95"/>
        <v>11799.990833481304</v>
      </c>
      <c r="U114" s="1626">
        <f t="shared" si="96"/>
        <v>2587.5022916296725</v>
      </c>
      <c r="V114" s="1626">
        <f t="shared" si="97"/>
        <v>2949.9977083703261</v>
      </c>
      <c r="W114" s="1625">
        <f t="shared" si="98"/>
        <v>5537.4999999999982</v>
      </c>
      <c r="X114" s="1614"/>
      <c r="Y114" s="1613"/>
      <c r="Z114" s="1612">
        <f t="shared" si="99"/>
        <v>0.51198974662241625</v>
      </c>
      <c r="AA114" s="1611"/>
      <c r="AB114" s="1611"/>
      <c r="AC114" s="1611"/>
      <c r="AD114" s="1611"/>
      <c r="AE114" s="1611"/>
      <c r="AF114" s="1611"/>
      <c r="AG114" s="1611"/>
      <c r="AH114" s="1611"/>
      <c r="AI114" s="1611"/>
      <c r="AJ114" s="1611"/>
      <c r="AK114" s="1611"/>
      <c r="AL114" s="1611"/>
      <c r="AM114" s="1611"/>
      <c r="AN114" s="1611"/>
      <c r="AO114" s="1611"/>
      <c r="AP114" s="1611"/>
      <c r="AQ114" s="1611"/>
    </row>
    <row r="115" spans="1:43" outlineLevel="2">
      <c r="A115" s="1638" t="s">
        <v>305</v>
      </c>
      <c r="B115" s="1637" t="s">
        <v>111</v>
      </c>
      <c r="C115" s="1636"/>
      <c r="D115" s="1635">
        <v>7</v>
      </c>
      <c r="E115" s="1634" t="s">
        <v>882</v>
      </c>
      <c r="F115" s="1633" t="s">
        <v>1068</v>
      </c>
      <c r="G115" s="1632">
        <v>4101.8770264142995</v>
      </c>
      <c r="H115" s="1632">
        <v>4550.6400000000003</v>
      </c>
      <c r="I115" s="1630">
        <f t="shared" si="87"/>
        <v>8652.5170264142998</v>
      </c>
      <c r="J115" s="1630">
        <f t="shared" si="88"/>
        <v>60567.619184900097</v>
      </c>
      <c r="K115" s="1631">
        <v>4430</v>
      </c>
      <c r="L115" s="1630">
        <f t="shared" si="89"/>
        <v>4430</v>
      </c>
      <c r="M115" s="1630">
        <f t="shared" si="90"/>
        <v>31010</v>
      </c>
      <c r="N115" s="1625">
        <f t="shared" si="91"/>
        <v>29557.619184900097</v>
      </c>
      <c r="O115" s="1629">
        <v>0.48120000000000002</v>
      </c>
      <c r="P115" s="1629">
        <v>0.51880000000000004</v>
      </c>
      <c r="Q115" s="1625">
        <f t="shared" si="92"/>
        <v>14223.126351773928</v>
      </c>
      <c r="R115" s="1628">
        <f t="shared" si="93"/>
        <v>15334.492833126171</v>
      </c>
      <c r="S115" s="1627">
        <f t="shared" si="94"/>
        <v>14490.012833126169</v>
      </c>
      <c r="T115" s="1627">
        <f t="shared" si="95"/>
        <v>16519.987166873834</v>
      </c>
      <c r="U115" s="1626">
        <f t="shared" si="96"/>
        <v>3622.5032082815424</v>
      </c>
      <c r="V115" s="1626">
        <f t="shared" si="97"/>
        <v>4129.9967917184586</v>
      </c>
      <c r="W115" s="1625">
        <f t="shared" si="98"/>
        <v>7752.5000000000009</v>
      </c>
      <c r="X115" s="1614"/>
      <c r="Y115" s="1613"/>
      <c r="Z115" s="1612">
        <f t="shared" si="99"/>
        <v>0.51198974662241625</v>
      </c>
      <c r="AA115" s="1611"/>
      <c r="AB115" s="1611"/>
      <c r="AC115" s="1611"/>
      <c r="AD115" s="1611"/>
      <c r="AE115" s="1611"/>
      <c r="AF115" s="1611"/>
      <c r="AG115" s="1611"/>
      <c r="AH115" s="1611"/>
      <c r="AI115" s="1611"/>
      <c r="AJ115" s="1611"/>
      <c r="AK115" s="1611"/>
      <c r="AL115" s="1611"/>
      <c r="AM115" s="1611"/>
      <c r="AN115" s="1611"/>
      <c r="AO115" s="1611"/>
      <c r="AP115" s="1611"/>
      <c r="AQ115" s="1611"/>
    </row>
    <row r="116" spans="1:43" outlineLevel="2">
      <c r="A116" s="1638" t="s">
        <v>305</v>
      </c>
      <c r="B116" s="1637" t="s">
        <v>111</v>
      </c>
      <c r="C116" s="1636"/>
      <c r="D116" s="1635">
        <v>2</v>
      </c>
      <c r="E116" s="1634" t="s">
        <v>882</v>
      </c>
      <c r="F116" s="1633" t="s">
        <v>1071</v>
      </c>
      <c r="G116" s="1632">
        <v>4101.8770264142995</v>
      </c>
      <c r="H116" s="1632">
        <v>4550.6400000000003</v>
      </c>
      <c r="I116" s="1630">
        <f t="shared" si="87"/>
        <v>8652.5170264142998</v>
      </c>
      <c r="J116" s="1630">
        <f t="shared" si="88"/>
        <v>17305.0340528286</v>
      </c>
      <c r="K116" s="1631">
        <v>4430</v>
      </c>
      <c r="L116" s="1630">
        <f t="shared" si="89"/>
        <v>4430</v>
      </c>
      <c r="M116" s="1630">
        <f t="shared" si="90"/>
        <v>8860</v>
      </c>
      <c r="N116" s="1625">
        <f t="shared" si="91"/>
        <v>8445.0340528285997</v>
      </c>
      <c r="O116" s="1629">
        <v>0.48120000000000002</v>
      </c>
      <c r="P116" s="1629">
        <v>0.51880000000000004</v>
      </c>
      <c r="Q116" s="1625">
        <f t="shared" si="92"/>
        <v>4063.7503862211224</v>
      </c>
      <c r="R116" s="1628">
        <f t="shared" si="93"/>
        <v>4381.2836666074782</v>
      </c>
      <c r="S116" s="1627">
        <f t="shared" si="94"/>
        <v>4140.0036666074766</v>
      </c>
      <c r="T116" s="1627">
        <f t="shared" si="95"/>
        <v>4719.9963333925225</v>
      </c>
      <c r="U116" s="1626">
        <f t="shared" si="96"/>
        <v>1035.0009166518691</v>
      </c>
      <c r="V116" s="1626">
        <f t="shared" si="97"/>
        <v>1179.9990833481306</v>
      </c>
      <c r="W116" s="1625">
        <f t="shared" si="98"/>
        <v>2215</v>
      </c>
      <c r="X116" s="1614"/>
      <c r="Y116" s="1613"/>
      <c r="Z116" s="1612">
        <f t="shared" si="99"/>
        <v>0.51198974662241625</v>
      </c>
      <c r="AA116" s="1611"/>
      <c r="AB116" s="1611"/>
      <c r="AC116" s="1611"/>
      <c r="AD116" s="1611"/>
      <c r="AE116" s="1611"/>
      <c r="AF116" s="1611"/>
      <c r="AG116" s="1611"/>
      <c r="AH116" s="1611"/>
      <c r="AI116" s="1611"/>
      <c r="AJ116" s="1611"/>
      <c r="AK116" s="1611"/>
      <c r="AL116" s="1611"/>
      <c r="AM116" s="1611"/>
      <c r="AN116" s="1611"/>
      <c r="AO116" s="1611"/>
      <c r="AP116" s="1611"/>
      <c r="AQ116" s="1611"/>
    </row>
    <row r="117" spans="1:43" outlineLevel="2">
      <c r="A117" s="1638" t="s">
        <v>305</v>
      </c>
      <c r="B117" s="1637" t="s">
        <v>111</v>
      </c>
      <c r="C117" s="1636"/>
      <c r="D117" s="1635">
        <v>0</v>
      </c>
      <c r="E117" s="1634" t="s">
        <v>882</v>
      </c>
      <c r="F117" s="1633" t="s">
        <v>1065</v>
      </c>
      <c r="G117" s="1632">
        <v>4101.8770264142995</v>
      </c>
      <c r="H117" s="1632">
        <v>4550.6400000000003</v>
      </c>
      <c r="I117" s="1630">
        <f t="shared" si="87"/>
        <v>8652.5170264142998</v>
      </c>
      <c r="J117" s="1630">
        <f t="shared" si="88"/>
        <v>0</v>
      </c>
      <c r="K117" s="1631">
        <v>4430</v>
      </c>
      <c r="L117" s="1630">
        <f t="shared" si="89"/>
        <v>4430</v>
      </c>
      <c r="M117" s="1630">
        <f t="shared" si="90"/>
        <v>0</v>
      </c>
      <c r="N117" s="1625">
        <f t="shared" si="91"/>
        <v>0</v>
      </c>
      <c r="O117" s="1629">
        <v>0.48120000000000002</v>
      </c>
      <c r="P117" s="1629">
        <v>0.51880000000000004</v>
      </c>
      <c r="Q117" s="1625">
        <f t="shared" si="92"/>
        <v>0</v>
      </c>
      <c r="R117" s="1628">
        <f t="shared" si="93"/>
        <v>0</v>
      </c>
      <c r="S117" s="1627">
        <f t="shared" si="94"/>
        <v>0</v>
      </c>
      <c r="T117" s="1627">
        <f t="shared" si="95"/>
        <v>0</v>
      </c>
      <c r="U117" s="1626">
        <f t="shared" si="96"/>
        <v>0</v>
      </c>
      <c r="V117" s="1626">
        <f t="shared" si="97"/>
        <v>0</v>
      </c>
      <c r="W117" s="1625">
        <f t="shared" si="98"/>
        <v>0</v>
      </c>
      <c r="X117" s="1614"/>
      <c r="Y117" s="1613"/>
      <c r="Z117" s="1612">
        <f t="shared" si="99"/>
        <v>0.51198974662241625</v>
      </c>
      <c r="AA117" s="1611"/>
      <c r="AB117" s="1611"/>
      <c r="AC117" s="1611"/>
      <c r="AD117" s="1611"/>
      <c r="AE117" s="1611"/>
      <c r="AF117" s="1611"/>
      <c r="AG117" s="1611"/>
      <c r="AH117" s="1611"/>
      <c r="AI117" s="1611"/>
      <c r="AJ117" s="1611"/>
      <c r="AK117" s="1611"/>
      <c r="AL117" s="1611"/>
      <c r="AM117" s="1611"/>
      <c r="AN117" s="1611"/>
      <c r="AO117" s="1611"/>
      <c r="AP117" s="1611"/>
      <c r="AQ117" s="1611"/>
    </row>
    <row r="118" spans="1:43" outlineLevel="2">
      <c r="A118" s="1638" t="s">
        <v>305</v>
      </c>
      <c r="B118" s="1637" t="s">
        <v>111</v>
      </c>
      <c r="C118" s="1636"/>
      <c r="D118" s="1635">
        <v>0</v>
      </c>
      <c r="E118" s="1634" t="s">
        <v>882</v>
      </c>
      <c r="F118" s="1633" t="s">
        <v>1064</v>
      </c>
      <c r="G118" s="1632">
        <v>4101.8770264142995</v>
      </c>
      <c r="H118" s="1632">
        <v>4550.6400000000003</v>
      </c>
      <c r="I118" s="1630">
        <f t="shared" si="87"/>
        <v>8652.5170264142998</v>
      </c>
      <c r="J118" s="1630">
        <f t="shared" si="88"/>
        <v>0</v>
      </c>
      <c r="K118" s="1631">
        <v>4430</v>
      </c>
      <c r="L118" s="1630">
        <f t="shared" si="89"/>
        <v>4430</v>
      </c>
      <c r="M118" s="1630">
        <f t="shared" si="90"/>
        <v>0</v>
      </c>
      <c r="N118" s="1625">
        <f t="shared" si="91"/>
        <v>0</v>
      </c>
      <c r="O118" s="1629">
        <v>0.48120000000000002</v>
      </c>
      <c r="P118" s="1629">
        <v>0.51880000000000004</v>
      </c>
      <c r="Q118" s="1625">
        <f t="shared" si="92"/>
        <v>0</v>
      </c>
      <c r="R118" s="1628">
        <f t="shared" si="93"/>
        <v>0</v>
      </c>
      <c r="S118" s="1627">
        <f t="shared" si="94"/>
        <v>0</v>
      </c>
      <c r="T118" s="1627">
        <f t="shared" si="95"/>
        <v>0</v>
      </c>
      <c r="U118" s="1626">
        <f t="shared" si="96"/>
        <v>0</v>
      </c>
      <c r="V118" s="1626">
        <f t="shared" si="97"/>
        <v>0</v>
      </c>
      <c r="W118" s="1625">
        <f t="shared" si="98"/>
        <v>0</v>
      </c>
      <c r="X118" s="1614"/>
      <c r="Y118" s="1613"/>
      <c r="Z118" s="1612">
        <f t="shared" si="99"/>
        <v>0.51198974662241625</v>
      </c>
      <c r="AA118" s="1611"/>
      <c r="AB118" s="1611"/>
      <c r="AC118" s="1611"/>
      <c r="AD118" s="1611"/>
      <c r="AE118" s="1611"/>
      <c r="AF118" s="1611"/>
      <c r="AG118" s="1611"/>
      <c r="AH118" s="1611"/>
      <c r="AI118" s="1611"/>
      <c r="AJ118" s="1611"/>
      <c r="AK118" s="1611"/>
      <c r="AL118" s="1611"/>
      <c r="AM118" s="1611"/>
      <c r="AN118" s="1611"/>
      <c r="AO118" s="1611"/>
      <c r="AP118" s="1611"/>
      <c r="AQ118" s="1611"/>
    </row>
    <row r="119" spans="1:43" outlineLevel="2">
      <c r="A119" s="1638" t="s">
        <v>305</v>
      </c>
      <c r="B119" s="1637" t="s">
        <v>111</v>
      </c>
      <c r="C119" s="1636"/>
      <c r="D119" s="1635">
        <v>47</v>
      </c>
      <c r="E119" s="1634" t="s">
        <v>882</v>
      </c>
      <c r="F119" s="1633" t="s">
        <v>979</v>
      </c>
      <c r="G119" s="1632">
        <v>4101.8770264142995</v>
      </c>
      <c r="H119" s="1632">
        <v>4550.6400000000003</v>
      </c>
      <c r="I119" s="1630">
        <f t="shared" si="87"/>
        <v>8652.5170264142998</v>
      </c>
      <c r="J119" s="1630">
        <f t="shared" si="88"/>
        <v>406668.30024147208</v>
      </c>
      <c r="K119" s="1631">
        <v>4430</v>
      </c>
      <c r="L119" s="1630">
        <f t="shared" si="89"/>
        <v>4430</v>
      </c>
      <c r="M119" s="1630">
        <f t="shared" si="90"/>
        <v>208210</v>
      </c>
      <c r="N119" s="1625">
        <f t="shared" si="91"/>
        <v>198458.30024147208</v>
      </c>
      <c r="O119" s="1629">
        <v>0.48120000000000002</v>
      </c>
      <c r="P119" s="1629">
        <v>0.51880000000000004</v>
      </c>
      <c r="Q119" s="1625">
        <f t="shared" si="92"/>
        <v>95498.134076196366</v>
      </c>
      <c r="R119" s="1628">
        <f t="shared" si="93"/>
        <v>102960.16616527572</v>
      </c>
      <c r="S119" s="1627">
        <f t="shared" si="94"/>
        <v>97290.086165275701</v>
      </c>
      <c r="T119" s="1627">
        <f t="shared" si="95"/>
        <v>110919.9138347243</v>
      </c>
      <c r="U119" s="1626">
        <f t="shared" si="96"/>
        <v>24322.521541318925</v>
      </c>
      <c r="V119" s="1626">
        <f t="shared" si="97"/>
        <v>27729.978458681075</v>
      </c>
      <c r="W119" s="1625">
        <f t="shared" si="98"/>
        <v>52052.5</v>
      </c>
      <c r="X119" s="1614"/>
      <c r="Y119" s="1613"/>
      <c r="Z119" s="1612">
        <f t="shared" si="99"/>
        <v>0.51198974662241625</v>
      </c>
      <c r="AA119" s="1611"/>
      <c r="AB119" s="1611"/>
      <c r="AC119" s="1611"/>
      <c r="AD119" s="1611"/>
      <c r="AE119" s="1611"/>
      <c r="AF119" s="1611"/>
      <c r="AG119" s="1611"/>
      <c r="AH119" s="1611"/>
      <c r="AI119" s="1611"/>
      <c r="AJ119" s="1611"/>
      <c r="AK119" s="1611"/>
      <c r="AL119" s="1611"/>
      <c r="AM119" s="1611"/>
      <c r="AN119" s="1611"/>
      <c r="AO119" s="1611"/>
      <c r="AP119" s="1611"/>
      <c r="AQ119" s="1611"/>
    </row>
    <row r="120" spans="1:43" outlineLevel="2">
      <c r="A120" s="1638" t="s">
        <v>305</v>
      </c>
      <c r="B120" s="1637" t="s">
        <v>111</v>
      </c>
      <c r="C120" s="1636"/>
      <c r="D120" s="1635">
        <v>3</v>
      </c>
      <c r="E120" s="1634" t="s">
        <v>900</v>
      </c>
      <c r="F120" s="1633" t="s">
        <v>1071</v>
      </c>
      <c r="G120" s="1632">
        <v>4101.8770264142995</v>
      </c>
      <c r="H120" s="1632">
        <v>4550.6400000000003</v>
      </c>
      <c r="I120" s="1630">
        <f t="shared" si="87"/>
        <v>8652.5170264142998</v>
      </c>
      <c r="J120" s="1630">
        <f t="shared" si="88"/>
        <v>25957.551079242898</v>
      </c>
      <c r="K120" s="1631">
        <v>8736</v>
      </c>
      <c r="L120" s="1630">
        <f t="shared" si="89"/>
        <v>8652.5170264142998</v>
      </c>
      <c r="M120" s="1630">
        <f t="shared" si="90"/>
        <v>25957.551079242898</v>
      </c>
      <c r="N120" s="1625">
        <f t="shared" si="91"/>
        <v>0</v>
      </c>
      <c r="O120" s="1629">
        <v>0.48120000000000002</v>
      </c>
      <c r="P120" s="1629">
        <v>0.51880000000000004</v>
      </c>
      <c r="Q120" s="1625">
        <f t="shared" si="92"/>
        <v>0</v>
      </c>
      <c r="R120" s="1628">
        <f t="shared" si="93"/>
        <v>0</v>
      </c>
      <c r="S120" s="1627">
        <f t="shared" si="94"/>
        <v>12305.631079242899</v>
      </c>
      <c r="T120" s="1627">
        <f t="shared" si="95"/>
        <v>13651.920000000002</v>
      </c>
      <c r="U120" s="1626">
        <f t="shared" si="96"/>
        <v>3076.4077698107249</v>
      </c>
      <c r="V120" s="1626">
        <f t="shared" si="97"/>
        <v>3412.9800000000005</v>
      </c>
      <c r="W120" s="1625">
        <f t="shared" si="98"/>
        <v>6489.3877698107253</v>
      </c>
      <c r="X120" s="1614"/>
      <c r="Y120" s="1613"/>
      <c r="Z120" s="1612">
        <f t="shared" si="99"/>
        <v>1.0096484032716544</v>
      </c>
      <c r="AA120" s="1611"/>
      <c r="AB120" s="1611"/>
      <c r="AC120" s="1611"/>
      <c r="AD120" s="1611"/>
      <c r="AE120" s="1611"/>
      <c r="AF120" s="1611"/>
      <c r="AG120" s="1611"/>
      <c r="AH120" s="1611"/>
      <c r="AI120" s="1611"/>
      <c r="AJ120" s="1611"/>
      <c r="AK120" s="1611"/>
      <c r="AL120" s="1611"/>
      <c r="AM120" s="1611"/>
      <c r="AN120" s="1611"/>
      <c r="AO120" s="1611"/>
      <c r="AP120" s="1611"/>
      <c r="AQ120" s="1611"/>
    </row>
    <row r="121" spans="1:43" outlineLevel="2">
      <c r="A121" s="1638" t="s">
        <v>305</v>
      </c>
      <c r="B121" s="1637" t="s">
        <v>111</v>
      </c>
      <c r="C121" s="1636"/>
      <c r="D121" s="1635">
        <v>1</v>
      </c>
      <c r="E121" s="1634" t="s">
        <v>900</v>
      </c>
      <c r="F121" s="1633" t="s">
        <v>1065</v>
      </c>
      <c r="G121" s="1632">
        <v>4101.8770264142995</v>
      </c>
      <c r="H121" s="1632">
        <v>4550.6400000000003</v>
      </c>
      <c r="I121" s="1630">
        <f t="shared" si="87"/>
        <v>8652.5170264142998</v>
      </c>
      <c r="J121" s="1630">
        <f t="shared" si="88"/>
        <v>8652.5170264142998</v>
      </c>
      <c r="K121" s="1631">
        <v>8736</v>
      </c>
      <c r="L121" s="1630">
        <f t="shared" si="89"/>
        <v>8652.5170264142998</v>
      </c>
      <c r="M121" s="1630">
        <f t="shared" si="90"/>
        <v>8652.5170264142998</v>
      </c>
      <c r="N121" s="1625">
        <f t="shared" si="91"/>
        <v>0</v>
      </c>
      <c r="O121" s="1629">
        <v>0.48120000000000002</v>
      </c>
      <c r="P121" s="1629">
        <v>0.51880000000000004</v>
      </c>
      <c r="Q121" s="1625">
        <f t="shared" si="92"/>
        <v>0</v>
      </c>
      <c r="R121" s="1628">
        <f t="shared" si="93"/>
        <v>0</v>
      </c>
      <c r="S121" s="1627">
        <f t="shared" si="94"/>
        <v>4101.8770264142995</v>
      </c>
      <c r="T121" s="1627">
        <f t="shared" si="95"/>
        <v>4550.6400000000003</v>
      </c>
      <c r="U121" s="1626">
        <f t="shared" si="96"/>
        <v>1025.4692566035749</v>
      </c>
      <c r="V121" s="1626">
        <f t="shared" si="97"/>
        <v>1137.6600000000001</v>
      </c>
      <c r="W121" s="1625">
        <f t="shared" si="98"/>
        <v>2163.129256603575</v>
      </c>
      <c r="X121" s="1614"/>
      <c r="Y121" s="1613"/>
      <c r="Z121" s="1612">
        <f t="shared" si="99"/>
        <v>1.0096484032716544</v>
      </c>
      <c r="AA121" s="1611"/>
      <c r="AB121" s="1611"/>
      <c r="AC121" s="1611"/>
      <c r="AD121" s="1611"/>
      <c r="AE121" s="1611"/>
      <c r="AF121" s="1611"/>
      <c r="AG121" s="1611"/>
      <c r="AH121" s="1611"/>
      <c r="AI121" s="1611"/>
      <c r="AJ121" s="1611"/>
      <c r="AK121" s="1611"/>
      <c r="AL121" s="1611"/>
      <c r="AM121" s="1611"/>
      <c r="AN121" s="1611"/>
      <c r="AO121" s="1611"/>
      <c r="AP121" s="1611"/>
      <c r="AQ121" s="1611"/>
    </row>
    <row r="122" spans="1:43" outlineLevel="2">
      <c r="A122" s="1638" t="s">
        <v>305</v>
      </c>
      <c r="B122" s="1637" t="s">
        <v>111</v>
      </c>
      <c r="C122" s="1636"/>
      <c r="D122" s="1635">
        <v>2</v>
      </c>
      <c r="E122" s="1634" t="s">
        <v>900</v>
      </c>
      <c r="F122" s="1633" t="s">
        <v>1064</v>
      </c>
      <c r="G122" s="1632">
        <v>4101.8770264142995</v>
      </c>
      <c r="H122" s="1632">
        <v>4550.6400000000003</v>
      </c>
      <c r="I122" s="1630">
        <f t="shared" si="87"/>
        <v>8652.5170264142998</v>
      </c>
      <c r="J122" s="1630">
        <f t="shared" si="88"/>
        <v>17305.0340528286</v>
      </c>
      <c r="K122" s="1631">
        <v>8736</v>
      </c>
      <c r="L122" s="1630">
        <f t="shared" si="89"/>
        <v>8652.5170264142998</v>
      </c>
      <c r="M122" s="1630">
        <f t="shared" si="90"/>
        <v>17305.0340528286</v>
      </c>
      <c r="N122" s="1625">
        <f t="shared" si="91"/>
        <v>0</v>
      </c>
      <c r="O122" s="1629">
        <v>0.48120000000000002</v>
      </c>
      <c r="P122" s="1629">
        <v>0.51880000000000004</v>
      </c>
      <c r="Q122" s="1625">
        <f t="shared" si="92"/>
        <v>0</v>
      </c>
      <c r="R122" s="1628">
        <f t="shared" si="93"/>
        <v>0</v>
      </c>
      <c r="S122" s="1627">
        <f t="shared" si="94"/>
        <v>8203.754052828599</v>
      </c>
      <c r="T122" s="1627">
        <f t="shared" si="95"/>
        <v>9101.2800000000007</v>
      </c>
      <c r="U122" s="1626">
        <f t="shared" si="96"/>
        <v>2050.9385132071498</v>
      </c>
      <c r="V122" s="1626">
        <f t="shared" si="97"/>
        <v>2275.3200000000002</v>
      </c>
      <c r="W122" s="1625">
        <f t="shared" si="98"/>
        <v>4326.2585132071499</v>
      </c>
      <c r="X122" s="1614"/>
      <c r="Y122" s="1613"/>
      <c r="Z122" s="1612">
        <f t="shared" si="99"/>
        <v>1.0096484032716544</v>
      </c>
      <c r="AA122" s="1611"/>
      <c r="AB122" s="1611"/>
      <c r="AC122" s="1611"/>
      <c r="AD122" s="1611"/>
      <c r="AE122" s="1611"/>
      <c r="AF122" s="1611"/>
      <c r="AG122" s="1611"/>
      <c r="AH122" s="1611"/>
      <c r="AI122" s="1611"/>
      <c r="AJ122" s="1611"/>
      <c r="AK122" s="1611"/>
      <c r="AL122" s="1611"/>
      <c r="AM122" s="1611"/>
      <c r="AN122" s="1611"/>
      <c r="AO122" s="1611"/>
      <c r="AP122" s="1611"/>
      <c r="AQ122" s="1611"/>
    </row>
    <row r="123" spans="1:43" outlineLevel="2">
      <c r="A123" s="1638" t="s">
        <v>305</v>
      </c>
      <c r="B123" s="1637" t="s">
        <v>111</v>
      </c>
      <c r="C123" s="1636"/>
      <c r="D123" s="1635">
        <v>1</v>
      </c>
      <c r="E123" s="1634" t="s">
        <v>899</v>
      </c>
      <c r="F123" s="1633" t="s">
        <v>979</v>
      </c>
      <c r="G123" s="1632">
        <v>4101.8770264142995</v>
      </c>
      <c r="H123" s="1632">
        <v>4550.6400000000003</v>
      </c>
      <c r="I123" s="1630">
        <f t="shared" si="87"/>
        <v>8652.5170264142998</v>
      </c>
      <c r="J123" s="1630">
        <f t="shared" si="88"/>
        <v>8652.5170264142998</v>
      </c>
      <c r="K123" s="1631">
        <v>5479</v>
      </c>
      <c r="L123" s="1630">
        <f t="shared" si="89"/>
        <v>5479</v>
      </c>
      <c r="M123" s="1630">
        <f t="shared" si="90"/>
        <v>5479</v>
      </c>
      <c r="N123" s="1625">
        <f t="shared" si="91"/>
        <v>3173.5170264142998</v>
      </c>
      <c r="O123" s="1629">
        <v>0.48120000000000002</v>
      </c>
      <c r="P123" s="1629">
        <v>0.51880000000000004</v>
      </c>
      <c r="Q123" s="1625">
        <f t="shared" si="92"/>
        <v>1527.0963931105612</v>
      </c>
      <c r="R123" s="1628">
        <f t="shared" si="93"/>
        <v>1646.4206333037389</v>
      </c>
      <c r="S123" s="1627">
        <f t="shared" si="94"/>
        <v>2574.7806333037383</v>
      </c>
      <c r="T123" s="1627">
        <f t="shared" si="95"/>
        <v>2904.2193666962612</v>
      </c>
      <c r="U123" s="1626">
        <f t="shared" si="96"/>
        <v>643.69515832593459</v>
      </c>
      <c r="V123" s="1626">
        <f t="shared" si="97"/>
        <v>726.0548416740653</v>
      </c>
      <c r="W123" s="1625">
        <f t="shared" si="98"/>
        <v>1369.75</v>
      </c>
      <c r="X123" s="1614"/>
      <c r="Y123" s="1613"/>
      <c r="Z123" s="1612">
        <f t="shared" si="99"/>
        <v>0.63322614486325479</v>
      </c>
      <c r="AA123" s="1611"/>
      <c r="AB123" s="1611"/>
      <c r="AC123" s="1611"/>
      <c r="AD123" s="1611"/>
      <c r="AE123" s="1611"/>
      <c r="AF123" s="1611"/>
      <c r="AG123" s="1611"/>
      <c r="AH123" s="1611"/>
      <c r="AI123" s="1611"/>
      <c r="AJ123" s="1611"/>
      <c r="AK123" s="1611"/>
      <c r="AL123" s="1611"/>
      <c r="AM123" s="1611"/>
      <c r="AN123" s="1611"/>
      <c r="AO123" s="1611"/>
      <c r="AP123" s="1611"/>
      <c r="AQ123" s="1611"/>
    </row>
    <row r="124" spans="1:43" outlineLevel="2">
      <c r="A124" s="1638" t="s">
        <v>305</v>
      </c>
      <c r="B124" s="1637" t="s">
        <v>111</v>
      </c>
      <c r="C124" s="1636"/>
      <c r="D124" s="1635">
        <v>3</v>
      </c>
      <c r="E124" s="1634" t="s">
        <v>898</v>
      </c>
      <c r="F124" s="1633" t="s">
        <v>1070</v>
      </c>
      <c r="G124" s="1632">
        <v>4101.8770264142995</v>
      </c>
      <c r="H124" s="1632">
        <v>4550.6400000000003</v>
      </c>
      <c r="I124" s="1630">
        <f t="shared" si="87"/>
        <v>8652.5170264142998</v>
      </c>
      <c r="J124" s="1630">
        <f t="shared" si="88"/>
        <v>25957.551079242898</v>
      </c>
      <c r="K124" s="1631">
        <v>5265</v>
      </c>
      <c r="L124" s="1630">
        <f t="shared" si="89"/>
        <v>5265</v>
      </c>
      <c r="M124" s="1630">
        <f t="shared" si="90"/>
        <v>15795</v>
      </c>
      <c r="N124" s="1625">
        <f t="shared" si="91"/>
        <v>10162.551079242898</v>
      </c>
      <c r="O124" s="1629">
        <v>0.48120000000000002</v>
      </c>
      <c r="P124" s="1629">
        <v>0.51880000000000004</v>
      </c>
      <c r="Q124" s="1625">
        <f t="shared" si="92"/>
        <v>4890.2195793316823</v>
      </c>
      <c r="R124" s="1628">
        <f t="shared" si="93"/>
        <v>5272.3314999112154</v>
      </c>
      <c r="S124" s="1627">
        <f t="shared" si="94"/>
        <v>7415.4114999112171</v>
      </c>
      <c r="T124" s="1627">
        <f t="shared" si="95"/>
        <v>8379.5885000887865</v>
      </c>
      <c r="U124" s="1626">
        <f t="shared" si="96"/>
        <v>1853.8528749778043</v>
      </c>
      <c r="V124" s="1626">
        <f t="shared" si="97"/>
        <v>2094.8971250221966</v>
      </c>
      <c r="W124" s="1625">
        <f t="shared" si="98"/>
        <v>3948.7500000000009</v>
      </c>
      <c r="X124" s="1614"/>
      <c r="Y124" s="1613"/>
      <c r="Z124" s="1612">
        <f t="shared" si="99"/>
        <v>0.60849345732889881</v>
      </c>
      <c r="AA124" s="1611"/>
      <c r="AB124" s="1611"/>
      <c r="AC124" s="1611"/>
      <c r="AD124" s="1611"/>
      <c r="AE124" s="1611"/>
      <c r="AF124" s="1611"/>
      <c r="AG124" s="1611"/>
      <c r="AH124" s="1611"/>
      <c r="AI124" s="1611"/>
      <c r="AJ124" s="1611"/>
      <c r="AK124" s="1611"/>
      <c r="AL124" s="1611"/>
      <c r="AM124" s="1611"/>
      <c r="AN124" s="1611"/>
      <c r="AO124" s="1611"/>
      <c r="AP124" s="1611"/>
      <c r="AQ124" s="1611"/>
    </row>
    <row r="125" spans="1:43" outlineLevel="2">
      <c r="A125" s="1638" t="s">
        <v>305</v>
      </c>
      <c r="B125" s="1637" t="s">
        <v>111</v>
      </c>
      <c r="C125" s="1636"/>
      <c r="D125" s="1635">
        <v>2</v>
      </c>
      <c r="E125" s="1634" t="s">
        <v>898</v>
      </c>
      <c r="F125" s="1633" t="s">
        <v>1069</v>
      </c>
      <c r="G125" s="1632">
        <v>4101.8770264142995</v>
      </c>
      <c r="H125" s="1632">
        <v>4550.6400000000003</v>
      </c>
      <c r="I125" s="1630">
        <f t="shared" si="87"/>
        <v>8652.5170264142998</v>
      </c>
      <c r="J125" s="1630">
        <f t="shared" si="88"/>
        <v>17305.0340528286</v>
      </c>
      <c r="K125" s="1631">
        <v>5265</v>
      </c>
      <c r="L125" s="1630">
        <f t="shared" si="89"/>
        <v>5265</v>
      </c>
      <c r="M125" s="1630">
        <f t="shared" si="90"/>
        <v>10530</v>
      </c>
      <c r="N125" s="1625">
        <f t="shared" si="91"/>
        <v>6775.0340528285997</v>
      </c>
      <c r="O125" s="1629">
        <v>0.48120000000000002</v>
      </c>
      <c r="P125" s="1629">
        <v>0.51880000000000004</v>
      </c>
      <c r="Q125" s="1625">
        <f t="shared" si="92"/>
        <v>3260.1463862211222</v>
      </c>
      <c r="R125" s="1628">
        <f t="shared" si="93"/>
        <v>3514.887666607478</v>
      </c>
      <c r="S125" s="1627">
        <f t="shared" si="94"/>
        <v>4943.6076666074769</v>
      </c>
      <c r="T125" s="1627">
        <f t="shared" si="95"/>
        <v>5586.3923333925231</v>
      </c>
      <c r="U125" s="1626">
        <f t="shared" si="96"/>
        <v>1235.9019166518692</v>
      </c>
      <c r="V125" s="1626">
        <f t="shared" si="97"/>
        <v>1396.5980833481308</v>
      </c>
      <c r="W125" s="1625">
        <f t="shared" si="98"/>
        <v>2632.5</v>
      </c>
      <c r="X125" s="1614"/>
      <c r="Y125" s="1613"/>
      <c r="Z125" s="1612">
        <f t="shared" si="99"/>
        <v>0.60849345732889881</v>
      </c>
      <c r="AA125" s="1611"/>
      <c r="AB125" s="1611"/>
      <c r="AC125" s="1611"/>
      <c r="AD125" s="1611"/>
      <c r="AE125" s="1611"/>
      <c r="AF125" s="1611"/>
      <c r="AG125" s="1611"/>
      <c r="AH125" s="1611"/>
      <c r="AI125" s="1611"/>
      <c r="AJ125" s="1611"/>
      <c r="AK125" s="1611"/>
      <c r="AL125" s="1611"/>
      <c r="AM125" s="1611"/>
      <c r="AN125" s="1611"/>
      <c r="AO125" s="1611"/>
      <c r="AP125" s="1611"/>
      <c r="AQ125" s="1611"/>
    </row>
    <row r="126" spans="1:43" outlineLevel="2">
      <c r="A126" s="1638" t="s">
        <v>305</v>
      </c>
      <c r="B126" s="1637" t="s">
        <v>111</v>
      </c>
      <c r="C126" s="1636"/>
      <c r="D126" s="1635">
        <v>4</v>
      </c>
      <c r="E126" s="1634" t="s">
        <v>898</v>
      </c>
      <c r="F126" s="1633" t="s">
        <v>1068</v>
      </c>
      <c r="G126" s="1632">
        <v>4101.8770264142995</v>
      </c>
      <c r="H126" s="1632">
        <v>4550.6400000000003</v>
      </c>
      <c r="I126" s="1630">
        <f t="shared" si="87"/>
        <v>8652.5170264142998</v>
      </c>
      <c r="J126" s="1630">
        <f t="shared" si="88"/>
        <v>34610.068105657199</v>
      </c>
      <c r="K126" s="1631">
        <v>5265</v>
      </c>
      <c r="L126" s="1630">
        <f t="shared" si="89"/>
        <v>5265</v>
      </c>
      <c r="M126" s="1630">
        <f t="shared" si="90"/>
        <v>21060</v>
      </c>
      <c r="N126" s="1625">
        <f t="shared" si="91"/>
        <v>13550.068105657199</v>
      </c>
      <c r="O126" s="1629">
        <v>0.48120000000000002</v>
      </c>
      <c r="P126" s="1629">
        <v>0.51880000000000004</v>
      </c>
      <c r="Q126" s="1625">
        <f t="shared" si="92"/>
        <v>6520.2927724422443</v>
      </c>
      <c r="R126" s="1628">
        <f t="shared" si="93"/>
        <v>7029.7753332149559</v>
      </c>
      <c r="S126" s="1627">
        <f t="shared" si="94"/>
        <v>9887.2153332149537</v>
      </c>
      <c r="T126" s="1627">
        <f t="shared" si="95"/>
        <v>11172.784666785046</v>
      </c>
      <c r="U126" s="1626">
        <f t="shared" si="96"/>
        <v>2471.8038333037384</v>
      </c>
      <c r="V126" s="1626">
        <f t="shared" si="97"/>
        <v>2793.1961666962616</v>
      </c>
      <c r="W126" s="1625">
        <f t="shared" si="98"/>
        <v>5265</v>
      </c>
      <c r="X126" s="1614"/>
      <c r="Y126" s="1613"/>
      <c r="Z126" s="1612">
        <f t="shared" si="99"/>
        <v>0.60849345732889881</v>
      </c>
      <c r="AA126" s="1611"/>
      <c r="AB126" s="1611"/>
      <c r="AC126" s="1611"/>
      <c r="AD126" s="1611"/>
      <c r="AE126" s="1611"/>
      <c r="AF126" s="1611"/>
      <c r="AG126" s="1611"/>
      <c r="AH126" s="1611"/>
      <c r="AI126" s="1611"/>
      <c r="AJ126" s="1611"/>
      <c r="AK126" s="1611"/>
      <c r="AL126" s="1611"/>
      <c r="AM126" s="1611"/>
      <c r="AN126" s="1611"/>
      <c r="AO126" s="1611"/>
      <c r="AP126" s="1611"/>
      <c r="AQ126" s="1611"/>
    </row>
    <row r="127" spans="1:43" outlineLevel="2">
      <c r="A127" s="1638" t="s">
        <v>305</v>
      </c>
      <c r="B127" s="1637" t="s">
        <v>111</v>
      </c>
      <c r="C127" s="1636"/>
      <c r="D127" s="1635">
        <v>4</v>
      </c>
      <c r="E127" s="1634" t="s">
        <v>898</v>
      </c>
      <c r="F127" s="1633" t="s">
        <v>1071</v>
      </c>
      <c r="G127" s="1632">
        <v>4101.8770264142995</v>
      </c>
      <c r="H127" s="1632">
        <v>4550.6400000000003</v>
      </c>
      <c r="I127" s="1630">
        <f t="shared" si="87"/>
        <v>8652.5170264142998</v>
      </c>
      <c r="J127" s="1630">
        <f t="shared" si="88"/>
        <v>34610.068105657199</v>
      </c>
      <c r="K127" s="1631">
        <v>5265</v>
      </c>
      <c r="L127" s="1630">
        <f t="shared" si="89"/>
        <v>5265</v>
      </c>
      <c r="M127" s="1630">
        <f t="shared" si="90"/>
        <v>21060</v>
      </c>
      <c r="N127" s="1625">
        <f t="shared" si="91"/>
        <v>13550.068105657199</v>
      </c>
      <c r="O127" s="1629">
        <v>0.48120000000000002</v>
      </c>
      <c r="P127" s="1629">
        <v>0.51880000000000004</v>
      </c>
      <c r="Q127" s="1625">
        <f t="shared" si="92"/>
        <v>6520.2927724422443</v>
      </c>
      <c r="R127" s="1628">
        <f t="shared" si="93"/>
        <v>7029.7753332149559</v>
      </c>
      <c r="S127" s="1627">
        <f t="shared" si="94"/>
        <v>9887.2153332149537</v>
      </c>
      <c r="T127" s="1627">
        <f t="shared" si="95"/>
        <v>11172.784666785046</v>
      </c>
      <c r="U127" s="1626">
        <f t="shared" si="96"/>
        <v>2471.8038333037384</v>
      </c>
      <c r="V127" s="1626">
        <f t="shared" si="97"/>
        <v>2793.1961666962616</v>
      </c>
      <c r="W127" s="1625">
        <f t="shared" si="98"/>
        <v>5265</v>
      </c>
      <c r="X127" s="1614"/>
      <c r="Y127" s="1613"/>
      <c r="Z127" s="1612">
        <f t="shared" si="99"/>
        <v>0.60849345732889881</v>
      </c>
      <c r="AA127" s="1611"/>
      <c r="AB127" s="1611"/>
      <c r="AC127" s="1611"/>
      <c r="AD127" s="1611"/>
      <c r="AE127" s="1611"/>
      <c r="AF127" s="1611"/>
      <c r="AG127" s="1611"/>
      <c r="AH127" s="1611"/>
      <c r="AI127" s="1611"/>
      <c r="AJ127" s="1611"/>
      <c r="AK127" s="1611"/>
      <c r="AL127" s="1611"/>
      <c r="AM127" s="1611"/>
      <c r="AN127" s="1611"/>
      <c r="AO127" s="1611"/>
      <c r="AP127" s="1611"/>
      <c r="AQ127" s="1611"/>
    </row>
    <row r="128" spans="1:43" outlineLevel="2">
      <c r="A128" s="1638" t="s">
        <v>305</v>
      </c>
      <c r="B128" s="1637" t="s">
        <v>111</v>
      </c>
      <c r="C128" s="1636"/>
      <c r="D128" s="1635">
        <v>2</v>
      </c>
      <c r="E128" s="1634" t="s">
        <v>898</v>
      </c>
      <c r="F128" s="1633" t="s">
        <v>1065</v>
      </c>
      <c r="G128" s="1632">
        <v>4101.8770264142995</v>
      </c>
      <c r="H128" s="1632">
        <v>4550.6400000000003</v>
      </c>
      <c r="I128" s="1630">
        <f t="shared" si="87"/>
        <v>8652.5170264142998</v>
      </c>
      <c r="J128" s="1630">
        <f t="shared" si="88"/>
        <v>17305.0340528286</v>
      </c>
      <c r="K128" s="1631">
        <v>5265</v>
      </c>
      <c r="L128" s="1630">
        <f t="shared" si="89"/>
        <v>5265</v>
      </c>
      <c r="M128" s="1630">
        <f t="shared" si="90"/>
        <v>10530</v>
      </c>
      <c r="N128" s="1625">
        <f t="shared" si="91"/>
        <v>6775.0340528285997</v>
      </c>
      <c r="O128" s="1629">
        <v>0.48120000000000002</v>
      </c>
      <c r="P128" s="1629">
        <v>0.51880000000000004</v>
      </c>
      <c r="Q128" s="1625">
        <f t="shared" si="92"/>
        <v>3260.1463862211222</v>
      </c>
      <c r="R128" s="1628">
        <f t="shared" si="93"/>
        <v>3514.887666607478</v>
      </c>
      <c r="S128" s="1627">
        <f t="shared" si="94"/>
        <v>4943.6076666074769</v>
      </c>
      <c r="T128" s="1627">
        <f t="shared" si="95"/>
        <v>5586.3923333925231</v>
      </c>
      <c r="U128" s="1626">
        <f t="shared" si="96"/>
        <v>1235.9019166518692</v>
      </c>
      <c r="V128" s="1626">
        <f t="shared" si="97"/>
        <v>1396.5980833481308</v>
      </c>
      <c r="W128" s="1625">
        <f t="shared" si="98"/>
        <v>2632.5</v>
      </c>
      <c r="X128" s="1614"/>
      <c r="Y128" s="1613"/>
      <c r="Z128" s="1612">
        <f t="shared" si="99"/>
        <v>0.60849345732889881</v>
      </c>
      <c r="AA128" s="1611"/>
      <c r="AB128" s="1611"/>
      <c r="AC128" s="1611"/>
      <c r="AD128" s="1611"/>
      <c r="AE128" s="1611"/>
      <c r="AF128" s="1611"/>
      <c r="AG128" s="1611"/>
      <c r="AH128" s="1611"/>
      <c r="AI128" s="1611"/>
      <c r="AJ128" s="1611"/>
      <c r="AK128" s="1611"/>
      <c r="AL128" s="1611"/>
      <c r="AM128" s="1611"/>
      <c r="AN128" s="1611"/>
      <c r="AO128" s="1611"/>
      <c r="AP128" s="1611"/>
      <c r="AQ128" s="1611"/>
    </row>
    <row r="129" spans="1:43" outlineLevel="2">
      <c r="A129" s="1638" t="s">
        <v>305</v>
      </c>
      <c r="B129" s="1637" t="s">
        <v>111</v>
      </c>
      <c r="C129" s="1636"/>
      <c r="D129" s="1635">
        <v>3</v>
      </c>
      <c r="E129" s="1634" t="s">
        <v>898</v>
      </c>
      <c r="F129" s="1633" t="s">
        <v>1064</v>
      </c>
      <c r="G129" s="1632">
        <v>4101.8770264142995</v>
      </c>
      <c r="H129" s="1632">
        <v>4550.6400000000003</v>
      </c>
      <c r="I129" s="1630">
        <f t="shared" si="87"/>
        <v>8652.5170264142998</v>
      </c>
      <c r="J129" s="1630">
        <f t="shared" si="88"/>
        <v>25957.551079242898</v>
      </c>
      <c r="K129" s="1631">
        <v>5265</v>
      </c>
      <c r="L129" s="1630">
        <f t="shared" si="89"/>
        <v>5265</v>
      </c>
      <c r="M129" s="1630">
        <f t="shared" si="90"/>
        <v>15795</v>
      </c>
      <c r="N129" s="1625">
        <f t="shared" si="91"/>
        <v>10162.551079242898</v>
      </c>
      <c r="O129" s="1629">
        <v>0.48120000000000002</v>
      </c>
      <c r="P129" s="1629">
        <v>0.51880000000000004</v>
      </c>
      <c r="Q129" s="1625">
        <f t="shared" si="92"/>
        <v>4890.2195793316823</v>
      </c>
      <c r="R129" s="1628">
        <f t="shared" si="93"/>
        <v>5272.3314999112154</v>
      </c>
      <c r="S129" s="1627">
        <f t="shared" si="94"/>
        <v>7415.4114999112171</v>
      </c>
      <c r="T129" s="1627">
        <f t="shared" si="95"/>
        <v>8379.5885000887865</v>
      </c>
      <c r="U129" s="1626">
        <f t="shared" si="96"/>
        <v>1853.8528749778043</v>
      </c>
      <c r="V129" s="1626">
        <f t="shared" si="97"/>
        <v>2094.8971250221966</v>
      </c>
      <c r="W129" s="1625">
        <f t="shared" si="98"/>
        <v>3948.7500000000009</v>
      </c>
      <c r="X129" s="1614"/>
      <c r="Y129" s="1613"/>
      <c r="Z129" s="1612">
        <f t="shared" si="99"/>
        <v>0.60849345732889881</v>
      </c>
      <c r="AA129" s="1611"/>
      <c r="AB129" s="1611"/>
      <c r="AC129" s="1611"/>
      <c r="AD129" s="1611"/>
      <c r="AE129" s="1611"/>
      <c r="AF129" s="1611"/>
      <c r="AG129" s="1611"/>
      <c r="AH129" s="1611"/>
      <c r="AI129" s="1611"/>
      <c r="AJ129" s="1611"/>
      <c r="AK129" s="1611"/>
      <c r="AL129" s="1611"/>
      <c r="AM129" s="1611"/>
      <c r="AN129" s="1611"/>
      <c r="AO129" s="1611"/>
      <c r="AP129" s="1611"/>
      <c r="AQ129" s="1611"/>
    </row>
    <row r="130" spans="1:43" outlineLevel="2">
      <c r="A130" s="1638" t="s">
        <v>305</v>
      </c>
      <c r="B130" s="1637" t="s">
        <v>111</v>
      </c>
      <c r="C130" s="1636"/>
      <c r="D130" s="1635">
        <v>9</v>
      </c>
      <c r="E130" s="1634" t="s">
        <v>898</v>
      </c>
      <c r="F130" s="1633" t="s">
        <v>979</v>
      </c>
      <c r="G130" s="1632">
        <v>4101.8770264142995</v>
      </c>
      <c r="H130" s="1632">
        <v>4550.6400000000003</v>
      </c>
      <c r="I130" s="1630">
        <f t="shared" si="87"/>
        <v>8652.5170264142998</v>
      </c>
      <c r="J130" s="1630">
        <f t="shared" si="88"/>
        <v>77872.653237728693</v>
      </c>
      <c r="K130" s="1631">
        <v>5515</v>
      </c>
      <c r="L130" s="1630">
        <f t="shared" si="89"/>
        <v>5515</v>
      </c>
      <c r="M130" s="1630">
        <f t="shared" si="90"/>
        <v>49635</v>
      </c>
      <c r="N130" s="1625">
        <f t="shared" si="91"/>
        <v>28237.653237728693</v>
      </c>
      <c r="O130" s="1629">
        <v>0.48120000000000002</v>
      </c>
      <c r="P130" s="1629">
        <v>0.51880000000000004</v>
      </c>
      <c r="Q130" s="1625">
        <f t="shared" si="92"/>
        <v>13587.958737995048</v>
      </c>
      <c r="R130" s="1628">
        <f t="shared" si="93"/>
        <v>14649.694499733647</v>
      </c>
      <c r="S130" s="1627">
        <f t="shared" si="94"/>
        <v>23328.934499733652</v>
      </c>
      <c r="T130" s="1627">
        <f t="shared" si="95"/>
        <v>26306.065500266355</v>
      </c>
      <c r="U130" s="1626">
        <f t="shared" si="96"/>
        <v>5832.233624933413</v>
      </c>
      <c r="V130" s="1626">
        <f t="shared" si="97"/>
        <v>6576.5163750665888</v>
      </c>
      <c r="W130" s="1625">
        <f t="shared" si="98"/>
        <v>12408.750000000002</v>
      </c>
      <c r="X130" s="1614"/>
      <c r="Y130" s="1613"/>
      <c r="Z130" s="1612">
        <f t="shared" si="99"/>
        <v>0.63738678388772585</v>
      </c>
      <c r="AA130" s="1611"/>
      <c r="AB130" s="1611"/>
      <c r="AC130" s="1611"/>
      <c r="AD130" s="1611"/>
      <c r="AE130" s="1611"/>
      <c r="AF130" s="1611"/>
      <c r="AG130" s="1611"/>
      <c r="AH130" s="1611"/>
      <c r="AI130" s="1611"/>
      <c r="AJ130" s="1611"/>
      <c r="AK130" s="1611"/>
      <c r="AL130" s="1611"/>
      <c r="AM130" s="1611"/>
      <c r="AN130" s="1611"/>
      <c r="AO130" s="1611"/>
      <c r="AP130" s="1611"/>
      <c r="AQ130" s="1611"/>
    </row>
    <row r="131" spans="1:43" outlineLevel="2">
      <c r="A131" s="1638" t="s">
        <v>305</v>
      </c>
      <c r="B131" s="1637" t="s">
        <v>111</v>
      </c>
      <c r="C131" s="1636"/>
      <c r="D131" s="1635">
        <v>0</v>
      </c>
      <c r="E131" s="1634" t="s">
        <v>897</v>
      </c>
      <c r="F131" s="1633" t="s">
        <v>1064</v>
      </c>
      <c r="G131" s="1632">
        <v>4101.8770264142995</v>
      </c>
      <c r="H131" s="1632">
        <v>4550.6400000000003</v>
      </c>
      <c r="I131" s="1630">
        <f t="shared" si="87"/>
        <v>8652.5170264142998</v>
      </c>
      <c r="J131" s="1630">
        <f t="shared" si="88"/>
        <v>0</v>
      </c>
      <c r="K131" s="1631">
        <v>5265</v>
      </c>
      <c r="L131" s="1630">
        <f t="shared" si="89"/>
        <v>5265</v>
      </c>
      <c r="M131" s="1630">
        <f t="shared" si="90"/>
        <v>0</v>
      </c>
      <c r="N131" s="1625">
        <f t="shared" si="91"/>
        <v>0</v>
      </c>
      <c r="O131" s="1629">
        <v>0.48120000000000002</v>
      </c>
      <c r="P131" s="1629">
        <v>0.51880000000000004</v>
      </c>
      <c r="Q131" s="1625">
        <f t="shared" si="92"/>
        <v>0</v>
      </c>
      <c r="R131" s="1628">
        <f t="shared" si="93"/>
        <v>0</v>
      </c>
      <c r="S131" s="1627">
        <f t="shared" si="94"/>
        <v>0</v>
      </c>
      <c r="T131" s="1627">
        <f t="shared" si="95"/>
        <v>0</v>
      </c>
      <c r="U131" s="1626">
        <f t="shared" si="96"/>
        <v>0</v>
      </c>
      <c r="V131" s="1626">
        <f t="shared" si="97"/>
        <v>0</v>
      </c>
      <c r="W131" s="1625">
        <f t="shared" si="98"/>
        <v>0</v>
      </c>
      <c r="X131" s="1614"/>
      <c r="Y131" s="1613"/>
      <c r="Z131" s="1612">
        <f t="shared" si="99"/>
        <v>0.60849345732889881</v>
      </c>
      <c r="AA131" s="1611"/>
      <c r="AB131" s="1611"/>
      <c r="AC131" s="1611"/>
      <c r="AD131" s="1611"/>
      <c r="AE131" s="1611"/>
      <c r="AF131" s="1611"/>
      <c r="AG131" s="1611"/>
      <c r="AH131" s="1611"/>
      <c r="AI131" s="1611"/>
      <c r="AJ131" s="1611"/>
      <c r="AK131" s="1611"/>
      <c r="AL131" s="1611"/>
      <c r="AM131" s="1611"/>
      <c r="AN131" s="1611"/>
      <c r="AO131" s="1611"/>
      <c r="AP131" s="1611"/>
      <c r="AQ131" s="1611"/>
    </row>
    <row r="132" spans="1:43" outlineLevel="2">
      <c r="A132" s="1638" t="s">
        <v>305</v>
      </c>
      <c r="B132" s="1637" t="s">
        <v>111</v>
      </c>
      <c r="C132" s="1636"/>
      <c r="D132" s="1635">
        <v>2</v>
      </c>
      <c r="E132" s="1634" t="s">
        <v>985</v>
      </c>
      <c r="F132" s="1633" t="s">
        <v>1067</v>
      </c>
      <c r="G132" s="1632">
        <v>4101.8770264142995</v>
      </c>
      <c r="H132" s="1632">
        <v>4550.6400000000003</v>
      </c>
      <c r="I132" s="1630">
        <f t="shared" ref="I132:I163" si="100">G132+H132</f>
        <v>8652.5170264142998</v>
      </c>
      <c r="J132" s="1630">
        <f t="shared" ref="J132:J163" si="101">D132*I132</f>
        <v>17305.0340528286</v>
      </c>
      <c r="K132" s="1631">
        <v>7461</v>
      </c>
      <c r="L132" s="1630">
        <f t="shared" ref="L132:L163" si="102">IF(I132&gt;K132,K132,I132)</f>
        <v>7461</v>
      </c>
      <c r="M132" s="1630">
        <f t="shared" ref="M132:M163" si="103">L132*D132</f>
        <v>14922</v>
      </c>
      <c r="N132" s="1625">
        <f t="shared" ref="N132:N163" si="104">J132-M132</f>
        <v>2383.0340528285997</v>
      </c>
      <c r="O132" s="1629">
        <v>0.48120000000000002</v>
      </c>
      <c r="P132" s="1629">
        <v>0.51880000000000004</v>
      </c>
      <c r="Q132" s="1625">
        <f t="shared" ref="Q132:Q163" si="105">N132*O132</f>
        <v>1146.7159862211222</v>
      </c>
      <c r="R132" s="1628">
        <f t="shared" ref="R132:R163" si="106">N132*P132</f>
        <v>1236.3180666074777</v>
      </c>
      <c r="S132" s="1627">
        <f t="shared" ref="S132:S163" si="107">(G132*D132)-Q132</f>
        <v>7057.038066607477</v>
      </c>
      <c r="T132" s="1627">
        <f t="shared" ref="T132:T163" si="108">(H132*D132)-R132</f>
        <v>7864.961933392523</v>
      </c>
      <c r="U132" s="1626">
        <f t="shared" ref="U132:U163" si="109">S132/4</f>
        <v>1764.2595166518693</v>
      </c>
      <c r="V132" s="1626">
        <f t="shared" ref="V132:V163" si="110">T132/4</f>
        <v>1966.2404833481307</v>
      </c>
      <c r="W132" s="1625">
        <f t="shared" ref="W132:W163" si="111">V132+U132</f>
        <v>3730.5</v>
      </c>
      <c r="X132" s="1614"/>
      <c r="Y132" s="1613"/>
      <c r="Z132" s="1612">
        <f t="shared" ref="Z132:Z163" si="112">K132/I132</f>
        <v>0.86229243782163612</v>
      </c>
      <c r="AA132" s="1611"/>
      <c r="AB132" s="1611"/>
      <c r="AC132" s="1611"/>
      <c r="AD132" s="1611"/>
      <c r="AE132" s="1611"/>
      <c r="AF132" s="1611"/>
      <c r="AG132" s="1611"/>
      <c r="AH132" s="1611"/>
      <c r="AI132" s="1611"/>
      <c r="AJ132" s="1611"/>
      <c r="AK132" s="1611"/>
      <c r="AL132" s="1611"/>
      <c r="AM132" s="1611"/>
      <c r="AN132" s="1611"/>
      <c r="AO132" s="1611"/>
      <c r="AP132" s="1611"/>
      <c r="AQ132" s="1611"/>
    </row>
    <row r="133" spans="1:43" outlineLevel="2">
      <c r="A133" s="1638" t="s">
        <v>305</v>
      </c>
      <c r="B133" s="1637" t="s">
        <v>111</v>
      </c>
      <c r="C133" s="1636"/>
      <c r="D133" s="1635">
        <v>12</v>
      </c>
      <c r="E133" s="1634" t="s">
        <v>883</v>
      </c>
      <c r="F133" s="1633" t="s">
        <v>1063</v>
      </c>
      <c r="G133" s="1632">
        <v>4101.8770264142995</v>
      </c>
      <c r="H133" s="1632">
        <v>4550.6400000000003</v>
      </c>
      <c r="I133" s="1630">
        <f t="shared" si="100"/>
        <v>8652.5170264142998</v>
      </c>
      <c r="J133" s="1630">
        <f t="shared" si="101"/>
        <v>103830.20431697159</v>
      </c>
      <c r="K133" s="1631">
        <v>6755</v>
      </c>
      <c r="L133" s="1630">
        <f t="shared" si="102"/>
        <v>6755</v>
      </c>
      <c r="M133" s="1630">
        <f t="shared" si="103"/>
        <v>81060</v>
      </c>
      <c r="N133" s="1625">
        <f t="shared" si="104"/>
        <v>22770.204316971591</v>
      </c>
      <c r="O133" s="1629">
        <v>0.48120000000000002</v>
      </c>
      <c r="P133" s="1629">
        <v>0.51880000000000004</v>
      </c>
      <c r="Q133" s="1625">
        <f t="shared" si="105"/>
        <v>10957.02231732673</v>
      </c>
      <c r="R133" s="1628">
        <f t="shared" si="106"/>
        <v>11813.181999644863</v>
      </c>
      <c r="S133" s="1627">
        <f t="shared" si="107"/>
        <v>38265.501999644868</v>
      </c>
      <c r="T133" s="1627">
        <f t="shared" si="108"/>
        <v>42794.498000355146</v>
      </c>
      <c r="U133" s="1626">
        <f t="shared" si="109"/>
        <v>9566.375499911217</v>
      </c>
      <c r="V133" s="1626">
        <f t="shared" si="110"/>
        <v>10698.624500088787</v>
      </c>
      <c r="W133" s="1625">
        <f t="shared" si="111"/>
        <v>20265.000000000004</v>
      </c>
      <c r="X133" s="1614"/>
      <c r="Y133" s="1613"/>
      <c r="Z133" s="1612">
        <f t="shared" si="112"/>
        <v>0.78069768361950831</v>
      </c>
      <c r="AA133" s="1611"/>
      <c r="AB133" s="1611"/>
      <c r="AC133" s="1611"/>
      <c r="AD133" s="1611"/>
      <c r="AE133" s="1611"/>
      <c r="AF133" s="1611"/>
      <c r="AG133" s="1611"/>
      <c r="AH133" s="1611"/>
      <c r="AI133" s="1611"/>
      <c r="AJ133" s="1611"/>
      <c r="AK133" s="1611"/>
      <c r="AL133" s="1611"/>
      <c r="AM133" s="1611"/>
      <c r="AN133" s="1611"/>
      <c r="AO133" s="1611"/>
      <c r="AP133" s="1611"/>
      <c r="AQ133" s="1611"/>
    </row>
    <row r="134" spans="1:43" outlineLevel="2">
      <c r="A134" s="1638" t="s">
        <v>305</v>
      </c>
      <c r="B134" s="1637" t="s">
        <v>111</v>
      </c>
      <c r="C134" s="1636"/>
      <c r="D134" s="1635">
        <v>9</v>
      </c>
      <c r="E134" s="1634" t="s">
        <v>883</v>
      </c>
      <c r="F134" s="1633" t="s">
        <v>1066</v>
      </c>
      <c r="G134" s="1632">
        <v>4101.8770264142995</v>
      </c>
      <c r="H134" s="1632">
        <v>4550.6400000000003</v>
      </c>
      <c r="I134" s="1630">
        <f t="shared" si="100"/>
        <v>8652.5170264142998</v>
      </c>
      <c r="J134" s="1630">
        <f t="shared" si="101"/>
        <v>77872.653237728693</v>
      </c>
      <c r="K134" s="1631">
        <v>6755</v>
      </c>
      <c r="L134" s="1630">
        <f t="shared" si="102"/>
        <v>6755</v>
      </c>
      <c r="M134" s="1630">
        <f t="shared" si="103"/>
        <v>60795</v>
      </c>
      <c r="N134" s="1625">
        <f t="shared" si="104"/>
        <v>17077.653237728693</v>
      </c>
      <c r="O134" s="1629">
        <v>0.48120000000000002</v>
      </c>
      <c r="P134" s="1629">
        <v>0.51880000000000004</v>
      </c>
      <c r="Q134" s="1625">
        <f t="shared" si="105"/>
        <v>8217.7667379950472</v>
      </c>
      <c r="R134" s="1628">
        <f t="shared" si="106"/>
        <v>8859.8864997336459</v>
      </c>
      <c r="S134" s="1627">
        <f t="shared" si="107"/>
        <v>28699.126499733651</v>
      </c>
      <c r="T134" s="1627">
        <f t="shared" si="108"/>
        <v>32095.873500266356</v>
      </c>
      <c r="U134" s="1626">
        <f t="shared" si="109"/>
        <v>7174.7816249334128</v>
      </c>
      <c r="V134" s="1626">
        <f t="shared" si="110"/>
        <v>8023.968375066589</v>
      </c>
      <c r="W134" s="1625">
        <f t="shared" si="111"/>
        <v>15198.750000000002</v>
      </c>
      <c r="X134" s="1614"/>
      <c r="Y134" s="1613"/>
      <c r="Z134" s="1612">
        <f t="shared" si="112"/>
        <v>0.78069768361950831</v>
      </c>
      <c r="AA134" s="1611"/>
      <c r="AB134" s="1611"/>
      <c r="AC134" s="1611"/>
      <c r="AD134" s="1611"/>
      <c r="AE134" s="1611"/>
      <c r="AF134" s="1611"/>
      <c r="AG134" s="1611"/>
      <c r="AH134" s="1611"/>
      <c r="AI134" s="1611"/>
      <c r="AJ134" s="1611"/>
      <c r="AK134" s="1611"/>
      <c r="AL134" s="1611"/>
      <c r="AM134" s="1611"/>
      <c r="AN134" s="1611"/>
      <c r="AO134" s="1611"/>
      <c r="AP134" s="1611"/>
      <c r="AQ134" s="1611"/>
    </row>
    <row r="135" spans="1:43" outlineLevel="2">
      <c r="A135" s="1638" t="s">
        <v>305</v>
      </c>
      <c r="B135" s="1637" t="s">
        <v>111</v>
      </c>
      <c r="C135" s="1636"/>
      <c r="D135" s="1635">
        <v>11</v>
      </c>
      <c r="E135" s="1634" t="s">
        <v>883</v>
      </c>
      <c r="F135" s="1633" t="s">
        <v>1067</v>
      </c>
      <c r="G135" s="1632">
        <v>4101.8770264142995</v>
      </c>
      <c r="H135" s="1632">
        <v>4550.6400000000003</v>
      </c>
      <c r="I135" s="1630">
        <f t="shared" si="100"/>
        <v>8652.5170264142998</v>
      </c>
      <c r="J135" s="1630">
        <f t="shared" si="101"/>
        <v>95177.687290557296</v>
      </c>
      <c r="K135" s="1631">
        <v>8421</v>
      </c>
      <c r="L135" s="1630">
        <f t="shared" si="102"/>
        <v>8421</v>
      </c>
      <c r="M135" s="1630">
        <f t="shared" si="103"/>
        <v>92631</v>
      </c>
      <c r="N135" s="1625">
        <f t="shared" si="104"/>
        <v>2546.6872905572964</v>
      </c>
      <c r="O135" s="1629">
        <v>0.48120000000000002</v>
      </c>
      <c r="P135" s="1629">
        <v>0.51880000000000004</v>
      </c>
      <c r="Q135" s="1625">
        <f t="shared" si="105"/>
        <v>1225.4659242161711</v>
      </c>
      <c r="R135" s="1628">
        <f t="shared" si="106"/>
        <v>1321.2213663411255</v>
      </c>
      <c r="S135" s="1627">
        <f t="shared" si="107"/>
        <v>43895.181366341123</v>
      </c>
      <c r="T135" s="1627">
        <f t="shared" si="108"/>
        <v>48735.818633658877</v>
      </c>
      <c r="U135" s="1626">
        <f t="shared" si="109"/>
        <v>10973.795341585281</v>
      </c>
      <c r="V135" s="1626">
        <f t="shared" si="110"/>
        <v>12183.954658414719</v>
      </c>
      <c r="W135" s="1625">
        <f t="shared" si="111"/>
        <v>23157.75</v>
      </c>
      <c r="X135" s="1614"/>
      <c r="Y135" s="1613"/>
      <c r="Z135" s="1612">
        <f t="shared" si="112"/>
        <v>0.97324281180753214</v>
      </c>
      <c r="AA135" s="1611"/>
      <c r="AB135" s="1611"/>
      <c r="AC135" s="1611"/>
      <c r="AD135" s="1611"/>
      <c r="AE135" s="1611"/>
      <c r="AF135" s="1611"/>
      <c r="AG135" s="1611"/>
      <c r="AH135" s="1611"/>
      <c r="AI135" s="1611"/>
      <c r="AJ135" s="1611"/>
      <c r="AK135" s="1611"/>
      <c r="AL135" s="1611"/>
      <c r="AM135" s="1611"/>
      <c r="AN135" s="1611"/>
      <c r="AO135" s="1611"/>
      <c r="AP135" s="1611"/>
      <c r="AQ135" s="1611"/>
    </row>
    <row r="136" spans="1:43" outlineLevel="2">
      <c r="A136" s="1638" t="s">
        <v>305</v>
      </c>
      <c r="B136" s="1637" t="s">
        <v>111</v>
      </c>
      <c r="C136" s="1636"/>
      <c r="D136" s="1635">
        <v>1</v>
      </c>
      <c r="E136" s="1634" t="s">
        <v>986</v>
      </c>
      <c r="F136" s="1633" t="s">
        <v>1063</v>
      </c>
      <c r="G136" s="1632">
        <v>4101.8770264142995</v>
      </c>
      <c r="H136" s="1632">
        <v>4550.6400000000003</v>
      </c>
      <c r="I136" s="1630">
        <f t="shared" si="100"/>
        <v>8652.5170264142998</v>
      </c>
      <c r="J136" s="1630">
        <f t="shared" si="101"/>
        <v>8652.5170264142998</v>
      </c>
      <c r="K136" s="1631">
        <v>8736</v>
      </c>
      <c r="L136" s="1630">
        <f t="shared" si="102"/>
        <v>8652.5170264142998</v>
      </c>
      <c r="M136" s="1630">
        <f t="shared" si="103"/>
        <v>8652.5170264142998</v>
      </c>
      <c r="N136" s="1625">
        <f t="shared" si="104"/>
        <v>0</v>
      </c>
      <c r="O136" s="1629">
        <v>0.48120000000000002</v>
      </c>
      <c r="P136" s="1629">
        <v>0.51880000000000004</v>
      </c>
      <c r="Q136" s="1625">
        <f t="shared" si="105"/>
        <v>0</v>
      </c>
      <c r="R136" s="1628">
        <f t="shared" si="106"/>
        <v>0</v>
      </c>
      <c r="S136" s="1627">
        <f t="shared" si="107"/>
        <v>4101.8770264142995</v>
      </c>
      <c r="T136" s="1627">
        <f t="shared" si="108"/>
        <v>4550.6400000000003</v>
      </c>
      <c r="U136" s="1626">
        <f t="shared" si="109"/>
        <v>1025.4692566035749</v>
      </c>
      <c r="V136" s="1626">
        <f t="shared" si="110"/>
        <v>1137.6600000000001</v>
      </c>
      <c r="W136" s="1625">
        <f t="shared" si="111"/>
        <v>2163.129256603575</v>
      </c>
      <c r="X136" s="1614"/>
      <c r="Y136" s="1613"/>
      <c r="Z136" s="1612">
        <f t="shared" si="112"/>
        <v>1.0096484032716544</v>
      </c>
      <c r="AA136" s="1611"/>
      <c r="AB136" s="1611"/>
      <c r="AC136" s="1611"/>
      <c r="AD136" s="1611"/>
      <c r="AE136" s="1611"/>
      <c r="AF136" s="1611"/>
      <c r="AG136" s="1611"/>
      <c r="AH136" s="1611"/>
      <c r="AI136" s="1611"/>
      <c r="AJ136" s="1611"/>
      <c r="AK136" s="1611"/>
      <c r="AL136" s="1611"/>
      <c r="AM136" s="1611"/>
      <c r="AN136" s="1611"/>
      <c r="AO136" s="1611"/>
      <c r="AP136" s="1611"/>
      <c r="AQ136" s="1611"/>
    </row>
    <row r="137" spans="1:43" outlineLevel="2">
      <c r="A137" s="1638" t="s">
        <v>305</v>
      </c>
      <c r="B137" s="1637" t="s">
        <v>111</v>
      </c>
      <c r="C137" s="1636"/>
      <c r="D137" s="1635">
        <v>1</v>
      </c>
      <c r="E137" s="1634" t="s">
        <v>968</v>
      </c>
      <c r="F137" s="1633" t="s">
        <v>979</v>
      </c>
      <c r="G137" s="1632">
        <v>4101.8770264142995</v>
      </c>
      <c r="H137" s="1632">
        <v>4550.6400000000003</v>
      </c>
      <c r="I137" s="1630">
        <f t="shared" si="100"/>
        <v>8652.5170264142998</v>
      </c>
      <c r="J137" s="1630">
        <f t="shared" si="101"/>
        <v>8652.5170264142998</v>
      </c>
      <c r="K137" s="1631">
        <v>8520</v>
      </c>
      <c r="L137" s="1630">
        <f t="shared" si="102"/>
        <v>8520</v>
      </c>
      <c r="M137" s="1630">
        <f t="shared" si="103"/>
        <v>8520</v>
      </c>
      <c r="N137" s="1625">
        <f t="shared" si="104"/>
        <v>132.51702641429983</v>
      </c>
      <c r="O137" s="1629">
        <v>0.48120000000000002</v>
      </c>
      <c r="P137" s="1629">
        <v>0.51880000000000004</v>
      </c>
      <c r="Q137" s="1625">
        <f t="shared" si="105"/>
        <v>63.767193110561081</v>
      </c>
      <c r="R137" s="1628">
        <f t="shared" si="106"/>
        <v>68.749833303738754</v>
      </c>
      <c r="S137" s="1627">
        <f t="shared" si="107"/>
        <v>4038.1098333037385</v>
      </c>
      <c r="T137" s="1627">
        <f t="shared" si="108"/>
        <v>4481.890166696262</v>
      </c>
      <c r="U137" s="1626">
        <f t="shared" si="109"/>
        <v>1009.5274583259346</v>
      </c>
      <c r="V137" s="1626">
        <f t="shared" si="110"/>
        <v>1120.4725416740655</v>
      </c>
      <c r="W137" s="1625">
        <f t="shared" si="111"/>
        <v>2130</v>
      </c>
      <c r="X137" s="1614"/>
      <c r="Y137" s="1613"/>
      <c r="Z137" s="1612">
        <f t="shared" si="112"/>
        <v>0.98468456912482771</v>
      </c>
      <c r="AA137" s="1611"/>
      <c r="AB137" s="1611"/>
      <c r="AC137" s="1611"/>
      <c r="AD137" s="1611"/>
      <c r="AE137" s="1611"/>
      <c r="AF137" s="1611"/>
      <c r="AG137" s="1611"/>
      <c r="AH137" s="1611"/>
      <c r="AI137" s="1611"/>
      <c r="AJ137" s="1611"/>
      <c r="AK137" s="1611"/>
      <c r="AL137" s="1611"/>
      <c r="AM137" s="1611"/>
      <c r="AN137" s="1611"/>
      <c r="AO137" s="1611"/>
      <c r="AP137" s="1611"/>
      <c r="AQ137" s="1611"/>
    </row>
    <row r="138" spans="1:43" outlineLevel="2">
      <c r="A138" s="1638" t="s">
        <v>305</v>
      </c>
      <c r="B138" s="1637" t="s">
        <v>111</v>
      </c>
      <c r="C138" s="1636"/>
      <c r="D138" s="1635">
        <v>13</v>
      </c>
      <c r="E138" s="1634" t="s">
        <v>886</v>
      </c>
      <c r="F138" s="1633" t="s">
        <v>1070</v>
      </c>
      <c r="G138" s="1632">
        <v>4101.8770264142995</v>
      </c>
      <c r="H138" s="1632">
        <v>4550.6400000000003</v>
      </c>
      <c r="I138" s="1630">
        <f t="shared" si="100"/>
        <v>8652.5170264142998</v>
      </c>
      <c r="J138" s="1630">
        <f t="shared" si="101"/>
        <v>112482.7213433859</v>
      </c>
      <c r="K138" s="1631">
        <v>4055</v>
      </c>
      <c r="L138" s="1630">
        <f t="shared" si="102"/>
        <v>4055</v>
      </c>
      <c r="M138" s="1630">
        <f t="shared" si="103"/>
        <v>52715</v>
      </c>
      <c r="N138" s="1625">
        <f t="shared" si="104"/>
        <v>59767.7213433859</v>
      </c>
      <c r="O138" s="1629">
        <v>0.48120000000000002</v>
      </c>
      <c r="P138" s="1629">
        <v>0.51880000000000004</v>
      </c>
      <c r="Q138" s="1625">
        <f t="shared" si="105"/>
        <v>28760.227510437297</v>
      </c>
      <c r="R138" s="1628">
        <f t="shared" si="106"/>
        <v>31007.493832948607</v>
      </c>
      <c r="S138" s="1627">
        <f t="shared" si="107"/>
        <v>24564.173832948596</v>
      </c>
      <c r="T138" s="1627">
        <f t="shared" si="108"/>
        <v>28150.8261670514</v>
      </c>
      <c r="U138" s="1626">
        <f t="shared" si="109"/>
        <v>6141.043458237149</v>
      </c>
      <c r="V138" s="1626">
        <f t="shared" si="110"/>
        <v>7037.7065417628501</v>
      </c>
      <c r="W138" s="1625">
        <f t="shared" si="111"/>
        <v>13178.75</v>
      </c>
      <c r="X138" s="1614"/>
      <c r="Y138" s="1613"/>
      <c r="Z138" s="1612">
        <f t="shared" si="112"/>
        <v>0.46864975678417559</v>
      </c>
      <c r="AA138" s="1611"/>
      <c r="AB138" s="1611"/>
      <c r="AC138" s="1611"/>
      <c r="AD138" s="1611"/>
      <c r="AE138" s="1611"/>
      <c r="AF138" s="1611"/>
      <c r="AG138" s="1611"/>
      <c r="AH138" s="1611"/>
      <c r="AI138" s="1611"/>
      <c r="AJ138" s="1611"/>
      <c r="AK138" s="1611"/>
      <c r="AL138" s="1611"/>
      <c r="AM138" s="1611"/>
      <c r="AN138" s="1611"/>
      <c r="AO138" s="1611"/>
      <c r="AP138" s="1611"/>
      <c r="AQ138" s="1611"/>
    </row>
    <row r="139" spans="1:43" outlineLevel="2">
      <c r="A139" s="1638" t="s">
        <v>305</v>
      </c>
      <c r="B139" s="1637" t="s">
        <v>111</v>
      </c>
      <c r="C139" s="1636"/>
      <c r="D139" s="1635">
        <v>7</v>
      </c>
      <c r="E139" s="1634" t="s">
        <v>886</v>
      </c>
      <c r="F139" s="1633" t="s">
        <v>1069</v>
      </c>
      <c r="G139" s="1632">
        <v>4101.8770264142995</v>
      </c>
      <c r="H139" s="1632">
        <v>4550.6400000000003</v>
      </c>
      <c r="I139" s="1630">
        <f t="shared" si="100"/>
        <v>8652.5170264142998</v>
      </c>
      <c r="J139" s="1630">
        <f t="shared" si="101"/>
        <v>60567.619184900097</v>
      </c>
      <c r="K139" s="1631">
        <v>4090</v>
      </c>
      <c r="L139" s="1630">
        <f t="shared" si="102"/>
        <v>4090</v>
      </c>
      <c r="M139" s="1630">
        <f t="shared" si="103"/>
        <v>28630</v>
      </c>
      <c r="N139" s="1625">
        <f t="shared" si="104"/>
        <v>31937.619184900097</v>
      </c>
      <c r="O139" s="1629">
        <v>0.48120000000000002</v>
      </c>
      <c r="P139" s="1629">
        <v>0.51880000000000004</v>
      </c>
      <c r="Q139" s="1625">
        <f t="shared" si="105"/>
        <v>15368.382351773927</v>
      </c>
      <c r="R139" s="1628">
        <f t="shared" si="106"/>
        <v>16569.236833126171</v>
      </c>
      <c r="S139" s="1627">
        <f t="shared" si="107"/>
        <v>13344.75683312617</v>
      </c>
      <c r="T139" s="1627">
        <f t="shared" si="108"/>
        <v>15285.243166873832</v>
      </c>
      <c r="U139" s="1626">
        <f t="shared" si="109"/>
        <v>3336.1892082815425</v>
      </c>
      <c r="V139" s="1626">
        <f t="shared" si="110"/>
        <v>3821.3107917184579</v>
      </c>
      <c r="W139" s="1625">
        <f t="shared" si="111"/>
        <v>7157.5</v>
      </c>
      <c r="X139" s="1614"/>
      <c r="Y139" s="1613"/>
      <c r="Z139" s="1612">
        <f t="shared" si="112"/>
        <v>0.4726948225024114</v>
      </c>
      <c r="AA139" s="1611"/>
      <c r="AB139" s="1611"/>
      <c r="AC139" s="1611"/>
      <c r="AD139" s="1611"/>
      <c r="AE139" s="1611"/>
      <c r="AF139" s="1611"/>
      <c r="AG139" s="1611"/>
      <c r="AH139" s="1611"/>
      <c r="AI139" s="1611"/>
      <c r="AJ139" s="1611"/>
      <c r="AK139" s="1611"/>
      <c r="AL139" s="1611"/>
      <c r="AM139" s="1611"/>
      <c r="AN139" s="1611"/>
      <c r="AO139" s="1611"/>
      <c r="AP139" s="1611"/>
      <c r="AQ139" s="1611"/>
    </row>
    <row r="140" spans="1:43" outlineLevel="2">
      <c r="A140" s="1638" t="s">
        <v>305</v>
      </c>
      <c r="B140" s="1637" t="s">
        <v>111</v>
      </c>
      <c r="C140" s="1636"/>
      <c r="D140" s="1635">
        <v>12</v>
      </c>
      <c r="E140" s="1634" t="s">
        <v>886</v>
      </c>
      <c r="F140" s="1633" t="s">
        <v>979</v>
      </c>
      <c r="G140" s="1632">
        <v>4101.8770264142995</v>
      </c>
      <c r="H140" s="1632">
        <v>4550.6400000000003</v>
      </c>
      <c r="I140" s="1630">
        <f t="shared" si="100"/>
        <v>8652.5170264142998</v>
      </c>
      <c r="J140" s="1630">
        <f t="shared" si="101"/>
        <v>103830.20431697159</v>
      </c>
      <c r="K140" s="1631">
        <v>3975</v>
      </c>
      <c r="L140" s="1630">
        <f t="shared" si="102"/>
        <v>3975</v>
      </c>
      <c r="M140" s="1630">
        <f t="shared" si="103"/>
        <v>47700</v>
      </c>
      <c r="N140" s="1625">
        <f t="shared" si="104"/>
        <v>56130.204316971591</v>
      </c>
      <c r="O140" s="1629">
        <v>0.48120000000000002</v>
      </c>
      <c r="P140" s="1629">
        <v>0.51880000000000004</v>
      </c>
      <c r="Q140" s="1625">
        <f t="shared" si="105"/>
        <v>27009.854317326732</v>
      </c>
      <c r="R140" s="1628">
        <f t="shared" si="106"/>
        <v>29120.349999644863</v>
      </c>
      <c r="S140" s="1627">
        <f t="shared" si="107"/>
        <v>22212.669999644866</v>
      </c>
      <c r="T140" s="1627">
        <f t="shared" si="108"/>
        <v>25487.330000355145</v>
      </c>
      <c r="U140" s="1626">
        <f t="shared" si="109"/>
        <v>5553.1674999112165</v>
      </c>
      <c r="V140" s="1626">
        <f t="shared" si="110"/>
        <v>6371.8325000887862</v>
      </c>
      <c r="W140" s="1625">
        <f t="shared" si="111"/>
        <v>11925.000000000004</v>
      </c>
      <c r="X140" s="1614"/>
      <c r="Y140" s="1613"/>
      <c r="Z140" s="1612">
        <f t="shared" si="112"/>
        <v>0.45940389228535095</v>
      </c>
      <c r="AA140" s="1611"/>
      <c r="AB140" s="1611"/>
      <c r="AC140" s="1611"/>
      <c r="AD140" s="1611"/>
      <c r="AE140" s="1611"/>
      <c r="AF140" s="1611"/>
      <c r="AG140" s="1611"/>
      <c r="AH140" s="1611"/>
      <c r="AI140" s="1611"/>
      <c r="AJ140" s="1611"/>
      <c r="AK140" s="1611"/>
      <c r="AL140" s="1611"/>
      <c r="AM140" s="1611"/>
      <c r="AN140" s="1611"/>
      <c r="AO140" s="1611"/>
      <c r="AP140" s="1611"/>
      <c r="AQ140" s="1611"/>
    </row>
    <row r="141" spans="1:43" outlineLevel="2">
      <c r="A141" s="1638" t="s">
        <v>305</v>
      </c>
      <c r="B141" s="1637" t="s">
        <v>111</v>
      </c>
      <c r="C141" s="1636"/>
      <c r="D141" s="1635">
        <v>4</v>
      </c>
      <c r="E141" s="1634" t="s">
        <v>888</v>
      </c>
      <c r="F141" s="1633" t="s">
        <v>1070</v>
      </c>
      <c r="G141" s="1632">
        <v>4101.8770264142995</v>
      </c>
      <c r="H141" s="1632">
        <v>4550.6400000000003</v>
      </c>
      <c r="I141" s="1630">
        <f t="shared" si="100"/>
        <v>8652.5170264142998</v>
      </c>
      <c r="J141" s="1630">
        <f t="shared" si="101"/>
        <v>34610.068105657199</v>
      </c>
      <c r="K141" s="1631">
        <v>5575</v>
      </c>
      <c r="L141" s="1630">
        <f t="shared" si="102"/>
        <v>5575</v>
      </c>
      <c r="M141" s="1630">
        <f t="shared" si="103"/>
        <v>22300</v>
      </c>
      <c r="N141" s="1625">
        <f t="shared" si="104"/>
        <v>12310.068105657199</v>
      </c>
      <c r="O141" s="1629">
        <v>0.48120000000000002</v>
      </c>
      <c r="P141" s="1629">
        <v>0.51880000000000004</v>
      </c>
      <c r="Q141" s="1625">
        <f t="shared" si="105"/>
        <v>5923.6047724422442</v>
      </c>
      <c r="R141" s="1628">
        <f t="shared" si="106"/>
        <v>6386.4633332149551</v>
      </c>
      <c r="S141" s="1627">
        <f t="shared" si="107"/>
        <v>10483.903333214954</v>
      </c>
      <c r="T141" s="1627">
        <f t="shared" si="108"/>
        <v>11816.096666785046</v>
      </c>
      <c r="U141" s="1626">
        <f t="shared" si="109"/>
        <v>2620.9758333037385</v>
      </c>
      <c r="V141" s="1626">
        <f t="shared" si="110"/>
        <v>2954.0241666962615</v>
      </c>
      <c r="W141" s="1625">
        <f t="shared" si="111"/>
        <v>5575</v>
      </c>
      <c r="X141" s="1614"/>
      <c r="Y141" s="1613"/>
      <c r="Z141" s="1612">
        <f t="shared" si="112"/>
        <v>0.64432118226184443</v>
      </c>
      <c r="AA141" s="1611"/>
      <c r="AB141" s="1611"/>
      <c r="AC141" s="1611"/>
      <c r="AD141" s="1611"/>
      <c r="AE141" s="1611"/>
      <c r="AF141" s="1611"/>
      <c r="AG141" s="1611"/>
      <c r="AH141" s="1611"/>
      <c r="AI141" s="1611"/>
      <c r="AJ141" s="1611"/>
      <c r="AK141" s="1611"/>
      <c r="AL141" s="1611"/>
      <c r="AM141" s="1611"/>
      <c r="AN141" s="1611"/>
      <c r="AO141" s="1611"/>
      <c r="AP141" s="1611"/>
      <c r="AQ141" s="1611"/>
    </row>
    <row r="142" spans="1:43" outlineLevel="2">
      <c r="A142" s="1638" t="s">
        <v>305</v>
      </c>
      <c r="B142" s="1637" t="s">
        <v>111</v>
      </c>
      <c r="C142" s="1636"/>
      <c r="D142" s="1635">
        <v>1</v>
      </c>
      <c r="E142" s="1634" t="s">
        <v>888</v>
      </c>
      <c r="F142" s="1633" t="s">
        <v>1069</v>
      </c>
      <c r="G142" s="1632">
        <v>4101.8770264142995</v>
      </c>
      <c r="H142" s="1632">
        <v>4550.6400000000003</v>
      </c>
      <c r="I142" s="1630">
        <f t="shared" si="100"/>
        <v>8652.5170264142998</v>
      </c>
      <c r="J142" s="1630">
        <f t="shared" si="101"/>
        <v>8652.5170264142998</v>
      </c>
      <c r="K142" s="1631">
        <v>5575</v>
      </c>
      <c r="L142" s="1630">
        <f t="shared" si="102"/>
        <v>5575</v>
      </c>
      <c r="M142" s="1630">
        <f t="shared" si="103"/>
        <v>5575</v>
      </c>
      <c r="N142" s="1625">
        <f t="shared" si="104"/>
        <v>3077.5170264142998</v>
      </c>
      <c r="O142" s="1629">
        <v>0.48120000000000002</v>
      </c>
      <c r="P142" s="1629">
        <v>0.51880000000000004</v>
      </c>
      <c r="Q142" s="1625">
        <f t="shared" si="105"/>
        <v>1480.9011931105611</v>
      </c>
      <c r="R142" s="1628">
        <f t="shared" si="106"/>
        <v>1596.6158333037388</v>
      </c>
      <c r="S142" s="1627">
        <f t="shared" si="107"/>
        <v>2620.9758333037385</v>
      </c>
      <c r="T142" s="1627">
        <f t="shared" si="108"/>
        <v>2954.0241666962615</v>
      </c>
      <c r="U142" s="1626">
        <f t="shared" si="109"/>
        <v>655.24395832593461</v>
      </c>
      <c r="V142" s="1626">
        <f t="shared" si="110"/>
        <v>738.50604167406539</v>
      </c>
      <c r="W142" s="1625">
        <f t="shared" si="111"/>
        <v>1393.75</v>
      </c>
      <c r="X142" s="1614"/>
      <c r="Y142" s="1613"/>
      <c r="Z142" s="1612">
        <f t="shared" si="112"/>
        <v>0.64432118226184443</v>
      </c>
      <c r="AA142" s="1611"/>
      <c r="AB142" s="1611"/>
      <c r="AC142" s="1611"/>
      <c r="AD142" s="1611"/>
      <c r="AE142" s="1611"/>
      <c r="AF142" s="1611"/>
      <c r="AG142" s="1611"/>
      <c r="AH142" s="1611"/>
      <c r="AI142" s="1611"/>
      <c r="AJ142" s="1611"/>
      <c r="AK142" s="1611"/>
      <c r="AL142" s="1611"/>
      <c r="AM142" s="1611"/>
      <c r="AN142" s="1611"/>
      <c r="AO142" s="1611"/>
      <c r="AP142" s="1611"/>
      <c r="AQ142" s="1611"/>
    </row>
    <row r="143" spans="1:43" outlineLevel="2">
      <c r="A143" s="1638" t="s">
        <v>305</v>
      </c>
      <c r="B143" s="1637" t="s">
        <v>111</v>
      </c>
      <c r="C143" s="1636"/>
      <c r="D143" s="1635">
        <v>5</v>
      </c>
      <c r="E143" s="1634" t="s">
        <v>888</v>
      </c>
      <c r="F143" s="1633" t="s">
        <v>1068</v>
      </c>
      <c r="G143" s="1632">
        <v>4101.8770264142995</v>
      </c>
      <c r="H143" s="1632">
        <v>4550.6400000000003</v>
      </c>
      <c r="I143" s="1630">
        <f t="shared" si="100"/>
        <v>8652.5170264142998</v>
      </c>
      <c r="J143" s="1630">
        <f t="shared" si="101"/>
        <v>43262.585132071501</v>
      </c>
      <c r="K143" s="1631">
        <v>5575</v>
      </c>
      <c r="L143" s="1630">
        <f t="shared" si="102"/>
        <v>5575</v>
      </c>
      <c r="M143" s="1630">
        <f t="shared" si="103"/>
        <v>27875</v>
      </c>
      <c r="N143" s="1625">
        <f t="shared" si="104"/>
        <v>15387.585132071501</v>
      </c>
      <c r="O143" s="1629">
        <v>0.48120000000000002</v>
      </c>
      <c r="P143" s="1629">
        <v>0.51880000000000004</v>
      </c>
      <c r="Q143" s="1625">
        <f t="shared" si="105"/>
        <v>7404.5059655528066</v>
      </c>
      <c r="R143" s="1628">
        <f t="shared" si="106"/>
        <v>7983.0791665186953</v>
      </c>
      <c r="S143" s="1627">
        <f t="shared" si="107"/>
        <v>13104.879166518691</v>
      </c>
      <c r="T143" s="1627">
        <f t="shared" si="108"/>
        <v>14770.120833481305</v>
      </c>
      <c r="U143" s="1626">
        <f t="shared" si="109"/>
        <v>3276.2197916296727</v>
      </c>
      <c r="V143" s="1626">
        <f t="shared" si="110"/>
        <v>3692.5302083703264</v>
      </c>
      <c r="W143" s="1625">
        <f t="shared" si="111"/>
        <v>6968.7499999999991</v>
      </c>
      <c r="X143" s="1614"/>
      <c r="Y143" s="1613"/>
      <c r="Z143" s="1612">
        <f t="shared" si="112"/>
        <v>0.64432118226184443</v>
      </c>
      <c r="AA143" s="1611"/>
      <c r="AB143" s="1611"/>
      <c r="AC143" s="1611"/>
      <c r="AD143" s="1611"/>
      <c r="AE143" s="1611"/>
      <c r="AF143" s="1611"/>
      <c r="AG143" s="1611"/>
      <c r="AH143" s="1611"/>
      <c r="AI143" s="1611"/>
      <c r="AJ143" s="1611"/>
      <c r="AK143" s="1611"/>
      <c r="AL143" s="1611"/>
      <c r="AM143" s="1611"/>
      <c r="AN143" s="1611"/>
      <c r="AO143" s="1611"/>
      <c r="AP143" s="1611"/>
      <c r="AQ143" s="1611"/>
    </row>
    <row r="144" spans="1:43" outlineLevel="2">
      <c r="A144" s="1638" t="s">
        <v>305</v>
      </c>
      <c r="B144" s="1637" t="s">
        <v>111</v>
      </c>
      <c r="C144" s="1636"/>
      <c r="D144" s="1635">
        <v>5</v>
      </c>
      <c r="E144" s="1634" t="s">
        <v>888</v>
      </c>
      <c r="F144" s="1633" t="s">
        <v>1071</v>
      </c>
      <c r="G144" s="1632">
        <v>4101.8770264142995</v>
      </c>
      <c r="H144" s="1632">
        <v>4550.6400000000003</v>
      </c>
      <c r="I144" s="1630">
        <f t="shared" si="100"/>
        <v>8652.5170264142998</v>
      </c>
      <c r="J144" s="1630">
        <f t="shared" si="101"/>
        <v>43262.585132071501</v>
      </c>
      <c r="K144" s="1631">
        <v>5575</v>
      </c>
      <c r="L144" s="1630">
        <f t="shared" si="102"/>
        <v>5575</v>
      </c>
      <c r="M144" s="1630">
        <f t="shared" si="103"/>
        <v>27875</v>
      </c>
      <c r="N144" s="1625">
        <f t="shared" si="104"/>
        <v>15387.585132071501</v>
      </c>
      <c r="O144" s="1629">
        <v>0.48120000000000002</v>
      </c>
      <c r="P144" s="1629">
        <v>0.51880000000000004</v>
      </c>
      <c r="Q144" s="1625">
        <f t="shared" si="105"/>
        <v>7404.5059655528066</v>
      </c>
      <c r="R144" s="1628">
        <f t="shared" si="106"/>
        <v>7983.0791665186953</v>
      </c>
      <c r="S144" s="1627">
        <f t="shared" si="107"/>
        <v>13104.879166518691</v>
      </c>
      <c r="T144" s="1627">
        <f t="shared" si="108"/>
        <v>14770.120833481305</v>
      </c>
      <c r="U144" s="1626">
        <f t="shared" si="109"/>
        <v>3276.2197916296727</v>
      </c>
      <c r="V144" s="1626">
        <f t="shared" si="110"/>
        <v>3692.5302083703264</v>
      </c>
      <c r="W144" s="1625">
        <f t="shared" si="111"/>
        <v>6968.7499999999991</v>
      </c>
      <c r="X144" s="1614"/>
      <c r="Y144" s="1613"/>
      <c r="Z144" s="1612">
        <f t="shared" si="112"/>
        <v>0.64432118226184443</v>
      </c>
      <c r="AA144" s="1611"/>
      <c r="AB144" s="1611"/>
      <c r="AC144" s="1611"/>
      <c r="AD144" s="1611"/>
      <c r="AE144" s="1611"/>
      <c r="AF144" s="1611"/>
      <c r="AG144" s="1611"/>
      <c r="AH144" s="1611"/>
      <c r="AI144" s="1611"/>
      <c r="AJ144" s="1611"/>
      <c r="AK144" s="1611"/>
      <c r="AL144" s="1611"/>
      <c r="AM144" s="1611"/>
      <c r="AN144" s="1611"/>
      <c r="AO144" s="1611"/>
      <c r="AP144" s="1611"/>
      <c r="AQ144" s="1611"/>
    </row>
    <row r="145" spans="1:43" outlineLevel="2">
      <c r="A145" s="1638" t="s">
        <v>305</v>
      </c>
      <c r="B145" s="1637" t="s">
        <v>111</v>
      </c>
      <c r="C145" s="1636"/>
      <c r="D145" s="1635">
        <v>2</v>
      </c>
      <c r="E145" s="1634" t="s">
        <v>888</v>
      </c>
      <c r="F145" s="1633" t="s">
        <v>1065</v>
      </c>
      <c r="G145" s="1632">
        <v>4101.8770264142995</v>
      </c>
      <c r="H145" s="1632">
        <v>4550.6400000000003</v>
      </c>
      <c r="I145" s="1630">
        <f t="shared" si="100"/>
        <v>8652.5170264142998</v>
      </c>
      <c r="J145" s="1630">
        <f t="shared" si="101"/>
        <v>17305.0340528286</v>
      </c>
      <c r="K145" s="1631">
        <v>5575</v>
      </c>
      <c r="L145" s="1630">
        <f t="shared" si="102"/>
        <v>5575</v>
      </c>
      <c r="M145" s="1630">
        <f t="shared" si="103"/>
        <v>11150</v>
      </c>
      <c r="N145" s="1625">
        <f t="shared" si="104"/>
        <v>6155.0340528285997</v>
      </c>
      <c r="O145" s="1629">
        <v>0.48120000000000002</v>
      </c>
      <c r="P145" s="1629">
        <v>0.51880000000000004</v>
      </c>
      <c r="Q145" s="1625">
        <f t="shared" si="105"/>
        <v>2961.8023862211221</v>
      </c>
      <c r="R145" s="1628">
        <f t="shared" si="106"/>
        <v>3193.2316666074776</v>
      </c>
      <c r="S145" s="1627">
        <f t="shared" si="107"/>
        <v>5241.9516666074769</v>
      </c>
      <c r="T145" s="1627">
        <f t="shared" si="108"/>
        <v>5908.0483333925231</v>
      </c>
      <c r="U145" s="1626">
        <f t="shared" si="109"/>
        <v>1310.4879166518692</v>
      </c>
      <c r="V145" s="1626">
        <f t="shared" si="110"/>
        <v>1477.0120833481308</v>
      </c>
      <c r="W145" s="1625">
        <f t="shared" si="111"/>
        <v>2787.5</v>
      </c>
      <c r="X145" s="1614"/>
      <c r="Y145" s="1613"/>
      <c r="Z145" s="1612">
        <f t="shared" si="112"/>
        <v>0.64432118226184443</v>
      </c>
      <c r="AA145" s="1611"/>
      <c r="AB145" s="1611"/>
      <c r="AC145" s="1611"/>
      <c r="AD145" s="1611"/>
      <c r="AE145" s="1611"/>
      <c r="AF145" s="1611"/>
      <c r="AG145" s="1611"/>
      <c r="AH145" s="1611"/>
      <c r="AI145" s="1611"/>
      <c r="AJ145" s="1611"/>
      <c r="AK145" s="1611"/>
      <c r="AL145" s="1611"/>
      <c r="AM145" s="1611"/>
      <c r="AN145" s="1611"/>
      <c r="AO145" s="1611"/>
      <c r="AP145" s="1611"/>
      <c r="AQ145" s="1611"/>
    </row>
    <row r="146" spans="1:43" outlineLevel="2">
      <c r="A146" s="1638" t="s">
        <v>305</v>
      </c>
      <c r="B146" s="1637" t="s">
        <v>111</v>
      </c>
      <c r="C146" s="1636"/>
      <c r="D146" s="1635">
        <v>4</v>
      </c>
      <c r="E146" s="1634" t="s">
        <v>888</v>
      </c>
      <c r="F146" s="1633" t="s">
        <v>1064</v>
      </c>
      <c r="G146" s="1632">
        <v>4101.8770264142995</v>
      </c>
      <c r="H146" s="1632">
        <v>4550.6400000000003</v>
      </c>
      <c r="I146" s="1630">
        <f t="shared" si="100"/>
        <v>8652.5170264142998</v>
      </c>
      <c r="J146" s="1630">
        <f t="shared" si="101"/>
        <v>34610.068105657199</v>
      </c>
      <c r="K146" s="1631">
        <v>5575</v>
      </c>
      <c r="L146" s="1630">
        <f t="shared" si="102"/>
        <v>5575</v>
      </c>
      <c r="M146" s="1630">
        <f t="shared" si="103"/>
        <v>22300</v>
      </c>
      <c r="N146" s="1625">
        <f t="shared" si="104"/>
        <v>12310.068105657199</v>
      </c>
      <c r="O146" s="1629">
        <v>0.48120000000000002</v>
      </c>
      <c r="P146" s="1629">
        <v>0.51880000000000004</v>
      </c>
      <c r="Q146" s="1625">
        <f t="shared" si="105"/>
        <v>5923.6047724422442</v>
      </c>
      <c r="R146" s="1628">
        <f t="shared" si="106"/>
        <v>6386.4633332149551</v>
      </c>
      <c r="S146" s="1627">
        <f t="shared" si="107"/>
        <v>10483.903333214954</v>
      </c>
      <c r="T146" s="1627">
        <f t="shared" si="108"/>
        <v>11816.096666785046</v>
      </c>
      <c r="U146" s="1626">
        <f t="shared" si="109"/>
        <v>2620.9758333037385</v>
      </c>
      <c r="V146" s="1626">
        <f t="shared" si="110"/>
        <v>2954.0241666962615</v>
      </c>
      <c r="W146" s="1625">
        <f t="shared" si="111"/>
        <v>5575</v>
      </c>
      <c r="X146" s="1614"/>
      <c r="Y146" s="1613"/>
      <c r="Z146" s="1612">
        <f t="shared" si="112"/>
        <v>0.64432118226184443</v>
      </c>
      <c r="AA146" s="1611"/>
      <c r="AB146" s="1611"/>
      <c r="AC146" s="1611"/>
      <c r="AD146" s="1611"/>
      <c r="AE146" s="1611"/>
      <c r="AF146" s="1611"/>
      <c r="AG146" s="1611"/>
      <c r="AH146" s="1611"/>
      <c r="AI146" s="1611"/>
      <c r="AJ146" s="1611"/>
      <c r="AK146" s="1611"/>
      <c r="AL146" s="1611"/>
      <c r="AM146" s="1611"/>
      <c r="AN146" s="1611"/>
      <c r="AO146" s="1611"/>
      <c r="AP146" s="1611"/>
      <c r="AQ146" s="1611"/>
    </row>
    <row r="147" spans="1:43" outlineLevel="2">
      <c r="A147" s="1638" t="s">
        <v>305</v>
      </c>
      <c r="B147" s="1637" t="s">
        <v>111</v>
      </c>
      <c r="C147" s="1636"/>
      <c r="D147" s="1635">
        <v>2</v>
      </c>
      <c r="E147" s="1634" t="s">
        <v>888</v>
      </c>
      <c r="F147" s="1633" t="s">
        <v>1063</v>
      </c>
      <c r="G147" s="1632">
        <v>4101.8770264142995</v>
      </c>
      <c r="H147" s="1632">
        <v>4550.6400000000003</v>
      </c>
      <c r="I147" s="1630">
        <f t="shared" si="100"/>
        <v>8652.5170264142998</v>
      </c>
      <c r="J147" s="1630">
        <f t="shared" si="101"/>
        <v>17305.0340528286</v>
      </c>
      <c r="K147" s="1631">
        <v>5575</v>
      </c>
      <c r="L147" s="1630">
        <f t="shared" si="102"/>
        <v>5575</v>
      </c>
      <c r="M147" s="1630">
        <f t="shared" si="103"/>
        <v>11150</v>
      </c>
      <c r="N147" s="1625">
        <f t="shared" si="104"/>
        <v>6155.0340528285997</v>
      </c>
      <c r="O147" s="1629">
        <v>0.48120000000000002</v>
      </c>
      <c r="P147" s="1629">
        <v>0.51880000000000004</v>
      </c>
      <c r="Q147" s="1625">
        <f t="shared" si="105"/>
        <v>2961.8023862211221</v>
      </c>
      <c r="R147" s="1628">
        <f t="shared" si="106"/>
        <v>3193.2316666074776</v>
      </c>
      <c r="S147" s="1627">
        <f t="shared" si="107"/>
        <v>5241.9516666074769</v>
      </c>
      <c r="T147" s="1627">
        <f t="shared" si="108"/>
        <v>5908.0483333925231</v>
      </c>
      <c r="U147" s="1626">
        <f t="shared" si="109"/>
        <v>1310.4879166518692</v>
      </c>
      <c r="V147" s="1626">
        <f t="shared" si="110"/>
        <v>1477.0120833481308</v>
      </c>
      <c r="W147" s="1625">
        <f t="shared" si="111"/>
        <v>2787.5</v>
      </c>
      <c r="X147" s="1614"/>
      <c r="Y147" s="1613"/>
      <c r="Z147" s="1612">
        <f t="shared" si="112"/>
        <v>0.64432118226184443</v>
      </c>
      <c r="AA147" s="1611"/>
      <c r="AB147" s="1611"/>
      <c r="AC147" s="1611"/>
      <c r="AD147" s="1611"/>
      <c r="AE147" s="1611"/>
      <c r="AF147" s="1611"/>
      <c r="AG147" s="1611"/>
      <c r="AH147" s="1611"/>
      <c r="AI147" s="1611"/>
      <c r="AJ147" s="1611"/>
      <c r="AK147" s="1611"/>
      <c r="AL147" s="1611"/>
      <c r="AM147" s="1611"/>
      <c r="AN147" s="1611"/>
      <c r="AO147" s="1611"/>
      <c r="AP147" s="1611"/>
      <c r="AQ147" s="1611"/>
    </row>
    <row r="148" spans="1:43" outlineLevel="2">
      <c r="A148" s="1638" t="s">
        <v>305</v>
      </c>
      <c r="B148" s="1637" t="s">
        <v>111</v>
      </c>
      <c r="C148" s="1636"/>
      <c r="D148" s="1635">
        <v>4</v>
      </c>
      <c r="E148" s="1634" t="s">
        <v>888</v>
      </c>
      <c r="F148" s="1633" t="s">
        <v>1066</v>
      </c>
      <c r="G148" s="1632">
        <v>4101.8770264142995</v>
      </c>
      <c r="H148" s="1632">
        <v>4550.6400000000003</v>
      </c>
      <c r="I148" s="1630">
        <f t="shared" si="100"/>
        <v>8652.5170264142998</v>
      </c>
      <c r="J148" s="1630">
        <f t="shared" si="101"/>
        <v>34610.068105657199</v>
      </c>
      <c r="K148" s="1631">
        <v>5575</v>
      </c>
      <c r="L148" s="1630">
        <f t="shared" si="102"/>
        <v>5575</v>
      </c>
      <c r="M148" s="1630">
        <f t="shared" si="103"/>
        <v>22300</v>
      </c>
      <c r="N148" s="1625">
        <f t="shared" si="104"/>
        <v>12310.068105657199</v>
      </c>
      <c r="O148" s="1629">
        <v>0.48120000000000002</v>
      </c>
      <c r="P148" s="1629">
        <v>0.51880000000000004</v>
      </c>
      <c r="Q148" s="1625">
        <f t="shared" si="105"/>
        <v>5923.6047724422442</v>
      </c>
      <c r="R148" s="1628">
        <f t="shared" si="106"/>
        <v>6386.4633332149551</v>
      </c>
      <c r="S148" s="1627">
        <f t="shared" si="107"/>
        <v>10483.903333214954</v>
      </c>
      <c r="T148" s="1627">
        <f t="shared" si="108"/>
        <v>11816.096666785046</v>
      </c>
      <c r="U148" s="1626">
        <f t="shared" si="109"/>
        <v>2620.9758333037385</v>
      </c>
      <c r="V148" s="1626">
        <f t="shared" si="110"/>
        <v>2954.0241666962615</v>
      </c>
      <c r="W148" s="1625">
        <f t="shared" si="111"/>
        <v>5575</v>
      </c>
      <c r="X148" s="1614"/>
      <c r="Y148" s="1613"/>
      <c r="Z148" s="1612">
        <f t="shared" si="112"/>
        <v>0.64432118226184443</v>
      </c>
      <c r="AA148" s="1611"/>
      <c r="AB148" s="1611"/>
      <c r="AC148" s="1611"/>
      <c r="AD148" s="1611"/>
      <c r="AE148" s="1611"/>
      <c r="AF148" s="1611"/>
      <c r="AG148" s="1611"/>
      <c r="AH148" s="1611"/>
      <c r="AI148" s="1611"/>
      <c r="AJ148" s="1611"/>
      <c r="AK148" s="1611"/>
      <c r="AL148" s="1611"/>
      <c r="AM148" s="1611"/>
      <c r="AN148" s="1611"/>
      <c r="AO148" s="1611"/>
      <c r="AP148" s="1611"/>
      <c r="AQ148" s="1611"/>
    </row>
    <row r="149" spans="1:43" outlineLevel="2">
      <c r="A149" s="1638" t="s">
        <v>305</v>
      </c>
      <c r="B149" s="1637" t="s">
        <v>111</v>
      </c>
      <c r="C149" s="1636"/>
      <c r="D149" s="1635">
        <v>3</v>
      </c>
      <c r="E149" s="1634" t="s">
        <v>888</v>
      </c>
      <c r="F149" s="1633" t="s">
        <v>1067</v>
      </c>
      <c r="G149" s="1632">
        <v>4101.8770264142995</v>
      </c>
      <c r="H149" s="1632">
        <v>4550.6400000000003</v>
      </c>
      <c r="I149" s="1630">
        <f t="shared" si="100"/>
        <v>8652.5170264142998</v>
      </c>
      <c r="J149" s="1630">
        <f t="shared" si="101"/>
        <v>25957.551079242898</v>
      </c>
      <c r="K149" s="1631">
        <v>5575</v>
      </c>
      <c r="L149" s="1630">
        <f t="shared" si="102"/>
        <v>5575</v>
      </c>
      <c r="M149" s="1630">
        <f t="shared" si="103"/>
        <v>16725</v>
      </c>
      <c r="N149" s="1625">
        <f t="shared" si="104"/>
        <v>9232.5510792428977</v>
      </c>
      <c r="O149" s="1629">
        <v>0.48120000000000002</v>
      </c>
      <c r="P149" s="1629">
        <v>0.51880000000000004</v>
      </c>
      <c r="Q149" s="1625">
        <f t="shared" si="105"/>
        <v>4442.7035793316827</v>
      </c>
      <c r="R149" s="1628">
        <f t="shared" si="106"/>
        <v>4789.8474999112159</v>
      </c>
      <c r="S149" s="1627">
        <f t="shared" si="107"/>
        <v>7862.9274999112167</v>
      </c>
      <c r="T149" s="1627">
        <f t="shared" si="108"/>
        <v>8862.0725000887869</v>
      </c>
      <c r="U149" s="1626">
        <f t="shared" si="109"/>
        <v>1965.7318749778042</v>
      </c>
      <c r="V149" s="1626">
        <f t="shared" si="110"/>
        <v>2215.5181250221967</v>
      </c>
      <c r="W149" s="1625">
        <f t="shared" si="111"/>
        <v>4181.2500000000009</v>
      </c>
      <c r="X149" s="1614"/>
      <c r="Y149" s="1613"/>
      <c r="Z149" s="1612">
        <f t="shared" si="112"/>
        <v>0.64432118226184443</v>
      </c>
      <c r="AA149" s="1611"/>
      <c r="AB149" s="1611"/>
      <c r="AC149" s="1611"/>
      <c r="AD149" s="1611"/>
      <c r="AE149" s="1611"/>
      <c r="AF149" s="1611"/>
      <c r="AG149" s="1611"/>
      <c r="AH149" s="1611"/>
      <c r="AI149" s="1611"/>
      <c r="AJ149" s="1611"/>
      <c r="AK149" s="1611"/>
      <c r="AL149" s="1611"/>
      <c r="AM149" s="1611"/>
      <c r="AN149" s="1611"/>
      <c r="AO149" s="1611"/>
      <c r="AP149" s="1611"/>
      <c r="AQ149" s="1611"/>
    </row>
    <row r="150" spans="1:43" outlineLevel="2">
      <c r="A150" s="1638" t="s">
        <v>305</v>
      </c>
      <c r="B150" s="1637" t="s">
        <v>111</v>
      </c>
      <c r="C150" s="1636"/>
      <c r="D150" s="1635">
        <v>2</v>
      </c>
      <c r="E150" s="1634" t="s">
        <v>888</v>
      </c>
      <c r="F150" s="1633" t="s">
        <v>1072</v>
      </c>
      <c r="G150" s="1632">
        <v>4101.8770264142995</v>
      </c>
      <c r="H150" s="1632">
        <v>4550.6400000000003</v>
      </c>
      <c r="I150" s="1630">
        <f t="shared" si="100"/>
        <v>8652.5170264142998</v>
      </c>
      <c r="J150" s="1630">
        <f t="shared" si="101"/>
        <v>17305.0340528286</v>
      </c>
      <c r="K150" s="1631">
        <v>5575</v>
      </c>
      <c r="L150" s="1630">
        <f t="shared" si="102"/>
        <v>5575</v>
      </c>
      <c r="M150" s="1630">
        <f t="shared" si="103"/>
        <v>11150</v>
      </c>
      <c r="N150" s="1625">
        <f t="shared" si="104"/>
        <v>6155.0340528285997</v>
      </c>
      <c r="O150" s="1629">
        <v>0.48120000000000002</v>
      </c>
      <c r="P150" s="1629">
        <v>0.51880000000000004</v>
      </c>
      <c r="Q150" s="1625">
        <f t="shared" si="105"/>
        <v>2961.8023862211221</v>
      </c>
      <c r="R150" s="1628">
        <f t="shared" si="106"/>
        <v>3193.2316666074776</v>
      </c>
      <c r="S150" s="1627">
        <f t="shared" si="107"/>
        <v>5241.9516666074769</v>
      </c>
      <c r="T150" s="1627">
        <f t="shared" si="108"/>
        <v>5908.0483333925231</v>
      </c>
      <c r="U150" s="1626">
        <f t="shared" si="109"/>
        <v>1310.4879166518692</v>
      </c>
      <c r="V150" s="1626">
        <f t="shared" si="110"/>
        <v>1477.0120833481308</v>
      </c>
      <c r="W150" s="1625">
        <f t="shared" si="111"/>
        <v>2787.5</v>
      </c>
      <c r="X150" s="1614"/>
      <c r="Y150" s="1613"/>
      <c r="Z150" s="1612">
        <f t="shared" si="112"/>
        <v>0.64432118226184443</v>
      </c>
      <c r="AA150" s="1611"/>
      <c r="AB150" s="1611"/>
      <c r="AC150" s="1611"/>
      <c r="AD150" s="1611"/>
      <c r="AE150" s="1611"/>
      <c r="AF150" s="1611"/>
      <c r="AG150" s="1611"/>
      <c r="AH150" s="1611"/>
      <c r="AI150" s="1611"/>
      <c r="AJ150" s="1611"/>
      <c r="AK150" s="1611"/>
      <c r="AL150" s="1611"/>
      <c r="AM150" s="1611"/>
      <c r="AN150" s="1611"/>
      <c r="AO150" s="1611"/>
      <c r="AP150" s="1611"/>
      <c r="AQ150" s="1611"/>
    </row>
    <row r="151" spans="1:43" outlineLevel="2">
      <c r="A151" s="1638" t="s">
        <v>305</v>
      </c>
      <c r="B151" s="1637" t="s">
        <v>111</v>
      </c>
      <c r="C151" s="1636"/>
      <c r="D151" s="1635">
        <v>3</v>
      </c>
      <c r="E151" s="1634" t="s">
        <v>888</v>
      </c>
      <c r="F151" s="1633" t="s">
        <v>979</v>
      </c>
      <c r="G151" s="1632">
        <v>4101.8770264142995</v>
      </c>
      <c r="H151" s="1632">
        <v>4550.6400000000003</v>
      </c>
      <c r="I151" s="1630">
        <f t="shared" si="100"/>
        <v>8652.5170264142998</v>
      </c>
      <c r="J151" s="1630">
        <f t="shared" si="101"/>
        <v>25957.551079242898</v>
      </c>
      <c r="K151" s="1631">
        <v>5575</v>
      </c>
      <c r="L151" s="1630">
        <f t="shared" si="102"/>
        <v>5575</v>
      </c>
      <c r="M151" s="1630">
        <f t="shared" si="103"/>
        <v>16725</v>
      </c>
      <c r="N151" s="1625">
        <f t="shared" si="104"/>
        <v>9232.5510792428977</v>
      </c>
      <c r="O151" s="1629">
        <v>0.48120000000000002</v>
      </c>
      <c r="P151" s="1629">
        <v>0.51880000000000004</v>
      </c>
      <c r="Q151" s="1625">
        <f t="shared" si="105"/>
        <v>4442.7035793316827</v>
      </c>
      <c r="R151" s="1628">
        <f t="shared" si="106"/>
        <v>4789.8474999112159</v>
      </c>
      <c r="S151" s="1627">
        <f t="shared" si="107"/>
        <v>7862.9274999112167</v>
      </c>
      <c r="T151" s="1627">
        <f t="shared" si="108"/>
        <v>8862.0725000887869</v>
      </c>
      <c r="U151" s="1626">
        <f t="shared" si="109"/>
        <v>1965.7318749778042</v>
      </c>
      <c r="V151" s="1626">
        <f t="shared" si="110"/>
        <v>2215.5181250221967</v>
      </c>
      <c r="W151" s="1625">
        <f t="shared" si="111"/>
        <v>4181.2500000000009</v>
      </c>
      <c r="X151" s="1614"/>
      <c r="Y151" s="1613"/>
      <c r="Z151" s="1612">
        <f t="shared" si="112"/>
        <v>0.64432118226184443</v>
      </c>
      <c r="AA151" s="1611"/>
      <c r="AB151" s="1611"/>
      <c r="AC151" s="1611"/>
      <c r="AD151" s="1611"/>
      <c r="AE151" s="1611"/>
      <c r="AF151" s="1611"/>
      <c r="AG151" s="1611"/>
      <c r="AH151" s="1611"/>
      <c r="AI151" s="1611"/>
      <c r="AJ151" s="1611"/>
      <c r="AK151" s="1611"/>
      <c r="AL151" s="1611"/>
      <c r="AM151" s="1611"/>
      <c r="AN151" s="1611"/>
      <c r="AO151" s="1611"/>
      <c r="AP151" s="1611"/>
      <c r="AQ151" s="1611"/>
    </row>
    <row r="152" spans="1:43" outlineLevel="2">
      <c r="A152" s="1638" t="s">
        <v>305</v>
      </c>
      <c r="B152" s="1637" t="s">
        <v>111</v>
      </c>
      <c r="C152" s="1636"/>
      <c r="D152" s="1635">
        <v>1</v>
      </c>
      <c r="E152" s="1634" t="s">
        <v>887</v>
      </c>
      <c r="F152" s="1633" t="s">
        <v>1070</v>
      </c>
      <c r="G152" s="1632">
        <v>4101.8770264142995</v>
      </c>
      <c r="H152" s="1632">
        <v>4550.6400000000003</v>
      </c>
      <c r="I152" s="1630">
        <f t="shared" si="100"/>
        <v>8652.5170264142998</v>
      </c>
      <c r="J152" s="1630">
        <f t="shared" si="101"/>
        <v>8652.5170264142998</v>
      </c>
      <c r="K152" s="1631">
        <v>6000</v>
      </c>
      <c r="L152" s="1630">
        <f t="shared" si="102"/>
        <v>6000</v>
      </c>
      <c r="M152" s="1630">
        <f t="shared" si="103"/>
        <v>6000</v>
      </c>
      <c r="N152" s="1625">
        <f t="shared" si="104"/>
        <v>2652.5170264142998</v>
      </c>
      <c r="O152" s="1629">
        <v>0.48120000000000002</v>
      </c>
      <c r="P152" s="1629">
        <v>0.51880000000000004</v>
      </c>
      <c r="Q152" s="1625">
        <f t="shared" si="105"/>
        <v>1276.3911931105611</v>
      </c>
      <c r="R152" s="1628">
        <f t="shared" si="106"/>
        <v>1376.1258333037388</v>
      </c>
      <c r="S152" s="1627">
        <f t="shared" si="107"/>
        <v>2825.4858333037382</v>
      </c>
      <c r="T152" s="1627">
        <f t="shared" si="108"/>
        <v>3174.5141666962618</v>
      </c>
      <c r="U152" s="1626">
        <f t="shared" si="109"/>
        <v>706.37145832593455</v>
      </c>
      <c r="V152" s="1626">
        <f t="shared" si="110"/>
        <v>793.62854167406545</v>
      </c>
      <c r="W152" s="1625">
        <f t="shared" si="111"/>
        <v>1500</v>
      </c>
      <c r="X152" s="1614"/>
      <c r="Y152" s="1613"/>
      <c r="Z152" s="1612">
        <f t="shared" si="112"/>
        <v>0.69343983741185045</v>
      </c>
      <c r="AA152" s="1611"/>
      <c r="AB152" s="1611"/>
      <c r="AC152" s="1611"/>
      <c r="AD152" s="1611"/>
      <c r="AE152" s="1611"/>
      <c r="AF152" s="1611"/>
      <c r="AG152" s="1611"/>
      <c r="AH152" s="1611"/>
      <c r="AI152" s="1611"/>
      <c r="AJ152" s="1611"/>
      <c r="AK152" s="1611"/>
      <c r="AL152" s="1611"/>
      <c r="AM152" s="1611"/>
      <c r="AN152" s="1611"/>
      <c r="AO152" s="1611"/>
      <c r="AP152" s="1611"/>
      <c r="AQ152" s="1611"/>
    </row>
    <row r="153" spans="1:43" outlineLevel="2">
      <c r="A153" s="1638" t="s">
        <v>305</v>
      </c>
      <c r="B153" s="1637" t="s">
        <v>111</v>
      </c>
      <c r="C153" s="1636"/>
      <c r="D153" s="1635">
        <v>0</v>
      </c>
      <c r="E153" s="1634" t="s">
        <v>887</v>
      </c>
      <c r="F153" s="1633" t="s">
        <v>1069</v>
      </c>
      <c r="G153" s="1632">
        <v>4101.8770264142995</v>
      </c>
      <c r="H153" s="1632">
        <v>4550.6400000000003</v>
      </c>
      <c r="I153" s="1630">
        <f t="shared" si="100"/>
        <v>8652.5170264142998</v>
      </c>
      <c r="J153" s="1630">
        <f t="shared" si="101"/>
        <v>0</v>
      </c>
      <c r="K153" s="1631">
        <v>6000</v>
      </c>
      <c r="L153" s="1630">
        <f t="shared" si="102"/>
        <v>6000</v>
      </c>
      <c r="M153" s="1630">
        <f t="shared" si="103"/>
        <v>0</v>
      </c>
      <c r="N153" s="1625">
        <f t="shared" si="104"/>
        <v>0</v>
      </c>
      <c r="O153" s="1629">
        <v>0.48120000000000002</v>
      </c>
      <c r="P153" s="1629">
        <v>0.51880000000000004</v>
      </c>
      <c r="Q153" s="1625">
        <f t="shared" si="105"/>
        <v>0</v>
      </c>
      <c r="R153" s="1628">
        <f t="shared" si="106"/>
        <v>0</v>
      </c>
      <c r="S153" s="1627">
        <f t="shared" si="107"/>
        <v>0</v>
      </c>
      <c r="T153" s="1627">
        <f t="shared" si="108"/>
        <v>0</v>
      </c>
      <c r="U153" s="1626">
        <f t="shared" si="109"/>
        <v>0</v>
      </c>
      <c r="V153" s="1626">
        <f t="shared" si="110"/>
        <v>0</v>
      </c>
      <c r="W153" s="1625">
        <f t="shared" si="111"/>
        <v>0</v>
      </c>
      <c r="X153" s="1614"/>
      <c r="Y153" s="1613"/>
      <c r="Z153" s="1612">
        <f t="shared" si="112"/>
        <v>0.69343983741185045</v>
      </c>
      <c r="AA153" s="1611"/>
      <c r="AB153" s="1611"/>
      <c r="AC153" s="1611"/>
      <c r="AD153" s="1611"/>
      <c r="AE153" s="1611"/>
      <c r="AF153" s="1611"/>
      <c r="AG153" s="1611"/>
      <c r="AH153" s="1611"/>
      <c r="AI153" s="1611"/>
      <c r="AJ153" s="1611"/>
      <c r="AK153" s="1611"/>
      <c r="AL153" s="1611"/>
      <c r="AM153" s="1611"/>
      <c r="AN153" s="1611"/>
      <c r="AO153" s="1611"/>
      <c r="AP153" s="1611"/>
      <c r="AQ153" s="1611"/>
    </row>
    <row r="154" spans="1:43" outlineLevel="2">
      <c r="A154" s="1638" t="s">
        <v>305</v>
      </c>
      <c r="B154" s="1637" t="s">
        <v>111</v>
      </c>
      <c r="C154" s="1636"/>
      <c r="D154" s="1635">
        <v>1</v>
      </c>
      <c r="E154" s="1634" t="s">
        <v>887</v>
      </c>
      <c r="F154" s="1633" t="s">
        <v>1071</v>
      </c>
      <c r="G154" s="1632">
        <v>4101.8770264142995</v>
      </c>
      <c r="H154" s="1632">
        <v>4550.6400000000003</v>
      </c>
      <c r="I154" s="1630">
        <f t="shared" si="100"/>
        <v>8652.5170264142998</v>
      </c>
      <c r="J154" s="1630">
        <f t="shared" si="101"/>
        <v>8652.5170264142998</v>
      </c>
      <c r="K154" s="1631">
        <v>6000</v>
      </c>
      <c r="L154" s="1630">
        <f t="shared" si="102"/>
        <v>6000</v>
      </c>
      <c r="M154" s="1630">
        <f t="shared" si="103"/>
        <v>6000</v>
      </c>
      <c r="N154" s="1625">
        <f t="shared" si="104"/>
        <v>2652.5170264142998</v>
      </c>
      <c r="O154" s="1629">
        <v>0.48120000000000002</v>
      </c>
      <c r="P154" s="1629">
        <v>0.51880000000000004</v>
      </c>
      <c r="Q154" s="1625">
        <f t="shared" si="105"/>
        <v>1276.3911931105611</v>
      </c>
      <c r="R154" s="1628">
        <f t="shared" si="106"/>
        <v>1376.1258333037388</v>
      </c>
      <c r="S154" s="1627">
        <f t="shared" si="107"/>
        <v>2825.4858333037382</v>
      </c>
      <c r="T154" s="1627">
        <f t="shared" si="108"/>
        <v>3174.5141666962618</v>
      </c>
      <c r="U154" s="1626">
        <f t="shared" si="109"/>
        <v>706.37145832593455</v>
      </c>
      <c r="V154" s="1626">
        <f t="shared" si="110"/>
        <v>793.62854167406545</v>
      </c>
      <c r="W154" s="1625">
        <f t="shared" si="111"/>
        <v>1500</v>
      </c>
      <c r="X154" s="1614"/>
      <c r="Y154" s="1613"/>
      <c r="Z154" s="1612">
        <f t="shared" si="112"/>
        <v>0.69343983741185045</v>
      </c>
      <c r="AA154" s="1611"/>
      <c r="AB154" s="1611"/>
      <c r="AC154" s="1611"/>
      <c r="AD154" s="1611"/>
      <c r="AE154" s="1611"/>
      <c r="AF154" s="1611"/>
      <c r="AG154" s="1611"/>
      <c r="AH154" s="1611"/>
      <c r="AI154" s="1611"/>
      <c r="AJ154" s="1611"/>
      <c r="AK154" s="1611"/>
      <c r="AL154" s="1611"/>
      <c r="AM154" s="1611"/>
      <c r="AN154" s="1611"/>
      <c r="AO154" s="1611"/>
      <c r="AP154" s="1611"/>
      <c r="AQ154" s="1611"/>
    </row>
    <row r="155" spans="1:43" outlineLevel="2">
      <c r="A155" s="1638" t="s">
        <v>305</v>
      </c>
      <c r="B155" s="1637" t="s">
        <v>111</v>
      </c>
      <c r="C155" s="1636"/>
      <c r="D155" s="1635">
        <v>1</v>
      </c>
      <c r="E155" s="1634" t="s">
        <v>887</v>
      </c>
      <c r="F155" s="1633" t="s">
        <v>1065</v>
      </c>
      <c r="G155" s="1632">
        <v>4101.8770264142995</v>
      </c>
      <c r="H155" s="1632">
        <v>4550.6400000000003</v>
      </c>
      <c r="I155" s="1630">
        <f t="shared" si="100"/>
        <v>8652.5170264142998</v>
      </c>
      <c r="J155" s="1630">
        <f t="shared" si="101"/>
        <v>8652.5170264142998</v>
      </c>
      <c r="K155" s="1631">
        <v>6000</v>
      </c>
      <c r="L155" s="1630">
        <f t="shared" si="102"/>
        <v>6000</v>
      </c>
      <c r="M155" s="1630">
        <f t="shared" si="103"/>
        <v>6000</v>
      </c>
      <c r="N155" s="1625">
        <f t="shared" si="104"/>
        <v>2652.5170264142998</v>
      </c>
      <c r="O155" s="1629">
        <v>0.48120000000000002</v>
      </c>
      <c r="P155" s="1629">
        <v>0.51880000000000004</v>
      </c>
      <c r="Q155" s="1625">
        <f t="shared" si="105"/>
        <v>1276.3911931105611</v>
      </c>
      <c r="R155" s="1628">
        <f t="shared" si="106"/>
        <v>1376.1258333037388</v>
      </c>
      <c r="S155" s="1627">
        <f t="shared" si="107"/>
        <v>2825.4858333037382</v>
      </c>
      <c r="T155" s="1627">
        <f t="shared" si="108"/>
        <v>3174.5141666962618</v>
      </c>
      <c r="U155" s="1626">
        <f t="shared" si="109"/>
        <v>706.37145832593455</v>
      </c>
      <c r="V155" s="1626">
        <f t="shared" si="110"/>
        <v>793.62854167406545</v>
      </c>
      <c r="W155" s="1625">
        <f t="shared" si="111"/>
        <v>1500</v>
      </c>
      <c r="X155" s="1614"/>
      <c r="Y155" s="1613"/>
      <c r="Z155" s="1612">
        <f t="shared" si="112"/>
        <v>0.69343983741185045</v>
      </c>
      <c r="AA155" s="1611"/>
      <c r="AB155" s="1611"/>
      <c r="AC155" s="1611"/>
      <c r="AD155" s="1611"/>
      <c r="AE155" s="1611"/>
      <c r="AF155" s="1611"/>
      <c r="AG155" s="1611"/>
      <c r="AH155" s="1611"/>
      <c r="AI155" s="1611"/>
      <c r="AJ155" s="1611"/>
      <c r="AK155" s="1611"/>
      <c r="AL155" s="1611"/>
      <c r="AM155" s="1611"/>
      <c r="AN155" s="1611"/>
      <c r="AO155" s="1611"/>
      <c r="AP155" s="1611"/>
      <c r="AQ155" s="1611"/>
    </row>
    <row r="156" spans="1:43" outlineLevel="2">
      <c r="A156" s="1638" t="s">
        <v>305</v>
      </c>
      <c r="B156" s="1637" t="s">
        <v>111</v>
      </c>
      <c r="C156" s="1636"/>
      <c r="D156" s="1635">
        <v>0</v>
      </c>
      <c r="E156" s="1634" t="s">
        <v>887</v>
      </c>
      <c r="F156" s="1633" t="s">
        <v>1064</v>
      </c>
      <c r="G156" s="1632">
        <v>4101.8770264142995</v>
      </c>
      <c r="H156" s="1632">
        <v>4550.6400000000003</v>
      </c>
      <c r="I156" s="1630">
        <f t="shared" si="100"/>
        <v>8652.5170264142998</v>
      </c>
      <c r="J156" s="1630">
        <f t="shared" si="101"/>
        <v>0</v>
      </c>
      <c r="K156" s="1631">
        <v>6000</v>
      </c>
      <c r="L156" s="1630">
        <f t="shared" si="102"/>
        <v>6000</v>
      </c>
      <c r="M156" s="1630">
        <f t="shared" si="103"/>
        <v>0</v>
      </c>
      <c r="N156" s="1625">
        <f t="shared" si="104"/>
        <v>0</v>
      </c>
      <c r="O156" s="1629">
        <v>0.48120000000000002</v>
      </c>
      <c r="P156" s="1629">
        <v>0.51880000000000004</v>
      </c>
      <c r="Q156" s="1625">
        <f t="shared" si="105"/>
        <v>0</v>
      </c>
      <c r="R156" s="1628">
        <f t="shared" si="106"/>
        <v>0</v>
      </c>
      <c r="S156" s="1627">
        <f t="shared" si="107"/>
        <v>0</v>
      </c>
      <c r="T156" s="1627">
        <f t="shared" si="108"/>
        <v>0</v>
      </c>
      <c r="U156" s="1626">
        <f t="shared" si="109"/>
        <v>0</v>
      </c>
      <c r="V156" s="1626">
        <f t="shared" si="110"/>
        <v>0</v>
      </c>
      <c r="W156" s="1625">
        <f t="shared" si="111"/>
        <v>0</v>
      </c>
      <c r="X156" s="1614"/>
      <c r="Y156" s="1613"/>
      <c r="Z156" s="1612">
        <f t="shared" si="112"/>
        <v>0.69343983741185045</v>
      </c>
      <c r="AA156" s="1611"/>
      <c r="AB156" s="1611"/>
      <c r="AC156" s="1611"/>
      <c r="AD156" s="1611"/>
      <c r="AE156" s="1611"/>
      <c r="AF156" s="1611"/>
      <c r="AG156" s="1611"/>
      <c r="AH156" s="1611"/>
      <c r="AI156" s="1611"/>
      <c r="AJ156" s="1611"/>
      <c r="AK156" s="1611"/>
      <c r="AL156" s="1611"/>
      <c r="AM156" s="1611"/>
      <c r="AN156" s="1611"/>
      <c r="AO156" s="1611"/>
      <c r="AP156" s="1611"/>
      <c r="AQ156" s="1611"/>
    </row>
    <row r="157" spans="1:43" outlineLevel="2">
      <c r="A157" s="1638" t="s">
        <v>305</v>
      </c>
      <c r="B157" s="1637" t="s">
        <v>111</v>
      </c>
      <c r="C157" s="1636"/>
      <c r="D157" s="1635">
        <v>2</v>
      </c>
      <c r="E157" s="1634" t="s">
        <v>980</v>
      </c>
      <c r="F157" s="1633" t="s">
        <v>979</v>
      </c>
      <c r="G157" s="1632">
        <v>4101.8770264142995</v>
      </c>
      <c r="H157" s="1632">
        <v>4550.6400000000003</v>
      </c>
      <c r="I157" s="1630">
        <f t="shared" si="100"/>
        <v>8652.5170264142998</v>
      </c>
      <c r="J157" s="1630">
        <f t="shared" si="101"/>
        <v>17305.0340528286</v>
      </c>
      <c r="K157" s="1631">
        <v>8736</v>
      </c>
      <c r="L157" s="1630">
        <f t="shared" si="102"/>
        <v>8652.5170264142998</v>
      </c>
      <c r="M157" s="1630">
        <f t="shared" si="103"/>
        <v>17305.0340528286</v>
      </c>
      <c r="N157" s="1625">
        <f t="shared" si="104"/>
        <v>0</v>
      </c>
      <c r="O157" s="1629">
        <v>0.48120000000000002</v>
      </c>
      <c r="P157" s="1629">
        <v>0.51880000000000004</v>
      </c>
      <c r="Q157" s="1625">
        <f t="shared" si="105"/>
        <v>0</v>
      </c>
      <c r="R157" s="1628">
        <f t="shared" si="106"/>
        <v>0</v>
      </c>
      <c r="S157" s="1627">
        <f t="shared" si="107"/>
        <v>8203.754052828599</v>
      </c>
      <c r="T157" s="1627">
        <f t="shared" si="108"/>
        <v>9101.2800000000007</v>
      </c>
      <c r="U157" s="1626">
        <f t="shared" si="109"/>
        <v>2050.9385132071498</v>
      </c>
      <c r="V157" s="1626">
        <f t="shared" si="110"/>
        <v>2275.3200000000002</v>
      </c>
      <c r="W157" s="1625">
        <f t="shared" si="111"/>
        <v>4326.2585132071499</v>
      </c>
      <c r="X157" s="1614"/>
      <c r="Y157" s="1613"/>
      <c r="Z157" s="1612">
        <f t="shared" si="112"/>
        <v>1.0096484032716544</v>
      </c>
      <c r="AA157" s="1611"/>
      <c r="AB157" s="1611"/>
      <c r="AC157" s="1611"/>
      <c r="AD157" s="1611"/>
      <c r="AE157" s="1611"/>
      <c r="AF157" s="1611"/>
      <c r="AG157" s="1611"/>
      <c r="AH157" s="1611"/>
      <c r="AI157" s="1611"/>
      <c r="AJ157" s="1611"/>
      <c r="AK157" s="1611"/>
      <c r="AL157" s="1611"/>
      <c r="AM157" s="1611"/>
      <c r="AN157" s="1611"/>
      <c r="AO157" s="1611"/>
      <c r="AP157" s="1611"/>
      <c r="AQ157" s="1611"/>
    </row>
    <row r="158" spans="1:43" outlineLevel="2">
      <c r="A158" s="1638" t="s">
        <v>305</v>
      </c>
      <c r="B158" s="1637" t="s">
        <v>111</v>
      </c>
      <c r="C158" s="1636"/>
      <c r="D158" s="1635">
        <v>54</v>
      </c>
      <c r="E158" s="1634" t="s">
        <v>885</v>
      </c>
      <c r="F158" s="1633" t="s">
        <v>1070</v>
      </c>
      <c r="G158" s="1632">
        <v>4101.8770264142995</v>
      </c>
      <c r="H158" s="1632">
        <v>4550.6400000000003</v>
      </c>
      <c r="I158" s="1630">
        <f t="shared" si="100"/>
        <v>8652.5170264142998</v>
      </c>
      <c r="J158" s="1630">
        <f t="shared" si="101"/>
        <v>467235.91942637222</v>
      </c>
      <c r="K158" s="1631">
        <v>5022</v>
      </c>
      <c r="L158" s="1630">
        <f t="shared" si="102"/>
        <v>5022</v>
      </c>
      <c r="M158" s="1630">
        <f t="shared" si="103"/>
        <v>271188</v>
      </c>
      <c r="N158" s="1625">
        <f t="shared" si="104"/>
        <v>196047.91942637222</v>
      </c>
      <c r="O158" s="1629">
        <v>0.48120000000000002</v>
      </c>
      <c r="P158" s="1629">
        <v>0.51880000000000004</v>
      </c>
      <c r="Q158" s="1625">
        <f t="shared" si="105"/>
        <v>94338.25882797032</v>
      </c>
      <c r="R158" s="1628">
        <f t="shared" si="106"/>
        <v>101709.66059840191</v>
      </c>
      <c r="S158" s="1627">
        <f t="shared" si="107"/>
        <v>127163.10059840184</v>
      </c>
      <c r="T158" s="1627">
        <f t="shared" si="108"/>
        <v>144024.89940159812</v>
      </c>
      <c r="U158" s="1626">
        <f t="shared" si="109"/>
        <v>31790.77514960046</v>
      </c>
      <c r="V158" s="1626">
        <f t="shared" si="110"/>
        <v>36006.224850399529</v>
      </c>
      <c r="W158" s="1625">
        <f t="shared" si="111"/>
        <v>67796.999999999985</v>
      </c>
      <c r="X158" s="1614"/>
      <c r="Y158" s="1613"/>
      <c r="Z158" s="1612">
        <f t="shared" si="112"/>
        <v>0.58040914391371889</v>
      </c>
      <c r="AA158" s="1611"/>
      <c r="AB158" s="1611"/>
      <c r="AC158" s="1611"/>
      <c r="AD158" s="1611"/>
      <c r="AE158" s="1611"/>
      <c r="AF158" s="1611"/>
      <c r="AG158" s="1611"/>
      <c r="AH158" s="1611"/>
      <c r="AI158" s="1611"/>
      <c r="AJ158" s="1611"/>
      <c r="AK158" s="1611"/>
      <c r="AL158" s="1611"/>
      <c r="AM158" s="1611"/>
      <c r="AN158" s="1611"/>
      <c r="AO158" s="1611"/>
      <c r="AP158" s="1611"/>
      <c r="AQ158" s="1611"/>
    </row>
    <row r="159" spans="1:43" outlineLevel="2">
      <c r="A159" s="1638" t="s">
        <v>305</v>
      </c>
      <c r="B159" s="1637" t="s">
        <v>111</v>
      </c>
      <c r="C159" s="1636"/>
      <c r="D159" s="1635">
        <v>54</v>
      </c>
      <c r="E159" s="1634" t="s">
        <v>885</v>
      </c>
      <c r="F159" s="1633" t="s">
        <v>1069</v>
      </c>
      <c r="G159" s="1632">
        <v>4101.8770264142995</v>
      </c>
      <c r="H159" s="1632">
        <v>4550.6400000000003</v>
      </c>
      <c r="I159" s="1630">
        <f t="shared" si="100"/>
        <v>8652.5170264142998</v>
      </c>
      <c r="J159" s="1630">
        <f t="shared" si="101"/>
        <v>467235.91942637222</v>
      </c>
      <c r="K159" s="1631">
        <v>5022</v>
      </c>
      <c r="L159" s="1630">
        <f t="shared" si="102"/>
        <v>5022</v>
      </c>
      <c r="M159" s="1630">
        <f t="shared" si="103"/>
        <v>271188</v>
      </c>
      <c r="N159" s="1625">
        <f t="shared" si="104"/>
        <v>196047.91942637222</v>
      </c>
      <c r="O159" s="1629">
        <v>0.48120000000000002</v>
      </c>
      <c r="P159" s="1629">
        <v>0.51880000000000004</v>
      </c>
      <c r="Q159" s="1625">
        <f t="shared" si="105"/>
        <v>94338.25882797032</v>
      </c>
      <c r="R159" s="1628">
        <f t="shared" si="106"/>
        <v>101709.66059840191</v>
      </c>
      <c r="S159" s="1627">
        <f t="shared" si="107"/>
        <v>127163.10059840184</v>
      </c>
      <c r="T159" s="1627">
        <f t="shared" si="108"/>
        <v>144024.89940159812</v>
      </c>
      <c r="U159" s="1626">
        <f t="shared" si="109"/>
        <v>31790.77514960046</v>
      </c>
      <c r="V159" s="1626">
        <f t="shared" si="110"/>
        <v>36006.224850399529</v>
      </c>
      <c r="W159" s="1625">
        <f t="shared" si="111"/>
        <v>67796.999999999985</v>
      </c>
      <c r="X159" s="1614"/>
      <c r="Y159" s="1613"/>
      <c r="Z159" s="1612">
        <f t="shared" si="112"/>
        <v>0.58040914391371889</v>
      </c>
      <c r="AA159" s="1611"/>
      <c r="AB159" s="1611"/>
      <c r="AC159" s="1611"/>
      <c r="AD159" s="1611"/>
      <c r="AE159" s="1611"/>
      <c r="AF159" s="1611"/>
      <c r="AG159" s="1611"/>
      <c r="AH159" s="1611"/>
      <c r="AI159" s="1611"/>
      <c r="AJ159" s="1611"/>
      <c r="AK159" s="1611"/>
      <c r="AL159" s="1611"/>
      <c r="AM159" s="1611"/>
      <c r="AN159" s="1611"/>
      <c r="AO159" s="1611"/>
      <c r="AP159" s="1611"/>
      <c r="AQ159" s="1611"/>
    </row>
    <row r="160" spans="1:43" outlineLevel="2">
      <c r="A160" s="1638" t="s">
        <v>305</v>
      </c>
      <c r="B160" s="1637" t="s">
        <v>111</v>
      </c>
      <c r="C160" s="1636"/>
      <c r="D160" s="1635">
        <v>31</v>
      </c>
      <c r="E160" s="1634" t="s">
        <v>885</v>
      </c>
      <c r="F160" s="1633" t="s">
        <v>1068</v>
      </c>
      <c r="G160" s="1632">
        <v>4101.8770264142995</v>
      </c>
      <c r="H160" s="1632">
        <v>4550.6400000000003</v>
      </c>
      <c r="I160" s="1630">
        <f t="shared" si="100"/>
        <v>8652.5170264142998</v>
      </c>
      <c r="J160" s="1630">
        <f t="shared" si="101"/>
        <v>268228.02781884331</v>
      </c>
      <c r="K160" s="1631">
        <v>5022</v>
      </c>
      <c r="L160" s="1630">
        <f t="shared" si="102"/>
        <v>5022</v>
      </c>
      <c r="M160" s="1630">
        <f t="shared" si="103"/>
        <v>155682</v>
      </c>
      <c r="N160" s="1625">
        <f t="shared" si="104"/>
        <v>112546.02781884331</v>
      </c>
      <c r="O160" s="1629">
        <v>0.48120000000000002</v>
      </c>
      <c r="P160" s="1629">
        <v>0.51880000000000004</v>
      </c>
      <c r="Q160" s="1625">
        <f t="shared" si="105"/>
        <v>54157.148586427407</v>
      </c>
      <c r="R160" s="1628">
        <f t="shared" si="106"/>
        <v>58388.879232415915</v>
      </c>
      <c r="S160" s="1627">
        <f t="shared" si="107"/>
        <v>73001.039232415875</v>
      </c>
      <c r="T160" s="1627">
        <f t="shared" si="108"/>
        <v>82680.960767584082</v>
      </c>
      <c r="U160" s="1626">
        <f t="shared" si="109"/>
        <v>18250.259808103969</v>
      </c>
      <c r="V160" s="1626">
        <f t="shared" si="110"/>
        <v>20670.24019189602</v>
      </c>
      <c r="W160" s="1625">
        <f t="shared" si="111"/>
        <v>38920.499999999985</v>
      </c>
      <c r="X160" s="1614"/>
      <c r="Y160" s="1613"/>
      <c r="Z160" s="1612">
        <f t="shared" si="112"/>
        <v>0.58040914391371889</v>
      </c>
      <c r="AA160" s="1611"/>
      <c r="AB160" s="1611"/>
      <c r="AC160" s="1611"/>
      <c r="AD160" s="1611"/>
      <c r="AE160" s="1611"/>
      <c r="AF160" s="1611"/>
      <c r="AG160" s="1611"/>
      <c r="AH160" s="1611"/>
      <c r="AI160" s="1611"/>
      <c r="AJ160" s="1611"/>
      <c r="AK160" s="1611"/>
      <c r="AL160" s="1611"/>
      <c r="AM160" s="1611"/>
      <c r="AN160" s="1611"/>
      <c r="AO160" s="1611"/>
      <c r="AP160" s="1611"/>
      <c r="AQ160" s="1611"/>
    </row>
    <row r="161" spans="1:43" outlineLevel="2">
      <c r="A161" s="1638" t="s">
        <v>305</v>
      </c>
      <c r="B161" s="1637" t="s">
        <v>111</v>
      </c>
      <c r="C161" s="1636"/>
      <c r="D161" s="1635">
        <v>9</v>
      </c>
      <c r="E161" s="1634" t="s">
        <v>885</v>
      </c>
      <c r="F161" s="1633" t="s">
        <v>1071</v>
      </c>
      <c r="G161" s="1632">
        <v>4101.8770264142995</v>
      </c>
      <c r="H161" s="1632">
        <v>4550.6400000000003</v>
      </c>
      <c r="I161" s="1630">
        <f t="shared" si="100"/>
        <v>8652.5170264142998</v>
      </c>
      <c r="J161" s="1630">
        <f t="shared" si="101"/>
        <v>77872.653237728693</v>
      </c>
      <c r="K161" s="1631">
        <v>5022</v>
      </c>
      <c r="L161" s="1630">
        <f t="shared" si="102"/>
        <v>5022</v>
      </c>
      <c r="M161" s="1630">
        <f t="shared" si="103"/>
        <v>45198</v>
      </c>
      <c r="N161" s="1625">
        <f t="shared" si="104"/>
        <v>32674.653237728693</v>
      </c>
      <c r="O161" s="1629">
        <v>0.48120000000000002</v>
      </c>
      <c r="P161" s="1629">
        <v>0.51880000000000004</v>
      </c>
      <c r="Q161" s="1625">
        <f t="shared" si="105"/>
        <v>15723.043137995048</v>
      </c>
      <c r="R161" s="1628">
        <f t="shared" si="106"/>
        <v>16951.610099733647</v>
      </c>
      <c r="S161" s="1627">
        <f t="shared" si="107"/>
        <v>21193.850099733652</v>
      </c>
      <c r="T161" s="1627">
        <f t="shared" si="108"/>
        <v>24004.149900266355</v>
      </c>
      <c r="U161" s="1626">
        <f t="shared" si="109"/>
        <v>5298.4625249334131</v>
      </c>
      <c r="V161" s="1626">
        <f t="shared" si="110"/>
        <v>6001.0374750665887</v>
      </c>
      <c r="W161" s="1625">
        <f t="shared" si="111"/>
        <v>11299.500000000002</v>
      </c>
      <c r="X161" s="1614"/>
      <c r="Y161" s="1613"/>
      <c r="Z161" s="1612">
        <f t="shared" si="112"/>
        <v>0.58040914391371889</v>
      </c>
      <c r="AA161" s="1611"/>
      <c r="AB161" s="1611"/>
      <c r="AC161" s="1611"/>
      <c r="AD161" s="1611"/>
      <c r="AE161" s="1611"/>
      <c r="AF161" s="1611"/>
      <c r="AG161" s="1611"/>
      <c r="AH161" s="1611"/>
      <c r="AI161" s="1611"/>
      <c r="AJ161" s="1611"/>
      <c r="AK161" s="1611"/>
      <c r="AL161" s="1611"/>
      <c r="AM161" s="1611"/>
      <c r="AN161" s="1611"/>
      <c r="AO161" s="1611"/>
      <c r="AP161" s="1611"/>
      <c r="AQ161" s="1611"/>
    </row>
    <row r="162" spans="1:43" outlineLevel="2">
      <c r="A162" s="1638" t="s">
        <v>305</v>
      </c>
      <c r="B162" s="1637" t="s">
        <v>111</v>
      </c>
      <c r="C162" s="1636"/>
      <c r="D162" s="1635">
        <v>22</v>
      </c>
      <c r="E162" s="1634" t="s">
        <v>885</v>
      </c>
      <c r="F162" s="1633" t="s">
        <v>1065</v>
      </c>
      <c r="G162" s="1632">
        <v>4101.8770264142995</v>
      </c>
      <c r="H162" s="1632">
        <v>4550.6400000000003</v>
      </c>
      <c r="I162" s="1630">
        <f t="shared" si="100"/>
        <v>8652.5170264142998</v>
      </c>
      <c r="J162" s="1630">
        <f t="shared" si="101"/>
        <v>190355.37458111459</v>
      </c>
      <c r="K162" s="1631">
        <v>5132</v>
      </c>
      <c r="L162" s="1630">
        <f t="shared" si="102"/>
        <v>5132</v>
      </c>
      <c r="M162" s="1630">
        <f t="shared" si="103"/>
        <v>112904</v>
      </c>
      <c r="N162" s="1625">
        <f t="shared" si="104"/>
        <v>77451.374581114593</v>
      </c>
      <c r="O162" s="1629">
        <v>0.48120000000000002</v>
      </c>
      <c r="P162" s="1629">
        <v>0.51880000000000004</v>
      </c>
      <c r="Q162" s="1625">
        <f t="shared" si="105"/>
        <v>37269.601448432346</v>
      </c>
      <c r="R162" s="1628">
        <f t="shared" si="106"/>
        <v>40181.773132682254</v>
      </c>
      <c r="S162" s="1627">
        <f t="shared" si="107"/>
        <v>52971.693132682245</v>
      </c>
      <c r="T162" s="1627">
        <f t="shared" si="108"/>
        <v>59932.306867317748</v>
      </c>
      <c r="U162" s="1626">
        <f t="shared" si="109"/>
        <v>13242.923283170561</v>
      </c>
      <c r="V162" s="1626">
        <f t="shared" si="110"/>
        <v>14983.076716829437</v>
      </c>
      <c r="W162" s="1625">
        <f t="shared" si="111"/>
        <v>28226</v>
      </c>
      <c r="X162" s="1614"/>
      <c r="Y162" s="1613"/>
      <c r="Z162" s="1612">
        <f t="shared" si="112"/>
        <v>0.59312220759960277</v>
      </c>
      <c r="AA162" s="1611"/>
      <c r="AB162" s="1611"/>
      <c r="AC162" s="1611"/>
      <c r="AD162" s="1611"/>
      <c r="AE162" s="1611"/>
      <c r="AF162" s="1611"/>
      <c r="AG162" s="1611"/>
      <c r="AH162" s="1611"/>
      <c r="AI162" s="1611"/>
      <c r="AJ162" s="1611"/>
      <c r="AK162" s="1611"/>
      <c r="AL162" s="1611"/>
      <c r="AM162" s="1611"/>
      <c r="AN162" s="1611"/>
      <c r="AO162" s="1611"/>
      <c r="AP162" s="1611"/>
      <c r="AQ162" s="1611"/>
    </row>
    <row r="163" spans="1:43" outlineLevel="2">
      <c r="A163" s="1638" t="s">
        <v>305</v>
      </c>
      <c r="B163" s="1637" t="s">
        <v>111</v>
      </c>
      <c r="C163" s="1636"/>
      <c r="D163" s="1635">
        <v>21</v>
      </c>
      <c r="E163" s="1634" t="s">
        <v>885</v>
      </c>
      <c r="F163" s="1633" t="s">
        <v>1064</v>
      </c>
      <c r="G163" s="1632">
        <v>4101.8770264142995</v>
      </c>
      <c r="H163" s="1632">
        <v>4550.6400000000003</v>
      </c>
      <c r="I163" s="1630">
        <f t="shared" si="100"/>
        <v>8652.5170264142998</v>
      </c>
      <c r="J163" s="1630">
        <f t="shared" si="101"/>
        <v>181702.85755470028</v>
      </c>
      <c r="K163" s="1631">
        <v>5540</v>
      </c>
      <c r="L163" s="1630">
        <f t="shared" si="102"/>
        <v>5540</v>
      </c>
      <c r="M163" s="1630">
        <f t="shared" si="103"/>
        <v>116340</v>
      </c>
      <c r="N163" s="1625">
        <f t="shared" si="104"/>
        <v>65362.857554700284</v>
      </c>
      <c r="O163" s="1629">
        <v>0.48120000000000002</v>
      </c>
      <c r="P163" s="1629">
        <v>0.51880000000000004</v>
      </c>
      <c r="Q163" s="1625">
        <f t="shared" si="105"/>
        <v>31452.607055321776</v>
      </c>
      <c r="R163" s="1628">
        <f t="shared" si="106"/>
        <v>33910.250499378511</v>
      </c>
      <c r="S163" s="1627">
        <f t="shared" si="107"/>
        <v>54686.810499378524</v>
      </c>
      <c r="T163" s="1627">
        <f t="shared" si="108"/>
        <v>61653.189500621491</v>
      </c>
      <c r="U163" s="1626">
        <f t="shared" si="109"/>
        <v>13671.702624844631</v>
      </c>
      <c r="V163" s="1626">
        <f t="shared" si="110"/>
        <v>15413.297375155373</v>
      </c>
      <c r="W163" s="1625">
        <f t="shared" si="111"/>
        <v>29085.000000000004</v>
      </c>
      <c r="X163" s="1614"/>
      <c r="Y163" s="1613"/>
      <c r="Z163" s="1612">
        <f t="shared" si="112"/>
        <v>0.64027611654360861</v>
      </c>
      <c r="AA163" s="1611"/>
      <c r="AB163" s="1611"/>
      <c r="AC163" s="1611"/>
      <c r="AD163" s="1611"/>
      <c r="AE163" s="1611"/>
      <c r="AF163" s="1611"/>
      <c r="AG163" s="1611"/>
      <c r="AH163" s="1611"/>
      <c r="AI163" s="1611"/>
      <c r="AJ163" s="1611"/>
      <c r="AK163" s="1611"/>
      <c r="AL163" s="1611"/>
      <c r="AM163" s="1611"/>
      <c r="AN163" s="1611"/>
      <c r="AO163" s="1611"/>
      <c r="AP163" s="1611"/>
      <c r="AQ163" s="1611"/>
    </row>
    <row r="164" spans="1:43" outlineLevel="2">
      <c r="A164" s="1638" t="s">
        <v>305</v>
      </c>
      <c r="B164" s="1637" t="s">
        <v>111</v>
      </c>
      <c r="C164" s="1636"/>
      <c r="D164" s="1635">
        <v>12</v>
      </c>
      <c r="E164" s="1634" t="s">
        <v>885</v>
      </c>
      <c r="F164" s="1633" t="s">
        <v>1063</v>
      </c>
      <c r="G164" s="1632">
        <v>4101.8770264142995</v>
      </c>
      <c r="H164" s="1632">
        <v>4550.6400000000003</v>
      </c>
      <c r="I164" s="1630">
        <f t="shared" ref="I164:I195" si="113">G164+H164</f>
        <v>8652.5170264142998</v>
      </c>
      <c r="J164" s="1630">
        <f t="shared" ref="J164:J195" si="114">D164*I164</f>
        <v>103830.20431697159</v>
      </c>
      <c r="K164" s="1631">
        <v>5540</v>
      </c>
      <c r="L164" s="1630">
        <f t="shared" ref="L164:L195" si="115">IF(I164&gt;K164,K164,I164)</f>
        <v>5540</v>
      </c>
      <c r="M164" s="1630">
        <f t="shared" ref="M164:M195" si="116">L164*D164</f>
        <v>66480</v>
      </c>
      <c r="N164" s="1625">
        <f t="shared" ref="N164:N195" si="117">J164-M164</f>
        <v>37350.204316971591</v>
      </c>
      <c r="O164" s="1629">
        <v>0.48120000000000002</v>
      </c>
      <c r="P164" s="1629">
        <v>0.51880000000000004</v>
      </c>
      <c r="Q164" s="1625">
        <f t="shared" ref="Q164:Q196" si="118">N164*O164</f>
        <v>17972.91831732673</v>
      </c>
      <c r="R164" s="1628">
        <f t="shared" ref="R164:R196" si="119">N164*P164</f>
        <v>19377.285999644864</v>
      </c>
      <c r="S164" s="1627">
        <f t="shared" ref="S164:S196" si="120">(G164*D164)-Q164</f>
        <v>31249.605999644868</v>
      </c>
      <c r="T164" s="1627">
        <f t="shared" ref="T164:T196" si="121">(H164*D164)-R164</f>
        <v>35230.39400035514</v>
      </c>
      <c r="U164" s="1626">
        <f t="shared" ref="U164:U196" si="122">S164/4</f>
        <v>7812.4014999112169</v>
      </c>
      <c r="V164" s="1626">
        <f t="shared" ref="V164:V196" si="123">T164/4</f>
        <v>8807.5985000887849</v>
      </c>
      <c r="W164" s="1625">
        <f t="shared" ref="W164:W195" si="124">V164+U164</f>
        <v>16620</v>
      </c>
      <c r="X164" s="1614"/>
      <c r="Y164" s="1613"/>
      <c r="Z164" s="1612">
        <f t="shared" ref="Z164:Z196" si="125">K164/I164</f>
        <v>0.64027611654360861</v>
      </c>
      <c r="AA164" s="1611"/>
      <c r="AB164" s="1611"/>
      <c r="AC164" s="1611"/>
      <c r="AD164" s="1611"/>
      <c r="AE164" s="1611"/>
      <c r="AF164" s="1611"/>
      <c r="AG164" s="1611"/>
      <c r="AH164" s="1611"/>
      <c r="AI164" s="1611"/>
      <c r="AJ164" s="1611"/>
      <c r="AK164" s="1611"/>
      <c r="AL164" s="1611"/>
      <c r="AM164" s="1611"/>
      <c r="AN164" s="1611"/>
      <c r="AO164" s="1611"/>
      <c r="AP164" s="1611"/>
      <c r="AQ164" s="1611"/>
    </row>
    <row r="165" spans="1:43" outlineLevel="2">
      <c r="A165" s="1638" t="s">
        <v>305</v>
      </c>
      <c r="B165" s="1637" t="s">
        <v>111</v>
      </c>
      <c r="C165" s="1636"/>
      <c r="D165" s="1635">
        <v>7</v>
      </c>
      <c r="E165" s="1634" t="s">
        <v>885</v>
      </c>
      <c r="F165" s="1633" t="s">
        <v>1067</v>
      </c>
      <c r="G165" s="1632">
        <v>4101.8770264142995</v>
      </c>
      <c r="H165" s="1632">
        <v>4550.6400000000003</v>
      </c>
      <c r="I165" s="1630">
        <f t="shared" si="113"/>
        <v>8652.5170264142998</v>
      </c>
      <c r="J165" s="1630">
        <f t="shared" si="114"/>
        <v>60567.619184900097</v>
      </c>
      <c r="K165" s="1631">
        <v>5595</v>
      </c>
      <c r="L165" s="1630">
        <f t="shared" si="115"/>
        <v>5595</v>
      </c>
      <c r="M165" s="1630">
        <f t="shared" si="116"/>
        <v>39165</v>
      </c>
      <c r="N165" s="1625">
        <f t="shared" si="117"/>
        <v>21402.619184900097</v>
      </c>
      <c r="O165" s="1629">
        <v>0.48120000000000002</v>
      </c>
      <c r="P165" s="1629">
        <v>0.51880000000000004</v>
      </c>
      <c r="Q165" s="1625">
        <f t="shared" si="118"/>
        <v>10298.940351773927</v>
      </c>
      <c r="R165" s="1628">
        <f t="shared" si="119"/>
        <v>11103.678833126171</v>
      </c>
      <c r="S165" s="1627">
        <f t="shared" si="120"/>
        <v>18414.198833126171</v>
      </c>
      <c r="T165" s="1627">
        <f t="shared" si="121"/>
        <v>20750.801166873833</v>
      </c>
      <c r="U165" s="1626">
        <f t="shared" si="122"/>
        <v>4603.5497082815427</v>
      </c>
      <c r="V165" s="1626">
        <f t="shared" si="123"/>
        <v>5187.7002917184582</v>
      </c>
      <c r="W165" s="1625">
        <f t="shared" si="124"/>
        <v>9791.25</v>
      </c>
      <c r="X165" s="1614"/>
      <c r="Y165" s="1613"/>
      <c r="Z165" s="1612">
        <f t="shared" si="125"/>
        <v>0.64663264838655055</v>
      </c>
      <c r="AA165" s="1611"/>
      <c r="AB165" s="1611"/>
      <c r="AC165" s="1611"/>
      <c r="AD165" s="1611"/>
      <c r="AE165" s="1611"/>
      <c r="AF165" s="1611"/>
      <c r="AG165" s="1611"/>
      <c r="AH165" s="1611"/>
      <c r="AI165" s="1611"/>
      <c r="AJ165" s="1611"/>
      <c r="AK165" s="1611"/>
      <c r="AL165" s="1611"/>
      <c r="AM165" s="1611"/>
      <c r="AN165" s="1611"/>
      <c r="AO165" s="1611"/>
      <c r="AP165" s="1611"/>
      <c r="AQ165" s="1611"/>
    </row>
    <row r="166" spans="1:43" outlineLevel="2">
      <c r="A166" s="1638" t="s">
        <v>305</v>
      </c>
      <c r="B166" s="1637" t="s">
        <v>111</v>
      </c>
      <c r="C166" s="1636"/>
      <c r="D166" s="1635">
        <v>5</v>
      </c>
      <c r="E166" s="1634" t="s">
        <v>885</v>
      </c>
      <c r="F166" s="1633" t="s">
        <v>1072</v>
      </c>
      <c r="G166" s="1632">
        <v>4101.8770264142995</v>
      </c>
      <c r="H166" s="1632">
        <v>4550.6400000000003</v>
      </c>
      <c r="I166" s="1630">
        <f t="shared" si="113"/>
        <v>8652.5170264142998</v>
      </c>
      <c r="J166" s="1630">
        <f t="shared" si="114"/>
        <v>43262.585132071501</v>
      </c>
      <c r="K166" s="1631">
        <v>5615</v>
      </c>
      <c r="L166" s="1630">
        <f t="shared" si="115"/>
        <v>5615</v>
      </c>
      <c r="M166" s="1630">
        <f t="shared" si="116"/>
        <v>28075</v>
      </c>
      <c r="N166" s="1625">
        <f t="shared" si="117"/>
        <v>15187.585132071501</v>
      </c>
      <c r="O166" s="1629">
        <v>0.48120000000000002</v>
      </c>
      <c r="P166" s="1629">
        <v>0.51880000000000004</v>
      </c>
      <c r="Q166" s="1625">
        <f t="shared" si="118"/>
        <v>7308.2659655528068</v>
      </c>
      <c r="R166" s="1628">
        <f t="shared" si="119"/>
        <v>7879.3191665186951</v>
      </c>
      <c r="S166" s="1627">
        <f t="shared" si="120"/>
        <v>13201.119166518689</v>
      </c>
      <c r="T166" s="1627">
        <f t="shared" si="121"/>
        <v>14873.880833481306</v>
      </c>
      <c r="U166" s="1626">
        <f t="shared" si="122"/>
        <v>3300.2797916296722</v>
      </c>
      <c r="V166" s="1626">
        <f t="shared" si="123"/>
        <v>3718.4702083703264</v>
      </c>
      <c r="W166" s="1625">
        <f t="shared" si="124"/>
        <v>7018.7499999999982</v>
      </c>
      <c r="X166" s="1614"/>
      <c r="Y166" s="1613"/>
      <c r="Z166" s="1612">
        <f t="shared" si="125"/>
        <v>0.64894411451125678</v>
      </c>
      <c r="AA166" s="1611"/>
      <c r="AB166" s="1611"/>
      <c r="AC166" s="1611"/>
      <c r="AD166" s="1611"/>
      <c r="AE166" s="1611"/>
      <c r="AF166" s="1611"/>
      <c r="AG166" s="1611"/>
      <c r="AH166" s="1611"/>
      <c r="AI166" s="1611"/>
      <c r="AJ166" s="1611"/>
      <c r="AK166" s="1611"/>
      <c r="AL166" s="1611"/>
      <c r="AM166" s="1611"/>
      <c r="AN166" s="1611"/>
      <c r="AO166" s="1611"/>
      <c r="AP166" s="1611"/>
      <c r="AQ166" s="1611"/>
    </row>
    <row r="167" spans="1:43" outlineLevel="2">
      <c r="A167" s="1638" t="s">
        <v>305</v>
      </c>
      <c r="B167" s="1637" t="s">
        <v>111</v>
      </c>
      <c r="C167" s="1636"/>
      <c r="D167" s="1635">
        <v>3</v>
      </c>
      <c r="E167" s="1634" t="s">
        <v>885</v>
      </c>
      <c r="F167" s="1633" t="s">
        <v>1079</v>
      </c>
      <c r="G167" s="1632">
        <v>4101.8770264142995</v>
      </c>
      <c r="H167" s="1632">
        <v>4550.6400000000003</v>
      </c>
      <c r="I167" s="1630">
        <f t="shared" si="113"/>
        <v>8652.5170264142998</v>
      </c>
      <c r="J167" s="1630">
        <f t="shared" si="114"/>
        <v>25957.551079242898</v>
      </c>
      <c r="K167" s="1631">
        <v>5945</v>
      </c>
      <c r="L167" s="1630">
        <f t="shared" si="115"/>
        <v>5945</v>
      </c>
      <c r="M167" s="1630">
        <f t="shared" si="116"/>
        <v>17835</v>
      </c>
      <c r="N167" s="1625">
        <f t="shared" si="117"/>
        <v>8122.5510792428977</v>
      </c>
      <c r="O167" s="1629">
        <v>0.48120000000000002</v>
      </c>
      <c r="P167" s="1629">
        <v>0.51880000000000004</v>
      </c>
      <c r="Q167" s="1625">
        <f t="shared" si="118"/>
        <v>3908.5715793316826</v>
      </c>
      <c r="R167" s="1628">
        <f t="shared" si="119"/>
        <v>4213.9794999112155</v>
      </c>
      <c r="S167" s="1627">
        <f t="shared" si="120"/>
        <v>8397.0594999112163</v>
      </c>
      <c r="T167" s="1627">
        <f t="shared" si="121"/>
        <v>9437.9405000887855</v>
      </c>
      <c r="U167" s="1626">
        <f t="shared" si="122"/>
        <v>2099.2648749778041</v>
      </c>
      <c r="V167" s="1626">
        <f t="shared" si="123"/>
        <v>2359.4851250221964</v>
      </c>
      <c r="W167" s="1625">
        <f t="shared" si="124"/>
        <v>4458.75</v>
      </c>
      <c r="X167" s="1614"/>
      <c r="Y167" s="1613"/>
      <c r="Z167" s="1612">
        <f t="shared" si="125"/>
        <v>0.68708330556890851</v>
      </c>
      <c r="AA167" s="1611"/>
      <c r="AB167" s="1611"/>
      <c r="AC167" s="1611"/>
      <c r="AD167" s="1611"/>
      <c r="AE167" s="1611"/>
      <c r="AF167" s="1611"/>
      <c r="AG167" s="1611"/>
      <c r="AH167" s="1611"/>
      <c r="AI167" s="1611"/>
      <c r="AJ167" s="1611"/>
      <c r="AK167" s="1611"/>
      <c r="AL167" s="1611"/>
      <c r="AM167" s="1611"/>
      <c r="AN167" s="1611"/>
      <c r="AO167" s="1611"/>
      <c r="AP167" s="1611"/>
      <c r="AQ167" s="1611"/>
    </row>
    <row r="168" spans="1:43" outlineLevel="2">
      <c r="A168" s="1638" t="s">
        <v>305</v>
      </c>
      <c r="B168" s="1637" t="s">
        <v>111</v>
      </c>
      <c r="C168" s="1636"/>
      <c r="D168" s="1635">
        <v>54</v>
      </c>
      <c r="E168" s="1634" t="s">
        <v>885</v>
      </c>
      <c r="F168" s="1633" t="s">
        <v>979</v>
      </c>
      <c r="G168" s="1632">
        <v>4101.8770264142995</v>
      </c>
      <c r="H168" s="1632">
        <v>4550.6400000000003</v>
      </c>
      <c r="I168" s="1630">
        <f t="shared" si="113"/>
        <v>8652.5170264142998</v>
      </c>
      <c r="J168" s="1630">
        <f t="shared" si="114"/>
        <v>467235.91942637222</v>
      </c>
      <c r="K168" s="1631">
        <v>4767</v>
      </c>
      <c r="L168" s="1630">
        <f t="shared" si="115"/>
        <v>4767</v>
      </c>
      <c r="M168" s="1630">
        <f t="shared" si="116"/>
        <v>257418</v>
      </c>
      <c r="N168" s="1625">
        <f t="shared" si="117"/>
        <v>209817.91942637222</v>
      </c>
      <c r="O168" s="1629">
        <v>0.48120000000000002</v>
      </c>
      <c r="P168" s="1629">
        <v>0.51880000000000004</v>
      </c>
      <c r="Q168" s="1625">
        <f t="shared" si="118"/>
        <v>100964.38282797032</v>
      </c>
      <c r="R168" s="1628">
        <f t="shared" si="119"/>
        <v>108853.53659840192</v>
      </c>
      <c r="S168" s="1627">
        <f t="shared" si="120"/>
        <v>120536.97659840184</v>
      </c>
      <c r="T168" s="1627">
        <f t="shared" si="121"/>
        <v>136881.0234015981</v>
      </c>
      <c r="U168" s="1626">
        <f t="shared" si="122"/>
        <v>30134.244149600461</v>
      </c>
      <c r="V168" s="1626">
        <f t="shared" si="123"/>
        <v>34220.255850399524</v>
      </c>
      <c r="W168" s="1625">
        <f t="shared" si="124"/>
        <v>64354.499999999985</v>
      </c>
      <c r="X168" s="1614"/>
      <c r="Y168" s="1613"/>
      <c r="Z168" s="1612">
        <f t="shared" si="125"/>
        <v>0.55093795082371522</v>
      </c>
      <c r="AA168" s="1611"/>
      <c r="AB168" s="1611"/>
      <c r="AC168" s="1611"/>
      <c r="AD168" s="1611"/>
      <c r="AE168" s="1611"/>
      <c r="AF168" s="1611"/>
      <c r="AG168" s="1611"/>
      <c r="AH168" s="1611"/>
      <c r="AI168" s="1611"/>
      <c r="AJ168" s="1611"/>
      <c r="AK168" s="1611"/>
      <c r="AL168" s="1611"/>
      <c r="AM168" s="1611"/>
      <c r="AN168" s="1611"/>
      <c r="AO168" s="1611"/>
      <c r="AP168" s="1611"/>
      <c r="AQ168" s="1611"/>
    </row>
    <row r="169" spans="1:43" outlineLevel="2">
      <c r="A169" s="1638" t="s">
        <v>305</v>
      </c>
      <c r="B169" s="1637" t="s">
        <v>111</v>
      </c>
      <c r="C169" s="1636"/>
      <c r="D169" s="1635">
        <v>1</v>
      </c>
      <c r="E169" s="1634" t="s">
        <v>991</v>
      </c>
      <c r="F169" s="1633" t="s">
        <v>1070</v>
      </c>
      <c r="G169" s="1632">
        <v>4101.8770264142995</v>
      </c>
      <c r="H169" s="1632">
        <v>4550.6400000000003</v>
      </c>
      <c r="I169" s="1630">
        <f t="shared" si="113"/>
        <v>8652.5170264142998</v>
      </c>
      <c r="J169" s="1630">
        <f t="shared" si="114"/>
        <v>8652.5170264142998</v>
      </c>
      <c r="K169" s="1631">
        <v>8035</v>
      </c>
      <c r="L169" s="1630">
        <f t="shared" si="115"/>
        <v>8035</v>
      </c>
      <c r="M169" s="1630">
        <f t="shared" si="116"/>
        <v>8035</v>
      </c>
      <c r="N169" s="1625">
        <f t="shared" si="117"/>
        <v>617.51702641429983</v>
      </c>
      <c r="O169" s="1629">
        <v>0.48120000000000002</v>
      </c>
      <c r="P169" s="1629">
        <v>0.51880000000000004</v>
      </c>
      <c r="Q169" s="1625">
        <f t="shared" si="118"/>
        <v>297.1491931105611</v>
      </c>
      <c r="R169" s="1628">
        <f t="shared" si="119"/>
        <v>320.36783330373879</v>
      </c>
      <c r="S169" s="1627">
        <f t="shared" si="120"/>
        <v>3804.7278333037384</v>
      </c>
      <c r="T169" s="1627">
        <f t="shared" si="121"/>
        <v>4230.2721666962616</v>
      </c>
      <c r="U169" s="1626">
        <f t="shared" si="122"/>
        <v>951.1819583259346</v>
      </c>
      <c r="V169" s="1626">
        <f t="shared" si="123"/>
        <v>1057.5680416740654</v>
      </c>
      <c r="W169" s="1625">
        <f t="shared" si="124"/>
        <v>2008.75</v>
      </c>
      <c r="X169" s="1614"/>
      <c r="Y169" s="1613"/>
      <c r="Z169" s="1612">
        <f t="shared" si="125"/>
        <v>0.92863151560070312</v>
      </c>
      <c r="AA169" s="1611"/>
      <c r="AB169" s="1611"/>
      <c r="AC169" s="1611"/>
      <c r="AD169" s="1611"/>
      <c r="AE169" s="1611"/>
      <c r="AF169" s="1611"/>
      <c r="AG169" s="1611"/>
      <c r="AH169" s="1611"/>
      <c r="AI169" s="1611"/>
      <c r="AJ169" s="1611"/>
      <c r="AK169" s="1611"/>
      <c r="AL169" s="1611"/>
      <c r="AM169" s="1611"/>
      <c r="AN169" s="1611"/>
      <c r="AO169" s="1611"/>
      <c r="AP169" s="1611"/>
      <c r="AQ169" s="1611"/>
    </row>
    <row r="170" spans="1:43" outlineLevel="2">
      <c r="A170" s="1638" t="s">
        <v>305</v>
      </c>
      <c r="B170" s="1637" t="s">
        <v>111</v>
      </c>
      <c r="C170" s="1636"/>
      <c r="D170" s="1635">
        <v>2</v>
      </c>
      <c r="E170" s="1634" t="s">
        <v>991</v>
      </c>
      <c r="F170" s="1633" t="s">
        <v>1068</v>
      </c>
      <c r="G170" s="1632">
        <v>4101.8770264142995</v>
      </c>
      <c r="H170" s="1632">
        <v>4550.6400000000003</v>
      </c>
      <c r="I170" s="1630">
        <f t="shared" si="113"/>
        <v>8652.5170264142998</v>
      </c>
      <c r="J170" s="1630">
        <f t="shared" si="114"/>
        <v>17305.0340528286</v>
      </c>
      <c r="K170" s="1631">
        <v>8035</v>
      </c>
      <c r="L170" s="1630">
        <f t="shared" si="115"/>
        <v>8035</v>
      </c>
      <c r="M170" s="1630">
        <f t="shared" si="116"/>
        <v>16070</v>
      </c>
      <c r="N170" s="1625">
        <f t="shared" si="117"/>
        <v>1235.0340528285997</v>
      </c>
      <c r="O170" s="1629">
        <v>0.48120000000000002</v>
      </c>
      <c r="P170" s="1629">
        <v>0.51880000000000004</v>
      </c>
      <c r="Q170" s="1625">
        <f t="shared" si="118"/>
        <v>594.2983862211222</v>
      </c>
      <c r="R170" s="1628">
        <f t="shared" si="119"/>
        <v>640.73566660747758</v>
      </c>
      <c r="S170" s="1627">
        <f t="shared" si="120"/>
        <v>7609.4556666074768</v>
      </c>
      <c r="T170" s="1627">
        <f t="shared" si="121"/>
        <v>8460.5443333925232</v>
      </c>
      <c r="U170" s="1626">
        <f t="shared" si="122"/>
        <v>1902.3639166518692</v>
      </c>
      <c r="V170" s="1626">
        <f t="shared" si="123"/>
        <v>2115.1360833481308</v>
      </c>
      <c r="W170" s="1625">
        <f t="shared" si="124"/>
        <v>4017.5</v>
      </c>
      <c r="X170" s="1614"/>
      <c r="Y170" s="1613"/>
      <c r="Z170" s="1612">
        <f t="shared" si="125"/>
        <v>0.92863151560070312</v>
      </c>
      <c r="AA170" s="1611"/>
      <c r="AB170" s="1611"/>
      <c r="AC170" s="1611"/>
      <c r="AD170" s="1611"/>
      <c r="AE170" s="1611"/>
      <c r="AF170" s="1611"/>
      <c r="AG170" s="1611"/>
      <c r="AH170" s="1611"/>
      <c r="AI170" s="1611"/>
      <c r="AJ170" s="1611"/>
      <c r="AK170" s="1611"/>
      <c r="AL170" s="1611"/>
      <c r="AM170" s="1611"/>
      <c r="AN170" s="1611"/>
      <c r="AO170" s="1611"/>
      <c r="AP170" s="1611"/>
      <c r="AQ170" s="1611"/>
    </row>
    <row r="171" spans="1:43" outlineLevel="2">
      <c r="A171" s="1638" t="s">
        <v>305</v>
      </c>
      <c r="B171" s="1637" t="s">
        <v>111</v>
      </c>
      <c r="C171" s="1636"/>
      <c r="D171" s="1635">
        <v>1</v>
      </c>
      <c r="E171" s="1634" t="s">
        <v>991</v>
      </c>
      <c r="F171" s="1633" t="s">
        <v>1069</v>
      </c>
      <c r="G171" s="1632">
        <v>4101.8770264142995</v>
      </c>
      <c r="H171" s="1632">
        <v>4550.6400000000003</v>
      </c>
      <c r="I171" s="1630">
        <f t="shared" si="113"/>
        <v>8652.5170264142998</v>
      </c>
      <c r="J171" s="1630">
        <f t="shared" si="114"/>
        <v>8652.5170264142998</v>
      </c>
      <c r="K171" s="1631">
        <v>8035</v>
      </c>
      <c r="L171" s="1630">
        <f t="shared" si="115"/>
        <v>8035</v>
      </c>
      <c r="M171" s="1630">
        <f t="shared" si="116"/>
        <v>8035</v>
      </c>
      <c r="N171" s="1625">
        <f t="shared" si="117"/>
        <v>617.51702641429983</v>
      </c>
      <c r="O171" s="1629">
        <v>0.48120000000000002</v>
      </c>
      <c r="P171" s="1629">
        <v>0.51880000000000004</v>
      </c>
      <c r="Q171" s="1625">
        <f t="shared" si="118"/>
        <v>297.1491931105611</v>
      </c>
      <c r="R171" s="1628">
        <f t="shared" si="119"/>
        <v>320.36783330373879</v>
      </c>
      <c r="S171" s="1627">
        <f t="shared" si="120"/>
        <v>3804.7278333037384</v>
      </c>
      <c r="T171" s="1627">
        <f t="shared" si="121"/>
        <v>4230.2721666962616</v>
      </c>
      <c r="U171" s="1626">
        <f t="shared" si="122"/>
        <v>951.1819583259346</v>
      </c>
      <c r="V171" s="1626">
        <f t="shared" si="123"/>
        <v>1057.5680416740654</v>
      </c>
      <c r="W171" s="1625">
        <f t="shared" si="124"/>
        <v>2008.75</v>
      </c>
      <c r="X171" s="1614"/>
      <c r="Y171" s="1613"/>
      <c r="Z171" s="1612">
        <f t="shared" si="125"/>
        <v>0.92863151560070312</v>
      </c>
      <c r="AA171" s="1611"/>
      <c r="AB171" s="1611"/>
      <c r="AC171" s="1611"/>
      <c r="AD171" s="1611"/>
      <c r="AE171" s="1611"/>
      <c r="AF171" s="1611"/>
      <c r="AG171" s="1611"/>
      <c r="AH171" s="1611"/>
      <c r="AI171" s="1611"/>
      <c r="AJ171" s="1611"/>
      <c r="AK171" s="1611"/>
      <c r="AL171" s="1611"/>
      <c r="AM171" s="1611"/>
      <c r="AN171" s="1611"/>
      <c r="AO171" s="1611"/>
      <c r="AP171" s="1611"/>
      <c r="AQ171" s="1611"/>
    </row>
    <row r="172" spans="1:43" outlineLevel="2">
      <c r="A172" s="1638" t="s">
        <v>305</v>
      </c>
      <c r="B172" s="1637" t="s">
        <v>111</v>
      </c>
      <c r="C172" s="1636"/>
      <c r="D172" s="1635">
        <v>3</v>
      </c>
      <c r="E172" s="1634" t="s">
        <v>991</v>
      </c>
      <c r="F172" s="1633" t="s">
        <v>979</v>
      </c>
      <c r="G172" s="1632">
        <v>4101.8770264142995</v>
      </c>
      <c r="H172" s="1632">
        <v>4550.6400000000003</v>
      </c>
      <c r="I172" s="1630">
        <f t="shared" si="113"/>
        <v>8652.5170264142998</v>
      </c>
      <c r="J172" s="1630">
        <f t="shared" si="114"/>
        <v>25957.551079242898</v>
      </c>
      <c r="K172" s="1631">
        <v>8035</v>
      </c>
      <c r="L172" s="1630">
        <f t="shared" si="115"/>
        <v>8035</v>
      </c>
      <c r="M172" s="1630">
        <f t="shared" si="116"/>
        <v>24105</v>
      </c>
      <c r="N172" s="1625">
        <f t="shared" si="117"/>
        <v>1852.5510792428977</v>
      </c>
      <c r="O172" s="1629">
        <v>0.48120000000000002</v>
      </c>
      <c r="P172" s="1629">
        <v>0.51880000000000004</v>
      </c>
      <c r="Q172" s="1625">
        <f t="shared" si="118"/>
        <v>891.44757933168239</v>
      </c>
      <c r="R172" s="1628">
        <f t="shared" si="119"/>
        <v>961.10349991121541</v>
      </c>
      <c r="S172" s="1627">
        <f t="shared" si="120"/>
        <v>11414.183499911218</v>
      </c>
      <c r="T172" s="1627">
        <f t="shared" si="121"/>
        <v>12690.816500088786</v>
      </c>
      <c r="U172" s="1626">
        <f t="shared" si="122"/>
        <v>2853.5458749778045</v>
      </c>
      <c r="V172" s="1626">
        <f t="shared" si="123"/>
        <v>3172.7041250221964</v>
      </c>
      <c r="W172" s="1625">
        <f t="shared" si="124"/>
        <v>6026.2500000000009</v>
      </c>
      <c r="X172" s="1614"/>
      <c r="Y172" s="1613"/>
      <c r="Z172" s="1612">
        <f t="shared" si="125"/>
        <v>0.92863151560070312</v>
      </c>
      <c r="AA172" s="1611"/>
      <c r="AB172" s="1611"/>
      <c r="AC172" s="1611"/>
      <c r="AD172" s="1611"/>
      <c r="AE172" s="1611"/>
      <c r="AF172" s="1611"/>
      <c r="AG172" s="1611"/>
      <c r="AH172" s="1611"/>
      <c r="AI172" s="1611"/>
      <c r="AJ172" s="1611"/>
      <c r="AK172" s="1611"/>
      <c r="AL172" s="1611"/>
      <c r="AM172" s="1611"/>
      <c r="AN172" s="1611"/>
      <c r="AO172" s="1611"/>
      <c r="AP172" s="1611"/>
      <c r="AQ172" s="1611"/>
    </row>
    <row r="173" spans="1:43" outlineLevel="2">
      <c r="A173" s="1638" t="s">
        <v>305</v>
      </c>
      <c r="B173" s="1637" t="s">
        <v>111</v>
      </c>
      <c r="C173" s="1636"/>
      <c r="D173" s="1635">
        <v>10</v>
      </c>
      <c r="E173" s="1634" t="s">
        <v>990</v>
      </c>
      <c r="F173" s="1633" t="s">
        <v>1070</v>
      </c>
      <c r="G173" s="1632">
        <v>4101.8770264142995</v>
      </c>
      <c r="H173" s="1632">
        <v>4550.6400000000003</v>
      </c>
      <c r="I173" s="1630">
        <f t="shared" si="113"/>
        <v>8652.5170264142998</v>
      </c>
      <c r="J173" s="1630">
        <f t="shared" si="114"/>
        <v>86525.170264143002</v>
      </c>
      <c r="K173" s="1631">
        <v>5488.7</v>
      </c>
      <c r="L173" s="1630">
        <f t="shared" si="115"/>
        <v>5488.7</v>
      </c>
      <c r="M173" s="1630">
        <f t="shared" si="116"/>
        <v>54887</v>
      </c>
      <c r="N173" s="1625">
        <f t="shared" si="117"/>
        <v>31638.170264143002</v>
      </c>
      <c r="O173" s="1629">
        <v>0.48120000000000002</v>
      </c>
      <c r="P173" s="1629">
        <v>0.51880000000000004</v>
      </c>
      <c r="Q173" s="1625">
        <f t="shared" si="118"/>
        <v>15224.287531105612</v>
      </c>
      <c r="R173" s="1628">
        <f t="shared" si="119"/>
        <v>16413.88273303739</v>
      </c>
      <c r="S173" s="1627">
        <f t="shared" si="120"/>
        <v>25794.482733037381</v>
      </c>
      <c r="T173" s="1627">
        <f t="shared" si="121"/>
        <v>29092.517266962612</v>
      </c>
      <c r="U173" s="1626">
        <f t="shared" si="122"/>
        <v>6448.6206832593452</v>
      </c>
      <c r="V173" s="1626">
        <f t="shared" si="123"/>
        <v>7273.1293167406529</v>
      </c>
      <c r="W173" s="1625">
        <f t="shared" si="124"/>
        <v>13721.749999999998</v>
      </c>
      <c r="X173" s="1614"/>
      <c r="Y173" s="1613"/>
      <c r="Z173" s="1612">
        <f t="shared" si="125"/>
        <v>0.63434720593373728</v>
      </c>
      <c r="AA173" s="1611"/>
      <c r="AB173" s="1611"/>
      <c r="AC173" s="1611"/>
      <c r="AD173" s="1611"/>
      <c r="AE173" s="1611"/>
      <c r="AF173" s="1611"/>
      <c r="AG173" s="1611"/>
      <c r="AH173" s="1611"/>
      <c r="AI173" s="1611"/>
      <c r="AJ173" s="1611"/>
      <c r="AK173" s="1611"/>
      <c r="AL173" s="1611"/>
      <c r="AM173" s="1611"/>
      <c r="AN173" s="1611"/>
      <c r="AO173" s="1611"/>
      <c r="AP173" s="1611"/>
      <c r="AQ173" s="1611"/>
    </row>
    <row r="174" spans="1:43" outlineLevel="2">
      <c r="A174" s="1638" t="s">
        <v>305</v>
      </c>
      <c r="B174" s="1637" t="s">
        <v>111</v>
      </c>
      <c r="C174" s="1636"/>
      <c r="D174" s="1635">
        <v>10</v>
      </c>
      <c r="E174" s="1634" t="s">
        <v>990</v>
      </c>
      <c r="F174" s="1633" t="s">
        <v>1069</v>
      </c>
      <c r="G174" s="1632">
        <v>4101.8770264142995</v>
      </c>
      <c r="H174" s="1632">
        <v>4550.6400000000003</v>
      </c>
      <c r="I174" s="1630">
        <f t="shared" si="113"/>
        <v>8652.5170264142998</v>
      </c>
      <c r="J174" s="1630">
        <f t="shared" si="114"/>
        <v>86525.170264143002</v>
      </c>
      <c r="K174" s="1631">
        <v>5488.7</v>
      </c>
      <c r="L174" s="1630">
        <f t="shared" si="115"/>
        <v>5488.7</v>
      </c>
      <c r="M174" s="1630">
        <f t="shared" si="116"/>
        <v>54887</v>
      </c>
      <c r="N174" s="1625">
        <f t="shared" si="117"/>
        <v>31638.170264143002</v>
      </c>
      <c r="O174" s="1629">
        <v>0.48120000000000002</v>
      </c>
      <c r="P174" s="1629">
        <v>0.51880000000000004</v>
      </c>
      <c r="Q174" s="1625">
        <f t="shared" si="118"/>
        <v>15224.287531105612</v>
      </c>
      <c r="R174" s="1628">
        <f t="shared" si="119"/>
        <v>16413.88273303739</v>
      </c>
      <c r="S174" s="1627">
        <f t="shared" si="120"/>
        <v>25794.482733037381</v>
      </c>
      <c r="T174" s="1627">
        <f t="shared" si="121"/>
        <v>29092.517266962612</v>
      </c>
      <c r="U174" s="1626">
        <f t="shared" si="122"/>
        <v>6448.6206832593452</v>
      </c>
      <c r="V174" s="1626">
        <f t="shared" si="123"/>
        <v>7273.1293167406529</v>
      </c>
      <c r="W174" s="1625">
        <f t="shared" si="124"/>
        <v>13721.749999999998</v>
      </c>
      <c r="X174" s="1614"/>
      <c r="Y174" s="1613"/>
      <c r="Z174" s="1612">
        <f t="shared" si="125"/>
        <v>0.63434720593373728</v>
      </c>
      <c r="AA174" s="1611"/>
      <c r="AB174" s="1611"/>
      <c r="AC174" s="1611"/>
      <c r="AD174" s="1611"/>
      <c r="AE174" s="1611"/>
      <c r="AF174" s="1611"/>
      <c r="AG174" s="1611"/>
      <c r="AH174" s="1611"/>
      <c r="AI174" s="1611"/>
      <c r="AJ174" s="1611"/>
      <c r="AK174" s="1611"/>
      <c r="AL174" s="1611"/>
      <c r="AM174" s="1611"/>
      <c r="AN174" s="1611"/>
      <c r="AO174" s="1611"/>
      <c r="AP174" s="1611"/>
      <c r="AQ174" s="1611"/>
    </row>
    <row r="175" spans="1:43" outlineLevel="2">
      <c r="A175" s="1638" t="s">
        <v>305</v>
      </c>
      <c r="B175" s="1637" t="s">
        <v>111</v>
      </c>
      <c r="C175" s="1636"/>
      <c r="D175" s="1635">
        <v>2</v>
      </c>
      <c r="E175" s="1634" t="s">
        <v>990</v>
      </c>
      <c r="F175" s="1633" t="s">
        <v>1068</v>
      </c>
      <c r="G175" s="1632">
        <v>4101.8770264142995</v>
      </c>
      <c r="H175" s="1632">
        <v>4550.6400000000003</v>
      </c>
      <c r="I175" s="1630">
        <f t="shared" si="113"/>
        <v>8652.5170264142998</v>
      </c>
      <c r="J175" s="1630">
        <f t="shared" si="114"/>
        <v>17305.0340528286</v>
      </c>
      <c r="K175" s="1631">
        <v>5473.7</v>
      </c>
      <c r="L175" s="1630">
        <f t="shared" si="115"/>
        <v>5473.7</v>
      </c>
      <c r="M175" s="1630">
        <f t="shared" si="116"/>
        <v>10947.4</v>
      </c>
      <c r="N175" s="1625">
        <f t="shared" si="117"/>
        <v>6357.6340528286</v>
      </c>
      <c r="O175" s="1629">
        <v>0.48120000000000002</v>
      </c>
      <c r="P175" s="1629">
        <v>0.51880000000000004</v>
      </c>
      <c r="Q175" s="1625">
        <f t="shared" si="118"/>
        <v>3059.2935062211222</v>
      </c>
      <c r="R175" s="1628">
        <f t="shared" si="119"/>
        <v>3298.3405466074778</v>
      </c>
      <c r="S175" s="1627">
        <f t="shared" si="120"/>
        <v>5144.4605466074772</v>
      </c>
      <c r="T175" s="1627">
        <f t="shared" si="121"/>
        <v>5802.9394533925224</v>
      </c>
      <c r="U175" s="1626">
        <f t="shared" si="122"/>
        <v>1286.1151366518693</v>
      </c>
      <c r="V175" s="1626">
        <f t="shared" si="123"/>
        <v>1450.7348633481306</v>
      </c>
      <c r="W175" s="1625">
        <f t="shared" si="124"/>
        <v>2736.85</v>
      </c>
      <c r="X175" s="1614"/>
      <c r="Y175" s="1613"/>
      <c r="Z175" s="1612">
        <f t="shared" si="125"/>
        <v>0.63261360634020758</v>
      </c>
      <c r="AA175" s="1611"/>
      <c r="AB175" s="1611"/>
      <c r="AC175" s="1611"/>
      <c r="AD175" s="1611"/>
      <c r="AE175" s="1611"/>
      <c r="AF175" s="1611"/>
      <c r="AG175" s="1611"/>
      <c r="AH175" s="1611"/>
      <c r="AI175" s="1611"/>
      <c r="AJ175" s="1611"/>
      <c r="AK175" s="1611"/>
      <c r="AL175" s="1611"/>
      <c r="AM175" s="1611"/>
      <c r="AN175" s="1611"/>
      <c r="AO175" s="1611"/>
      <c r="AP175" s="1611"/>
      <c r="AQ175" s="1611"/>
    </row>
    <row r="176" spans="1:43" outlineLevel="2">
      <c r="A176" s="1638" t="s">
        <v>305</v>
      </c>
      <c r="B176" s="1637" t="s">
        <v>111</v>
      </c>
      <c r="C176" s="1636"/>
      <c r="D176" s="1635">
        <v>1</v>
      </c>
      <c r="E176" s="1634" t="s">
        <v>990</v>
      </c>
      <c r="F176" s="1633" t="s">
        <v>1071</v>
      </c>
      <c r="G176" s="1632">
        <v>4101.8770264142995</v>
      </c>
      <c r="H176" s="1632">
        <v>4550.6400000000003</v>
      </c>
      <c r="I176" s="1630">
        <f t="shared" si="113"/>
        <v>8652.5170264142998</v>
      </c>
      <c r="J176" s="1630">
        <f t="shared" si="114"/>
        <v>8652.5170264142998</v>
      </c>
      <c r="K176" s="1631">
        <v>5473.7</v>
      </c>
      <c r="L176" s="1630">
        <f t="shared" si="115"/>
        <v>5473.7</v>
      </c>
      <c r="M176" s="1630">
        <f t="shared" si="116"/>
        <v>5473.7</v>
      </c>
      <c r="N176" s="1625">
        <f t="shared" si="117"/>
        <v>3178.8170264143</v>
      </c>
      <c r="O176" s="1629">
        <v>0.48120000000000002</v>
      </c>
      <c r="P176" s="1629">
        <v>0.51880000000000004</v>
      </c>
      <c r="Q176" s="1625">
        <f t="shared" si="118"/>
        <v>1529.6467531105611</v>
      </c>
      <c r="R176" s="1628">
        <f t="shared" si="119"/>
        <v>1649.1702733037389</v>
      </c>
      <c r="S176" s="1627">
        <f t="shared" si="120"/>
        <v>2572.2302733037386</v>
      </c>
      <c r="T176" s="1627">
        <f t="shared" si="121"/>
        <v>2901.4697266962612</v>
      </c>
      <c r="U176" s="1626">
        <f t="shared" si="122"/>
        <v>643.05756832593465</v>
      </c>
      <c r="V176" s="1626">
        <f t="shared" si="123"/>
        <v>725.3674316740653</v>
      </c>
      <c r="W176" s="1625">
        <f t="shared" si="124"/>
        <v>1368.425</v>
      </c>
      <c r="X176" s="1614"/>
      <c r="Y176" s="1613"/>
      <c r="Z176" s="1612">
        <f t="shared" si="125"/>
        <v>0.63261360634020758</v>
      </c>
      <c r="AA176" s="1611"/>
      <c r="AB176" s="1611"/>
      <c r="AC176" s="1611"/>
      <c r="AD176" s="1611"/>
      <c r="AE176" s="1611"/>
      <c r="AF176" s="1611"/>
      <c r="AG176" s="1611"/>
      <c r="AH176" s="1611"/>
      <c r="AI176" s="1611"/>
      <c r="AJ176" s="1611"/>
      <c r="AK176" s="1611"/>
      <c r="AL176" s="1611"/>
      <c r="AM176" s="1611"/>
      <c r="AN176" s="1611"/>
      <c r="AO176" s="1611"/>
      <c r="AP176" s="1611"/>
      <c r="AQ176" s="1611"/>
    </row>
    <row r="177" spans="1:43" outlineLevel="2">
      <c r="A177" s="1638" t="s">
        <v>305</v>
      </c>
      <c r="B177" s="1637" t="s">
        <v>111</v>
      </c>
      <c r="C177" s="1636"/>
      <c r="D177" s="1635">
        <v>1</v>
      </c>
      <c r="E177" s="1634" t="s">
        <v>990</v>
      </c>
      <c r="F177" s="1633" t="s">
        <v>1065</v>
      </c>
      <c r="G177" s="1632">
        <v>4101.8770264142995</v>
      </c>
      <c r="H177" s="1632">
        <v>4550.6400000000003</v>
      </c>
      <c r="I177" s="1630">
        <f t="shared" si="113"/>
        <v>8652.5170264142998</v>
      </c>
      <c r="J177" s="1630">
        <f t="shared" si="114"/>
        <v>8652.5170264142998</v>
      </c>
      <c r="K177" s="1631">
        <v>5473.7</v>
      </c>
      <c r="L177" s="1630">
        <f t="shared" si="115"/>
        <v>5473.7</v>
      </c>
      <c r="M177" s="1630">
        <f t="shared" si="116"/>
        <v>5473.7</v>
      </c>
      <c r="N177" s="1625">
        <f t="shared" si="117"/>
        <v>3178.8170264143</v>
      </c>
      <c r="O177" s="1629">
        <v>0.48120000000000002</v>
      </c>
      <c r="P177" s="1629">
        <v>0.51880000000000004</v>
      </c>
      <c r="Q177" s="1625">
        <f t="shared" si="118"/>
        <v>1529.6467531105611</v>
      </c>
      <c r="R177" s="1628">
        <f t="shared" si="119"/>
        <v>1649.1702733037389</v>
      </c>
      <c r="S177" s="1627">
        <f t="shared" si="120"/>
        <v>2572.2302733037386</v>
      </c>
      <c r="T177" s="1627">
        <f t="shared" si="121"/>
        <v>2901.4697266962612</v>
      </c>
      <c r="U177" s="1626">
        <f t="shared" si="122"/>
        <v>643.05756832593465</v>
      </c>
      <c r="V177" s="1626">
        <f t="shared" si="123"/>
        <v>725.3674316740653</v>
      </c>
      <c r="W177" s="1625">
        <f t="shared" si="124"/>
        <v>1368.425</v>
      </c>
      <c r="X177" s="1614"/>
      <c r="Y177" s="1613"/>
      <c r="Z177" s="1612">
        <f t="shared" si="125"/>
        <v>0.63261360634020758</v>
      </c>
      <c r="AA177" s="1611"/>
      <c r="AB177" s="1611"/>
      <c r="AC177" s="1611"/>
      <c r="AD177" s="1611"/>
      <c r="AE177" s="1611"/>
      <c r="AF177" s="1611"/>
      <c r="AG177" s="1611"/>
      <c r="AH177" s="1611"/>
      <c r="AI177" s="1611"/>
      <c r="AJ177" s="1611"/>
      <c r="AK177" s="1611"/>
      <c r="AL177" s="1611"/>
      <c r="AM177" s="1611"/>
      <c r="AN177" s="1611"/>
      <c r="AO177" s="1611"/>
      <c r="AP177" s="1611"/>
      <c r="AQ177" s="1611"/>
    </row>
    <row r="178" spans="1:43" outlineLevel="2">
      <c r="A178" s="1638" t="s">
        <v>305</v>
      </c>
      <c r="B178" s="1637" t="s">
        <v>111</v>
      </c>
      <c r="C178" s="1636"/>
      <c r="D178" s="1635">
        <v>1</v>
      </c>
      <c r="E178" s="1634" t="s">
        <v>990</v>
      </c>
      <c r="F178" s="1633" t="s">
        <v>1063</v>
      </c>
      <c r="G178" s="1632">
        <v>4101.8770264142995</v>
      </c>
      <c r="H178" s="1632">
        <v>4550.6400000000003</v>
      </c>
      <c r="I178" s="1630">
        <f t="shared" si="113"/>
        <v>8652.5170264142998</v>
      </c>
      <c r="J178" s="1630">
        <f t="shared" si="114"/>
        <v>8652.5170264142998</v>
      </c>
      <c r="K178" s="1631">
        <v>5903.7</v>
      </c>
      <c r="L178" s="1630">
        <f t="shared" si="115"/>
        <v>5903.7</v>
      </c>
      <c r="M178" s="1630">
        <f t="shared" si="116"/>
        <v>5903.7</v>
      </c>
      <c r="N178" s="1625">
        <f t="shared" si="117"/>
        <v>2748.8170264143</v>
      </c>
      <c r="O178" s="1629">
        <v>0.48120000000000002</v>
      </c>
      <c r="P178" s="1629">
        <v>0.51880000000000004</v>
      </c>
      <c r="Q178" s="1625">
        <f t="shared" si="118"/>
        <v>1322.7307531105612</v>
      </c>
      <c r="R178" s="1628">
        <f t="shared" si="119"/>
        <v>1426.0862733037391</v>
      </c>
      <c r="S178" s="1627">
        <f t="shared" si="120"/>
        <v>2779.1462733037383</v>
      </c>
      <c r="T178" s="1627">
        <f t="shared" si="121"/>
        <v>3124.553726696261</v>
      </c>
      <c r="U178" s="1626">
        <f t="shared" si="122"/>
        <v>694.78656832593458</v>
      </c>
      <c r="V178" s="1626">
        <f t="shared" si="123"/>
        <v>781.13843167406526</v>
      </c>
      <c r="W178" s="1625">
        <f t="shared" si="124"/>
        <v>1475.9249999999997</v>
      </c>
      <c r="X178" s="1614"/>
      <c r="Y178" s="1613"/>
      <c r="Z178" s="1612">
        <f t="shared" si="125"/>
        <v>0.68231012802139024</v>
      </c>
      <c r="AA178" s="1611"/>
      <c r="AB178" s="1611"/>
      <c r="AC178" s="1611"/>
      <c r="AD178" s="1611"/>
      <c r="AE178" s="1611"/>
      <c r="AF178" s="1611"/>
      <c r="AG178" s="1611"/>
      <c r="AH178" s="1611"/>
      <c r="AI178" s="1611"/>
      <c r="AJ178" s="1611"/>
      <c r="AK178" s="1611"/>
      <c r="AL178" s="1611"/>
      <c r="AM178" s="1611"/>
      <c r="AN178" s="1611"/>
      <c r="AO178" s="1611"/>
      <c r="AP178" s="1611"/>
      <c r="AQ178" s="1611"/>
    </row>
    <row r="179" spans="1:43" outlineLevel="2">
      <c r="A179" s="1638" t="s">
        <v>305</v>
      </c>
      <c r="B179" s="1637" t="s">
        <v>111</v>
      </c>
      <c r="C179" s="1636"/>
      <c r="D179" s="1635">
        <v>2</v>
      </c>
      <c r="E179" s="1634" t="s">
        <v>990</v>
      </c>
      <c r="F179" s="1633" t="s">
        <v>1066</v>
      </c>
      <c r="G179" s="1632">
        <v>4101.8770264142995</v>
      </c>
      <c r="H179" s="1632">
        <v>4550.6400000000003</v>
      </c>
      <c r="I179" s="1630">
        <f t="shared" si="113"/>
        <v>8652.5170264142998</v>
      </c>
      <c r="J179" s="1630">
        <f t="shared" si="114"/>
        <v>17305.0340528286</v>
      </c>
      <c r="K179" s="1631">
        <v>5903.7</v>
      </c>
      <c r="L179" s="1630">
        <f t="shared" si="115"/>
        <v>5903.7</v>
      </c>
      <c r="M179" s="1630">
        <f t="shared" si="116"/>
        <v>11807.4</v>
      </c>
      <c r="N179" s="1625">
        <f t="shared" si="117"/>
        <v>5497.6340528286</v>
      </c>
      <c r="O179" s="1629">
        <v>0.48120000000000002</v>
      </c>
      <c r="P179" s="1629">
        <v>0.51880000000000004</v>
      </c>
      <c r="Q179" s="1625">
        <f t="shared" si="118"/>
        <v>2645.4615062211224</v>
      </c>
      <c r="R179" s="1628">
        <f t="shared" si="119"/>
        <v>2852.1725466074781</v>
      </c>
      <c r="S179" s="1627">
        <f t="shared" si="120"/>
        <v>5558.2925466074767</v>
      </c>
      <c r="T179" s="1627">
        <f t="shared" si="121"/>
        <v>6249.1074533925221</v>
      </c>
      <c r="U179" s="1626">
        <f t="shared" si="122"/>
        <v>1389.5731366518692</v>
      </c>
      <c r="V179" s="1626">
        <f t="shared" si="123"/>
        <v>1562.2768633481305</v>
      </c>
      <c r="W179" s="1625">
        <f t="shared" si="124"/>
        <v>2951.8499999999995</v>
      </c>
      <c r="X179" s="1614"/>
      <c r="Y179" s="1613"/>
      <c r="Z179" s="1612">
        <f t="shared" si="125"/>
        <v>0.68231012802139024</v>
      </c>
      <c r="AA179" s="1611"/>
      <c r="AB179" s="1611"/>
      <c r="AC179" s="1611"/>
      <c r="AD179" s="1611"/>
      <c r="AE179" s="1611"/>
      <c r="AF179" s="1611"/>
      <c r="AG179" s="1611"/>
      <c r="AH179" s="1611"/>
      <c r="AI179" s="1611"/>
      <c r="AJ179" s="1611"/>
      <c r="AK179" s="1611"/>
      <c r="AL179" s="1611"/>
      <c r="AM179" s="1611"/>
      <c r="AN179" s="1611"/>
      <c r="AO179" s="1611"/>
      <c r="AP179" s="1611"/>
      <c r="AQ179" s="1611"/>
    </row>
    <row r="180" spans="1:43" outlineLevel="2">
      <c r="A180" s="1638" t="s">
        <v>305</v>
      </c>
      <c r="B180" s="1637" t="s">
        <v>111</v>
      </c>
      <c r="C180" s="1636"/>
      <c r="D180" s="1635">
        <v>9</v>
      </c>
      <c r="E180" s="1634" t="s">
        <v>990</v>
      </c>
      <c r="F180" s="1633" t="s">
        <v>979</v>
      </c>
      <c r="G180" s="1632">
        <v>4101.8770264142995</v>
      </c>
      <c r="H180" s="1632">
        <v>4550.6400000000003</v>
      </c>
      <c r="I180" s="1630">
        <f t="shared" si="113"/>
        <v>8652.5170264142998</v>
      </c>
      <c r="J180" s="1630">
        <f t="shared" si="114"/>
        <v>77872.653237728693</v>
      </c>
      <c r="K180" s="1631">
        <v>5393.7</v>
      </c>
      <c r="L180" s="1630">
        <f t="shared" si="115"/>
        <v>5393.7</v>
      </c>
      <c r="M180" s="1630">
        <f t="shared" si="116"/>
        <v>48543.299999999996</v>
      </c>
      <c r="N180" s="1625">
        <f t="shared" si="117"/>
        <v>29329.353237728697</v>
      </c>
      <c r="O180" s="1629">
        <v>0.48120000000000002</v>
      </c>
      <c r="P180" s="1629">
        <v>0.51880000000000004</v>
      </c>
      <c r="Q180" s="1625">
        <f t="shared" si="118"/>
        <v>14113.28477799505</v>
      </c>
      <c r="R180" s="1628">
        <f t="shared" si="119"/>
        <v>15216.068459733649</v>
      </c>
      <c r="S180" s="1627">
        <f t="shared" si="120"/>
        <v>22803.608459733648</v>
      </c>
      <c r="T180" s="1627">
        <f t="shared" si="121"/>
        <v>25739.691540266351</v>
      </c>
      <c r="U180" s="1626">
        <f t="shared" si="122"/>
        <v>5700.9021149334121</v>
      </c>
      <c r="V180" s="1626">
        <f t="shared" si="123"/>
        <v>6434.9228850665877</v>
      </c>
      <c r="W180" s="1625">
        <f t="shared" si="124"/>
        <v>12135.825000000001</v>
      </c>
      <c r="X180" s="1614"/>
      <c r="Y180" s="1613"/>
      <c r="Z180" s="1612">
        <f t="shared" si="125"/>
        <v>0.62336774184138299</v>
      </c>
      <c r="AA180" s="1611"/>
      <c r="AB180" s="1611"/>
      <c r="AC180" s="1611"/>
      <c r="AD180" s="1611"/>
      <c r="AE180" s="1611"/>
      <c r="AF180" s="1611"/>
      <c r="AG180" s="1611"/>
      <c r="AH180" s="1611"/>
      <c r="AI180" s="1611"/>
      <c r="AJ180" s="1611"/>
      <c r="AK180" s="1611"/>
      <c r="AL180" s="1611"/>
      <c r="AM180" s="1611"/>
      <c r="AN180" s="1611"/>
      <c r="AO180" s="1611"/>
      <c r="AP180" s="1611"/>
      <c r="AQ180" s="1611"/>
    </row>
    <row r="181" spans="1:43" outlineLevel="2">
      <c r="A181" s="1638" t="s">
        <v>305</v>
      </c>
      <c r="B181" s="1637" t="s">
        <v>111</v>
      </c>
      <c r="C181" s="1636"/>
      <c r="D181" s="1635">
        <v>2</v>
      </c>
      <c r="E181" s="1634" t="s">
        <v>992</v>
      </c>
      <c r="F181" s="1633" t="s">
        <v>979</v>
      </c>
      <c r="G181" s="1632">
        <v>4101.8770264142995</v>
      </c>
      <c r="H181" s="1632">
        <v>4550.6400000000003</v>
      </c>
      <c r="I181" s="1630">
        <f t="shared" si="113"/>
        <v>8652.5170264142998</v>
      </c>
      <c r="J181" s="1630">
        <f t="shared" si="114"/>
        <v>17305.0340528286</v>
      </c>
      <c r="K181" s="1631">
        <v>8200</v>
      </c>
      <c r="L181" s="1630">
        <f t="shared" si="115"/>
        <v>8200</v>
      </c>
      <c r="M181" s="1630">
        <f t="shared" si="116"/>
        <v>16400</v>
      </c>
      <c r="N181" s="1625">
        <f t="shared" si="117"/>
        <v>905.03405282859967</v>
      </c>
      <c r="O181" s="1629">
        <v>0.48120000000000002</v>
      </c>
      <c r="P181" s="1629">
        <v>0.51880000000000004</v>
      </c>
      <c r="Q181" s="1625">
        <f t="shared" si="118"/>
        <v>435.50238622112215</v>
      </c>
      <c r="R181" s="1628">
        <f t="shared" si="119"/>
        <v>469.53166660747752</v>
      </c>
      <c r="S181" s="1627">
        <f t="shared" si="120"/>
        <v>7768.2516666074771</v>
      </c>
      <c r="T181" s="1627">
        <f t="shared" si="121"/>
        <v>8631.7483333925229</v>
      </c>
      <c r="U181" s="1626">
        <f t="shared" si="122"/>
        <v>1942.0629166518693</v>
      </c>
      <c r="V181" s="1626">
        <f t="shared" si="123"/>
        <v>2157.9370833481307</v>
      </c>
      <c r="W181" s="1625">
        <f t="shared" si="124"/>
        <v>4100</v>
      </c>
      <c r="X181" s="1614"/>
      <c r="Y181" s="1613"/>
      <c r="Z181" s="1612">
        <f t="shared" si="125"/>
        <v>0.94770111112952893</v>
      </c>
      <c r="AA181" s="1611"/>
      <c r="AB181" s="1611"/>
      <c r="AC181" s="1611"/>
      <c r="AD181" s="1611"/>
      <c r="AE181" s="1611"/>
      <c r="AF181" s="1611"/>
      <c r="AG181" s="1611"/>
      <c r="AH181" s="1611"/>
      <c r="AI181" s="1611"/>
      <c r="AJ181" s="1611"/>
      <c r="AK181" s="1611"/>
      <c r="AL181" s="1611"/>
      <c r="AM181" s="1611"/>
      <c r="AN181" s="1611"/>
      <c r="AO181" s="1611"/>
      <c r="AP181" s="1611"/>
      <c r="AQ181" s="1611"/>
    </row>
    <row r="182" spans="1:43" outlineLevel="2">
      <c r="A182" s="1638" t="s">
        <v>305</v>
      </c>
      <c r="B182" s="1637" t="s">
        <v>111</v>
      </c>
      <c r="C182" s="1636"/>
      <c r="D182" s="1635">
        <v>10</v>
      </c>
      <c r="E182" s="1634" t="s">
        <v>982</v>
      </c>
      <c r="F182" s="1633" t="s">
        <v>1067</v>
      </c>
      <c r="G182" s="1632">
        <v>4101.8770264142995</v>
      </c>
      <c r="H182" s="1632">
        <v>4550.6400000000003</v>
      </c>
      <c r="I182" s="1630">
        <f t="shared" si="113"/>
        <v>8652.5170264142998</v>
      </c>
      <c r="J182" s="1630">
        <f t="shared" si="114"/>
        <v>86525.170264143002</v>
      </c>
      <c r="K182" s="1631">
        <v>4800</v>
      </c>
      <c r="L182" s="1630">
        <f t="shared" si="115"/>
        <v>4800</v>
      </c>
      <c r="M182" s="1630">
        <f t="shared" si="116"/>
        <v>48000</v>
      </c>
      <c r="N182" s="1625">
        <f t="shared" si="117"/>
        <v>38525.170264143002</v>
      </c>
      <c r="O182" s="1629">
        <v>0.48120000000000002</v>
      </c>
      <c r="P182" s="1629">
        <v>0.51880000000000004</v>
      </c>
      <c r="Q182" s="1625">
        <f t="shared" si="118"/>
        <v>18538.311931105614</v>
      </c>
      <c r="R182" s="1628">
        <f t="shared" si="119"/>
        <v>19986.858333037391</v>
      </c>
      <c r="S182" s="1627">
        <f t="shared" si="120"/>
        <v>22480.458333037379</v>
      </c>
      <c r="T182" s="1627">
        <f t="shared" si="121"/>
        <v>25519.54166696261</v>
      </c>
      <c r="U182" s="1626">
        <f t="shared" si="122"/>
        <v>5620.1145832593447</v>
      </c>
      <c r="V182" s="1626">
        <f t="shared" si="123"/>
        <v>6379.8854167406525</v>
      </c>
      <c r="W182" s="1625">
        <f t="shared" si="124"/>
        <v>11999.999999999996</v>
      </c>
      <c r="X182" s="1614"/>
      <c r="Y182" s="1613"/>
      <c r="Z182" s="1612">
        <f t="shared" si="125"/>
        <v>0.55475186992948033</v>
      </c>
      <c r="AA182" s="1611"/>
      <c r="AB182" s="1611"/>
      <c r="AC182" s="1611"/>
      <c r="AD182" s="1611"/>
      <c r="AE182" s="1611"/>
      <c r="AF182" s="1611"/>
      <c r="AG182" s="1611"/>
      <c r="AH182" s="1611"/>
      <c r="AI182" s="1611"/>
      <c r="AJ182" s="1611"/>
      <c r="AK182" s="1611"/>
      <c r="AL182" s="1611"/>
      <c r="AM182" s="1611"/>
      <c r="AN182" s="1611"/>
      <c r="AO182" s="1611"/>
      <c r="AP182" s="1611"/>
      <c r="AQ182" s="1611"/>
    </row>
    <row r="183" spans="1:43" outlineLevel="2">
      <c r="A183" s="1638" t="s">
        <v>305</v>
      </c>
      <c r="B183" s="1637" t="s">
        <v>111</v>
      </c>
      <c r="C183" s="1636"/>
      <c r="D183" s="1635">
        <v>10</v>
      </c>
      <c r="E183" s="1634" t="s">
        <v>982</v>
      </c>
      <c r="F183" s="1633" t="s">
        <v>1072</v>
      </c>
      <c r="G183" s="1632">
        <v>4101.8770264142995</v>
      </c>
      <c r="H183" s="1632">
        <v>4550.6400000000003</v>
      </c>
      <c r="I183" s="1630">
        <f t="shared" si="113"/>
        <v>8652.5170264142998</v>
      </c>
      <c r="J183" s="1630">
        <f t="shared" si="114"/>
        <v>86525.170264143002</v>
      </c>
      <c r="K183" s="1631">
        <v>4800</v>
      </c>
      <c r="L183" s="1630">
        <f t="shared" si="115"/>
        <v>4800</v>
      </c>
      <c r="M183" s="1630">
        <f t="shared" si="116"/>
        <v>48000</v>
      </c>
      <c r="N183" s="1625">
        <f t="shared" si="117"/>
        <v>38525.170264143002</v>
      </c>
      <c r="O183" s="1629">
        <v>0.48120000000000002</v>
      </c>
      <c r="P183" s="1629">
        <v>0.51880000000000004</v>
      </c>
      <c r="Q183" s="1625">
        <f t="shared" si="118"/>
        <v>18538.311931105614</v>
      </c>
      <c r="R183" s="1628">
        <f t="shared" si="119"/>
        <v>19986.858333037391</v>
      </c>
      <c r="S183" s="1627">
        <f t="shared" si="120"/>
        <v>22480.458333037379</v>
      </c>
      <c r="T183" s="1627">
        <f t="shared" si="121"/>
        <v>25519.54166696261</v>
      </c>
      <c r="U183" s="1626">
        <f t="shared" si="122"/>
        <v>5620.1145832593447</v>
      </c>
      <c r="V183" s="1626">
        <f t="shared" si="123"/>
        <v>6379.8854167406525</v>
      </c>
      <c r="W183" s="1625">
        <f t="shared" si="124"/>
        <v>11999.999999999996</v>
      </c>
      <c r="X183" s="1614"/>
      <c r="Y183" s="1613"/>
      <c r="Z183" s="1612">
        <f t="shared" si="125"/>
        <v>0.55475186992948033</v>
      </c>
      <c r="AA183" s="1611"/>
      <c r="AB183" s="1611"/>
      <c r="AC183" s="1611"/>
      <c r="AD183" s="1611"/>
      <c r="AE183" s="1611"/>
      <c r="AF183" s="1611"/>
      <c r="AG183" s="1611"/>
      <c r="AH183" s="1611"/>
      <c r="AI183" s="1611"/>
      <c r="AJ183" s="1611"/>
      <c r="AK183" s="1611"/>
      <c r="AL183" s="1611"/>
      <c r="AM183" s="1611"/>
      <c r="AN183" s="1611"/>
      <c r="AO183" s="1611"/>
      <c r="AP183" s="1611"/>
      <c r="AQ183" s="1611"/>
    </row>
    <row r="184" spans="1:43" outlineLevel="2">
      <c r="A184" s="1638" t="s">
        <v>305</v>
      </c>
      <c r="B184" s="1637" t="s">
        <v>111</v>
      </c>
      <c r="C184" s="1636"/>
      <c r="D184" s="1635">
        <v>7</v>
      </c>
      <c r="E184" s="1634" t="s">
        <v>982</v>
      </c>
      <c r="F184" s="1633" t="s">
        <v>1079</v>
      </c>
      <c r="G184" s="1632">
        <v>4101.8770264142995</v>
      </c>
      <c r="H184" s="1632">
        <v>4550.6400000000003</v>
      </c>
      <c r="I184" s="1630">
        <f t="shared" si="113"/>
        <v>8652.5170264142998</v>
      </c>
      <c r="J184" s="1630">
        <f t="shared" si="114"/>
        <v>60567.619184900097</v>
      </c>
      <c r="K184" s="1631">
        <v>4800</v>
      </c>
      <c r="L184" s="1630">
        <f t="shared" si="115"/>
        <v>4800</v>
      </c>
      <c r="M184" s="1630">
        <f t="shared" si="116"/>
        <v>33600</v>
      </c>
      <c r="N184" s="1625">
        <f t="shared" si="117"/>
        <v>26967.619184900097</v>
      </c>
      <c r="O184" s="1629">
        <v>0.48120000000000002</v>
      </c>
      <c r="P184" s="1629">
        <v>0.51880000000000004</v>
      </c>
      <c r="Q184" s="1625">
        <f t="shared" si="118"/>
        <v>12976.818351773927</v>
      </c>
      <c r="R184" s="1628">
        <f t="shared" si="119"/>
        <v>13990.800833126172</v>
      </c>
      <c r="S184" s="1627">
        <f t="shared" si="120"/>
        <v>15736.32083312617</v>
      </c>
      <c r="T184" s="1627">
        <f t="shared" si="121"/>
        <v>17863.67916687383</v>
      </c>
      <c r="U184" s="1626">
        <f t="shared" si="122"/>
        <v>3934.0802082815426</v>
      </c>
      <c r="V184" s="1626">
        <f t="shared" si="123"/>
        <v>4465.9197917184574</v>
      </c>
      <c r="W184" s="1625">
        <f t="shared" si="124"/>
        <v>8400</v>
      </c>
      <c r="X184" s="1614"/>
      <c r="Y184" s="1613"/>
      <c r="Z184" s="1612">
        <f t="shared" si="125"/>
        <v>0.55475186992948033</v>
      </c>
      <c r="AA184" s="1611"/>
      <c r="AB184" s="1611"/>
      <c r="AC184" s="1611"/>
      <c r="AD184" s="1611"/>
      <c r="AE184" s="1611"/>
      <c r="AF184" s="1611"/>
      <c r="AG184" s="1611"/>
      <c r="AH184" s="1611"/>
      <c r="AI184" s="1611"/>
      <c r="AJ184" s="1611"/>
      <c r="AK184" s="1611"/>
      <c r="AL184" s="1611"/>
      <c r="AM184" s="1611"/>
      <c r="AN184" s="1611"/>
      <c r="AO184" s="1611"/>
      <c r="AP184" s="1611"/>
      <c r="AQ184" s="1611"/>
    </row>
    <row r="185" spans="1:43" outlineLevel="2">
      <c r="A185" s="1638" t="s">
        <v>305</v>
      </c>
      <c r="B185" s="1637" t="s">
        <v>111</v>
      </c>
      <c r="C185" s="1636"/>
      <c r="D185" s="1635">
        <v>2</v>
      </c>
      <c r="E185" s="1634" t="s">
        <v>982</v>
      </c>
      <c r="F185" s="1633" t="s">
        <v>1075</v>
      </c>
      <c r="G185" s="1632">
        <v>4101.8770264142995</v>
      </c>
      <c r="H185" s="1632">
        <v>4550.6400000000003</v>
      </c>
      <c r="I185" s="1630">
        <f t="shared" si="113"/>
        <v>8652.5170264142998</v>
      </c>
      <c r="J185" s="1630">
        <f t="shared" si="114"/>
        <v>17305.0340528286</v>
      </c>
      <c r="K185" s="1631">
        <v>4800</v>
      </c>
      <c r="L185" s="1630">
        <f t="shared" si="115"/>
        <v>4800</v>
      </c>
      <c r="M185" s="1630">
        <f t="shared" si="116"/>
        <v>9600</v>
      </c>
      <c r="N185" s="1625">
        <f t="shared" si="117"/>
        <v>7705.0340528285997</v>
      </c>
      <c r="O185" s="1629">
        <v>0.48120000000000002</v>
      </c>
      <c r="P185" s="1629">
        <v>0.51880000000000004</v>
      </c>
      <c r="Q185" s="1625">
        <f t="shared" si="118"/>
        <v>3707.6623862211222</v>
      </c>
      <c r="R185" s="1628">
        <f t="shared" si="119"/>
        <v>3997.3716666074779</v>
      </c>
      <c r="S185" s="1627">
        <f t="shared" si="120"/>
        <v>4496.0916666074772</v>
      </c>
      <c r="T185" s="1627">
        <f t="shared" si="121"/>
        <v>5103.9083333925228</v>
      </c>
      <c r="U185" s="1626">
        <f t="shared" si="122"/>
        <v>1124.0229166518693</v>
      </c>
      <c r="V185" s="1626">
        <f t="shared" si="123"/>
        <v>1275.9770833481307</v>
      </c>
      <c r="W185" s="1625">
        <f t="shared" si="124"/>
        <v>2400</v>
      </c>
      <c r="X185" s="1614"/>
      <c r="Y185" s="1613"/>
      <c r="Z185" s="1612">
        <f t="shared" si="125"/>
        <v>0.55475186992948033</v>
      </c>
      <c r="AA185" s="1611"/>
      <c r="AB185" s="1611"/>
      <c r="AC185" s="1611"/>
      <c r="AD185" s="1611"/>
      <c r="AE185" s="1611"/>
      <c r="AF185" s="1611"/>
      <c r="AG185" s="1611"/>
      <c r="AH185" s="1611"/>
      <c r="AI185" s="1611"/>
      <c r="AJ185" s="1611"/>
      <c r="AK185" s="1611"/>
      <c r="AL185" s="1611"/>
      <c r="AM185" s="1611"/>
      <c r="AN185" s="1611"/>
      <c r="AO185" s="1611"/>
      <c r="AP185" s="1611"/>
      <c r="AQ185" s="1611"/>
    </row>
    <row r="186" spans="1:43" outlineLevel="2">
      <c r="A186" s="1638" t="s">
        <v>305</v>
      </c>
      <c r="B186" s="1637" t="s">
        <v>111</v>
      </c>
      <c r="C186" s="1636"/>
      <c r="D186" s="1635">
        <v>1</v>
      </c>
      <c r="E186" s="1634" t="s">
        <v>989</v>
      </c>
      <c r="F186" s="1633" t="s">
        <v>1067</v>
      </c>
      <c r="G186" s="1632">
        <v>4101.8770264142995</v>
      </c>
      <c r="H186" s="1632">
        <v>4550.6400000000003</v>
      </c>
      <c r="I186" s="1630">
        <f t="shared" si="113"/>
        <v>8652.5170264142998</v>
      </c>
      <c r="J186" s="1630">
        <f t="shared" si="114"/>
        <v>8652.5170264142998</v>
      </c>
      <c r="K186" s="1631">
        <v>8736</v>
      </c>
      <c r="L186" s="1630">
        <f t="shared" si="115"/>
        <v>8652.5170264142998</v>
      </c>
      <c r="M186" s="1630">
        <f t="shared" si="116"/>
        <v>8652.5170264142998</v>
      </c>
      <c r="N186" s="1625">
        <f t="shared" si="117"/>
        <v>0</v>
      </c>
      <c r="O186" s="1629">
        <v>0.48120000000000002</v>
      </c>
      <c r="P186" s="1629">
        <v>0.51880000000000004</v>
      </c>
      <c r="Q186" s="1625">
        <f t="shared" si="118"/>
        <v>0</v>
      </c>
      <c r="R186" s="1628">
        <f t="shared" si="119"/>
        <v>0</v>
      </c>
      <c r="S186" s="1627">
        <f t="shared" si="120"/>
        <v>4101.8770264142995</v>
      </c>
      <c r="T186" s="1627">
        <f t="shared" si="121"/>
        <v>4550.6400000000003</v>
      </c>
      <c r="U186" s="1626">
        <f t="shared" si="122"/>
        <v>1025.4692566035749</v>
      </c>
      <c r="V186" s="1626">
        <f t="shared" si="123"/>
        <v>1137.6600000000001</v>
      </c>
      <c r="W186" s="1625">
        <f t="shared" si="124"/>
        <v>2163.129256603575</v>
      </c>
      <c r="X186" s="1614"/>
      <c r="Y186" s="1613"/>
      <c r="Z186" s="1612">
        <f t="shared" si="125"/>
        <v>1.0096484032716544</v>
      </c>
      <c r="AA186" s="1611"/>
      <c r="AB186" s="1611"/>
      <c r="AC186" s="1611"/>
      <c r="AD186" s="1611"/>
      <c r="AE186" s="1611"/>
      <c r="AF186" s="1611"/>
      <c r="AG186" s="1611"/>
      <c r="AH186" s="1611"/>
      <c r="AI186" s="1611"/>
      <c r="AJ186" s="1611"/>
      <c r="AK186" s="1611"/>
      <c r="AL186" s="1611"/>
      <c r="AM186" s="1611"/>
      <c r="AN186" s="1611"/>
      <c r="AO186" s="1611"/>
      <c r="AP186" s="1611"/>
      <c r="AQ186" s="1611"/>
    </row>
    <row r="187" spans="1:43" outlineLevel="2">
      <c r="A187" s="1638" t="s">
        <v>305</v>
      </c>
      <c r="B187" s="1637" t="s">
        <v>111</v>
      </c>
      <c r="C187" s="1636"/>
      <c r="D187" s="1635">
        <v>1</v>
      </c>
      <c r="E187" s="1634" t="s">
        <v>989</v>
      </c>
      <c r="F187" s="1633" t="s">
        <v>1079</v>
      </c>
      <c r="G187" s="1632">
        <v>4101.8770264142995</v>
      </c>
      <c r="H187" s="1632">
        <v>4550.6400000000003</v>
      </c>
      <c r="I187" s="1630">
        <f t="shared" si="113"/>
        <v>8652.5170264142998</v>
      </c>
      <c r="J187" s="1630">
        <f t="shared" si="114"/>
        <v>8652.5170264142998</v>
      </c>
      <c r="K187" s="1631">
        <v>8736</v>
      </c>
      <c r="L187" s="1630">
        <f t="shared" si="115"/>
        <v>8652.5170264142998</v>
      </c>
      <c r="M187" s="1630">
        <f t="shared" si="116"/>
        <v>8652.5170264142998</v>
      </c>
      <c r="N187" s="1625">
        <f t="shared" si="117"/>
        <v>0</v>
      </c>
      <c r="O187" s="1629">
        <v>0.48120000000000002</v>
      </c>
      <c r="P187" s="1629">
        <v>0.51880000000000004</v>
      </c>
      <c r="Q187" s="1625">
        <f t="shared" si="118"/>
        <v>0</v>
      </c>
      <c r="R187" s="1628">
        <f t="shared" si="119"/>
        <v>0</v>
      </c>
      <c r="S187" s="1627">
        <f t="shared" si="120"/>
        <v>4101.8770264142995</v>
      </c>
      <c r="T187" s="1627">
        <f t="shared" si="121"/>
        <v>4550.6400000000003</v>
      </c>
      <c r="U187" s="1626">
        <f t="shared" si="122"/>
        <v>1025.4692566035749</v>
      </c>
      <c r="V187" s="1626">
        <f t="shared" si="123"/>
        <v>1137.6600000000001</v>
      </c>
      <c r="W187" s="1625">
        <f t="shared" si="124"/>
        <v>2163.129256603575</v>
      </c>
      <c r="X187" s="1614"/>
      <c r="Y187" s="1613"/>
      <c r="Z187" s="1612">
        <f t="shared" si="125"/>
        <v>1.0096484032716544</v>
      </c>
      <c r="AA187" s="1611"/>
      <c r="AB187" s="1611"/>
      <c r="AC187" s="1611"/>
      <c r="AD187" s="1611"/>
      <c r="AE187" s="1611"/>
      <c r="AF187" s="1611"/>
      <c r="AG187" s="1611"/>
      <c r="AH187" s="1611"/>
      <c r="AI187" s="1611"/>
      <c r="AJ187" s="1611"/>
      <c r="AK187" s="1611"/>
      <c r="AL187" s="1611"/>
      <c r="AM187" s="1611"/>
      <c r="AN187" s="1611"/>
      <c r="AO187" s="1611"/>
      <c r="AP187" s="1611"/>
      <c r="AQ187" s="1611"/>
    </row>
    <row r="188" spans="1:43" outlineLevel="2">
      <c r="A188" s="1638" t="s">
        <v>305</v>
      </c>
      <c r="B188" s="1637" t="s">
        <v>111</v>
      </c>
      <c r="C188" s="1636"/>
      <c r="D188" s="1635">
        <v>1</v>
      </c>
      <c r="E188" s="1634" t="s">
        <v>989</v>
      </c>
      <c r="F188" s="1633" t="s">
        <v>1075</v>
      </c>
      <c r="G188" s="1632">
        <v>4101.8770264142995</v>
      </c>
      <c r="H188" s="1632">
        <v>4550.6400000000003</v>
      </c>
      <c r="I188" s="1630">
        <f t="shared" si="113"/>
        <v>8652.5170264142998</v>
      </c>
      <c r="J188" s="1630">
        <f t="shared" si="114"/>
        <v>8652.5170264142998</v>
      </c>
      <c r="K188" s="1631">
        <v>8736</v>
      </c>
      <c r="L188" s="1630">
        <f t="shared" si="115"/>
        <v>8652.5170264142998</v>
      </c>
      <c r="M188" s="1630">
        <f t="shared" si="116"/>
        <v>8652.5170264142998</v>
      </c>
      <c r="N188" s="1625">
        <f t="shared" si="117"/>
        <v>0</v>
      </c>
      <c r="O188" s="1629">
        <v>0.48120000000000002</v>
      </c>
      <c r="P188" s="1629">
        <v>0.51880000000000004</v>
      </c>
      <c r="Q188" s="1625">
        <f t="shared" si="118"/>
        <v>0</v>
      </c>
      <c r="R188" s="1628">
        <f t="shared" si="119"/>
        <v>0</v>
      </c>
      <c r="S188" s="1627">
        <f t="shared" si="120"/>
        <v>4101.8770264142995</v>
      </c>
      <c r="T188" s="1627">
        <f t="shared" si="121"/>
        <v>4550.6400000000003</v>
      </c>
      <c r="U188" s="1626">
        <f t="shared" si="122"/>
        <v>1025.4692566035749</v>
      </c>
      <c r="V188" s="1626">
        <f t="shared" si="123"/>
        <v>1137.6600000000001</v>
      </c>
      <c r="W188" s="1625">
        <f t="shared" si="124"/>
        <v>2163.129256603575</v>
      </c>
      <c r="X188" s="1614"/>
      <c r="Y188" s="1613"/>
      <c r="Z188" s="1612">
        <f t="shared" si="125"/>
        <v>1.0096484032716544</v>
      </c>
      <c r="AA188" s="1611"/>
      <c r="AB188" s="1611"/>
      <c r="AC188" s="1611"/>
      <c r="AD188" s="1611"/>
      <c r="AE188" s="1611"/>
      <c r="AF188" s="1611"/>
      <c r="AG188" s="1611"/>
      <c r="AH188" s="1611"/>
      <c r="AI188" s="1611"/>
      <c r="AJ188" s="1611"/>
      <c r="AK188" s="1611"/>
      <c r="AL188" s="1611"/>
      <c r="AM188" s="1611"/>
      <c r="AN188" s="1611"/>
      <c r="AO188" s="1611"/>
      <c r="AP188" s="1611"/>
      <c r="AQ188" s="1611"/>
    </row>
    <row r="189" spans="1:43" outlineLevel="2">
      <c r="A189" s="1638" t="s">
        <v>305</v>
      </c>
      <c r="B189" s="1637" t="s">
        <v>111</v>
      </c>
      <c r="C189" s="1636"/>
      <c r="D189" s="1635">
        <v>4</v>
      </c>
      <c r="E189" s="1634" t="s">
        <v>881</v>
      </c>
      <c r="F189" s="1633" t="s">
        <v>1064</v>
      </c>
      <c r="G189" s="1632">
        <v>4101.8770264142995</v>
      </c>
      <c r="H189" s="1632">
        <v>4550.6400000000003</v>
      </c>
      <c r="I189" s="1630">
        <f t="shared" si="113"/>
        <v>8652.5170264142998</v>
      </c>
      <c r="J189" s="1630">
        <f t="shared" si="114"/>
        <v>34610.068105657199</v>
      </c>
      <c r="K189" s="1631">
        <v>4900</v>
      </c>
      <c r="L189" s="1630">
        <f t="shared" si="115"/>
        <v>4900</v>
      </c>
      <c r="M189" s="1630">
        <f t="shared" si="116"/>
        <v>19600</v>
      </c>
      <c r="N189" s="1625">
        <f t="shared" si="117"/>
        <v>15010.068105657199</v>
      </c>
      <c r="O189" s="1629">
        <v>0.48120000000000002</v>
      </c>
      <c r="P189" s="1629">
        <v>0.51880000000000004</v>
      </c>
      <c r="Q189" s="1625">
        <f t="shared" si="118"/>
        <v>7222.8447724422449</v>
      </c>
      <c r="R189" s="1628">
        <f t="shared" si="119"/>
        <v>7787.2233332149553</v>
      </c>
      <c r="S189" s="1627">
        <f t="shared" si="120"/>
        <v>9184.663333214954</v>
      </c>
      <c r="T189" s="1627">
        <f t="shared" si="121"/>
        <v>10415.336666785046</v>
      </c>
      <c r="U189" s="1626">
        <f t="shared" si="122"/>
        <v>2296.1658333037385</v>
      </c>
      <c r="V189" s="1626">
        <f t="shared" si="123"/>
        <v>2603.8341666962615</v>
      </c>
      <c r="W189" s="1625">
        <f t="shared" si="124"/>
        <v>4900</v>
      </c>
      <c r="X189" s="1614"/>
      <c r="Y189" s="1613"/>
      <c r="Z189" s="1612">
        <f t="shared" si="125"/>
        <v>0.56630920055301126</v>
      </c>
      <c r="AA189" s="1611"/>
      <c r="AB189" s="1611"/>
      <c r="AC189" s="1611"/>
      <c r="AD189" s="1611"/>
      <c r="AE189" s="1611"/>
      <c r="AF189" s="1611"/>
      <c r="AG189" s="1611"/>
      <c r="AH189" s="1611"/>
      <c r="AI189" s="1611"/>
      <c r="AJ189" s="1611"/>
      <c r="AK189" s="1611"/>
      <c r="AL189" s="1611"/>
      <c r="AM189" s="1611"/>
      <c r="AN189" s="1611"/>
      <c r="AO189" s="1611"/>
      <c r="AP189" s="1611"/>
      <c r="AQ189" s="1611"/>
    </row>
    <row r="190" spans="1:43" outlineLevel="2">
      <c r="A190" s="1638" t="s">
        <v>305</v>
      </c>
      <c r="B190" s="1637" t="s">
        <v>111</v>
      </c>
      <c r="C190" s="1636"/>
      <c r="D190" s="1635">
        <v>3</v>
      </c>
      <c r="E190" s="1634" t="s">
        <v>881</v>
      </c>
      <c r="F190" s="1633" t="s">
        <v>1063</v>
      </c>
      <c r="G190" s="1632">
        <v>4101.8770264142995</v>
      </c>
      <c r="H190" s="1632">
        <v>4550.6400000000003</v>
      </c>
      <c r="I190" s="1630">
        <f t="shared" si="113"/>
        <v>8652.5170264142998</v>
      </c>
      <c r="J190" s="1630">
        <f t="shared" si="114"/>
        <v>25957.551079242898</v>
      </c>
      <c r="K190" s="1631">
        <v>4900</v>
      </c>
      <c r="L190" s="1630">
        <f t="shared" si="115"/>
        <v>4900</v>
      </c>
      <c r="M190" s="1630">
        <f t="shared" si="116"/>
        <v>14700</v>
      </c>
      <c r="N190" s="1625">
        <f t="shared" si="117"/>
        <v>11257.551079242898</v>
      </c>
      <c r="O190" s="1629">
        <v>0.48120000000000002</v>
      </c>
      <c r="P190" s="1629">
        <v>0.51880000000000004</v>
      </c>
      <c r="Q190" s="1625">
        <f t="shared" si="118"/>
        <v>5417.133579331683</v>
      </c>
      <c r="R190" s="1628">
        <f t="shared" si="119"/>
        <v>5840.4174999112156</v>
      </c>
      <c r="S190" s="1627">
        <f t="shared" si="120"/>
        <v>6888.4974999112164</v>
      </c>
      <c r="T190" s="1627">
        <f t="shared" si="121"/>
        <v>7811.5025000887863</v>
      </c>
      <c r="U190" s="1626">
        <f t="shared" si="122"/>
        <v>1722.1243749778041</v>
      </c>
      <c r="V190" s="1626">
        <f t="shared" si="123"/>
        <v>1952.8756250221966</v>
      </c>
      <c r="W190" s="1625">
        <f t="shared" si="124"/>
        <v>3675.0000000000009</v>
      </c>
      <c r="X190" s="1614"/>
      <c r="Y190" s="1613"/>
      <c r="Z190" s="1612">
        <f t="shared" si="125"/>
        <v>0.56630920055301126</v>
      </c>
      <c r="AA190" s="1611"/>
      <c r="AB190" s="1611"/>
      <c r="AC190" s="1611"/>
      <c r="AD190" s="1611"/>
      <c r="AE190" s="1611"/>
      <c r="AF190" s="1611"/>
      <c r="AG190" s="1611"/>
      <c r="AH190" s="1611"/>
      <c r="AI190" s="1611"/>
      <c r="AJ190" s="1611"/>
      <c r="AK190" s="1611"/>
      <c r="AL190" s="1611"/>
      <c r="AM190" s="1611"/>
      <c r="AN190" s="1611"/>
      <c r="AO190" s="1611"/>
      <c r="AP190" s="1611"/>
      <c r="AQ190" s="1611"/>
    </row>
    <row r="191" spans="1:43" outlineLevel="2">
      <c r="A191" s="1638" t="s">
        <v>305</v>
      </c>
      <c r="B191" s="1637" t="s">
        <v>111</v>
      </c>
      <c r="C191" s="1636"/>
      <c r="D191" s="1635">
        <v>4</v>
      </c>
      <c r="E191" s="1634" t="s">
        <v>881</v>
      </c>
      <c r="F191" s="1633" t="s">
        <v>1066</v>
      </c>
      <c r="G191" s="1632">
        <v>4101.8770264142995</v>
      </c>
      <c r="H191" s="1632">
        <v>4550.6400000000003</v>
      </c>
      <c r="I191" s="1630">
        <f t="shared" si="113"/>
        <v>8652.5170264142998</v>
      </c>
      <c r="J191" s="1630">
        <f t="shared" si="114"/>
        <v>34610.068105657199</v>
      </c>
      <c r="K191" s="1631">
        <v>4900</v>
      </c>
      <c r="L191" s="1630">
        <f t="shared" si="115"/>
        <v>4900</v>
      </c>
      <c r="M191" s="1630">
        <f t="shared" si="116"/>
        <v>19600</v>
      </c>
      <c r="N191" s="1625">
        <f t="shared" si="117"/>
        <v>15010.068105657199</v>
      </c>
      <c r="O191" s="1629">
        <v>0.48120000000000002</v>
      </c>
      <c r="P191" s="1629">
        <v>0.51880000000000004</v>
      </c>
      <c r="Q191" s="1625">
        <f t="shared" si="118"/>
        <v>7222.8447724422449</v>
      </c>
      <c r="R191" s="1628">
        <f t="shared" si="119"/>
        <v>7787.2233332149553</v>
      </c>
      <c r="S191" s="1627">
        <f t="shared" si="120"/>
        <v>9184.663333214954</v>
      </c>
      <c r="T191" s="1627">
        <f t="shared" si="121"/>
        <v>10415.336666785046</v>
      </c>
      <c r="U191" s="1626">
        <f t="shared" si="122"/>
        <v>2296.1658333037385</v>
      </c>
      <c r="V191" s="1626">
        <f t="shared" si="123"/>
        <v>2603.8341666962615</v>
      </c>
      <c r="W191" s="1625">
        <f t="shared" si="124"/>
        <v>4900</v>
      </c>
      <c r="X191" s="1614"/>
      <c r="Y191" s="1613"/>
      <c r="Z191" s="1612">
        <f t="shared" si="125"/>
        <v>0.56630920055301126</v>
      </c>
      <c r="AA191" s="1611"/>
      <c r="AB191" s="1611"/>
      <c r="AC191" s="1611"/>
      <c r="AD191" s="1611"/>
      <c r="AE191" s="1611"/>
      <c r="AF191" s="1611"/>
      <c r="AG191" s="1611"/>
      <c r="AH191" s="1611"/>
      <c r="AI191" s="1611"/>
      <c r="AJ191" s="1611"/>
      <c r="AK191" s="1611"/>
      <c r="AL191" s="1611"/>
      <c r="AM191" s="1611"/>
      <c r="AN191" s="1611"/>
      <c r="AO191" s="1611"/>
      <c r="AP191" s="1611"/>
      <c r="AQ191" s="1611"/>
    </row>
    <row r="192" spans="1:43" outlineLevel="2">
      <c r="A192" s="1638" t="s">
        <v>305</v>
      </c>
      <c r="B192" s="1637" t="s">
        <v>111</v>
      </c>
      <c r="C192" s="1636"/>
      <c r="D192" s="1635">
        <v>2</v>
      </c>
      <c r="E192" s="1634" t="s">
        <v>881</v>
      </c>
      <c r="F192" s="1633" t="s">
        <v>1067</v>
      </c>
      <c r="G192" s="1632">
        <v>4101.8770264142995</v>
      </c>
      <c r="H192" s="1632">
        <v>4550.6400000000003</v>
      </c>
      <c r="I192" s="1630">
        <f t="shared" si="113"/>
        <v>8652.5170264142998</v>
      </c>
      <c r="J192" s="1630">
        <f t="shared" si="114"/>
        <v>17305.0340528286</v>
      </c>
      <c r="K192" s="1631">
        <v>4900</v>
      </c>
      <c r="L192" s="1630">
        <f t="shared" si="115"/>
        <v>4900</v>
      </c>
      <c r="M192" s="1630">
        <f t="shared" si="116"/>
        <v>9800</v>
      </c>
      <c r="N192" s="1625">
        <f t="shared" si="117"/>
        <v>7505.0340528285997</v>
      </c>
      <c r="O192" s="1629">
        <v>0.48120000000000002</v>
      </c>
      <c r="P192" s="1629">
        <v>0.51880000000000004</v>
      </c>
      <c r="Q192" s="1625">
        <f t="shared" si="118"/>
        <v>3611.4223862211225</v>
      </c>
      <c r="R192" s="1628">
        <f t="shared" si="119"/>
        <v>3893.6116666074777</v>
      </c>
      <c r="S192" s="1627">
        <f t="shared" si="120"/>
        <v>4592.331666607477</v>
      </c>
      <c r="T192" s="1627">
        <f t="shared" si="121"/>
        <v>5207.668333392523</v>
      </c>
      <c r="U192" s="1626">
        <f t="shared" si="122"/>
        <v>1148.0829166518693</v>
      </c>
      <c r="V192" s="1626">
        <f t="shared" si="123"/>
        <v>1301.9170833481307</v>
      </c>
      <c r="W192" s="1625">
        <f t="shared" si="124"/>
        <v>2450</v>
      </c>
      <c r="X192" s="1614"/>
      <c r="Y192" s="1613"/>
      <c r="Z192" s="1612">
        <f t="shared" si="125"/>
        <v>0.56630920055301126</v>
      </c>
      <c r="AA192" s="1611"/>
      <c r="AB192" s="1611"/>
      <c r="AC192" s="1611"/>
      <c r="AD192" s="1611"/>
      <c r="AE192" s="1611"/>
      <c r="AF192" s="1611"/>
      <c r="AG192" s="1611"/>
      <c r="AH192" s="1611"/>
      <c r="AI192" s="1611"/>
      <c r="AJ192" s="1611"/>
      <c r="AK192" s="1611"/>
      <c r="AL192" s="1611"/>
      <c r="AM192" s="1611"/>
      <c r="AN192" s="1611"/>
      <c r="AO192" s="1611"/>
      <c r="AP192" s="1611"/>
      <c r="AQ192" s="1611"/>
    </row>
    <row r="193" spans="1:43" outlineLevel="2">
      <c r="A193" s="1638" t="s">
        <v>305</v>
      </c>
      <c r="B193" s="1637" t="s">
        <v>111</v>
      </c>
      <c r="C193" s="1636"/>
      <c r="D193" s="1635">
        <v>0</v>
      </c>
      <c r="E193" s="1634" t="s">
        <v>881</v>
      </c>
      <c r="F193" s="1633" t="s">
        <v>1072</v>
      </c>
      <c r="G193" s="1632">
        <v>4101.8770264142995</v>
      </c>
      <c r="H193" s="1632">
        <v>4550.6400000000003</v>
      </c>
      <c r="I193" s="1630">
        <f t="shared" si="113"/>
        <v>8652.5170264142998</v>
      </c>
      <c r="J193" s="1630">
        <f t="shared" si="114"/>
        <v>0</v>
      </c>
      <c r="K193" s="1631">
        <v>4900</v>
      </c>
      <c r="L193" s="1630">
        <f t="shared" si="115"/>
        <v>4900</v>
      </c>
      <c r="M193" s="1630">
        <f t="shared" si="116"/>
        <v>0</v>
      </c>
      <c r="N193" s="1625">
        <f t="shared" si="117"/>
        <v>0</v>
      </c>
      <c r="O193" s="1629">
        <v>0.48120000000000002</v>
      </c>
      <c r="P193" s="1629">
        <v>0.51880000000000004</v>
      </c>
      <c r="Q193" s="1625">
        <f t="shared" si="118"/>
        <v>0</v>
      </c>
      <c r="R193" s="1628">
        <f t="shared" si="119"/>
        <v>0</v>
      </c>
      <c r="S193" s="1627">
        <f t="shared" si="120"/>
        <v>0</v>
      </c>
      <c r="T193" s="1627">
        <f t="shared" si="121"/>
        <v>0</v>
      </c>
      <c r="U193" s="1626">
        <f t="shared" si="122"/>
        <v>0</v>
      </c>
      <c r="V193" s="1626">
        <f t="shared" si="123"/>
        <v>0</v>
      </c>
      <c r="W193" s="1625">
        <f t="shared" si="124"/>
        <v>0</v>
      </c>
      <c r="X193" s="1614"/>
      <c r="Y193" s="1613"/>
      <c r="Z193" s="1612">
        <f t="shared" si="125"/>
        <v>0.56630920055301126</v>
      </c>
      <c r="AA193" s="1611"/>
      <c r="AB193" s="1611"/>
      <c r="AC193" s="1611"/>
      <c r="AD193" s="1611"/>
      <c r="AE193" s="1611"/>
      <c r="AF193" s="1611"/>
      <c r="AG193" s="1611"/>
      <c r="AH193" s="1611"/>
      <c r="AI193" s="1611"/>
      <c r="AJ193" s="1611"/>
      <c r="AK193" s="1611"/>
      <c r="AL193" s="1611"/>
      <c r="AM193" s="1611"/>
      <c r="AN193" s="1611"/>
      <c r="AO193" s="1611"/>
      <c r="AP193" s="1611"/>
      <c r="AQ193" s="1611"/>
    </row>
    <row r="194" spans="1:43" outlineLevel="2">
      <c r="A194" s="1638" t="s">
        <v>305</v>
      </c>
      <c r="B194" s="1637" t="s">
        <v>111</v>
      </c>
      <c r="C194" s="1636"/>
      <c r="D194" s="1635">
        <v>2</v>
      </c>
      <c r="E194" s="1634" t="s">
        <v>881</v>
      </c>
      <c r="F194" s="1633" t="s">
        <v>1079</v>
      </c>
      <c r="G194" s="1632">
        <v>4101.8770264142995</v>
      </c>
      <c r="H194" s="1632">
        <v>4550.6400000000003</v>
      </c>
      <c r="I194" s="1630">
        <f t="shared" si="113"/>
        <v>8652.5170264142998</v>
      </c>
      <c r="J194" s="1630">
        <f t="shared" si="114"/>
        <v>17305.0340528286</v>
      </c>
      <c r="K194" s="1631">
        <v>4900</v>
      </c>
      <c r="L194" s="1630">
        <f t="shared" si="115"/>
        <v>4900</v>
      </c>
      <c r="M194" s="1630">
        <f t="shared" si="116"/>
        <v>9800</v>
      </c>
      <c r="N194" s="1625">
        <f t="shared" si="117"/>
        <v>7505.0340528285997</v>
      </c>
      <c r="O194" s="1629">
        <v>0.48120000000000002</v>
      </c>
      <c r="P194" s="1629">
        <v>0.51880000000000004</v>
      </c>
      <c r="Q194" s="1625">
        <f t="shared" si="118"/>
        <v>3611.4223862211225</v>
      </c>
      <c r="R194" s="1628">
        <f t="shared" si="119"/>
        <v>3893.6116666074777</v>
      </c>
      <c r="S194" s="1627">
        <f t="shared" si="120"/>
        <v>4592.331666607477</v>
      </c>
      <c r="T194" s="1627">
        <f t="shared" si="121"/>
        <v>5207.668333392523</v>
      </c>
      <c r="U194" s="1626">
        <f t="shared" si="122"/>
        <v>1148.0829166518693</v>
      </c>
      <c r="V194" s="1626">
        <f t="shared" si="123"/>
        <v>1301.9170833481307</v>
      </c>
      <c r="W194" s="1625">
        <f t="shared" si="124"/>
        <v>2450</v>
      </c>
      <c r="X194" s="1614"/>
      <c r="Y194" s="1613"/>
      <c r="Z194" s="1612">
        <f t="shared" si="125"/>
        <v>0.56630920055301126</v>
      </c>
      <c r="AA194" s="1611"/>
      <c r="AB194" s="1611"/>
      <c r="AC194" s="1611"/>
      <c r="AD194" s="1611"/>
      <c r="AE194" s="1611"/>
      <c r="AF194" s="1611"/>
      <c r="AG194" s="1611"/>
      <c r="AH194" s="1611"/>
      <c r="AI194" s="1611"/>
      <c r="AJ194" s="1611"/>
      <c r="AK194" s="1611"/>
      <c r="AL194" s="1611"/>
      <c r="AM194" s="1611"/>
      <c r="AN194" s="1611"/>
      <c r="AO194" s="1611"/>
      <c r="AP194" s="1611"/>
      <c r="AQ194" s="1611"/>
    </row>
    <row r="195" spans="1:43" outlineLevel="2">
      <c r="A195" s="1638" t="s">
        <v>305</v>
      </c>
      <c r="B195" s="1637" t="s">
        <v>111</v>
      </c>
      <c r="C195" s="1636"/>
      <c r="D195" s="1635">
        <v>2</v>
      </c>
      <c r="E195" s="1634" t="s">
        <v>879</v>
      </c>
      <c r="F195" s="1633" t="s">
        <v>1064</v>
      </c>
      <c r="G195" s="1632">
        <v>4101.8770264142995</v>
      </c>
      <c r="H195" s="1632">
        <v>4550.6400000000003</v>
      </c>
      <c r="I195" s="1630">
        <f t="shared" si="113"/>
        <v>8652.5170264142998</v>
      </c>
      <c r="J195" s="1630">
        <f t="shared" si="114"/>
        <v>17305.0340528286</v>
      </c>
      <c r="K195" s="1631">
        <v>4075</v>
      </c>
      <c r="L195" s="1630">
        <f t="shared" si="115"/>
        <v>4075</v>
      </c>
      <c r="M195" s="1630">
        <f t="shared" si="116"/>
        <v>8150</v>
      </c>
      <c r="N195" s="1625">
        <f t="shared" si="117"/>
        <v>9155.0340528285997</v>
      </c>
      <c r="O195" s="1629">
        <v>0.48120000000000002</v>
      </c>
      <c r="P195" s="1629">
        <v>0.51880000000000004</v>
      </c>
      <c r="Q195" s="1625">
        <f t="shared" si="118"/>
        <v>4405.4023862211225</v>
      </c>
      <c r="R195" s="1628">
        <f t="shared" si="119"/>
        <v>4749.6316666074781</v>
      </c>
      <c r="S195" s="1627">
        <f t="shared" si="120"/>
        <v>3798.3516666074765</v>
      </c>
      <c r="T195" s="1627">
        <f t="shared" si="121"/>
        <v>4351.6483333925225</v>
      </c>
      <c r="U195" s="1626">
        <f t="shared" si="122"/>
        <v>949.58791665186914</v>
      </c>
      <c r="V195" s="1626">
        <f t="shared" si="123"/>
        <v>1087.9120833481306</v>
      </c>
      <c r="W195" s="1625">
        <f t="shared" si="124"/>
        <v>2037.4999999999998</v>
      </c>
      <c r="X195" s="1614"/>
      <c r="Y195" s="1613"/>
      <c r="Z195" s="1612">
        <f t="shared" si="125"/>
        <v>0.47096122290888176</v>
      </c>
      <c r="AA195" s="1611"/>
      <c r="AB195" s="1611"/>
      <c r="AC195" s="1611"/>
      <c r="AD195" s="1611"/>
      <c r="AE195" s="1611"/>
      <c r="AF195" s="1611"/>
      <c r="AG195" s="1611"/>
      <c r="AH195" s="1611"/>
      <c r="AI195" s="1611"/>
      <c r="AJ195" s="1611"/>
      <c r="AK195" s="1611"/>
      <c r="AL195" s="1611"/>
      <c r="AM195" s="1611"/>
      <c r="AN195" s="1611"/>
      <c r="AO195" s="1611"/>
      <c r="AP195" s="1611"/>
      <c r="AQ195" s="1611"/>
    </row>
    <row r="196" spans="1:43" outlineLevel="2">
      <c r="A196" s="1638" t="s">
        <v>305</v>
      </c>
      <c r="B196" s="1637" t="s">
        <v>111</v>
      </c>
      <c r="C196" s="1636"/>
      <c r="D196" s="1635">
        <v>1</v>
      </c>
      <c r="E196" s="1634" t="s">
        <v>879</v>
      </c>
      <c r="F196" s="1633" t="s">
        <v>1063</v>
      </c>
      <c r="G196" s="1632">
        <v>4101.8770264142995</v>
      </c>
      <c r="H196" s="1632">
        <v>4550.6400000000003</v>
      </c>
      <c r="I196" s="1630">
        <f t="shared" ref="I196" si="126">G196+H196</f>
        <v>8652.5170264142998</v>
      </c>
      <c r="J196" s="1630">
        <f t="shared" ref="J196" si="127">D196*I196</f>
        <v>8652.5170264142998</v>
      </c>
      <c r="K196" s="1631">
        <v>4075</v>
      </c>
      <c r="L196" s="1630">
        <f t="shared" ref="L196" si="128">IF(I196&gt;K196,K196,I196)</f>
        <v>4075</v>
      </c>
      <c r="M196" s="1630">
        <f t="shared" ref="M196" si="129">L196*D196</f>
        <v>4075</v>
      </c>
      <c r="N196" s="1625">
        <f t="shared" ref="N196" si="130">J196-M196</f>
        <v>4577.5170264142998</v>
      </c>
      <c r="O196" s="1629">
        <v>0.48120000000000002</v>
      </c>
      <c r="P196" s="1629">
        <v>0.51880000000000004</v>
      </c>
      <c r="Q196" s="1625">
        <f t="shared" si="118"/>
        <v>2202.7011931105612</v>
      </c>
      <c r="R196" s="1628">
        <f t="shared" si="119"/>
        <v>2374.8158333037391</v>
      </c>
      <c r="S196" s="1627">
        <f t="shared" si="120"/>
        <v>1899.1758333037383</v>
      </c>
      <c r="T196" s="1627">
        <f t="shared" si="121"/>
        <v>2175.8241666962613</v>
      </c>
      <c r="U196" s="1626">
        <f t="shared" si="122"/>
        <v>474.79395832593457</v>
      </c>
      <c r="V196" s="1626">
        <f t="shared" si="123"/>
        <v>543.95604167406532</v>
      </c>
      <c r="W196" s="1625">
        <f t="shared" ref="W196" si="131">V196+U196</f>
        <v>1018.7499999999999</v>
      </c>
      <c r="X196" s="1614"/>
      <c r="Y196" s="1613"/>
      <c r="Z196" s="1612">
        <f t="shared" si="125"/>
        <v>0.47096122290888176</v>
      </c>
      <c r="AA196" s="1611"/>
      <c r="AB196" s="1611"/>
      <c r="AC196" s="1611"/>
      <c r="AD196" s="1611"/>
      <c r="AE196" s="1611"/>
      <c r="AF196" s="1611"/>
      <c r="AG196" s="1611"/>
      <c r="AH196" s="1611"/>
      <c r="AI196" s="1611"/>
      <c r="AJ196" s="1611"/>
      <c r="AK196" s="1611"/>
      <c r="AL196" s="1611"/>
      <c r="AM196" s="1611"/>
      <c r="AN196" s="1611"/>
      <c r="AO196" s="1611"/>
      <c r="AP196" s="1611"/>
      <c r="AQ196" s="1611"/>
    </row>
    <row r="197" spans="1:43" outlineLevel="1">
      <c r="A197" s="1624"/>
      <c r="B197" s="1623" t="s">
        <v>1116</v>
      </c>
      <c r="C197" s="1622"/>
      <c r="D197" s="1621">
        <f>SUBTOTAL(9,D100:D196)</f>
        <v>653</v>
      </c>
      <c r="E197" s="1620"/>
      <c r="F197" s="1639"/>
      <c r="G197" s="1639"/>
      <c r="H197" s="1639"/>
      <c r="I197" s="1616"/>
      <c r="J197" s="1616">
        <f>SUBTOTAL(9,J100:J196)</f>
        <v>5650093.6182485316</v>
      </c>
      <c r="K197" s="1615"/>
      <c r="L197" s="1616"/>
      <c r="M197" s="1616">
        <f>SUBTOTAL(9,M100:M196)</f>
        <v>3399746.9213433857</v>
      </c>
      <c r="N197" s="1615">
        <f>SUBTOTAL(9,N100:N196)</f>
        <v>2250346.6969051519</v>
      </c>
      <c r="O197" s="1616"/>
      <c r="P197" s="1616"/>
      <c r="Q197" s="1615">
        <f t="shared" ref="Q197:W197" si="132">SUBTOTAL(9,Q100:Q196)</f>
        <v>1082866.8305507589</v>
      </c>
      <c r="R197" s="1615">
        <f t="shared" si="132"/>
        <v>1167479.8663543928</v>
      </c>
      <c r="S197" s="1616">
        <f t="shared" si="132"/>
        <v>1595658.8676977782</v>
      </c>
      <c r="T197" s="1616">
        <f t="shared" si="132"/>
        <v>1804088.053645608</v>
      </c>
      <c r="U197" s="1616">
        <f t="shared" si="132"/>
        <v>398914.71692444454</v>
      </c>
      <c r="V197" s="1616">
        <f t="shared" si="132"/>
        <v>451022.013411402</v>
      </c>
      <c r="W197" s="1615">
        <f t="shared" si="132"/>
        <v>849936.73033584643</v>
      </c>
      <c r="X197" s="1614"/>
      <c r="Y197" s="1613"/>
      <c r="Z197" s="1612"/>
      <c r="AA197" s="1611"/>
      <c r="AB197" s="1611"/>
      <c r="AC197" s="1611"/>
      <c r="AD197" s="1611"/>
      <c r="AE197" s="1611"/>
      <c r="AF197" s="1611"/>
      <c r="AG197" s="1611"/>
      <c r="AH197" s="1611"/>
      <c r="AI197" s="1611"/>
      <c r="AJ197" s="1611"/>
      <c r="AK197" s="1611"/>
      <c r="AL197" s="1611"/>
      <c r="AM197" s="1611"/>
      <c r="AN197" s="1611"/>
      <c r="AO197" s="1611"/>
      <c r="AP197" s="1611"/>
      <c r="AQ197" s="1611"/>
    </row>
    <row r="198" spans="1:43" outlineLevel="2">
      <c r="A198" s="1638" t="s">
        <v>306</v>
      </c>
      <c r="B198" s="1637" t="s">
        <v>113</v>
      </c>
      <c r="C198" s="1636"/>
      <c r="D198" s="1635">
        <v>1</v>
      </c>
      <c r="E198" s="1634" t="s">
        <v>960</v>
      </c>
      <c r="F198" s="1633" t="s">
        <v>1069</v>
      </c>
      <c r="G198" s="1632">
        <v>6243.1289472204535</v>
      </c>
      <c r="H198" s="1632">
        <v>2810.57</v>
      </c>
      <c r="I198" s="1630">
        <f>G198+H198</f>
        <v>9053.6989472204532</v>
      </c>
      <c r="J198" s="1630">
        <f>D198*I198</f>
        <v>9053.6989472204532</v>
      </c>
      <c r="K198" s="1631">
        <v>4997</v>
      </c>
      <c r="L198" s="1630">
        <f>IF(I198&gt;K198,K198,I198)</f>
        <v>4997</v>
      </c>
      <c r="M198" s="1630">
        <f>L198*D198</f>
        <v>4997</v>
      </c>
      <c r="N198" s="1625">
        <f>J198-M198</f>
        <v>4056.6989472204532</v>
      </c>
      <c r="O198" s="1629">
        <v>0.73080000000000001</v>
      </c>
      <c r="P198" s="1629">
        <v>0.26919999999999999</v>
      </c>
      <c r="Q198" s="1625">
        <f>N198*O198</f>
        <v>2964.6355906287072</v>
      </c>
      <c r="R198" s="1628">
        <f>N198*P198</f>
        <v>1092.063356591746</v>
      </c>
      <c r="S198" s="1627">
        <f>(G198*D198)-Q198</f>
        <v>3278.4933565917463</v>
      </c>
      <c r="T198" s="1627">
        <f>(H198*D198)-R198</f>
        <v>1718.5066434082541</v>
      </c>
      <c r="U198" s="1626">
        <f>S198/4</f>
        <v>819.62333914793658</v>
      </c>
      <c r="V198" s="1626">
        <f>T198/4</f>
        <v>429.62666085206354</v>
      </c>
      <c r="W198" s="1625">
        <f>V198+U198</f>
        <v>1249.25</v>
      </c>
      <c r="X198" s="1614"/>
      <c r="Y198" s="1613"/>
      <c r="Z198" s="1612">
        <f>K198/I198</f>
        <v>0.55192910976282383</v>
      </c>
      <c r="AA198" s="1611"/>
      <c r="AB198" s="1611"/>
      <c r="AC198" s="1611"/>
      <c r="AD198" s="1611"/>
      <c r="AE198" s="1611"/>
      <c r="AF198" s="1611"/>
      <c r="AG198" s="1611"/>
      <c r="AH198" s="1611"/>
      <c r="AI198" s="1611"/>
      <c r="AJ198" s="1611"/>
      <c r="AK198" s="1611"/>
      <c r="AL198" s="1611"/>
      <c r="AM198" s="1611"/>
      <c r="AN198" s="1611"/>
      <c r="AO198" s="1611"/>
      <c r="AP198" s="1611"/>
      <c r="AQ198" s="1611"/>
    </row>
    <row r="199" spans="1:43" outlineLevel="2">
      <c r="A199" s="1638" t="s">
        <v>306</v>
      </c>
      <c r="B199" s="1637" t="s">
        <v>113</v>
      </c>
      <c r="C199" s="1636"/>
      <c r="D199" s="1635">
        <v>2</v>
      </c>
      <c r="E199" s="1634" t="s">
        <v>888</v>
      </c>
      <c r="F199" s="1633" t="s">
        <v>979</v>
      </c>
      <c r="G199" s="1632">
        <v>6243.1289472204535</v>
      </c>
      <c r="H199" s="1632">
        <v>2810.57</v>
      </c>
      <c r="I199" s="1630">
        <f>G199+H199</f>
        <v>9053.6989472204532</v>
      </c>
      <c r="J199" s="1630">
        <f>D199*I199</f>
        <v>18107.397894440906</v>
      </c>
      <c r="K199" s="1631">
        <v>5575</v>
      </c>
      <c r="L199" s="1630">
        <f>IF(I199&gt;K199,K199,I199)</f>
        <v>5575</v>
      </c>
      <c r="M199" s="1630">
        <f>L199*D199</f>
        <v>11150</v>
      </c>
      <c r="N199" s="1625">
        <f>J199-M199</f>
        <v>6957.3978944409064</v>
      </c>
      <c r="O199" s="1629">
        <v>0.73080000000000001</v>
      </c>
      <c r="P199" s="1629">
        <v>0.26919999999999999</v>
      </c>
      <c r="Q199" s="1625">
        <f>N199*O199</f>
        <v>5084.4663812574145</v>
      </c>
      <c r="R199" s="1628">
        <f>N199*P199</f>
        <v>1872.9315131834919</v>
      </c>
      <c r="S199" s="1627">
        <f>(G199*D199)-Q199</f>
        <v>7401.7915131834925</v>
      </c>
      <c r="T199" s="1627">
        <f>(H199*D199)-R199</f>
        <v>3748.2084868165084</v>
      </c>
      <c r="U199" s="1626">
        <f>S199/4</f>
        <v>1850.4478782958731</v>
      </c>
      <c r="V199" s="1626">
        <f>T199/4</f>
        <v>937.0521217041271</v>
      </c>
      <c r="W199" s="1625">
        <f>V199+U199</f>
        <v>2787.5</v>
      </c>
      <c r="X199" s="1614"/>
      <c r="Y199" s="1613"/>
      <c r="Z199" s="1612">
        <f>K199/I199</f>
        <v>0.61577041963733092</v>
      </c>
      <c r="AA199" s="1611"/>
      <c r="AB199" s="1611"/>
      <c r="AC199" s="1611"/>
      <c r="AD199" s="1611"/>
      <c r="AE199" s="1611"/>
      <c r="AF199" s="1611"/>
      <c r="AG199" s="1611"/>
      <c r="AH199" s="1611"/>
      <c r="AI199" s="1611"/>
      <c r="AJ199" s="1611"/>
      <c r="AK199" s="1611"/>
      <c r="AL199" s="1611"/>
      <c r="AM199" s="1611"/>
      <c r="AN199" s="1611"/>
      <c r="AO199" s="1611"/>
      <c r="AP199" s="1611"/>
      <c r="AQ199" s="1611"/>
    </row>
    <row r="200" spans="1:43" outlineLevel="1">
      <c r="A200" s="1624"/>
      <c r="B200" s="1623" t="s">
        <v>1115</v>
      </c>
      <c r="C200" s="1622"/>
      <c r="D200" s="1621">
        <f>SUBTOTAL(9,D198:D199)</f>
        <v>3</v>
      </c>
      <c r="E200" s="1620"/>
      <c r="F200" s="1639"/>
      <c r="G200" s="1639"/>
      <c r="H200" s="1639"/>
      <c r="I200" s="1616"/>
      <c r="J200" s="1616">
        <f>SUBTOTAL(9,J198:J199)</f>
        <v>27161.096841661361</v>
      </c>
      <c r="K200" s="1615"/>
      <c r="L200" s="1616"/>
      <c r="M200" s="1616">
        <f>SUBTOTAL(9,M198:M199)</f>
        <v>16147</v>
      </c>
      <c r="N200" s="1615">
        <f>SUBTOTAL(9,N198:N199)</f>
        <v>11014.09684166136</v>
      </c>
      <c r="O200" s="1616"/>
      <c r="P200" s="1616"/>
      <c r="Q200" s="1615">
        <f t="shared" ref="Q200:W200" si="133">SUBTOTAL(9,Q198:Q199)</f>
        <v>8049.1019718861216</v>
      </c>
      <c r="R200" s="1615">
        <f t="shared" si="133"/>
        <v>2964.9948697752379</v>
      </c>
      <c r="S200" s="1616">
        <f t="shared" si="133"/>
        <v>10680.284869775238</v>
      </c>
      <c r="T200" s="1616">
        <f t="shared" si="133"/>
        <v>5466.7151302247621</v>
      </c>
      <c r="U200" s="1616">
        <f t="shared" si="133"/>
        <v>2670.0712174438095</v>
      </c>
      <c r="V200" s="1616">
        <f t="shared" si="133"/>
        <v>1366.6787825561905</v>
      </c>
      <c r="W200" s="1615">
        <f t="shared" si="133"/>
        <v>4036.75</v>
      </c>
      <c r="X200" s="1614"/>
      <c r="Y200" s="1613"/>
      <c r="Z200" s="1612"/>
      <c r="AA200" s="1611"/>
      <c r="AB200" s="1611"/>
      <c r="AC200" s="1611"/>
      <c r="AD200" s="1611"/>
      <c r="AE200" s="1611"/>
      <c r="AF200" s="1611"/>
      <c r="AG200" s="1611"/>
      <c r="AH200" s="1611"/>
      <c r="AI200" s="1611"/>
      <c r="AJ200" s="1611"/>
      <c r="AK200" s="1611"/>
      <c r="AL200" s="1611"/>
      <c r="AM200" s="1611"/>
      <c r="AN200" s="1611"/>
      <c r="AO200" s="1611"/>
      <c r="AP200" s="1611"/>
      <c r="AQ200" s="1611"/>
    </row>
    <row r="201" spans="1:43" outlineLevel="2">
      <c r="A201" s="1638" t="s">
        <v>307</v>
      </c>
      <c r="B201" s="1637" t="s">
        <v>115</v>
      </c>
      <c r="C201" s="1636"/>
      <c r="D201" s="1635">
        <v>6</v>
      </c>
      <c r="E201" s="1634" t="s">
        <v>943</v>
      </c>
      <c r="F201" s="1633" t="s">
        <v>1068</v>
      </c>
      <c r="G201" s="1632">
        <v>6242.0094579059723</v>
      </c>
      <c r="H201" s="1632">
        <v>2191.61</v>
      </c>
      <c r="I201" s="1630">
        <f t="shared" ref="I201:I208" si="134">G201+H201</f>
        <v>8433.619457905972</v>
      </c>
      <c r="J201" s="1630">
        <f t="shared" ref="J201:J208" si="135">D201*I201</f>
        <v>50601.716747435828</v>
      </c>
      <c r="K201" s="1631">
        <v>2966</v>
      </c>
      <c r="L201" s="1630">
        <f t="shared" ref="L201:L208" si="136">IF(I201&gt;K201,K201,I201)</f>
        <v>2966</v>
      </c>
      <c r="M201" s="1630">
        <f t="shared" ref="M201:M208" si="137">L201*D201</f>
        <v>17796</v>
      </c>
      <c r="N201" s="1625">
        <f t="shared" ref="N201:N208" si="138">J201-M201</f>
        <v>32805.716747435828</v>
      </c>
      <c r="O201" s="1629">
        <v>0.8115</v>
      </c>
      <c r="P201" s="1629">
        <v>0.1885</v>
      </c>
      <c r="Q201" s="1625">
        <f t="shared" ref="Q201:Q208" si="139">N201*O201</f>
        <v>26621.839140544176</v>
      </c>
      <c r="R201" s="1628">
        <f t="shared" ref="R201:R208" si="140">N201*P201</f>
        <v>6183.8776068916541</v>
      </c>
      <c r="S201" s="1627">
        <f t="shared" ref="S201:S208" si="141">(G201*D201)-Q201</f>
        <v>10830.217606891656</v>
      </c>
      <c r="T201" s="1627">
        <f t="shared" ref="T201:T208" si="142">(H201*D201)-R201</f>
        <v>6965.7823931083458</v>
      </c>
      <c r="U201" s="1626">
        <f t="shared" ref="U201:V208" si="143">S201/4</f>
        <v>2707.554401722914</v>
      </c>
      <c r="V201" s="1626">
        <f t="shared" si="143"/>
        <v>1741.4455982770864</v>
      </c>
      <c r="W201" s="1625">
        <f t="shared" ref="W201:W208" si="144">V201+U201</f>
        <v>4449</v>
      </c>
      <c r="X201" s="1614"/>
      <c r="Y201" s="1613"/>
      <c r="Z201" s="1612">
        <f t="shared" ref="Z201:Z208" si="145">K201/I201</f>
        <v>0.35168767274880625</v>
      </c>
      <c r="AA201" s="1611"/>
      <c r="AB201" s="1611"/>
      <c r="AC201" s="1611"/>
      <c r="AD201" s="1611"/>
      <c r="AE201" s="1611"/>
      <c r="AF201" s="1611"/>
      <c r="AG201" s="1611"/>
      <c r="AH201" s="1611"/>
      <c r="AI201" s="1611"/>
      <c r="AJ201" s="1611"/>
      <c r="AK201" s="1611"/>
      <c r="AL201" s="1611"/>
      <c r="AM201" s="1611"/>
      <c r="AN201" s="1611"/>
      <c r="AO201" s="1611"/>
      <c r="AP201" s="1611"/>
      <c r="AQ201" s="1611"/>
    </row>
    <row r="202" spans="1:43" outlineLevel="2">
      <c r="A202" s="1638" t="s">
        <v>307</v>
      </c>
      <c r="B202" s="1637" t="s">
        <v>115</v>
      </c>
      <c r="C202" s="1636"/>
      <c r="D202" s="1635">
        <v>3</v>
      </c>
      <c r="E202" s="1634" t="s">
        <v>943</v>
      </c>
      <c r="F202" s="1633" t="s">
        <v>1071</v>
      </c>
      <c r="G202" s="1632">
        <v>6242.0094579059723</v>
      </c>
      <c r="H202" s="1632">
        <v>2191.61</v>
      </c>
      <c r="I202" s="1630">
        <f t="shared" si="134"/>
        <v>8433.619457905972</v>
      </c>
      <c r="J202" s="1630">
        <f t="shared" si="135"/>
        <v>25300.858373717914</v>
      </c>
      <c r="K202" s="1631">
        <v>2966</v>
      </c>
      <c r="L202" s="1630">
        <f t="shared" si="136"/>
        <v>2966</v>
      </c>
      <c r="M202" s="1630">
        <f t="shared" si="137"/>
        <v>8898</v>
      </c>
      <c r="N202" s="1625">
        <f t="shared" si="138"/>
        <v>16402.858373717914</v>
      </c>
      <c r="O202" s="1629">
        <v>0.8115</v>
      </c>
      <c r="P202" s="1629">
        <v>0.1885</v>
      </c>
      <c r="Q202" s="1625">
        <f t="shared" si="139"/>
        <v>13310.919570272088</v>
      </c>
      <c r="R202" s="1628">
        <f t="shared" si="140"/>
        <v>3091.938803445827</v>
      </c>
      <c r="S202" s="1627">
        <f t="shared" si="141"/>
        <v>5415.108803445828</v>
      </c>
      <c r="T202" s="1627">
        <f t="shared" si="142"/>
        <v>3482.8911965541729</v>
      </c>
      <c r="U202" s="1626">
        <f t="shared" si="143"/>
        <v>1353.777200861457</v>
      </c>
      <c r="V202" s="1626">
        <f t="shared" si="143"/>
        <v>870.72279913854322</v>
      </c>
      <c r="W202" s="1625">
        <f t="shared" si="144"/>
        <v>2224.5</v>
      </c>
      <c r="X202" s="1614"/>
      <c r="Y202" s="1613"/>
      <c r="Z202" s="1612">
        <f t="shared" si="145"/>
        <v>0.35168767274880625</v>
      </c>
      <c r="AA202" s="1611"/>
      <c r="AB202" s="1611"/>
      <c r="AC202" s="1611"/>
      <c r="AD202" s="1611"/>
      <c r="AE202" s="1611"/>
      <c r="AF202" s="1611"/>
      <c r="AG202" s="1611"/>
      <c r="AH202" s="1611"/>
      <c r="AI202" s="1611"/>
      <c r="AJ202" s="1611"/>
      <c r="AK202" s="1611"/>
      <c r="AL202" s="1611"/>
      <c r="AM202" s="1611"/>
      <c r="AN202" s="1611"/>
      <c r="AO202" s="1611"/>
      <c r="AP202" s="1611"/>
      <c r="AQ202" s="1611"/>
    </row>
    <row r="203" spans="1:43" outlineLevel="2">
      <c r="A203" s="1638" t="s">
        <v>307</v>
      </c>
      <c r="B203" s="1637" t="s">
        <v>115</v>
      </c>
      <c r="C203" s="1636"/>
      <c r="D203" s="1635">
        <v>3</v>
      </c>
      <c r="E203" s="1634" t="s">
        <v>943</v>
      </c>
      <c r="F203" s="1633" t="s">
        <v>1065</v>
      </c>
      <c r="G203" s="1632">
        <v>6242.0094579059723</v>
      </c>
      <c r="H203" s="1632">
        <v>2191.61</v>
      </c>
      <c r="I203" s="1630">
        <f t="shared" si="134"/>
        <v>8433.619457905972</v>
      </c>
      <c r="J203" s="1630">
        <f t="shared" si="135"/>
        <v>25300.858373717914</v>
      </c>
      <c r="K203" s="1631">
        <v>2966</v>
      </c>
      <c r="L203" s="1630">
        <f t="shared" si="136"/>
        <v>2966</v>
      </c>
      <c r="M203" s="1630">
        <f t="shared" si="137"/>
        <v>8898</v>
      </c>
      <c r="N203" s="1625">
        <f t="shared" si="138"/>
        <v>16402.858373717914</v>
      </c>
      <c r="O203" s="1629">
        <v>0.8115</v>
      </c>
      <c r="P203" s="1629">
        <v>0.1885</v>
      </c>
      <c r="Q203" s="1625">
        <f t="shared" si="139"/>
        <v>13310.919570272088</v>
      </c>
      <c r="R203" s="1628">
        <f t="shared" si="140"/>
        <v>3091.938803445827</v>
      </c>
      <c r="S203" s="1627">
        <f t="shared" si="141"/>
        <v>5415.108803445828</v>
      </c>
      <c r="T203" s="1627">
        <f t="shared" si="142"/>
        <v>3482.8911965541729</v>
      </c>
      <c r="U203" s="1626">
        <f t="shared" si="143"/>
        <v>1353.777200861457</v>
      </c>
      <c r="V203" s="1626">
        <f t="shared" si="143"/>
        <v>870.72279913854322</v>
      </c>
      <c r="W203" s="1625">
        <f t="shared" si="144"/>
        <v>2224.5</v>
      </c>
      <c r="X203" s="1614"/>
      <c r="Y203" s="1613"/>
      <c r="Z203" s="1612">
        <f t="shared" si="145"/>
        <v>0.35168767274880625</v>
      </c>
      <c r="AA203" s="1611"/>
      <c r="AB203" s="1611"/>
      <c r="AC203" s="1611"/>
      <c r="AD203" s="1611"/>
      <c r="AE203" s="1611"/>
      <c r="AF203" s="1611"/>
      <c r="AG203" s="1611"/>
      <c r="AH203" s="1611"/>
      <c r="AI203" s="1611"/>
      <c r="AJ203" s="1611"/>
      <c r="AK203" s="1611"/>
      <c r="AL203" s="1611"/>
      <c r="AM203" s="1611"/>
      <c r="AN203" s="1611"/>
      <c r="AO203" s="1611"/>
      <c r="AP203" s="1611"/>
      <c r="AQ203" s="1611"/>
    </row>
    <row r="204" spans="1:43" outlineLevel="2">
      <c r="A204" s="1638" t="s">
        <v>307</v>
      </c>
      <c r="B204" s="1637" t="s">
        <v>115</v>
      </c>
      <c r="C204" s="1636"/>
      <c r="D204" s="1635">
        <v>2</v>
      </c>
      <c r="E204" s="1634" t="s">
        <v>943</v>
      </c>
      <c r="F204" s="1633" t="s">
        <v>1064</v>
      </c>
      <c r="G204" s="1632">
        <v>6242.0094579059723</v>
      </c>
      <c r="H204" s="1632">
        <v>2191.61</v>
      </c>
      <c r="I204" s="1630">
        <f t="shared" si="134"/>
        <v>8433.619457905972</v>
      </c>
      <c r="J204" s="1630">
        <f t="shared" si="135"/>
        <v>16867.238915811944</v>
      </c>
      <c r="K204" s="1631">
        <v>2966</v>
      </c>
      <c r="L204" s="1630">
        <f t="shared" si="136"/>
        <v>2966</v>
      </c>
      <c r="M204" s="1630">
        <f t="shared" si="137"/>
        <v>5932</v>
      </c>
      <c r="N204" s="1625">
        <f t="shared" si="138"/>
        <v>10935.238915811944</v>
      </c>
      <c r="O204" s="1629">
        <v>0.8115</v>
      </c>
      <c r="P204" s="1629">
        <v>0.1885</v>
      </c>
      <c r="Q204" s="1625">
        <f t="shared" si="139"/>
        <v>8873.9463801813927</v>
      </c>
      <c r="R204" s="1628">
        <f t="shared" si="140"/>
        <v>2061.2925356305514</v>
      </c>
      <c r="S204" s="1627">
        <f t="shared" si="141"/>
        <v>3610.072535630552</v>
      </c>
      <c r="T204" s="1627">
        <f t="shared" si="142"/>
        <v>2321.9274643694489</v>
      </c>
      <c r="U204" s="1626">
        <f t="shared" si="143"/>
        <v>902.518133907638</v>
      </c>
      <c r="V204" s="1626">
        <f t="shared" si="143"/>
        <v>580.48186609236222</v>
      </c>
      <c r="W204" s="1625">
        <f t="shared" si="144"/>
        <v>1483.0000000000002</v>
      </c>
      <c r="X204" s="1614"/>
      <c r="Y204" s="1613"/>
      <c r="Z204" s="1612">
        <f t="shared" si="145"/>
        <v>0.35168767274880625</v>
      </c>
      <c r="AA204" s="1611"/>
      <c r="AB204" s="1611"/>
      <c r="AC204" s="1611"/>
      <c r="AD204" s="1611"/>
      <c r="AE204" s="1611"/>
      <c r="AF204" s="1611"/>
      <c r="AG204" s="1611"/>
      <c r="AH204" s="1611"/>
      <c r="AI204" s="1611"/>
      <c r="AJ204" s="1611"/>
      <c r="AK204" s="1611"/>
      <c r="AL204" s="1611"/>
      <c r="AM204" s="1611"/>
      <c r="AN204" s="1611"/>
      <c r="AO204" s="1611"/>
      <c r="AP204" s="1611"/>
      <c r="AQ204" s="1611"/>
    </row>
    <row r="205" spans="1:43" outlineLevel="2">
      <c r="A205" s="1638" t="s">
        <v>307</v>
      </c>
      <c r="B205" s="1637" t="s">
        <v>115</v>
      </c>
      <c r="C205" s="1636"/>
      <c r="D205" s="1635">
        <v>5</v>
      </c>
      <c r="E205" s="1634" t="s">
        <v>943</v>
      </c>
      <c r="F205" s="1633" t="s">
        <v>1063</v>
      </c>
      <c r="G205" s="1632">
        <v>6242.0094579059723</v>
      </c>
      <c r="H205" s="1632">
        <v>2191.61</v>
      </c>
      <c r="I205" s="1630">
        <f t="shared" si="134"/>
        <v>8433.619457905972</v>
      </c>
      <c r="J205" s="1630">
        <f t="shared" si="135"/>
        <v>42168.097289529862</v>
      </c>
      <c r="K205" s="1631">
        <v>2966</v>
      </c>
      <c r="L205" s="1630">
        <f t="shared" si="136"/>
        <v>2966</v>
      </c>
      <c r="M205" s="1630">
        <f t="shared" si="137"/>
        <v>14830</v>
      </c>
      <c r="N205" s="1625">
        <f t="shared" si="138"/>
        <v>27338.097289529862</v>
      </c>
      <c r="O205" s="1629">
        <v>0.8115</v>
      </c>
      <c r="P205" s="1629">
        <v>0.1885</v>
      </c>
      <c r="Q205" s="1625">
        <f t="shared" si="139"/>
        <v>22184.865950453484</v>
      </c>
      <c r="R205" s="1628">
        <f t="shared" si="140"/>
        <v>5153.2313390763793</v>
      </c>
      <c r="S205" s="1627">
        <f t="shared" si="141"/>
        <v>9025.1813390763782</v>
      </c>
      <c r="T205" s="1627">
        <f t="shared" si="142"/>
        <v>5804.8186609236218</v>
      </c>
      <c r="U205" s="1626">
        <f t="shared" si="143"/>
        <v>2256.2953347690946</v>
      </c>
      <c r="V205" s="1626">
        <f t="shared" si="143"/>
        <v>1451.2046652309054</v>
      </c>
      <c r="W205" s="1625">
        <f t="shared" si="144"/>
        <v>3707.5</v>
      </c>
      <c r="X205" s="1614"/>
      <c r="Y205" s="1613"/>
      <c r="Z205" s="1612">
        <f t="shared" si="145"/>
        <v>0.35168767274880625</v>
      </c>
      <c r="AA205" s="1611"/>
      <c r="AB205" s="1611"/>
      <c r="AC205" s="1611"/>
      <c r="AD205" s="1611"/>
      <c r="AE205" s="1611"/>
      <c r="AF205" s="1611"/>
      <c r="AG205" s="1611"/>
      <c r="AH205" s="1611"/>
      <c r="AI205" s="1611"/>
      <c r="AJ205" s="1611"/>
      <c r="AK205" s="1611"/>
      <c r="AL205" s="1611"/>
      <c r="AM205" s="1611"/>
      <c r="AN205" s="1611"/>
      <c r="AO205" s="1611"/>
      <c r="AP205" s="1611"/>
      <c r="AQ205" s="1611"/>
    </row>
    <row r="206" spans="1:43" outlineLevel="2">
      <c r="A206" s="1638" t="s">
        <v>307</v>
      </c>
      <c r="B206" s="1637" t="s">
        <v>115</v>
      </c>
      <c r="C206" s="1636"/>
      <c r="D206" s="1635">
        <v>1</v>
      </c>
      <c r="E206" s="1634" t="s">
        <v>943</v>
      </c>
      <c r="F206" s="1633" t="s">
        <v>1066</v>
      </c>
      <c r="G206" s="1632">
        <v>6242.0094579059723</v>
      </c>
      <c r="H206" s="1632">
        <v>2191.61</v>
      </c>
      <c r="I206" s="1630">
        <f t="shared" si="134"/>
        <v>8433.619457905972</v>
      </c>
      <c r="J206" s="1630">
        <f t="shared" si="135"/>
        <v>8433.619457905972</v>
      </c>
      <c r="K206" s="1631">
        <v>2966</v>
      </c>
      <c r="L206" s="1630">
        <f t="shared" si="136"/>
        <v>2966</v>
      </c>
      <c r="M206" s="1630">
        <f t="shared" si="137"/>
        <v>2966</v>
      </c>
      <c r="N206" s="1625">
        <f t="shared" si="138"/>
        <v>5467.619457905972</v>
      </c>
      <c r="O206" s="1629">
        <v>0.8115</v>
      </c>
      <c r="P206" s="1629">
        <v>0.1885</v>
      </c>
      <c r="Q206" s="1625">
        <f t="shared" si="139"/>
        <v>4436.9731900906963</v>
      </c>
      <c r="R206" s="1628">
        <f t="shared" si="140"/>
        <v>1030.6462678152757</v>
      </c>
      <c r="S206" s="1627">
        <f t="shared" si="141"/>
        <v>1805.036267815276</v>
      </c>
      <c r="T206" s="1627">
        <f t="shared" si="142"/>
        <v>1160.9637321847244</v>
      </c>
      <c r="U206" s="1626">
        <f t="shared" si="143"/>
        <v>451.259066953819</v>
      </c>
      <c r="V206" s="1626">
        <f t="shared" si="143"/>
        <v>290.24093304618111</v>
      </c>
      <c r="W206" s="1625">
        <f t="shared" si="144"/>
        <v>741.50000000000011</v>
      </c>
      <c r="X206" s="1614"/>
      <c r="Y206" s="1613"/>
      <c r="Z206" s="1612">
        <f t="shared" si="145"/>
        <v>0.35168767274880625</v>
      </c>
      <c r="AA206" s="1611"/>
      <c r="AB206" s="1611"/>
      <c r="AC206" s="1611"/>
      <c r="AD206" s="1611"/>
      <c r="AE206" s="1611"/>
      <c r="AF206" s="1611"/>
      <c r="AG206" s="1611"/>
      <c r="AH206" s="1611"/>
      <c r="AI206" s="1611"/>
      <c r="AJ206" s="1611"/>
      <c r="AK206" s="1611"/>
      <c r="AL206" s="1611"/>
      <c r="AM206" s="1611"/>
      <c r="AN206" s="1611"/>
      <c r="AO206" s="1611"/>
      <c r="AP206" s="1611"/>
      <c r="AQ206" s="1611"/>
    </row>
    <row r="207" spans="1:43" outlineLevel="2">
      <c r="A207" s="1638" t="s">
        <v>307</v>
      </c>
      <c r="B207" s="1637" t="s">
        <v>115</v>
      </c>
      <c r="C207" s="1636"/>
      <c r="D207" s="1635">
        <v>6</v>
      </c>
      <c r="E207" s="1634" t="s">
        <v>943</v>
      </c>
      <c r="F207" s="1633" t="s">
        <v>1067</v>
      </c>
      <c r="G207" s="1632">
        <v>6242.0094579059723</v>
      </c>
      <c r="H207" s="1632">
        <v>2191.61</v>
      </c>
      <c r="I207" s="1630">
        <f t="shared" si="134"/>
        <v>8433.619457905972</v>
      </c>
      <c r="J207" s="1630">
        <f t="shared" si="135"/>
        <v>50601.716747435828</v>
      </c>
      <c r="K207" s="1631">
        <v>2966</v>
      </c>
      <c r="L207" s="1630">
        <f t="shared" si="136"/>
        <v>2966</v>
      </c>
      <c r="M207" s="1630">
        <f t="shared" si="137"/>
        <v>17796</v>
      </c>
      <c r="N207" s="1625">
        <f t="shared" si="138"/>
        <v>32805.716747435828</v>
      </c>
      <c r="O207" s="1629">
        <v>0.8115</v>
      </c>
      <c r="P207" s="1629">
        <v>0.1885</v>
      </c>
      <c r="Q207" s="1625">
        <f t="shared" si="139"/>
        <v>26621.839140544176</v>
      </c>
      <c r="R207" s="1628">
        <f t="shared" si="140"/>
        <v>6183.8776068916541</v>
      </c>
      <c r="S207" s="1627">
        <f t="shared" si="141"/>
        <v>10830.217606891656</v>
      </c>
      <c r="T207" s="1627">
        <f t="shared" si="142"/>
        <v>6965.7823931083458</v>
      </c>
      <c r="U207" s="1626">
        <f t="shared" si="143"/>
        <v>2707.554401722914</v>
      </c>
      <c r="V207" s="1626">
        <f t="shared" si="143"/>
        <v>1741.4455982770864</v>
      </c>
      <c r="W207" s="1625">
        <f t="shared" si="144"/>
        <v>4449</v>
      </c>
      <c r="X207" s="1614"/>
      <c r="Y207" s="1613"/>
      <c r="Z207" s="1612">
        <f t="shared" si="145"/>
        <v>0.35168767274880625</v>
      </c>
      <c r="AA207" s="1611"/>
      <c r="AB207" s="1611"/>
      <c r="AC207" s="1611"/>
      <c r="AD207" s="1611"/>
      <c r="AE207" s="1611"/>
      <c r="AF207" s="1611"/>
      <c r="AG207" s="1611"/>
      <c r="AH207" s="1611"/>
      <c r="AI207" s="1611"/>
      <c r="AJ207" s="1611"/>
      <c r="AK207" s="1611"/>
      <c r="AL207" s="1611"/>
      <c r="AM207" s="1611"/>
      <c r="AN207" s="1611"/>
      <c r="AO207" s="1611"/>
      <c r="AP207" s="1611"/>
      <c r="AQ207" s="1611"/>
    </row>
    <row r="208" spans="1:43" outlineLevel="2">
      <c r="A208" s="1638" t="s">
        <v>307</v>
      </c>
      <c r="B208" s="1637" t="s">
        <v>115</v>
      </c>
      <c r="C208" s="1636"/>
      <c r="D208" s="1635">
        <v>15</v>
      </c>
      <c r="E208" s="1634" t="s">
        <v>943</v>
      </c>
      <c r="F208" s="1633" t="s">
        <v>979</v>
      </c>
      <c r="G208" s="1632">
        <v>6242.0094579059723</v>
      </c>
      <c r="H208" s="1632">
        <v>2191.61</v>
      </c>
      <c r="I208" s="1630">
        <f t="shared" si="134"/>
        <v>8433.619457905972</v>
      </c>
      <c r="J208" s="1630">
        <f t="shared" si="135"/>
        <v>126504.29186858959</v>
      </c>
      <c r="K208" s="1631">
        <v>2966</v>
      </c>
      <c r="L208" s="1630">
        <f t="shared" si="136"/>
        <v>2966</v>
      </c>
      <c r="M208" s="1630">
        <f t="shared" si="137"/>
        <v>44490</v>
      </c>
      <c r="N208" s="1625">
        <f t="shared" si="138"/>
        <v>82014.291868589586</v>
      </c>
      <c r="O208" s="1629">
        <v>0.8115</v>
      </c>
      <c r="P208" s="1629">
        <v>0.1885</v>
      </c>
      <c r="Q208" s="1625">
        <f t="shared" si="139"/>
        <v>66554.59785136045</v>
      </c>
      <c r="R208" s="1628">
        <f t="shared" si="140"/>
        <v>15459.694017229136</v>
      </c>
      <c r="S208" s="1627">
        <f t="shared" si="141"/>
        <v>27075.544017229142</v>
      </c>
      <c r="T208" s="1627">
        <f t="shared" si="142"/>
        <v>17414.455982770865</v>
      </c>
      <c r="U208" s="1626">
        <f t="shared" si="143"/>
        <v>6768.8860043072855</v>
      </c>
      <c r="V208" s="1626">
        <f t="shared" si="143"/>
        <v>4353.6139956927163</v>
      </c>
      <c r="W208" s="1625">
        <f t="shared" si="144"/>
        <v>11122.500000000002</v>
      </c>
      <c r="X208" s="1614"/>
      <c r="Y208" s="1613"/>
      <c r="Z208" s="1612">
        <f t="shared" si="145"/>
        <v>0.35168767274880625</v>
      </c>
      <c r="AA208" s="1611"/>
      <c r="AB208" s="1611"/>
      <c r="AC208" s="1611"/>
      <c r="AD208" s="1611"/>
      <c r="AE208" s="1611"/>
      <c r="AF208" s="1611"/>
      <c r="AG208" s="1611"/>
      <c r="AH208" s="1611"/>
      <c r="AI208" s="1611"/>
      <c r="AJ208" s="1611"/>
      <c r="AK208" s="1611"/>
      <c r="AL208" s="1611"/>
      <c r="AM208" s="1611"/>
      <c r="AN208" s="1611"/>
      <c r="AO208" s="1611"/>
      <c r="AP208" s="1611"/>
      <c r="AQ208" s="1611"/>
    </row>
    <row r="209" spans="1:43" outlineLevel="1">
      <c r="A209" s="1624"/>
      <c r="B209" s="1623" t="s">
        <v>1114</v>
      </c>
      <c r="C209" s="1622"/>
      <c r="D209" s="1621">
        <f>SUBTOTAL(9,D201:D208)</f>
        <v>41</v>
      </c>
      <c r="E209" s="1620"/>
      <c r="F209" s="1639"/>
      <c r="G209" s="1639"/>
      <c r="H209" s="1639"/>
      <c r="I209" s="1616"/>
      <c r="J209" s="1616">
        <f>SUBTOTAL(9,J201:J208)</f>
        <v>345778.39777414483</v>
      </c>
      <c r="K209" s="1615"/>
      <c r="L209" s="1616"/>
      <c r="M209" s="1616">
        <f>SUBTOTAL(9,M201:M208)</f>
        <v>121606</v>
      </c>
      <c r="N209" s="1615">
        <f>SUBTOTAL(9,N201:N208)</f>
        <v>224172.39777414483</v>
      </c>
      <c r="O209" s="1616"/>
      <c r="P209" s="1616"/>
      <c r="Q209" s="1615">
        <f t="shared" ref="Q209:W209" si="146">SUBTOTAL(9,Q201:Q208)</f>
        <v>181915.90079371855</v>
      </c>
      <c r="R209" s="1615">
        <f t="shared" si="146"/>
        <v>42256.496980426302</v>
      </c>
      <c r="S209" s="1616">
        <f t="shared" si="146"/>
        <v>74006.486980426314</v>
      </c>
      <c r="T209" s="1616">
        <f t="shared" si="146"/>
        <v>47599.5130195737</v>
      </c>
      <c r="U209" s="1616">
        <f t="shared" si="146"/>
        <v>18501.621745106579</v>
      </c>
      <c r="V209" s="1616">
        <f t="shared" si="146"/>
        <v>11899.878254893425</v>
      </c>
      <c r="W209" s="1615">
        <f t="shared" si="146"/>
        <v>30401.5</v>
      </c>
      <c r="X209" s="1614"/>
      <c r="Y209" s="1613"/>
      <c r="Z209" s="1612"/>
      <c r="AA209" s="1611"/>
      <c r="AB209" s="1611"/>
      <c r="AC209" s="1611"/>
      <c r="AD209" s="1611"/>
      <c r="AE209" s="1611"/>
      <c r="AF209" s="1611"/>
      <c r="AG209" s="1611"/>
      <c r="AH209" s="1611"/>
      <c r="AI209" s="1611"/>
      <c r="AJ209" s="1611"/>
      <c r="AK209" s="1611"/>
      <c r="AL209" s="1611"/>
      <c r="AM209" s="1611"/>
      <c r="AN209" s="1611"/>
      <c r="AO209" s="1611"/>
      <c r="AP209" s="1611"/>
      <c r="AQ209" s="1611"/>
    </row>
    <row r="210" spans="1:43" outlineLevel="2">
      <c r="A210" s="1638" t="s">
        <v>308</v>
      </c>
      <c r="B210" s="1637" t="s">
        <v>116</v>
      </c>
      <c r="C210" s="1636"/>
      <c r="D210" s="1635">
        <v>1</v>
      </c>
      <c r="E210" s="1634" t="s">
        <v>944</v>
      </c>
      <c r="F210" s="1633" t="s">
        <v>1069</v>
      </c>
      <c r="G210" s="1632">
        <v>6687.4497834406939</v>
      </c>
      <c r="H210" s="1632">
        <v>1585.26</v>
      </c>
      <c r="I210" s="1630">
        <f>G210+H210</f>
        <v>8272.7097834406941</v>
      </c>
      <c r="J210" s="1630">
        <f>D210*I210</f>
        <v>8272.7097834406941</v>
      </c>
      <c r="K210" s="1631">
        <v>4448</v>
      </c>
      <c r="L210" s="1630">
        <f>IF(I210&gt;K210,K210,I210)</f>
        <v>4448</v>
      </c>
      <c r="M210" s="1630">
        <f>L210*D210</f>
        <v>4448</v>
      </c>
      <c r="N210" s="1625">
        <f>J210-M210</f>
        <v>3824.7097834406941</v>
      </c>
      <c r="O210" s="1629">
        <v>0.8972</v>
      </c>
      <c r="P210" s="1629">
        <v>0.1028</v>
      </c>
      <c r="Q210" s="1625">
        <f>N210*O210</f>
        <v>3431.5296177029909</v>
      </c>
      <c r="R210" s="1628">
        <f>N210*P210</f>
        <v>393.18016573770336</v>
      </c>
      <c r="S210" s="1627">
        <f>(G210*D210)-Q210</f>
        <v>3255.920165737703</v>
      </c>
      <c r="T210" s="1627">
        <f>(H210*D210)-R210</f>
        <v>1192.0798342622966</v>
      </c>
      <c r="U210" s="1626">
        <f>S210/4</f>
        <v>813.98004143442574</v>
      </c>
      <c r="V210" s="1626">
        <f>T210/4</f>
        <v>298.01995856557414</v>
      </c>
      <c r="W210" s="1625">
        <f>V210+U210</f>
        <v>1112</v>
      </c>
      <c r="X210" s="1614"/>
      <c r="Y210" s="1613"/>
      <c r="Z210" s="1612">
        <f>K210/I210</f>
        <v>0.53767146635597762</v>
      </c>
      <c r="AA210" s="1611"/>
      <c r="AB210" s="1611"/>
      <c r="AC210" s="1611"/>
      <c r="AD210" s="1611"/>
      <c r="AE210" s="1611"/>
      <c r="AF210" s="1611"/>
      <c r="AG210" s="1611"/>
      <c r="AH210" s="1611"/>
      <c r="AI210" s="1611"/>
      <c r="AJ210" s="1611"/>
      <c r="AK210" s="1611"/>
      <c r="AL210" s="1611"/>
      <c r="AM210" s="1611"/>
      <c r="AN210" s="1611"/>
      <c r="AO210" s="1611"/>
      <c r="AP210" s="1611"/>
      <c r="AQ210" s="1611"/>
    </row>
    <row r="211" spans="1:43" outlineLevel="1">
      <c r="A211" s="1624"/>
      <c r="B211" s="1623" t="s">
        <v>1113</v>
      </c>
      <c r="C211" s="1622"/>
      <c r="D211" s="1621">
        <f>SUBTOTAL(9,D210:D210)</f>
        <v>1</v>
      </c>
      <c r="E211" s="1620"/>
      <c r="F211" s="1639"/>
      <c r="G211" s="1639"/>
      <c r="H211" s="1639"/>
      <c r="I211" s="1616"/>
      <c r="J211" s="1616">
        <f>SUBTOTAL(9,J210:J210)</f>
        <v>8272.7097834406941</v>
      </c>
      <c r="K211" s="1615"/>
      <c r="L211" s="1616"/>
      <c r="M211" s="1616">
        <f>SUBTOTAL(9,M210:M210)</f>
        <v>4448</v>
      </c>
      <c r="N211" s="1615">
        <f>SUBTOTAL(9,N210:N210)</f>
        <v>3824.7097834406941</v>
      </c>
      <c r="O211" s="1616"/>
      <c r="P211" s="1616"/>
      <c r="Q211" s="1615">
        <f t="shared" ref="Q211:W211" si="147">SUBTOTAL(9,Q210:Q210)</f>
        <v>3431.5296177029909</v>
      </c>
      <c r="R211" s="1615">
        <f t="shared" si="147"/>
        <v>393.18016573770336</v>
      </c>
      <c r="S211" s="1616">
        <f t="shared" si="147"/>
        <v>3255.920165737703</v>
      </c>
      <c r="T211" s="1616">
        <f t="shared" si="147"/>
        <v>1192.0798342622966</v>
      </c>
      <c r="U211" s="1616">
        <f t="shared" si="147"/>
        <v>813.98004143442574</v>
      </c>
      <c r="V211" s="1616">
        <f t="shared" si="147"/>
        <v>298.01995856557414</v>
      </c>
      <c r="W211" s="1615">
        <f t="shared" si="147"/>
        <v>1112</v>
      </c>
      <c r="X211" s="1614"/>
      <c r="Y211" s="1613"/>
      <c r="Z211" s="1612"/>
      <c r="AA211" s="1611"/>
      <c r="AB211" s="1611"/>
      <c r="AC211" s="1611"/>
      <c r="AD211" s="1611"/>
      <c r="AE211" s="1611"/>
      <c r="AF211" s="1611"/>
      <c r="AG211" s="1611"/>
      <c r="AH211" s="1611"/>
      <c r="AI211" s="1611"/>
      <c r="AJ211" s="1611"/>
      <c r="AK211" s="1611"/>
      <c r="AL211" s="1611"/>
      <c r="AM211" s="1611"/>
      <c r="AN211" s="1611"/>
      <c r="AO211" s="1611"/>
      <c r="AP211" s="1611"/>
      <c r="AQ211" s="1611"/>
    </row>
    <row r="212" spans="1:43" outlineLevel="2">
      <c r="A212" s="1638" t="s">
        <v>309</v>
      </c>
      <c r="B212" s="1637" t="s">
        <v>117</v>
      </c>
      <c r="C212" s="1636"/>
      <c r="D212" s="1635">
        <v>1</v>
      </c>
      <c r="E212" s="1634" t="s">
        <v>926</v>
      </c>
      <c r="F212" s="1633" t="s">
        <v>1068</v>
      </c>
      <c r="G212" s="1632">
        <v>5495.1397285280191</v>
      </c>
      <c r="H212" s="1632">
        <v>3320.66</v>
      </c>
      <c r="I212" s="1630">
        <f>G212+H212</f>
        <v>8815.799728528018</v>
      </c>
      <c r="J212" s="1630">
        <f>D212*I212</f>
        <v>8815.799728528018</v>
      </c>
      <c r="K212" s="1631">
        <v>4745</v>
      </c>
      <c r="L212" s="1630">
        <f>IF(I212&gt;K212,K212,I212)</f>
        <v>4745</v>
      </c>
      <c r="M212" s="1630">
        <f>L212*D212</f>
        <v>4745</v>
      </c>
      <c r="N212" s="1625">
        <f>J212-M212</f>
        <v>4070.799728528018</v>
      </c>
      <c r="O212" s="1629">
        <v>0.70820000000000005</v>
      </c>
      <c r="P212" s="1629">
        <v>0.2918</v>
      </c>
      <c r="Q212" s="1625">
        <f>N212*O212</f>
        <v>2882.9403677435425</v>
      </c>
      <c r="R212" s="1628">
        <f>N212*P212</f>
        <v>1187.8593607844757</v>
      </c>
      <c r="S212" s="1627">
        <f>(G212*D212)-Q212</f>
        <v>2612.1993607844765</v>
      </c>
      <c r="T212" s="1627">
        <f>(H212*D212)-R212</f>
        <v>2132.8006392155239</v>
      </c>
      <c r="U212" s="1626">
        <f>S212/4</f>
        <v>653.04984019611913</v>
      </c>
      <c r="V212" s="1626">
        <f>T212/4</f>
        <v>533.20015980388098</v>
      </c>
      <c r="W212" s="1625">
        <f>V212+U212</f>
        <v>1186.25</v>
      </c>
      <c r="X212" s="1614"/>
      <c r="Y212" s="1613"/>
      <c r="Z212" s="1612">
        <f>K212/I212</f>
        <v>0.53823817987211431</v>
      </c>
      <c r="AA212" s="1611"/>
      <c r="AB212" s="1611"/>
      <c r="AC212" s="1611"/>
      <c r="AD212" s="1611"/>
      <c r="AE212" s="1611"/>
      <c r="AF212" s="1611"/>
      <c r="AG212" s="1611"/>
      <c r="AH212" s="1611"/>
      <c r="AI212" s="1611"/>
      <c r="AJ212" s="1611"/>
      <c r="AK212" s="1611"/>
      <c r="AL212" s="1611"/>
      <c r="AM212" s="1611"/>
      <c r="AN212" s="1611"/>
      <c r="AO212" s="1611"/>
      <c r="AP212" s="1611"/>
      <c r="AQ212" s="1611"/>
    </row>
    <row r="213" spans="1:43" outlineLevel="1">
      <c r="A213" s="1624"/>
      <c r="B213" s="1623" t="s">
        <v>1112</v>
      </c>
      <c r="C213" s="1622"/>
      <c r="D213" s="1621">
        <f>SUBTOTAL(9,D212:D212)</f>
        <v>1</v>
      </c>
      <c r="E213" s="1620"/>
      <c r="F213" s="1639"/>
      <c r="G213" s="1639"/>
      <c r="H213" s="1639"/>
      <c r="I213" s="1616"/>
      <c r="J213" s="1616">
        <f>SUBTOTAL(9,J212:J212)</f>
        <v>8815.799728528018</v>
      </c>
      <c r="K213" s="1615"/>
      <c r="L213" s="1616"/>
      <c r="M213" s="1616">
        <f>SUBTOTAL(9,M212:M212)</f>
        <v>4745</v>
      </c>
      <c r="N213" s="1615">
        <f>SUBTOTAL(9,N212:N212)</f>
        <v>4070.799728528018</v>
      </c>
      <c r="O213" s="1616"/>
      <c r="P213" s="1616"/>
      <c r="Q213" s="1615">
        <f t="shared" ref="Q213:W213" si="148">SUBTOTAL(9,Q212:Q212)</f>
        <v>2882.9403677435425</v>
      </c>
      <c r="R213" s="1615">
        <f t="shared" si="148"/>
        <v>1187.8593607844757</v>
      </c>
      <c r="S213" s="1616">
        <f t="shared" si="148"/>
        <v>2612.1993607844765</v>
      </c>
      <c r="T213" s="1616">
        <f t="shared" si="148"/>
        <v>2132.8006392155239</v>
      </c>
      <c r="U213" s="1616">
        <f t="shared" si="148"/>
        <v>653.04984019611913</v>
      </c>
      <c r="V213" s="1616">
        <f t="shared" si="148"/>
        <v>533.20015980388098</v>
      </c>
      <c r="W213" s="1615">
        <f t="shared" si="148"/>
        <v>1186.25</v>
      </c>
      <c r="X213" s="1614"/>
      <c r="Y213" s="1613"/>
      <c r="Z213" s="1612"/>
      <c r="AA213" s="1611"/>
      <c r="AB213" s="1611"/>
      <c r="AC213" s="1611"/>
      <c r="AD213" s="1611"/>
      <c r="AE213" s="1611"/>
      <c r="AF213" s="1611"/>
      <c r="AG213" s="1611"/>
      <c r="AH213" s="1611"/>
      <c r="AI213" s="1611"/>
      <c r="AJ213" s="1611"/>
      <c r="AK213" s="1611"/>
      <c r="AL213" s="1611"/>
      <c r="AM213" s="1611"/>
      <c r="AN213" s="1611"/>
      <c r="AO213" s="1611"/>
      <c r="AP213" s="1611"/>
      <c r="AQ213" s="1611"/>
    </row>
    <row r="214" spans="1:43" outlineLevel="2">
      <c r="A214" s="1638" t="s">
        <v>310</v>
      </c>
      <c r="B214" s="1637" t="s">
        <v>118</v>
      </c>
      <c r="C214" s="1636"/>
      <c r="D214" s="1635">
        <v>1</v>
      </c>
      <c r="E214" s="1634" t="s">
        <v>983</v>
      </c>
      <c r="F214" s="1633" t="s">
        <v>1070</v>
      </c>
      <c r="G214" s="1632">
        <v>3605.976944254608</v>
      </c>
      <c r="H214" s="1632">
        <v>5186.24</v>
      </c>
      <c r="I214" s="1630">
        <f t="shared" ref="I214:I230" si="149">G214+H214</f>
        <v>8792.2169442546074</v>
      </c>
      <c r="J214" s="1630">
        <f t="shared" ref="J214:J230" si="150">D214*I214</f>
        <v>8792.2169442546074</v>
      </c>
      <c r="K214" s="1631">
        <v>4465</v>
      </c>
      <c r="L214" s="1630">
        <f t="shared" ref="L214:L230" si="151">IF(I214&gt;K214,K214,I214)</f>
        <v>4465</v>
      </c>
      <c r="M214" s="1630">
        <f t="shared" ref="M214:M230" si="152">L214*D214</f>
        <v>4465</v>
      </c>
      <c r="N214" s="1625">
        <f t="shared" ref="N214:N230" si="153">J214-M214</f>
        <v>4327.2169442546074</v>
      </c>
      <c r="O214" s="1629">
        <v>0.40060000000000001</v>
      </c>
      <c r="P214" s="1629">
        <v>0.59940000000000004</v>
      </c>
      <c r="Q214" s="1625">
        <f t="shared" ref="Q214:Q230" si="154">N214*O214</f>
        <v>1733.4831078683958</v>
      </c>
      <c r="R214" s="1628">
        <f t="shared" ref="R214:R230" si="155">N214*P214</f>
        <v>2593.7338363862118</v>
      </c>
      <c r="S214" s="1627">
        <f t="shared" ref="S214:S230" si="156">(G214*D214)-Q214</f>
        <v>1872.4938363862123</v>
      </c>
      <c r="T214" s="1627">
        <f t="shared" ref="T214:T230" si="157">(H214*D214)-R214</f>
        <v>2592.506163613788</v>
      </c>
      <c r="U214" s="1626">
        <f t="shared" ref="U214:U230" si="158">S214/4</f>
        <v>468.12345909655306</v>
      </c>
      <c r="V214" s="1626">
        <f t="shared" ref="V214:V230" si="159">T214/4</f>
        <v>648.12654090344699</v>
      </c>
      <c r="W214" s="1625">
        <f t="shared" ref="W214:W230" si="160">V214+U214</f>
        <v>1116.25</v>
      </c>
      <c r="X214" s="1614"/>
      <c r="Y214" s="1613"/>
      <c r="Z214" s="1612">
        <f t="shared" ref="Z214:Z230" si="161">K214/I214</f>
        <v>0.50783551273922034</v>
      </c>
      <c r="AA214" s="1611"/>
      <c r="AB214" s="1611"/>
      <c r="AC214" s="1611"/>
      <c r="AD214" s="1611"/>
      <c r="AE214" s="1611"/>
      <c r="AF214" s="1611"/>
      <c r="AG214" s="1611"/>
      <c r="AH214" s="1611"/>
      <c r="AI214" s="1611"/>
      <c r="AJ214" s="1611"/>
      <c r="AK214" s="1611"/>
      <c r="AL214" s="1611"/>
      <c r="AM214" s="1611"/>
      <c r="AN214" s="1611"/>
      <c r="AO214" s="1611"/>
      <c r="AP214" s="1611"/>
      <c r="AQ214" s="1611"/>
    </row>
    <row r="215" spans="1:43" outlineLevel="2">
      <c r="A215" s="1638" t="s">
        <v>310</v>
      </c>
      <c r="B215" s="1637" t="s">
        <v>118</v>
      </c>
      <c r="C215" s="1636"/>
      <c r="D215" s="1635">
        <v>1</v>
      </c>
      <c r="E215" s="1634" t="s">
        <v>880</v>
      </c>
      <c r="F215" s="1633" t="s">
        <v>979</v>
      </c>
      <c r="G215" s="1632">
        <v>3605.976944254608</v>
      </c>
      <c r="H215" s="1632">
        <v>5186.24</v>
      </c>
      <c r="I215" s="1630">
        <f t="shared" si="149"/>
        <v>8792.2169442546074</v>
      </c>
      <c r="J215" s="1630">
        <f t="shared" si="150"/>
        <v>8792.2169442546074</v>
      </c>
      <c r="K215" s="1631">
        <v>4130</v>
      </c>
      <c r="L215" s="1630">
        <f t="shared" si="151"/>
        <v>4130</v>
      </c>
      <c r="M215" s="1630">
        <f t="shared" si="152"/>
        <v>4130</v>
      </c>
      <c r="N215" s="1625">
        <f t="shared" si="153"/>
        <v>4662.2169442546074</v>
      </c>
      <c r="O215" s="1629">
        <v>0.40060000000000001</v>
      </c>
      <c r="P215" s="1629">
        <v>0.59940000000000004</v>
      </c>
      <c r="Q215" s="1625">
        <f t="shared" si="154"/>
        <v>1867.6841078683958</v>
      </c>
      <c r="R215" s="1628">
        <f t="shared" si="155"/>
        <v>2794.5328363862118</v>
      </c>
      <c r="S215" s="1627">
        <f t="shared" si="156"/>
        <v>1738.2928363862122</v>
      </c>
      <c r="T215" s="1627">
        <f t="shared" si="157"/>
        <v>2391.707163613788</v>
      </c>
      <c r="U215" s="1626">
        <f t="shared" si="158"/>
        <v>434.57320909655306</v>
      </c>
      <c r="V215" s="1626">
        <f t="shared" si="159"/>
        <v>597.926790903447</v>
      </c>
      <c r="W215" s="1625">
        <f t="shared" si="160"/>
        <v>1032.5</v>
      </c>
      <c r="X215" s="1614"/>
      <c r="Y215" s="1613"/>
      <c r="Z215" s="1612">
        <f t="shared" si="161"/>
        <v>0.46973363216416131</v>
      </c>
      <c r="AA215" s="1611"/>
      <c r="AB215" s="1611"/>
      <c r="AC215" s="1611"/>
      <c r="AD215" s="1611"/>
      <c r="AE215" s="1611"/>
      <c r="AF215" s="1611"/>
      <c r="AG215" s="1611"/>
      <c r="AH215" s="1611"/>
      <c r="AI215" s="1611"/>
      <c r="AJ215" s="1611"/>
      <c r="AK215" s="1611"/>
      <c r="AL215" s="1611"/>
      <c r="AM215" s="1611"/>
      <c r="AN215" s="1611"/>
      <c r="AO215" s="1611"/>
      <c r="AP215" s="1611"/>
      <c r="AQ215" s="1611"/>
    </row>
    <row r="216" spans="1:43" outlineLevel="2">
      <c r="A216" s="1638" t="s">
        <v>310</v>
      </c>
      <c r="B216" s="1637" t="s">
        <v>118</v>
      </c>
      <c r="C216" s="1636"/>
      <c r="D216" s="1635">
        <v>4</v>
      </c>
      <c r="E216" s="1634" t="s">
        <v>899</v>
      </c>
      <c r="F216" s="1633" t="s">
        <v>1070</v>
      </c>
      <c r="G216" s="1632">
        <v>3605.976944254608</v>
      </c>
      <c r="H216" s="1632">
        <v>5186.24</v>
      </c>
      <c r="I216" s="1630">
        <f t="shared" si="149"/>
        <v>8792.2169442546074</v>
      </c>
      <c r="J216" s="1630">
        <f t="shared" si="150"/>
        <v>35168.867777018429</v>
      </c>
      <c r="K216" s="1631">
        <v>5479</v>
      </c>
      <c r="L216" s="1630">
        <f t="shared" si="151"/>
        <v>5479</v>
      </c>
      <c r="M216" s="1630">
        <f t="shared" si="152"/>
        <v>21916</v>
      </c>
      <c r="N216" s="1625">
        <f t="shared" si="153"/>
        <v>13252.867777018429</v>
      </c>
      <c r="O216" s="1629">
        <v>0.40060000000000001</v>
      </c>
      <c r="P216" s="1629">
        <v>0.59940000000000004</v>
      </c>
      <c r="Q216" s="1625">
        <f t="shared" si="154"/>
        <v>5309.0988314735832</v>
      </c>
      <c r="R216" s="1628">
        <f t="shared" si="155"/>
        <v>7943.7689455448472</v>
      </c>
      <c r="S216" s="1627">
        <f t="shared" si="156"/>
        <v>9114.8089455448498</v>
      </c>
      <c r="T216" s="1627">
        <f t="shared" si="157"/>
        <v>12801.191054455152</v>
      </c>
      <c r="U216" s="1626">
        <f t="shared" si="158"/>
        <v>2278.7022363862125</v>
      </c>
      <c r="V216" s="1626">
        <f t="shared" si="159"/>
        <v>3200.297763613788</v>
      </c>
      <c r="W216" s="1625">
        <f t="shared" si="160"/>
        <v>5479</v>
      </c>
      <c r="X216" s="1614"/>
      <c r="Y216" s="1613"/>
      <c r="Z216" s="1612">
        <f t="shared" si="161"/>
        <v>0.62316478707686196</v>
      </c>
      <c r="AA216" s="1611"/>
      <c r="AB216" s="1611"/>
      <c r="AC216" s="1611"/>
      <c r="AD216" s="1611"/>
      <c r="AE216" s="1611"/>
      <c r="AF216" s="1611"/>
      <c r="AG216" s="1611"/>
      <c r="AH216" s="1611"/>
      <c r="AI216" s="1611"/>
      <c r="AJ216" s="1611"/>
      <c r="AK216" s="1611"/>
      <c r="AL216" s="1611"/>
      <c r="AM216" s="1611"/>
      <c r="AN216" s="1611"/>
      <c r="AO216" s="1611"/>
      <c r="AP216" s="1611"/>
      <c r="AQ216" s="1611"/>
    </row>
    <row r="217" spans="1:43" outlineLevel="2">
      <c r="A217" s="1638" t="s">
        <v>310</v>
      </c>
      <c r="B217" s="1637" t="s">
        <v>118</v>
      </c>
      <c r="C217" s="1636"/>
      <c r="D217" s="1635">
        <v>3</v>
      </c>
      <c r="E217" s="1634" t="s">
        <v>899</v>
      </c>
      <c r="F217" s="1633" t="s">
        <v>1069</v>
      </c>
      <c r="G217" s="1632">
        <v>3605.976944254608</v>
      </c>
      <c r="H217" s="1632">
        <v>5186.24</v>
      </c>
      <c r="I217" s="1630">
        <f t="shared" si="149"/>
        <v>8792.2169442546074</v>
      </c>
      <c r="J217" s="1630">
        <f t="shared" si="150"/>
        <v>26376.650832763822</v>
      </c>
      <c r="K217" s="1631">
        <v>5479</v>
      </c>
      <c r="L217" s="1630">
        <f t="shared" si="151"/>
        <v>5479</v>
      </c>
      <c r="M217" s="1630">
        <f t="shared" si="152"/>
        <v>16437</v>
      </c>
      <c r="N217" s="1625">
        <f t="shared" si="153"/>
        <v>9939.6508327638221</v>
      </c>
      <c r="O217" s="1629">
        <v>0.40060000000000001</v>
      </c>
      <c r="P217" s="1629">
        <v>0.59940000000000004</v>
      </c>
      <c r="Q217" s="1625">
        <f t="shared" si="154"/>
        <v>3981.8241236051872</v>
      </c>
      <c r="R217" s="1628">
        <f t="shared" si="155"/>
        <v>5957.8267091586358</v>
      </c>
      <c r="S217" s="1627">
        <f t="shared" si="156"/>
        <v>6836.1067091586374</v>
      </c>
      <c r="T217" s="1627">
        <f t="shared" si="157"/>
        <v>9600.8932908413626</v>
      </c>
      <c r="U217" s="1626">
        <f t="shared" si="158"/>
        <v>1709.0266772896593</v>
      </c>
      <c r="V217" s="1626">
        <f t="shared" si="159"/>
        <v>2400.2233227103407</v>
      </c>
      <c r="W217" s="1625">
        <f t="shared" si="160"/>
        <v>4109.25</v>
      </c>
      <c r="X217" s="1614"/>
      <c r="Y217" s="1613"/>
      <c r="Z217" s="1612">
        <f t="shared" si="161"/>
        <v>0.62316478707686196</v>
      </c>
      <c r="AA217" s="1611"/>
      <c r="AB217" s="1611"/>
      <c r="AC217" s="1611"/>
      <c r="AD217" s="1611"/>
      <c r="AE217" s="1611"/>
      <c r="AF217" s="1611"/>
      <c r="AG217" s="1611"/>
      <c r="AH217" s="1611"/>
      <c r="AI217" s="1611"/>
      <c r="AJ217" s="1611"/>
      <c r="AK217" s="1611"/>
      <c r="AL217" s="1611"/>
      <c r="AM217" s="1611"/>
      <c r="AN217" s="1611"/>
      <c r="AO217" s="1611"/>
      <c r="AP217" s="1611"/>
      <c r="AQ217" s="1611"/>
    </row>
    <row r="218" spans="1:43" outlineLevel="2">
      <c r="A218" s="1638" t="s">
        <v>310</v>
      </c>
      <c r="B218" s="1637" t="s">
        <v>118</v>
      </c>
      <c r="C218" s="1636"/>
      <c r="D218" s="1635">
        <v>1</v>
      </c>
      <c r="E218" s="1634" t="s">
        <v>899</v>
      </c>
      <c r="F218" s="1633" t="s">
        <v>1068</v>
      </c>
      <c r="G218" s="1632">
        <v>3605.976944254608</v>
      </c>
      <c r="H218" s="1632">
        <v>5186.24</v>
      </c>
      <c r="I218" s="1630">
        <f t="shared" si="149"/>
        <v>8792.2169442546074</v>
      </c>
      <c r="J218" s="1630">
        <f t="shared" si="150"/>
        <v>8792.2169442546074</v>
      </c>
      <c r="K218" s="1631">
        <v>5479</v>
      </c>
      <c r="L218" s="1630">
        <f t="shared" si="151"/>
        <v>5479</v>
      </c>
      <c r="M218" s="1630">
        <f t="shared" si="152"/>
        <v>5479</v>
      </c>
      <c r="N218" s="1625">
        <f t="shared" si="153"/>
        <v>3313.2169442546074</v>
      </c>
      <c r="O218" s="1629">
        <v>0.40060000000000001</v>
      </c>
      <c r="P218" s="1629">
        <v>0.59940000000000004</v>
      </c>
      <c r="Q218" s="1625">
        <f t="shared" si="154"/>
        <v>1327.2747078683958</v>
      </c>
      <c r="R218" s="1628">
        <f t="shared" si="155"/>
        <v>1985.9422363862118</v>
      </c>
      <c r="S218" s="1627">
        <f t="shared" si="156"/>
        <v>2278.7022363862125</v>
      </c>
      <c r="T218" s="1627">
        <f t="shared" si="157"/>
        <v>3200.297763613788</v>
      </c>
      <c r="U218" s="1626">
        <f t="shared" si="158"/>
        <v>569.67555909655312</v>
      </c>
      <c r="V218" s="1626">
        <f t="shared" si="159"/>
        <v>800.074440903447</v>
      </c>
      <c r="W218" s="1625">
        <f t="shared" si="160"/>
        <v>1369.75</v>
      </c>
      <c r="X218" s="1614"/>
      <c r="Y218" s="1613"/>
      <c r="Z218" s="1612">
        <f t="shared" si="161"/>
        <v>0.62316478707686196</v>
      </c>
      <c r="AA218" s="1611"/>
      <c r="AB218" s="1611"/>
      <c r="AC218" s="1611"/>
      <c r="AD218" s="1611"/>
      <c r="AE218" s="1611"/>
      <c r="AF218" s="1611"/>
      <c r="AG218" s="1611"/>
      <c r="AH218" s="1611"/>
      <c r="AI218" s="1611"/>
      <c r="AJ218" s="1611"/>
      <c r="AK218" s="1611"/>
      <c r="AL218" s="1611"/>
      <c r="AM218" s="1611"/>
      <c r="AN218" s="1611"/>
      <c r="AO218" s="1611"/>
      <c r="AP218" s="1611"/>
      <c r="AQ218" s="1611"/>
    </row>
    <row r="219" spans="1:43" outlineLevel="2">
      <c r="A219" s="1638" t="s">
        <v>310</v>
      </c>
      <c r="B219" s="1637" t="s">
        <v>118</v>
      </c>
      <c r="C219" s="1636"/>
      <c r="D219" s="1635">
        <v>1</v>
      </c>
      <c r="E219" s="1634" t="s">
        <v>899</v>
      </c>
      <c r="F219" s="1633" t="s">
        <v>1071</v>
      </c>
      <c r="G219" s="1632">
        <v>3605.976944254608</v>
      </c>
      <c r="H219" s="1632">
        <v>5186.24</v>
      </c>
      <c r="I219" s="1630">
        <f t="shared" si="149"/>
        <v>8792.2169442546074</v>
      </c>
      <c r="J219" s="1630">
        <f t="shared" si="150"/>
        <v>8792.2169442546074</v>
      </c>
      <c r="K219" s="1631">
        <v>5479</v>
      </c>
      <c r="L219" s="1630">
        <f t="shared" si="151"/>
        <v>5479</v>
      </c>
      <c r="M219" s="1630">
        <f t="shared" si="152"/>
        <v>5479</v>
      </c>
      <c r="N219" s="1625">
        <f t="shared" si="153"/>
        <v>3313.2169442546074</v>
      </c>
      <c r="O219" s="1629">
        <v>0.40060000000000001</v>
      </c>
      <c r="P219" s="1629">
        <v>0.59940000000000004</v>
      </c>
      <c r="Q219" s="1625">
        <f t="shared" si="154"/>
        <v>1327.2747078683958</v>
      </c>
      <c r="R219" s="1628">
        <f t="shared" si="155"/>
        <v>1985.9422363862118</v>
      </c>
      <c r="S219" s="1627">
        <f t="shared" si="156"/>
        <v>2278.7022363862125</v>
      </c>
      <c r="T219" s="1627">
        <f t="shared" si="157"/>
        <v>3200.297763613788</v>
      </c>
      <c r="U219" s="1626">
        <f t="shared" si="158"/>
        <v>569.67555909655312</v>
      </c>
      <c r="V219" s="1626">
        <f t="shared" si="159"/>
        <v>800.074440903447</v>
      </c>
      <c r="W219" s="1625">
        <f t="shared" si="160"/>
        <v>1369.75</v>
      </c>
      <c r="X219" s="1614"/>
      <c r="Y219" s="1613"/>
      <c r="Z219" s="1612">
        <f t="shared" si="161"/>
        <v>0.62316478707686196</v>
      </c>
      <c r="AA219" s="1611"/>
      <c r="AB219" s="1611"/>
      <c r="AC219" s="1611"/>
      <c r="AD219" s="1611"/>
      <c r="AE219" s="1611"/>
      <c r="AF219" s="1611"/>
      <c r="AG219" s="1611"/>
      <c r="AH219" s="1611"/>
      <c r="AI219" s="1611"/>
      <c r="AJ219" s="1611"/>
      <c r="AK219" s="1611"/>
      <c r="AL219" s="1611"/>
      <c r="AM219" s="1611"/>
      <c r="AN219" s="1611"/>
      <c r="AO219" s="1611"/>
      <c r="AP219" s="1611"/>
      <c r="AQ219" s="1611"/>
    </row>
    <row r="220" spans="1:43" outlineLevel="2">
      <c r="A220" s="1638" t="s">
        <v>310</v>
      </c>
      <c r="B220" s="1637" t="s">
        <v>118</v>
      </c>
      <c r="C220" s="1636"/>
      <c r="D220" s="1635">
        <v>5</v>
      </c>
      <c r="E220" s="1634" t="s">
        <v>899</v>
      </c>
      <c r="F220" s="1633" t="s">
        <v>1064</v>
      </c>
      <c r="G220" s="1632">
        <v>3605.976944254608</v>
      </c>
      <c r="H220" s="1632">
        <v>5186.24</v>
      </c>
      <c r="I220" s="1630">
        <f t="shared" si="149"/>
        <v>8792.2169442546074</v>
      </c>
      <c r="J220" s="1630">
        <f t="shared" si="150"/>
        <v>43961.084721273037</v>
      </c>
      <c r="K220" s="1631">
        <v>5479</v>
      </c>
      <c r="L220" s="1630">
        <f t="shared" si="151"/>
        <v>5479</v>
      </c>
      <c r="M220" s="1630">
        <f t="shared" si="152"/>
        <v>27395</v>
      </c>
      <c r="N220" s="1625">
        <f t="shared" si="153"/>
        <v>16566.084721273037</v>
      </c>
      <c r="O220" s="1629">
        <v>0.40060000000000001</v>
      </c>
      <c r="P220" s="1629">
        <v>0.59940000000000004</v>
      </c>
      <c r="Q220" s="1625">
        <f t="shared" si="154"/>
        <v>6636.3735393419784</v>
      </c>
      <c r="R220" s="1628">
        <f t="shared" si="155"/>
        <v>9929.7111819310594</v>
      </c>
      <c r="S220" s="1627">
        <f t="shared" si="156"/>
        <v>11393.511181931062</v>
      </c>
      <c r="T220" s="1627">
        <f t="shared" si="157"/>
        <v>16001.488818068938</v>
      </c>
      <c r="U220" s="1626">
        <f t="shared" si="158"/>
        <v>2848.3777954827656</v>
      </c>
      <c r="V220" s="1626">
        <f t="shared" si="159"/>
        <v>4000.3722045172344</v>
      </c>
      <c r="W220" s="1625">
        <f t="shared" si="160"/>
        <v>6848.75</v>
      </c>
      <c r="X220" s="1614"/>
      <c r="Y220" s="1613"/>
      <c r="Z220" s="1612">
        <f t="shared" si="161"/>
        <v>0.62316478707686196</v>
      </c>
      <c r="AA220" s="1611"/>
      <c r="AB220" s="1611"/>
      <c r="AC220" s="1611"/>
      <c r="AD220" s="1611"/>
      <c r="AE220" s="1611"/>
      <c r="AF220" s="1611"/>
      <c r="AG220" s="1611"/>
      <c r="AH220" s="1611"/>
      <c r="AI220" s="1611"/>
      <c r="AJ220" s="1611"/>
      <c r="AK220" s="1611"/>
      <c r="AL220" s="1611"/>
      <c r="AM220" s="1611"/>
      <c r="AN220" s="1611"/>
      <c r="AO220" s="1611"/>
      <c r="AP220" s="1611"/>
      <c r="AQ220" s="1611"/>
    </row>
    <row r="221" spans="1:43" outlineLevel="2">
      <c r="A221" s="1638" t="s">
        <v>310</v>
      </c>
      <c r="B221" s="1637" t="s">
        <v>118</v>
      </c>
      <c r="C221" s="1636"/>
      <c r="D221" s="1635">
        <v>2</v>
      </c>
      <c r="E221" s="1634" t="s">
        <v>899</v>
      </c>
      <c r="F221" s="1633" t="s">
        <v>979</v>
      </c>
      <c r="G221" s="1632">
        <v>3605.976944254608</v>
      </c>
      <c r="H221" s="1632">
        <v>5186.24</v>
      </c>
      <c r="I221" s="1630">
        <f t="shared" si="149"/>
        <v>8792.2169442546074</v>
      </c>
      <c r="J221" s="1630">
        <f t="shared" si="150"/>
        <v>17584.433888509215</v>
      </c>
      <c r="K221" s="1631">
        <v>5479</v>
      </c>
      <c r="L221" s="1630">
        <f t="shared" si="151"/>
        <v>5479</v>
      </c>
      <c r="M221" s="1630">
        <f t="shared" si="152"/>
        <v>10958</v>
      </c>
      <c r="N221" s="1625">
        <f t="shared" si="153"/>
        <v>6626.4338885092147</v>
      </c>
      <c r="O221" s="1629">
        <v>0.40060000000000001</v>
      </c>
      <c r="P221" s="1629">
        <v>0.59940000000000004</v>
      </c>
      <c r="Q221" s="1625">
        <f t="shared" si="154"/>
        <v>2654.5494157367916</v>
      </c>
      <c r="R221" s="1628">
        <f t="shared" si="155"/>
        <v>3971.8844727724236</v>
      </c>
      <c r="S221" s="1627">
        <f t="shared" si="156"/>
        <v>4557.4044727724249</v>
      </c>
      <c r="T221" s="1627">
        <f t="shared" si="157"/>
        <v>6400.595527227576</v>
      </c>
      <c r="U221" s="1626">
        <f t="shared" si="158"/>
        <v>1139.3511181931062</v>
      </c>
      <c r="V221" s="1626">
        <f t="shared" si="159"/>
        <v>1600.148881806894</v>
      </c>
      <c r="W221" s="1625">
        <f t="shared" si="160"/>
        <v>2739.5</v>
      </c>
      <c r="X221" s="1614"/>
      <c r="Y221" s="1613"/>
      <c r="Z221" s="1612">
        <f t="shared" si="161"/>
        <v>0.62316478707686196</v>
      </c>
      <c r="AA221" s="1611"/>
      <c r="AB221" s="1611"/>
      <c r="AC221" s="1611"/>
      <c r="AD221" s="1611"/>
      <c r="AE221" s="1611"/>
      <c r="AF221" s="1611"/>
      <c r="AG221" s="1611"/>
      <c r="AH221" s="1611"/>
      <c r="AI221" s="1611"/>
      <c r="AJ221" s="1611"/>
      <c r="AK221" s="1611"/>
      <c r="AL221" s="1611"/>
      <c r="AM221" s="1611"/>
      <c r="AN221" s="1611"/>
      <c r="AO221" s="1611"/>
      <c r="AP221" s="1611"/>
      <c r="AQ221" s="1611"/>
    </row>
    <row r="222" spans="1:43" outlineLevel="2">
      <c r="A222" s="1638" t="s">
        <v>310</v>
      </c>
      <c r="B222" s="1637" t="s">
        <v>118</v>
      </c>
      <c r="C222" s="1636"/>
      <c r="D222" s="1635">
        <v>3</v>
      </c>
      <c r="E222" s="1634" t="s">
        <v>981</v>
      </c>
      <c r="F222" s="1633" t="s">
        <v>1063</v>
      </c>
      <c r="G222" s="1632">
        <v>3605.976944254608</v>
      </c>
      <c r="H222" s="1632">
        <v>5186.24</v>
      </c>
      <c r="I222" s="1630">
        <f t="shared" si="149"/>
        <v>8792.2169442546074</v>
      </c>
      <c r="J222" s="1630">
        <f t="shared" si="150"/>
        <v>26376.650832763822</v>
      </c>
      <c r="K222" s="1631">
        <v>6870</v>
      </c>
      <c r="L222" s="1630">
        <f t="shared" si="151"/>
        <v>6870</v>
      </c>
      <c r="M222" s="1630">
        <f t="shared" si="152"/>
        <v>20610</v>
      </c>
      <c r="N222" s="1625">
        <f t="shared" si="153"/>
        <v>5766.6508327638221</v>
      </c>
      <c r="O222" s="1629">
        <v>0.40060000000000001</v>
      </c>
      <c r="P222" s="1629">
        <v>0.59940000000000004</v>
      </c>
      <c r="Q222" s="1625">
        <f t="shared" si="154"/>
        <v>2310.1203236051874</v>
      </c>
      <c r="R222" s="1628">
        <f t="shared" si="155"/>
        <v>3456.5305091586351</v>
      </c>
      <c r="S222" s="1627">
        <f t="shared" si="156"/>
        <v>8507.8105091586367</v>
      </c>
      <c r="T222" s="1627">
        <f t="shared" si="157"/>
        <v>12102.189490841363</v>
      </c>
      <c r="U222" s="1626">
        <f t="shared" si="158"/>
        <v>2126.9526272896592</v>
      </c>
      <c r="V222" s="1626">
        <f t="shared" si="159"/>
        <v>3025.5473727103408</v>
      </c>
      <c r="W222" s="1625">
        <f t="shared" si="160"/>
        <v>5152.5</v>
      </c>
      <c r="X222" s="1614"/>
      <c r="Y222" s="1613"/>
      <c r="Z222" s="1612">
        <f t="shared" si="161"/>
        <v>0.78137289418106248</v>
      </c>
      <c r="AA222" s="1611"/>
      <c r="AB222" s="1611"/>
      <c r="AC222" s="1611"/>
      <c r="AD222" s="1611"/>
      <c r="AE222" s="1611"/>
      <c r="AF222" s="1611"/>
      <c r="AG222" s="1611"/>
      <c r="AH222" s="1611"/>
      <c r="AI222" s="1611"/>
      <c r="AJ222" s="1611"/>
      <c r="AK222" s="1611"/>
      <c r="AL222" s="1611"/>
      <c r="AM222" s="1611"/>
      <c r="AN222" s="1611"/>
      <c r="AO222" s="1611"/>
      <c r="AP222" s="1611"/>
      <c r="AQ222" s="1611"/>
    </row>
    <row r="223" spans="1:43" outlineLevel="2">
      <c r="A223" s="1638" t="s">
        <v>310</v>
      </c>
      <c r="B223" s="1637" t="s">
        <v>118</v>
      </c>
      <c r="C223" s="1636"/>
      <c r="D223" s="1635">
        <v>1</v>
      </c>
      <c r="E223" s="1634" t="s">
        <v>981</v>
      </c>
      <c r="F223" s="1633" t="s">
        <v>1067</v>
      </c>
      <c r="G223" s="1632">
        <v>3605.976944254608</v>
      </c>
      <c r="H223" s="1632">
        <v>5186.24</v>
      </c>
      <c r="I223" s="1630">
        <f t="shared" si="149"/>
        <v>8792.2169442546074</v>
      </c>
      <c r="J223" s="1630">
        <f t="shared" si="150"/>
        <v>8792.2169442546074</v>
      </c>
      <c r="K223" s="1631">
        <v>6870</v>
      </c>
      <c r="L223" s="1630">
        <f t="shared" si="151"/>
        <v>6870</v>
      </c>
      <c r="M223" s="1630">
        <f t="shared" si="152"/>
        <v>6870</v>
      </c>
      <c r="N223" s="1625">
        <f t="shared" si="153"/>
        <v>1922.2169442546074</v>
      </c>
      <c r="O223" s="1629">
        <v>0.40060000000000001</v>
      </c>
      <c r="P223" s="1629">
        <v>0.59940000000000004</v>
      </c>
      <c r="Q223" s="1625">
        <f t="shared" si="154"/>
        <v>770.04010786839569</v>
      </c>
      <c r="R223" s="1628">
        <f t="shared" si="155"/>
        <v>1152.1768363862118</v>
      </c>
      <c r="S223" s="1627">
        <f t="shared" si="156"/>
        <v>2835.9368363862122</v>
      </c>
      <c r="T223" s="1627">
        <f t="shared" si="157"/>
        <v>4034.0631636137878</v>
      </c>
      <c r="U223" s="1626">
        <f t="shared" si="158"/>
        <v>708.98420909655306</v>
      </c>
      <c r="V223" s="1626">
        <f t="shared" si="159"/>
        <v>1008.5157909034469</v>
      </c>
      <c r="W223" s="1625">
        <f t="shared" si="160"/>
        <v>1717.5</v>
      </c>
      <c r="X223" s="1614"/>
      <c r="Y223" s="1613"/>
      <c r="Z223" s="1612">
        <f t="shared" si="161"/>
        <v>0.78137289418106248</v>
      </c>
      <c r="AA223" s="1611"/>
      <c r="AB223" s="1611"/>
      <c r="AC223" s="1611"/>
      <c r="AD223" s="1611"/>
      <c r="AE223" s="1611"/>
      <c r="AF223" s="1611"/>
      <c r="AG223" s="1611"/>
      <c r="AH223" s="1611"/>
      <c r="AI223" s="1611"/>
      <c r="AJ223" s="1611"/>
      <c r="AK223" s="1611"/>
      <c r="AL223" s="1611"/>
      <c r="AM223" s="1611"/>
      <c r="AN223" s="1611"/>
      <c r="AO223" s="1611"/>
      <c r="AP223" s="1611"/>
      <c r="AQ223" s="1611"/>
    </row>
    <row r="224" spans="1:43" outlineLevel="2">
      <c r="A224" s="1638" t="s">
        <v>310</v>
      </c>
      <c r="B224" s="1637" t="s">
        <v>118</v>
      </c>
      <c r="C224" s="1636"/>
      <c r="D224" s="1635">
        <v>1</v>
      </c>
      <c r="E224" s="1634" t="s">
        <v>901</v>
      </c>
      <c r="F224" s="1633" t="s">
        <v>1071</v>
      </c>
      <c r="G224" s="1632">
        <v>3605.976944254608</v>
      </c>
      <c r="H224" s="1632">
        <v>5186.24</v>
      </c>
      <c r="I224" s="1630">
        <f t="shared" si="149"/>
        <v>8792.2169442546074</v>
      </c>
      <c r="J224" s="1630">
        <f t="shared" si="150"/>
        <v>8792.2169442546074</v>
      </c>
      <c r="K224" s="1631">
        <v>4255</v>
      </c>
      <c r="L224" s="1630">
        <f t="shared" si="151"/>
        <v>4255</v>
      </c>
      <c r="M224" s="1630">
        <f t="shared" si="152"/>
        <v>4255</v>
      </c>
      <c r="N224" s="1625">
        <f t="shared" si="153"/>
        <v>4537.2169442546074</v>
      </c>
      <c r="O224" s="1629">
        <v>0.40060000000000001</v>
      </c>
      <c r="P224" s="1629">
        <v>0.59940000000000004</v>
      </c>
      <c r="Q224" s="1625">
        <f t="shared" si="154"/>
        <v>1817.6091078683958</v>
      </c>
      <c r="R224" s="1628">
        <f t="shared" si="155"/>
        <v>2719.6078363862121</v>
      </c>
      <c r="S224" s="1627">
        <f t="shared" si="156"/>
        <v>1788.3678363862123</v>
      </c>
      <c r="T224" s="1627">
        <f t="shared" si="157"/>
        <v>2466.6321636137877</v>
      </c>
      <c r="U224" s="1626">
        <f t="shared" si="158"/>
        <v>447.09195909655307</v>
      </c>
      <c r="V224" s="1626">
        <f t="shared" si="159"/>
        <v>616.65804090344693</v>
      </c>
      <c r="W224" s="1625">
        <f t="shared" si="160"/>
        <v>1063.75</v>
      </c>
      <c r="X224" s="1614"/>
      <c r="Y224" s="1613"/>
      <c r="Z224" s="1612">
        <f t="shared" si="161"/>
        <v>0.48395075178172065</v>
      </c>
      <c r="AA224" s="1611"/>
      <c r="AB224" s="1611"/>
      <c r="AC224" s="1611"/>
      <c r="AD224" s="1611"/>
      <c r="AE224" s="1611"/>
      <c r="AF224" s="1611"/>
      <c r="AG224" s="1611"/>
      <c r="AH224" s="1611"/>
      <c r="AI224" s="1611"/>
      <c r="AJ224" s="1611"/>
      <c r="AK224" s="1611"/>
      <c r="AL224" s="1611"/>
      <c r="AM224" s="1611"/>
      <c r="AN224" s="1611"/>
      <c r="AO224" s="1611"/>
      <c r="AP224" s="1611"/>
      <c r="AQ224" s="1611"/>
    </row>
    <row r="225" spans="1:43" outlineLevel="2">
      <c r="A225" s="1638" t="s">
        <v>310</v>
      </c>
      <c r="B225" s="1637" t="s">
        <v>118</v>
      </c>
      <c r="C225" s="1636"/>
      <c r="D225" s="1635">
        <v>1</v>
      </c>
      <c r="E225" s="1634" t="s">
        <v>901</v>
      </c>
      <c r="F225" s="1633" t="s">
        <v>1064</v>
      </c>
      <c r="G225" s="1632">
        <v>3605.976944254608</v>
      </c>
      <c r="H225" s="1632">
        <v>5186.24</v>
      </c>
      <c r="I225" s="1630">
        <f t="shared" si="149"/>
        <v>8792.2169442546074</v>
      </c>
      <c r="J225" s="1630">
        <f t="shared" si="150"/>
        <v>8792.2169442546074</v>
      </c>
      <c r="K225" s="1631">
        <v>4255</v>
      </c>
      <c r="L225" s="1630">
        <f t="shared" si="151"/>
        <v>4255</v>
      </c>
      <c r="M225" s="1630">
        <f t="shared" si="152"/>
        <v>4255</v>
      </c>
      <c r="N225" s="1625">
        <f t="shared" si="153"/>
        <v>4537.2169442546074</v>
      </c>
      <c r="O225" s="1629">
        <v>0.40060000000000001</v>
      </c>
      <c r="P225" s="1629">
        <v>0.59940000000000004</v>
      </c>
      <c r="Q225" s="1625">
        <f t="shared" si="154"/>
        <v>1817.6091078683958</v>
      </c>
      <c r="R225" s="1628">
        <f t="shared" si="155"/>
        <v>2719.6078363862121</v>
      </c>
      <c r="S225" s="1627">
        <f t="shared" si="156"/>
        <v>1788.3678363862123</v>
      </c>
      <c r="T225" s="1627">
        <f t="shared" si="157"/>
        <v>2466.6321636137877</v>
      </c>
      <c r="U225" s="1626">
        <f t="shared" si="158"/>
        <v>447.09195909655307</v>
      </c>
      <c r="V225" s="1626">
        <f t="shared" si="159"/>
        <v>616.65804090344693</v>
      </c>
      <c r="W225" s="1625">
        <f t="shared" si="160"/>
        <v>1063.75</v>
      </c>
      <c r="X225" s="1614"/>
      <c r="Y225" s="1613"/>
      <c r="Z225" s="1612">
        <f t="shared" si="161"/>
        <v>0.48395075178172065</v>
      </c>
      <c r="AA225" s="1611"/>
      <c r="AB225" s="1611"/>
      <c r="AC225" s="1611"/>
      <c r="AD225" s="1611"/>
      <c r="AE225" s="1611"/>
      <c r="AF225" s="1611"/>
      <c r="AG225" s="1611"/>
      <c r="AH225" s="1611"/>
      <c r="AI225" s="1611"/>
      <c r="AJ225" s="1611"/>
      <c r="AK225" s="1611"/>
      <c r="AL225" s="1611"/>
      <c r="AM225" s="1611"/>
      <c r="AN225" s="1611"/>
      <c r="AO225" s="1611"/>
      <c r="AP225" s="1611"/>
      <c r="AQ225" s="1611"/>
    </row>
    <row r="226" spans="1:43" outlineLevel="2">
      <c r="A226" s="1638" t="s">
        <v>310</v>
      </c>
      <c r="B226" s="1637" t="s">
        <v>118</v>
      </c>
      <c r="C226" s="1636"/>
      <c r="D226" s="1635">
        <v>1</v>
      </c>
      <c r="E226" s="1634" t="s">
        <v>888</v>
      </c>
      <c r="F226" s="1633" t="s">
        <v>1064</v>
      </c>
      <c r="G226" s="1632">
        <v>3605.976944254608</v>
      </c>
      <c r="H226" s="1632">
        <v>5186.24</v>
      </c>
      <c r="I226" s="1630">
        <f t="shared" si="149"/>
        <v>8792.2169442546074</v>
      </c>
      <c r="J226" s="1630">
        <f t="shared" si="150"/>
        <v>8792.2169442546074</v>
      </c>
      <c r="K226" s="1631">
        <v>5575</v>
      </c>
      <c r="L226" s="1630">
        <f t="shared" si="151"/>
        <v>5575</v>
      </c>
      <c r="M226" s="1630">
        <f t="shared" si="152"/>
        <v>5575</v>
      </c>
      <c r="N226" s="1625">
        <f t="shared" si="153"/>
        <v>3217.2169442546074</v>
      </c>
      <c r="O226" s="1629">
        <v>0.40060000000000001</v>
      </c>
      <c r="P226" s="1629">
        <v>0.59940000000000004</v>
      </c>
      <c r="Q226" s="1625">
        <f t="shared" si="154"/>
        <v>1288.8171078683959</v>
      </c>
      <c r="R226" s="1628">
        <f t="shared" si="155"/>
        <v>1928.3998363862117</v>
      </c>
      <c r="S226" s="1627">
        <f t="shared" si="156"/>
        <v>2317.1598363862122</v>
      </c>
      <c r="T226" s="1627">
        <f t="shared" si="157"/>
        <v>3257.8401636137878</v>
      </c>
      <c r="U226" s="1626">
        <f t="shared" si="158"/>
        <v>579.28995909655305</v>
      </c>
      <c r="V226" s="1626">
        <f t="shared" si="159"/>
        <v>814.46004090344695</v>
      </c>
      <c r="W226" s="1625">
        <f t="shared" si="160"/>
        <v>1393.75</v>
      </c>
      <c r="X226" s="1614"/>
      <c r="Y226" s="1613"/>
      <c r="Z226" s="1612">
        <f t="shared" si="161"/>
        <v>0.63408353494314751</v>
      </c>
      <c r="AA226" s="1611"/>
      <c r="AB226" s="1611"/>
      <c r="AC226" s="1611"/>
      <c r="AD226" s="1611"/>
      <c r="AE226" s="1611"/>
      <c r="AF226" s="1611"/>
      <c r="AG226" s="1611"/>
      <c r="AH226" s="1611"/>
      <c r="AI226" s="1611"/>
      <c r="AJ226" s="1611"/>
      <c r="AK226" s="1611"/>
      <c r="AL226" s="1611"/>
      <c r="AM226" s="1611"/>
      <c r="AN226" s="1611"/>
      <c r="AO226" s="1611"/>
      <c r="AP226" s="1611"/>
      <c r="AQ226" s="1611"/>
    </row>
    <row r="227" spans="1:43" outlineLevel="2">
      <c r="A227" s="1638" t="s">
        <v>310</v>
      </c>
      <c r="B227" s="1637" t="s">
        <v>118</v>
      </c>
      <c r="C227" s="1636"/>
      <c r="D227" s="1635">
        <v>1</v>
      </c>
      <c r="E227" s="1634" t="s">
        <v>980</v>
      </c>
      <c r="F227" s="1633" t="s">
        <v>979</v>
      </c>
      <c r="G227" s="1632">
        <v>3605.976944254608</v>
      </c>
      <c r="H227" s="1632">
        <v>5186.24</v>
      </c>
      <c r="I227" s="1630">
        <f t="shared" si="149"/>
        <v>8792.2169442546074</v>
      </c>
      <c r="J227" s="1630">
        <f t="shared" si="150"/>
        <v>8792.2169442546074</v>
      </c>
      <c r="K227" s="1631">
        <v>8736</v>
      </c>
      <c r="L227" s="1630">
        <f t="shared" si="151"/>
        <v>8736</v>
      </c>
      <c r="M227" s="1630">
        <f t="shared" si="152"/>
        <v>8736</v>
      </c>
      <c r="N227" s="1625">
        <f t="shared" si="153"/>
        <v>56.21694425460737</v>
      </c>
      <c r="O227" s="1629">
        <v>0.40060000000000001</v>
      </c>
      <c r="P227" s="1629">
        <v>0.59940000000000004</v>
      </c>
      <c r="Q227" s="1625">
        <f t="shared" si="154"/>
        <v>22.520507868395711</v>
      </c>
      <c r="R227" s="1628">
        <f t="shared" si="155"/>
        <v>33.696436386211658</v>
      </c>
      <c r="S227" s="1627">
        <f t="shared" si="156"/>
        <v>3583.4564363862123</v>
      </c>
      <c r="T227" s="1627">
        <f t="shared" si="157"/>
        <v>5152.5435636137881</v>
      </c>
      <c r="U227" s="1626">
        <f t="shared" si="158"/>
        <v>895.86410909655308</v>
      </c>
      <c r="V227" s="1626">
        <f t="shared" si="159"/>
        <v>1288.135890903447</v>
      </c>
      <c r="W227" s="1625">
        <f t="shared" si="160"/>
        <v>2184</v>
      </c>
      <c r="X227" s="1614"/>
      <c r="Y227" s="1613"/>
      <c r="Z227" s="1612">
        <f t="shared" si="161"/>
        <v>0.99360605583198869</v>
      </c>
      <c r="AA227" s="1611"/>
      <c r="AB227" s="1611"/>
      <c r="AC227" s="1611"/>
      <c r="AD227" s="1611"/>
      <c r="AE227" s="1611"/>
      <c r="AF227" s="1611"/>
      <c r="AG227" s="1611"/>
      <c r="AH227" s="1611"/>
      <c r="AI227" s="1611"/>
      <c r="AJ227" s="1611"/>
      <c r="AK227" s="1611"/>
      <c r="AL227" s="1611"/>
      <c r="AM227" s="1611"/>
      <c r="AN227" s="1611"/>
      <c r="AO227" s="1611"/>
      <c r="AP227" s="1611"/>
      <c r="AQ227" s="1611"/>
    </row>
    <row r="228" spans="1:43" outlineLevel="2">
      <c r="A228" s="1638" t="s">
        <v>310</v>
      </c>
      <c r="B228" s="1637" t="s">
        <v>118</v>
      </c>
      <c r="C228" s="1636"/>
      <c r="D228" s="1635">
        <v>1</v>
      </c>
      <c r="E228" s="1634" t="s">
        <v>982</v>
      </c>
      <c r="F228" s="1633" t="s">
        <v>1079</v>
      </c>
      <c r="G228" s="1632">
        <v>3605.976944254608</v>
      </c>
      <c r="H228" s="1632">
        <v>5186.24</v>
      </c>
      <c r="I228" s="1630">
        <f t="shared" si="149"/>
        <v>8792.2169442546074</v>
      </c>
      <c r="J228" s="1630">
        <f t="shared" si="150"/>
        <v>8792.2169442546074</v>
      </c>
      <c r="K228" s="1631">
        <v>4800</v>
      </c>
      <c r="L228" s="1630">
        <f t="shared" si="151"/>
        <v>4800</v>
      </c>
      <c r="M228" s="1630">
        <f t="shared" si="152"/>
        <v>4800</v>
      </c>
      <c r="N228" s="1625">
        <f t="shared" si="153"/>
        <v>3992.2169442546074</v>
      </c>
      <c r="O228" s="1629">
        <v>0.40060000000000001</v>
      </c>
      <c r="P228" s="1629">
        <v>0.59940000000000004</v>
      </c>
      <c r="Q228" s="1625">
        <f t="shared" si="154"/>
        <v>1599.2821078683958</v>
      </c>
      <c r="R228" s="1628">
        <f t="shared" si="155"/>
        <v>2392.9348363862118</v>
      </c>
      <c r="S228" s="1627">
        <f t="shared" si="156"/>
        <v>2006.6948363862123</v>
      </c>
      <c r="T228" s="1627">
        <f t="shared" si="157"/>
        <v>2793.305163613788</v>
      </c>
      <c r="U228" s="1626">
        <f t="shared" si="158"/>
        <v>501.67370909655307</v>
      </c>
      <c r="V228" s="1626">
        <f t="shared" si="159"/>
        <v>698.32629090344699</v>
      </c>
      <c r="W228" s="1625">
        <f t="shared" si="160"/>
        <v>1200</v>
      </c>
      <c r="X228" s="1614"/>
      <c r="Y228" s="1613"/>
      <c r="Z228" s="1612">
        <f t="shared" si="161"/>
        <v>0.54593739331427948</v>
      </c>
      <c r="AA228" s="1611"/>
      <c r="AB228" s="1611"/>
      <c r="AC228" s="1611"/>
      <c r="AD228" s="1611"/>
      <c r="AE228" s="1611"/>
      <c r="AF228" s="1611"/>
      <c r="AG228" s="1611"/>
      <c r="AH228" s="1611"/>
      <c r="AI228" s="1611"/>
      <c r="AJ228" s="1611"/>
      <c r="AK228" s="1611"/>
      <c r="AL228" s="1611"/>
      <c r="AM228" s="1611"/>
      <c r="AN228" s="1611"/>
      <c r="AO228" s="1611"/>
      <c r="AP228" s="1611"/>
      <c r="AQ228" s="1611"/>
    </row>
    <row r="229" spans="1:43" outlineLevel="2">
      <c r="A229" s="1638" t="s">
        <v>310</v>
      </c>
      <c r="B229" s="1637" t="s">
        <v>118</v>
      </c>
      <c r="C229" s="1636"/>
      <c r="D229" s="1635">
        <v>1</v>
      </c>
      <c r="E229" s="1634" t="s">
        <v>938</v>
      </c>
      <c r="F229" s="1633" t="s">
        <v>1071</v>
      </c>
      <c r="G229" s="1632">
        <v>3605.976944254608</v>
      </c>
      <c r="H229" s="1632">
        <v>5186.24</v>
      </c>
      <c r="I229" s="1630">
        <f t="shared" si="149"/>
        <v>8792.2169442546074</v>
      </c>
      <c r="J229" s="1630">
        <f t="shared" si="150"/>
        <v>8792.2169442546074</v>
      </c>
      <c r="K229" s="1631">
        <v>4770</v>
      </c>
      <c r="L229" s="1630">
        <f t="shared" si="151"/>
        <v>4770</v>
      </c>
      <c r="M229" s="1630">
        <f t="shared" si="152"/>
        <v>4770</v>
      </c>
      <c r="N229" s="1625">
        <f t="shared" si="153"/>
        <v>4022.2169442546074</v>
      </c>
      <c r="O229" s="1629">
        <v>0.40060000000000001</v>
      </c>
      <c r="P229" s="1629">
        <v>0.59940000000000004</v>
      </c>
      <c r="Q229" s="1625">
        <f t="shared" si="154"/>
        <v>1611.3001078683958</v>
      </c>
      <c r="R229" s="1628">
        <f t="shared" si="155"/>
        <v>2410.9168363862118</v>
      </c>
      <c r="S229" s="1627">
        <f t="shared" si="156"/>
        <v>1994.6768363862122</v>
      </c>
      <c r="T229" s="1627">
        <f t="shared" si="157"/>
        <v>2775.323163613788</v>
      </c>
      <c r="U229" s="1626">
        <f t="shared" si="158"/>
        <v>498.66920909655306</v>
      </c>
      <c r="V229" s="1626">
        <f t="shared" si="159"/>
        <v>693.830790903447</v>
      </c>
      <c r="W229" s="1625">
        <f t="shared" si="160"/>
        <v>1192.5</v>
      </c>
      <c r="X229" s="1614"/>
      <c r="Y229" s="1613"/>
      <c r="Z229" s="1612">
        <f t="shared" si="161"/>
        <v>0.54252528460606519</v>
      </c>
      <c r="AA229" s="1611"/>
      <c r="AB229" s="1611"/>
      <c r="AC229" s="1611"/>
      <c r="AD229" s="1611"/>
      <c r="AE229" s="1611"/>
      <c r="AF229" s="1611"/>
      <c r="AG229" s="1611"/>
      <c r="AH229" s="1611"/>
      <c r="AI229" s="1611"/>
      <c r="AJ229" s="1611"/>
      <c r="AK229" s="1611"/>
      <c r="AL229" s="1611"/>
      <c r="AM229" s="1611"/>
      <c r="AN229" s="1611"/>
      <c r="AO229" s="1611"/>
      <c r="AP229" s="1611"/>
      <c r="AQ229" s="1611"/>
    </row>
    <row r="230" spans="1:43" outlineLevel="2">
      <c r="A230" s="1638" t="s">
        <v>310</v>
      </c>
      <c r="B230" s="1637" t="s">
        <v>118</v>
      </c>
      <c r="C230" s="1636"/>
      <c r="D230" s="1635">
        <v>2</v>
      </c>
      <c r="E230" s="1634" t="s">
        <v>984</v>
      </c>
      <c r="F230" s="1633" t="s">
        <v>1067</v>
      </c>
      <c r="G230" s="1632">
        <v>3605.976944254608</v>
      </c>
      <c r="H230" s="1632">
        <v>5186.24</v>
      </c>
      <c r="I230" s="1630">
        <f t="shared" si="149"/>
        <v>8792.2169442546074</v>
      </c>
      <c r="J230" s="1630">
        <f t="shared" si="150"/>
        <v>17584.433888509215</v>
      </c>
      <c r="K230" s="1631">
        <v>5480</v>
      </c>
      <c r="L230" s="1630">
        <f t="shared" si="151"/>
        <v>5480</v>
      </c>
      <c r="M230" s="1630">
        <f t="shared" si="152"/>
        <v>10960</v>
      </c>
      <c r="N230" s="1625">
        <f t="shared" si="153"/>
        <v>6624.4338885092147</v>
      </c>
      <c r="O230" s="1629">
        <v>0.40060000000000001</v>
      </c>
      <c r="P230" s="1629">
        <v>0.59940000000000004</v>
      </c>
      <c r="Q230" s="1625">
        <f t="shared" si="154"/>
        <v>2653.7482157367913</v>
      </c>
      <c r="R230" s="1628">
        <f t="shared" si="155"/>
        <v>3970.6856727724235</v>
      </c>
      <c r="S230" s="1627">
        <f t="shared" si="156"/>
        <v>4558.2056727724248</v>
      </c>
      <c r="T230" s="1627">
        <f t="shared" si="157"/>
        <v>6401.7943272275761</v>
      </c>
      <c r="U230" s="1626">
        <f t="shared" si="158"/>
        <v>1139.5514181931062</v>
      </c>
      <c r="V230" s="1626">
        <f t="shared" si="159"/>
        <v>1600.448581806894</v>
      </c>
      <c r="W230" s="1625">
        <f t="shared" si="160"/>
        <v>2740</v>
      </c>
      <c r="X230" s="1614"/>
      <c r="Y230" s="1613"/>
      <c r="Z230" s="1612">
        <f t="shared" si="161"/>
        <v>0.62327852403380235</v>
      </c>
      <c r="AA230" s="1611"/>
      <c r="AB230" s="1611"/>
      <c r="AC230" s="1611"/>
      <c r="AD230" s="1611"/>
      <c r="AE230" s="1611"/>
      <c r="AF230" s="1611"/>
      <c r="AG230" s="1611"/>
      <c r="AH230" s="1611"/>
      <c r="AI230" s="1611"/>
      <c r="AJ230" s="1611"/>
      <c r="AK230" s="1611"/>
      <c r="AL230" s="1611"/>
      <c r="AM230" s="1611"/>
      <c r="AN230" s="1611"/>
      <c r="AO230" s="1611"/>
      <c r="AP230" s="1611"/>
      <c r="AQ230" s="1611"/>
    </row>
    <row r="231" spans="1:43" outlineLevel="1">
      <c r="A231" s="1624"/>
      <c r="B231" s="1623" t="s">
        <v>1111</v>
      </c>
      <c r="C231" s="1622"/>
      <c r="D231" s="1621">
        <f>SUBTOTAL(9,D214:D230)</f>
        <v>30</v>
      </c>
      <c r="E231" s="1620"/>
      <c r="F231" s="1639"/>
      <c r="G231" s="1639"/>
      <c r="H231" s="1639"/>
      <c r="I231" s="1616"/>
      <c r="J231" s="1616">
        <f>SUBTOTAL(9,J214:J230)</f>
        <v>263766.50832763826</v>
      </c>
      <c r="K231" s="1615"/>
      <c r="L231" s="1616"/>
      <c r="M231" s="1616">
        <f>SUBTOTAL(9,M214:M230)</f>
        <v>167090</v>
      </c>
      <c r="N231" s="1615">
        <f>SUBTOTAL(9,N214:N230)</f>
        <v>96676.508327638279</v>
      </c>
      <c r="O231" s="1616"/>
      <c r="P231" s="1616"/>
      <c r="Q231" s="1615">
        <f t="shared" ref="Q231:W231" si="162">SUBTOTAL(9,Q214:Q230)</f>
        <v>38728.609236051874</v>
      </c>
      <c r="R231" s="1615">
        <f t="shared" si="162"/>
        <v>57947.899091586354</v>
      </c>
      <c r="S231" s="1616">
        <f t="shared" si="162"/>
        <v>69450.699091586386</v>
      </c>
      <c r="T231" s="1616">
        <f t="shared" si="162"/>
        <v>97639.300908413628</v>
      </c>
      <c r="U231" s="1616">
        <f t="shared" si="162"/>
        <v>17362.674772896597</v>
      </c>
      <c r="V231" s="1616">
        <f t="shared" si="162"/>
        <v>24409.825227103407</v>
      </c>
      <c r="W231" s="1615">
        <f t="shared" si="162"/>
        <v>41772.5</v>
      </c>
      <c r="X231" s="1614"/>
      <c r="Y231" s="1613"/>
      <c r="Z231" s="1612"/>
      <c r="AA231" s="1611"/>
      <c r="AB231" s="1611"/>
      <c r="AC231" s="1611"/>
      <c r="AD231" s="1611"/>
      <c r="AE231" s="1611"/>
      <c r="AF231" s="1611"/>
      <c r="AG231" s="1611"/>
      <c r="AH231" s="1611"/>
      <c r="AI231" s="1611"/>
      <c r="AJ231" s="1611"/>
      <c r="AK231" s="1611"/>
      <c r="AL231" s="1611"/>
      <c r="AM231" s="1611"/>
      <c r="AN231" s="1611"/>
      <c r="AO231" s="1611"/>
      <c r="AP231" s="1611"/>
      <c r="AQ231" s="1611"/>
    </row>
    <row r="232" spans="1:43" outlineLevel="2">
      <c r="A232" s="1638" t="s">
        <v>311</v>
      </c>
      <c r="B232" s="1637" t="s">
        <v>119</v>
      </c>
      <c r="C232" s="1636"/>
      <c r="D232" s="1635">
        <v>2</v>
      </c>
      <c r="E232" s="1634" t="s">
        <v>904</v>
      </c>
      <c r="F232" s="1633" t="s">
        <v>1070</v>
      </c>
      <c r="G232" s="1632">
        <v>4412.030434335973</v>
      </c>
      <c r="H232" s="1632">
        <v>4430.78</v>
      </c>
      <c r="I232" s="1630">
        <f>G232+H232</f>
        <v>8842.8104343359737</v>
      </c>
      <c r="J232" s="1630">
        <f>D232*I232</f>
        <v>17685.620868671947</v>
      </c>
      <c r="K232" s="1631">
        <v>6300</v>
      </c>
      <c r="L232" s="1630">
        <f>IF(I232&gt;K232,K232,I232)</f>
        <v>6300</v>
      </c>
      <c r="M232" s="1630">
        <f>L232*D232</f>
        <v>12600</v>
      </c>
      <c r="N232" s="1625">
        <f>J232-M232</f>
        <v>5085.6208686719474</v>
      </c>
      <c r="O232" s="1629">
        <v>0.56189999999999996</v>
      </c>
      <c r="P232" s="1629">
        <v>0.43809999999999999</v>
      </c>
      <c r="Q232" s="1625">
        <f>N232*O232</f>
        <v>2857.6103661067668</v>
      </c>
      <c r="R232" s="1628">
        <f>N232*P232</f>
        <v>2228.0105025651801</v>
      </c>
      <c r="S232" s="1627">
        <f>(G232*D232)-Q232</f>
        <v>5966.4505025651797</v>
      </c>
      <c r="T232" s="1627">
        <f>(H232*D232)-R232</f>
        <v>6633.5494974348194</v>
      </c>
      <c r="U232" s="1626">
        <f t="shared" ref="U232:V236" si="163">S232/4</f>
        <v>1491.6126256412949</v>
      </c>
      <c r="V232" s="1626">
        <f t="shared" si="163"/>
        <v>1658.3873743587048</v>
      </c>
      <c r="W232" s="1625">
        <f>V232+U232</f>
        <v>3150</v>
      </c>
      <c r="X232" s="1614"/>
      <c r="Y232" s="1613"/>
      <c r="Z232" s="1612">
        <f>K232/I232</f>
        <v>0.71244318158597741</v>
      </c>
      <c r="AA232" s="1611"/>
      <c r="AB232" s="1611"/>
      <c r="AC232" s="1611"/>
      <c r="AD232" s="1611"/>
      <c r="AE232" s="1611"/>
      <c r="AF232" s="1611"/>
      <c r="AG232" s="1611"/>
      <c r="AH232" s="1611"/>
      <c r="AI232" s="1611"/>
      <c r="AJ232" s="1611"/>
      <c r="AK232" s="1611"/>
      <c r="AL232" s="1611"/>
      <c r="AM232" s="1611"/>
      <c r="AN232" s="1611"/>
      <c r="AO232" s="1611"/>
      <c r="AP232" s="1611"/>
      <c r="AQ232" s="1611"/>
    </row>
    <row r="233" spans="1:43" outlineLevel="2">
      <c r="A233" s="1638" t="s">
        <v>311</v>
      </c>
      <c r="B233" s="1637" t="s">
        <v>119</v>
      </c>
      <c r="C233" s="1636"/>
      <c r="D233" s="1635">
        <v>1</v>
      </c>
      <c r="E233" s="1634" t="s">
        <v>904</v>
      </c>
      <c r="F233" s="1633" t="s">
        <v>1069</v>
      </c>
      <c r="G233" s="1632">
        <v>4412.030434335973</v>
      </c>
      <c r="H233" s="1632">
        <v>4430.78</v>
      </c>
      <c r="I233" s="1630">
        <f>G233+H233</f>
        <v>8842.8104343359737</v>
      </c>
      <c r="J233" s="1630">
        <f>D233*I233</f>
        <v>8842.8104343359737</v>
      </c>
      <c r="K233" s="1631">
        <v>6300</v>
      </c>
      <c r="L233" s="1630">
        <f>IF(I233&gt;K233,K233,I233)</f>
        <v>6300</v>
      </c>
      <c r="M233" s="1630">
        <f>L233*D233</f>
        <v>6300</v>
      </c>
      <c r="N233" s="1625">
        <f>J233-M233</f>
        <v>2542.8104343359737</v>
      </c>
      <c r="O233" s="1629">
        <v>0.56189999999999996</v>
      </c>
      <c r="P233" s="1629">
        <v>0.43809999999999999</v>
      </c>
      <c r="Q233" s="1625">
        <f>N233*O233</f>
        <v>1428.8051830533834</v>
      </c>
      <c r="R233" s="1628">
        <f>N233*P233</f>
        <v>1114.0052512825901</v>
      </c>
      <c r="S233" s="1627">
        <f>(G233*D233)-Q233</f>
        <v>2983.2252512825899</v>
      </c>
      <c r="T233" s="1627">
        <f>(H233*D233)-R233</f>
        <v>3316.7747487174097</v>
      </c>
      <c r="U233" s="1626">
        <f t="shared" si="163"/>
        <v>745.80631282064746</v>
      </c>
      <c r="V233" s="1626">
        <f t="shared" si="163"/>
        <v>829.19368717935242</v>
      </c>
      <c r="W233" s="1625">
        <f>V233+U233</f>
        <v>1575</v>
      </c>
      <c r="X233" s="1614"/>
      <c r="Y233" s="1613"/>
      <c r="Z233" s="1612">
        <f>K233/I233</f>
        <v>0.71244318158597741</v>
      </c>
      <c r="AA233" s="1611"/>
      <c r="AB233" s="1611"/>
      <c r="AC233" s="1611"/>
      <c r="AD233" s="1611"/>
      <c r="AE233" s="1611"/>
      <c r="AF233" s="1611"/>
      <c r="AG233" s="1611"/>
      <c r="AH233" s="1611"/>
      <c r="AI233" s="1611"/>
      <c r="AJ233" s="1611"/>
      <c r="AK233" s="1611"/>
      <c r="AL233" s="1611"/>
      <c r="AM233" s="1611"/>
      <c r="AN233" s="1611"/>
      <c r="AO233" s="1611"/>
      <c r="AP233" s="1611"/>
      <c r="AQ233" s="1611"/>
    </row>
    <row r="234" spans="1:43" outlineLevel="2">
      <c r="A234" s="1638" t="s">
        <v>311</v>
      </c>
      <c r="B234" s="1637" t="s">
        <v>119</v>
      </c>
      <c r="C234" s="1636"/>
      <c r="D234" s="1635">
        <v>1</v>
      </c>
      <c r="E234" s="1634" t="s">
        <v>904</v>
      </c>
      <c r="F234" s="1633" t="s">
        <v>1064</v>
      </c>
      <c r="G234" s="1632">
        <v>4412.030434335973</v>
      </c>
      <c r="H234" s="1632">
        <v>4430.78</v>
      </c>
      <c r="I234" s="1630">
        <f>G234+H234</f>
        <v>8842.8104343359737</v>
      </c>
      <c r="J234" s="1630">
        <f>D234*I234</f>
        <v>8842.8104343359737</v>
      </c>
      <c r="K234" s="1631">
        <v>6300</v>
      </c>
      <c r="L234" s="1630">
        <f>IF(I234&gt;K234,K234,I234)</f>
        <v>6300</v>
      </c>
      <c r="M234" s="1630">
        <f>L234*D234</f>
        <v>6300</v>
      </c>
      <c r="N234" s="1625">
        <f>J234-M234</f>
        <v>2542.8104343359737</v>
      </c>
      <c r="O234" s="1629">
        <v>0.56189999999999996</v>
      </c>
      <c r="P234" s="1629">
        <v>0.43809999999999999</v>
      </c>
      <c r="Q234" s="1625">
        <f>N234*O234</f>
        <v>1428.8051830533834</v>
      </c>
      <c r="R234" s="1628">
        <f>N234*P234</f>
        <v>1114.0052512825901</v>
      </c>
      <c r="S234" s="1627">
        <f>(G234*D234)-Q234</f>
        <v>2983.2252512825899</v>
      </c>
      <c r="T234" s="1627">
        <f>(H234*D234)-R234</f>
        <v>3316.7747487174097</v>
      </c>
      <c r="U234" s="1626">
        <f t="shared" si="163"/>
        <v>745.80631282064746</v>
      </c>
      <c r="V234" s="1626">
        <f t="shared" si="163"/>
        <v>829.19368717935242</v>
      </c>
      <c r="W234" s="1625">
        <f>V234+U234</f>
        <v>1575</v>
      </c>
      <c r="X234" s="1614"/>
      <c r="Y234" s="1613"/>
      <c r="Z234" s="1612">
        <f>K234/I234</f>
        <v>0.71244318158597741</v>
      </c>
      <c r="AA234" s="1611"/>
      <c r="AB234" s="1611"/>
      <c r="AC234" s="1611"/>
      <c r="AD234" s="1611"/>
      <c r="AE234" s="1611"/>
      <c r="AF234" s="1611"/>
      <c r="AG234" s="1611"/>
      <c r="AH234" s="1611"/>
      <c r="AI234" s="1611"/>
      <c r="AJ234" s="1611"/>
      <c r="AK234" s="1611"/>
      <c r="AL234" s="1611"/>
      <c r="AM234" s="1611"/>
      <c r="AN234" s="1611"/>
      <c r="AO234" s="1611"/>
      <c r="AP234" s="1611"/>
      <c r="AQ234" s="1611"/>
    </row>
    <row r="235" spans="1:43" outlineLevel="2">
      <c r="A235" s="1638" t="s">
        <v>311</v>
      </c>
      <c r="B235" s="1637" t="s">
        <v>119</v>
      </c>
      <c r="C235" s="1636"/>
      <c r="D235" s="1635">
        <v>2</v>
      </c>
      <c r="E235" s="1634" t="s">
        <v>904</v>
      </c>
      <c r="F235" s="1633" t="s">
        <v>979</v>
      </c>
      <c r="G235" s="1632">
        <v>4412.030434335973</v>
      </c>
      <c r="H235" s="1632">
        <v>4430.78</v>
      </c>
      <c r="I235" s="1630">
        <f>G235+H235</f>
        <v>8842.8104343359737</v>
      </c>
      <c r="J235" s="1630">
        <f>D235*I235</f>
        <v>17685.620868671947</v>
      </c>
      <c r="K235" s="1631">
        <v>6300</v>
      </c>
      <c r="L235" s="1630">
        <f>IF(I235&gt;K235,K235,I235)</f>
        <v>6300</v>
      </c>
      <c r="M235" s="1630">
        <f>L235*D235</f>
        <v>12600</v>
      </c>
      <c r="N235" s="1625">
        <f>J235-M235</f>
        <v>5085.6208686719474</v>
      </c>
      <c r="O235" s="1629">
        <v>0.56189999999999996</v>
      </c>
      <c r="P235" s="1629">
        <v>0.43809999999999999</v>
      </c>
      <c r="Q235" s="1625">
        <f>N235*O235</f>
        <v>2857.6103661067668</v>
      </c>
      <c r="R235" s="1628">
        <f>N235*P235</f>
        <v>2228.0105025651801</v>
      </c>
      <c r="S235" s="1627">
        <f>(G235*D235)-Q235</f>
        <v>5966.4505025651797</v>
      </c>
      <c r="T235" s="1627">
        <f>(H235*D235)-R235</f>
        <v>6633.5494974348194</v>
      </c>
      <c r="U235" s="1626">
        <f t="shared" si="163"/>
        <v>1491.6126256412949</v>
      </c>
      <c r="V235" s="1626">
        <f t="shared" si="163"/>
        <v>1658.3873743587048</v>
      </c>
      <c r="W235" s="1625">
        <f>V235+U235</f>
        <v>3150</v>
      </c>
      <c r="X235" s="1614"/>
      <c r="Y235" s="1613"/>
      <c r="Z235" s="1612">
        <f>K235/I235</f>
        <v>0.71244318158597741</v>
      </c>
      <c r="AA235" s="1611"/>
      <c r="AB235" s="1611"/>
      <c r="AC235" s="1611"/>
      <c r="AD235" s="1611"/>
      <c r="AE235" s="1611"/>
      <c r="AF235" s="1611"/>
      <c r="AG235" s="1611"/>
      <c r="AH235" s="1611"/>
      <c r="AI235" s="1611"/>
      <c r="AJ235" s="1611"/>
      <c r="AK235" s="1611"/>
      <c r="AL235" s="1611"/>
      <c r="AM235" s="1611"/>
      <c r="AN235" s="1611"/>
      <c r="AO235" s="1611"/>
      <c r="AP235" s="1611"/>
      <c r="AQ235" s="1611"/>
    </row>
    <row r="236" spans="1:43" outlineLevel="2">
      <c r="A236" s="1638" t="s">
        <v>311</v>
      </c>
      <c r="B236" s="1637" t="s">
        <v>119</v>
      </c>
      <c r="C236" s="1636"/>
      <c r="D236" s="1635">
        <v>1</v>
      </c>
      <c r="E236" s="1634" t="s">
        <v>896</v>
      </c>
      <c r="F236" s="1633" t="s">
        <v>1070</v>
      </c>
      <c r="G236" s="1632">
        <v>4412.030434335973</v>
      </c>
      <c r="H236" s="1632">
        <v>4430.78</v>
      </c>
      <c r="I236" s="1630">
        <f>G236+H236</f>
        <v>8842.8104343359737</v>
      </c>
      <c r="J236" s="1630">
        <f>D236*I236</f>
        <v>8842.8104343359737</v>
      </c>
      <c r="K236" s="1631">
        <v>5316.95</v>
      </c>
      <c r="L236" s="1630">
        <f>IF(I236&gt;K236,K236,I236)</f>
        <v>5316.95</v>
      </c>
      <c r="M236" s="1630">
        <f>L236*D236</f>
        <v>5316.95</v>
      </c>
      <c r="N236" s="1625">
        <f>J236-M236</f>
        <v>3525.8604343359739</v>
      </c>
      <c r="O236" s="1629">
        <v>0.56189999999999996</v>
      </c>
      <c r="P236" s="1629">
        <v>0.43809999999999999</v>
      </c>
      <c r="Q236" s="1625">
        <f>N236*O236</f>
        <v>1981.1809780533836</v>
      </c>
      <c r="R236" s="1628">
        <f>N236*P236</f>
        <v>1544.6794562825901</v>
      </c>
      <c r="S236" s="1627">
        <f>(G236*D236)-Q236</f>
        <v>2430.8494562825895</v>
      </c>
      <c r="T236" s="1627">
        <f>(H236*D236)-R236</f>
        <v>2886.1005437174099</v>
      </c>
      <c r="U236" s="1626">
        <f t="shared" si="163"/>
        <v>607.71236407064737</v>
      </c>
      <c r="V236" s="1626">
        <f t="shared" si="163"/>
        <v>721.52513592935247</v>
      </c>
      <c r="W236" s="1625">
        <f>V236+U236</f>
        <v>1329.2374999999997</v>
      </c>
      <c r="X236" s="1614"/>
      <c r="Y236" s="1613"/>
      <c r="Z236" s="1612">
        <f>K236/I236</f>
        <v>0.60127377370374013</v>
      </c>
      <c r="AA236" s="1611"/>
      <c r="AB236" s="1611"/>
      <c r="AC236" s="1611"/>
      <c r="AD236" s="1611"/>
      <c r="AE236" s="1611"/>
      <c r="AF236" s="1611"/>
      <c r="AG236" s="1611"/>
      <c r="AH236" s="1611"/>
      <c r="AI236" s="1611"/>
      <c r="AJ236" s="1611"/>
      <c r="AK236" s="1611"/>
      <c r="AL236" s="1611"/>
      <c r="AM236" s="1611"/>
      <c r="AN236" s="1611"/>
      <c r="AO236" s="1611"/>
      <c r="AP236" s="1611"/>
      <c r="AQ236" s="1611"/>
    </row>
    <row r="237" spans="1:43" outlineLevel="1">
      <c r="A237" s="1624"/>
      <c r="B237" s="1623" t="s">
        <v>1110</v>
      </c>
      <c r="C237" s="1622"/>
      <c r="D237" s="1621">
        <f>SUBTOTAL(9,D232:D236)</f>
        <v>7</v>
      </c>
      <c r="E237" s="1620"/>
      <c r="F237" s="1639"/>
      <c r="G237" s="1639"/>
      <c r="H237" s="1639"/>
      <c r="I237" s="1616"/>
      <c r="J237" s="1616">
        <f>SUBTOTAL(9,J232:J236)</f>
        <v>61899.673040351816</v>
      </c>
      <c r="K237" s="1615"/>
      <c r="L237" s="1616"/>
      <c r="M237" s="1616">
        <f>SUBTOTAL(9,M232:M236)</f>
        <v>43116.95</v>
      </c>
      <c r="N237" s="1615">
        <f>SUBTOTAL(9,N232:N236)</f>
        <v>18782.723040351815</v>
      </c>
      <c r="O237" s="1616"/>
      <c r="P237" s="1616"/>
      <c r="Q237" s="1615">
        <f t="shared" ref="Q237:W237" si="164">SUBTOTAL(9,Q232:Q236)</f>
        <v>10554.012076373685</v>
      </c>
      <c r="R237" s="1615">
        <f t="shared" si="164"/>
        <v>8228.7109639781302</v>
      </c>
      <c r="S237" s="1616">
        <f t="shared" si="164"/>
        <v>20330.200963978128</v>
      </c>
      <c r="T237" s="1616">
        <f t="shared" si="164"/>
        <v>22786.749036021869</v>
      </c>
      <c r="U237" s="1616">
        <f t="shared" si="164"/>
        <v>5082.550240994532</v>
      </c>
      <c r="V237" s="1616">
        <f t="shared" si="164"/>
        <v>5696.6872590054672</v>
      </c>
      <c r="W237" s="1615">
        <f t="shared" si="164"/>
        <v>10779.237499999999</v>
      </c>
      <c r="X237" s="1614"/>
      <c r="Y237" s="1613"/>
      <c r="Z237" s="1612"/>
      <c r="AA237" s="1611"/>
      <c r="AB237" s="1611"/>
      <c r="AC237" s="1611"/>
      <c r="AD237" s="1611"/>
      <c r="AE237" s="1611"/>
      <c r="AF237" s="1611"/>
      <c r="AG237" s="1611"/>
      <c r="AH237" s="1611"/>
      <c r="AI237" s="1611"/>
      <c r="AJ237" s="1611"/>
      <c r="AK237" s="1611"/>
      <c r="AL237" s="1611"/>
      <c r="AM237" s="1611"/>
      <c r="AN237" s="1611"/>
      <c r="AO237" s="1611"/>
      <c r="AP237" s="1611"/>
      <c r="AQ237" s="1611"/>
    </row>
    <row r="238" spans="1:43" outlineLevel="2">
      <c r="A238" s="1638" t="s">
        <v>312</v>
      </c>
      <c r="B238" s="1637" t="s">
        <v>120</v>
      </c>
      <c r="C238" s="1636"/>
      <c r="D238" s="1635">
        <v>1</v>
      </c>
      <c r="E238" s="1640" t="s">
        <v>1101</v>
      </c>
      <c r="F238" s="1633" t="s">
        <v>1066</v>
      </c>
      <c r="G238" s="1632">
        <v>4159.8999416173692</v>
      </c>
      <c r="H238" s="1632">
        <v>4702.3100000000004</v>
      </c>
      <c r="I238" s="1630">
        <f t="shared" ref="I238:I269" si="165">G238+H238</f>
        <v>8862.2099416173696</v>
      </c>
      <c r="J238" s="1630">
        <f t="shared" ref="J238:J269" si="166">D238*I238</f>
        <v>8862.2099416173696</v>
      </c>
      <c r="K238" s="1631">
        <v>4075</v>
      </c>
      <c r="L238" s="1630">
        <f t="shared" ref="L238:L269" si="167">IF(I238&gt;K238,K238,I238)</f>
        <v>4075</v>
      </c>
      <c r="M238" s="1630">
        <f t="shared" ref="M238:M269" si="168">L238*D238</f>
        <v>4075</v>
      </c>
      <c r="N238" s="1625">
        <f t="shared" ref="N238:N269" si="169">J238-M238</f>
        <v>4787.2099416173696</v>
      </c>
      <c r="O238" s="1629">
        <v>0.48699999999999999</v>
      </c>
      <c r="P238" s="1629">
        <v>0.51300000000000001</v>
      </c>
      <c r="Q238" s="1625">
        <f t="shared" ref="Q238:Q269" si="170">N238*O238</f>
        <v>2331.3712415676591</v>
      </c>
      <c r="R238" s="1628">
        <f t="shared" ref="R238:R269" si="171">N238*P238</f>
        <v>2455.8387000497105</v>
      </c>
      <c r="S238" s="1627">
        <f t="shared" ref="S238:S269" si="172">(G238*D238)-Q238</f>
        <v>1828.5287000497101</v>
      </c>
      <c r="T238" s="1627">
        <f t="shared" ref="T238:T269" si="173">(H238*D238)-R238</f>
        <v>2246.4712999502899</v>
      </c>
      <c r="U238" s="1626">
        <f t="shared" ref="U238:U269" si="174">S238/4</f>
        <v>457.13217501242752</v>
      </c>
      <c r="V238" s="1626">
        <f t="shared" ref="V238:V269" si="175">T238/4</f>
        <v>561.61782498757248</v>
      </c>
      <c r="W238" s="1625">
        <f t="shared" ref="W238:W269" si="176">V238+U238</f>
        <v>1018.75</v>
      </c>
      <c r="X238" s="1614"/>
      <c r="Y238" s="1613"/>
      <c r="Z238" s="1612">
        <f t="shared" ref="Z238:Z269" si="177">K238/I238</f>
        <v>0.45981758803338674</v>
      </c>
      <c r="AA238" s="1611"/>
      <c r="AB238" s="1611"/>
      <c r="AC238" s="1611"/>
      <c r="AD238" s="1611"/>
      <c r="AE238" s="1611"/>
      <c r="AF238" s="1611"/>
      <c r="AG238" s="1611"/>
      <c r="AH238" s="1611"/>
      <c r="AI238" s="1611"/>
      <c r="AJ238" s="1611"/>
      <c r="AK238" s="1611"/>
      <c r="AL238" s="1611"/>
      <c r="AM238" s="1611"/>
      <c r="AN238" s="1611"/>
      <c r="AO238" s="1611"/>
      <c r="AP238" s="1611"/>
      <c r="AQ238" s="1611"/>
    </row>
    <row r="239" spans="1:43" outlineLevel="2">
      <c r="A239" s="1638" t="s">
        <v>312</v>
      </c>
      <c r="B239" s="1637" t="s">
        <v>120</v>
      </c>
      <c r="C239" s="1636"/>
      <c r="D239" s="1635">
        <v>1</v>
      </c>
      <c r="E239" s="1634" t="s">
        <v>936</v>
      </c>
      <c r="F239" s="1633" t="s">
        <v>979</v>
      </c>
      <c r="G239" s="1632">
        <v>4159.8999416173692</v>
      </c>
      <c r="H239" s="1632">
        <v>4702.3100000000004</v>
      </c>
      <c r="I239" s="1630">
        <f t="shared" si="165"/>
        <v>8862.2099416173696</v>
      </c>
      <c r="J239" s="1630">
        <f t="shared" si="166"/>
        <v>8862.2099416173696</v>
      </c>
      <c r="K239" s="1631">
        <v>5329</v>
      </c>
      <c r="L239" s="1630">
        <f t="shared" si="167"/>
        <v>5329</v>
      </c>
      <c r="M239" s="1630">
        <f t="shared" si="168"/>
        <v>5329</v>
      </c>
      <c r="N239" s="1625">
        <f t="shared" si="169"/>
        <v>3533.2099416173696</v>
      </c>
      <c r="O239" s="1629">
        <v>0.48699999999999999</v>
      </c>
      <c r="P239" s="1629">
        <v>0.51300000000000001</v>
      </c>
      <c r="Q239" s="1625">
        <f t="shared" si="170"/>
        <v>1720.673241567659</v>
      </c>
      <c r="R239" s="1628">
        <f t="shared" si="171"/>
        <v>1812.5367000497106</v>
      </c>
      <c r="S239" s="1627">
        <f t="shared" si="172"/>
        <v>2439.2267000497104</v>
      </c>
      <c r="T239" s="1627">
        <f t="shared" si="173"/>
        <v>2889.7732999502896</v>
      </c>
      <c r="U239" s="1626">
        <f t="shared" si="174"/>
        <v>609.8066750124276</v>
      </c>
      <c r="V239" s="1626">
        <f t="shared" si="175"/>
        <v>722.4433249875724</v>
      </c>
      <c r="W239" s="1625">
        <f t="shared" si="176"/>
        <v>1332.25</v>
      </c>
      <c r="X239" s="1614"/>
      <c r="Y239" s="1613"/>
      <c r="Z239" s="1612">
        <f t="shared" si="177"/>
        <v>0.60131728260856887</v>
      </c>
      <c r="AA239" s="1611"/>
      <c r="AB239" s="1611"/>
      <c r="AC239" s="1611"/>
      <c r="AD239" s="1611"/>
      <c r="AE239" s="1611"/>
      <c r="AF239" s="1611"/>
      <c r="AG239" s="1611"/>
      <c r="AH239" s="1611"/>
      <c r="AI239" s="1611"/>
      <c r="AJ239" s="1611"/>
      <c r="AK239" s="1611"/>
      <c r="AL239" s="1611"/>
      <c r="AM239" s="1611"/>
      <c r="AN239" s="1611"/>
      <c r="AO239" s="1611"/>
      <c r="AP239" s="1611"/>
      <c r="AQ239" s="1611"/>
    </row>
    <row r="240" spans="1:43" outlineLevel="2">
      <c r="A240" s="1638" t="s">
        <v>312</v>
      </c>
      <c r="B240" s="1637" t="s">
        <v>120</v>
      </c>
      <c r="C240" s="1636"/>
      <c r="D240" s="1635">
        <v>1</v>
      </c>
      <c r="E240" s="1634" t="s">
        <v>936</v>
      </c>
      <c r="F240" s="1633" t="s">
        <v>1069</v>
      </c>
      <c r="G240" s="1632">
        <v>4159.8999416173692</v>
      </c>
      <c r="H240" s="1632">
        <v>4702.3100000000004</v>
      </c>
      <c r="I240" s="1630">
        <f t="shared" si="165"/>
        <v>8862.2099416173696</v>
      </c>
      <c r="J240" s="1630">
        <f t="shared" si="166"/>
        <v>8862.2099416173696</v>
      </c>
      <c r="K240" s="1631">
        <v>5317</v>
      </c>
      <c r="L240" s="1630">
        <f t="shared" si="167"/>
        <v>5317</v>
      </c>
      <c r="M240" s="1630">
        <f t="shared" si="168"/>
        <v>5317</v>
      </c>
      <c r="N240" s="1625">
        <f t="shared" si="169"/>
        <v>3545.2099416173696</v>
      </c>
      <c r="O240" s="1629">
        <v>0.48699999999999999</v>
      </c>
      <c r="P240" s="1629">
        <v>0.51300000000000001</v>
      </c>
      <c r="Q240" s="1625">
        <f t="shared" si="170"/>
        <v>1726.5172415676589</v>
      </c>
      <c r="R240" s="1628">
        <f t="shared" si="171"/>
        <v>1818.6927000497108</v>
      </c>
      <c r="S240" s="1627">
        <f t="shared" si="172"/>
        <v>2433.3827000497104</v>
      </c>
      <c r="T240" s="1627">
        <f t="shared" si="173"/>
        <v>2883.6172999502896</v>
      </c>
      <c r="U240" s="1626">
        <f t="shared" si="174"/>
        <v>608.34567501242759</v>
      </c>
      <c r="V240" s="1626">
        <f t="shared" si="175"/>
        <v>720.90432498757241</v>
      </c>
      <c r="W240" s="1625">
        <f t="shared" si="176"/>
        <v>1329.25</v>
      </c>
      <c r="X240" s="1614"/>
      <c r="Y240" s="1613"/>
      <c r="Z240" s="1612">
        <f t="shared" si="177"/>
        <v>0.59996321854564838</v>
      </c>
      <c r="AA240" s="1611"/>
      <c r="AB240" s="1611"/>
      <c r="AC240" s="1611"/>
      <c r="AD240" s="1611"/>
      <c r="AE240" s="1611"/>
      <c r="AF240" s="1611"/>
      <c r="AG240" s="1611"/>
      <c r="AH240" s="1611"/>
      <c r="AI240" s="1611"/>
      <c r="AJ240" s="1611"/>
      <c r="AK240" s="1611"/>
      <c r="AL240" s="1611"/>
      <c r="AM240" s="1611"/>
      <c r="AN240" s="1611"/>
      <c r="AO240" s="1611"/>
      <c r="AP240" s="1611"/>
      <c r="AQ240" s="1611"/>
    </row>
    <row r="241" spans="1:43" outlineLevel="2">
      <c r="A241" s="1638" t="s">
        <v>312</v>
      </c>
      <c r="B241" s="1637" t="s">
        <v>120</v>
      </c>
      <c r="C241" s="1636"/>
      <c r="D241" s="1635">
        <v>1</v>
      </c>
      <c r="E241" s="1634" t="s">
        <v>942</v>
      </c>
      <c r="F241" s="1633" t="s">
        <v>1068</v>
      </c>
      <c r="G241" s="1632">
        <v>4159.8999416173692</v>
      </c>
      <c r="H241" s="1632">
        <v>4702.3100000000004</v>
      </c>
      <c r="I241" s="1630">
        <f t="shared" si="165"/>
        <v>8862.2099416173696</v>
      </c>
      <c r="J241" s="1630">
        <f t="shared" si="166"/>
        <v>8862.2099416173696</v>
      </c>
      <c r="K241" s="1631">
        <v>8520</v>
      </c>
      <c r="L241" s="1630">
        <f t="shared" si="167"/>
        <v>8520</v>
      </c>
      <c r="M241" s="1630">
        <f t="shared" si="168"/>
        <v>8520</v>
      </c>
      <c r="N241" s="1625">
        <f t="shared" si="169"/>
        <v>342.20994161736962</v>
      </c>
      <c r="O241" s="1629">
        <v>0.48699999999999999</v>
      </c>
      <c r="P241" s="1629">
        <v>0.51300000000000001</v>
      </c>
      <c r="Q241" s="1625">
        <f t="shared" si="170"/>
        <v>166.65624156765901</v>
      </c>
      <c r="R241" s="1628">
        <f t="shared" si="171"/>
        <v>175.55370004971061</v>
      </c>
      <c r="S241" s="1627">
        <f t="shared" si="172"/>
        <v>3993.2437000497102</v>
      </c>
      <c r="T241" s="1627">
        <f t="shared" si="173"/>
        <v>4526.7562999502898</v>
      </c>
      <c r="U241" s="1626">
        <f t="shared" si="174"/>
        <v>998.31092501242756</v>
      </c>
      <c r="V241" s="1626">
        <f t="shared" si="175"/>
        <v>1131.6890749875724</v>
      </c>
      <c r="W241" s="1625">
        <f t="shared" si="176"/>
        <v>2130</v>
      </c>
      <c r="X241" s="1614"/>
      <c r="Y241" s="1613"/>
      <c r="Z241" s="1612">
        <f t="shared" si="177"/>
        <v>0.96138548467348595</v>
      </c>
      <c r="AA241" s="1611"/>
      <c r="AB241" s="1611"/>
      <c r="AC241" s="1611"/>
      <c r="AD241" s="1611"/>
      <c r="AE241" s="1611"/>
      <c r="AF241" s="1611"/>
      <c r="AG241" s="1611"/>
      <c r="AH241" s="1611"/>
      <c r="AI241" s="1611"/>
      <c r="AJ241" s="1611"/>
      <c r="AK241" s="1611"/>
      <c r="AL241" s="1611"/>
      <c r="AM241" s="1611"/>
      <c r="AN241" s="1611"/>
      <c r="AO241" s="1611"/>
      <c r="AP241" s="1611"/>
      <c r="AQ241" s="1611"/>
    </row>
    <row r="242" spans="1:43" outlineLevel="2">
      <c r="A242" s="1638" t="s">
        <v>312</v>
      </c>
      <c r="B242" s="1637" t="s">
        <v>120</v>
      </c>
      <c r="C242" s="1636"/>
      <c r="D242" s="1635">
        <v>1</v>
      </c>
      <c r="E242" s="1634" t="s">
        <v>942</v>
      </c>
      <c r="F242" s="1633" t="s">
        <v>1065</v>
      </c>
      <c r="G242" s="1632">
        <v>4159.8999416173692</v>
      </c>
      <c r="H242" s="1632">
        <v>4702.3100000000004</v>
      </c>
      <c r="I242" s="1630">
        <f t="shared" si="165"/>
        <v>8862.2099416173696</v>
      </c>
      <c r="J242" s="1630">
        <f t="shared" si="166"/>
        <v>8862.2099416173696</v>
      </c>
      <c r="K242" s="1631">
        <v>8520</v>
      </c>
      <c r="L242" s="1630">
        <f t="shared" si="167"/>
        <v>8520</v>
      </c>
      <c r="M242" s="1630">
        <f t="shared" si="168"/>
        <v>8520</v>
      </c>
      <c r="N242" s="1625">
        <f t="shared" si="169"/>
        <v>342.20994161736962</v>
      </c>
      <c r="O242" s="1629">
        <v>0.48699999999999999</v>
      </c>
      <c r="P242" s="1629">
        <v>0.51300000000000001</v>
      </c>
      <c r="Q242" s="1625">
        <f t="shared" si="170"/>
        <v>166.65624156765901</v>
      </c>
      <c r="R242" s="1628">
        <f t="shared" si="171"/>
        <v>175.55370004971061</v>
      </c>
      <c r="S242" s="1627">
        <f t="shared" si="172"/>
        <v>3993.2437000497102</v>
      </c>
      <c r="T242" s="1627">
        <f t="shared" si="173"/>
        <v>4526.7562999502898</v>
      </c>
      <c r="U242" s="1626">
        <f t="shared" si="174"/>
        <v>998.31092501242756</v>
      </c>
      <c r="V242" s="1626">
        <f t="shared" si="175"/>
        <v>1131.6890749875724</v>
      </c>
      <c r="W242" s="1625">
        <f t="shared" si="176"/>
        <v>2130</v>
      </c>
      <c r="X242" s="1614"/>
      <c r="Y242" s="1613"/>
      <c r="Z242" s="1612">
        <f t="shared" si="177"/>
        <v>0.96138548467348595</v>
      </c>
      <c r="AA242" s="1611"/>
      <c r="AB242" s="1611"/>
      <c r="AC242" s="1611"/>
      <c r="AD242" s="1611"/>
      <c r="AE242" s="1611"/>
      <c r="AF242" s="1611"/>
      <c r="AG242" s="1611"/>
      <c r="AH242" s="1611"/>
      <c r="AI242" s="1611"/>
      <c r="AJ242" s="1611"/>
      <c r="AK242" s="1611"/>
      <c r="AL242" s="1611"/>
      <c r="AM242" s="1611"/>
      <c r="AN242" s="1611"/>
      <c r="AO242" s="1611"/>
      <c r="AP242" s="1611"/>
      <c r="AQ242" s="1611"/>
    </row>
    <row r="243" spans="1:43" outlineLevel="2">
      <c r="A243" s="1638" t="s">
        <v>312</v>
      </c>
      <c r="B243" s="1637" t="s">
        <v>120</v>
      </c>
      <c r="C243" s="1636"/>
      <c r="D243" s="1635">
        <v>1</v>
      </c>
      <c r="E243" s="1634" t="s">
        <v>942</v>
      </c>
      <c r="F243" s="1633" t="s">
        <v>1064</v>
      </c>
      <c r="G243" s="1632">
        <v>4159.8999416173692</v>
      </c>
      <c r="H243" s="1632">
        <v>4702.3100000000004</v>
      </c>
      <c r="I243" s="1630">
        <f t="shared" si="165"/>
        <v>8862.2099416173696</v>
      </c>
      <c r="J243" s="1630">
        <f t="shared" si="166"/>
        <v>8862.2099416173696</v>
      </c>
      <c r="K243" s="1631">
        <v>8520</v>
      </c>
      <c r="L243" s="1630">
        <f t="shared" si="167"/>
        <v>8520</v>
      </c>
      <c r="M243" s="1630">
        <f t="shared" si="168"/>
        <v>8520</v>
      </c>
      <c r="N243" s="1625">
        <f t="shared" si="169"/>
        <v>342.20994161736962</v>
      </c>
      <c r="O243" s="1629">
        <v>0.48699999999999999</v>
      </c>
      <c r="P243" s="1629">
        <v>0.51300000000000001</v>
      </c>
      <c r="Q243" s="1625">
        <f t="shared" si="170"/>
        <v>166.65624156765901</v>
      </c>
      <c r="R243" s="1628">
        <f t="shared" si="171"/>
        <v>175.55370004971061</v>
      </c>
      <c r="S243" s="1627">
        <f t="shared" si="172"/>
        <v>3993.2437000497102</v>
      </c>
      <c r="T243" s="1627">
        <f t="shared" si="173"/>
        <v>4526.7562999502898</v>
      </c>
      <c r="U243" s="1626">
        <f t="shared" si="174"/>
        <v>998.31092501242756</v>
      </c>
      <c r="V243" s="1626">
        <f t="shared" si="175"/>
        <v>1131.6890749875724</v>
      </c>
      <c r="W243" s="1625">
        <f t="shared" si="176"/>
        <v>2130</v>
      </c>
      <c r="X243" s="1614"/>
      <c r="Y243" s="1613"/>
      <c r="Z243" s="1612">
        <f t="shared" si="177"/>
        <v>0.96138548467348595</v>
      </c>
      <c r="AA243" s="1611"/>
      <c r="AB243" s="1611"/>
      <c r="AC243" s="1611"/>
      <c r="AD243" s="1611"/>
      <c r="AE243" s="1611"/>
      <c r="AF243" s="1611"/>
      <c r="AG243" s="1611"/>
      <c r="AH243" s="1611"/>
      <c r="AI243" s="1611"/>
      <c r="AJ243" s="1611"/>
      <c r="AK243" s="1611"/>
      <c r="AL243" s="1611"/>
      <c r="AM243" s="1611"/>
      <c r="AN243" s="1611"/>
      <c r="AO243" s="1611"/>
      <c r="AP243" s="1611"/>
      <c r="AQ243" s="1611"/>
    </row>
    <row r="244" spans="1:43" outlineLevel="2">
      <c r="A244" s="1638" t="s">
        <v>312</v>
      </c>
      <c r="B244" s="1637" t="s">
        <v>120</v>
      </c>
      <c r="C244" s="1636"/>
      <c r="D244" s="1635">
        <v>1</v>
      </c>
      <c r="E244" s="1634" t="s">
        <v>942</v>
      </c>
      <c r="F244" s="1633" t="s">
        <v>1063</v>
      </c>
      <c r="G244" s="1632">
        <v>4159.8999416173692</v>
      </c>
      <c r="H244" s="1632">
        <v>4702.3100000000004</v>
      </c>
      <c r="I244" s="1630">
        <f t="shared" si="165"/>
        <v>8862.2099416173696</v>
      </c>
      <c r="J244" s="1630">
        <f t="shared" si="166"/>
        <v>8862.2099416173696</v>
      </c>
      <c r="K244" s="1631">
        <v>8520</v>
      </c>
      <c r="L244" s="1630">
        <f t="shared" si="167"/>
        <v>8520</v>
      </c>
      <c r="M244" s="1630">
        <f t="shared" si="168"/>
        <v>8520</v>
      </c>
      <c r="N244" s="1625">
        <f t="shared" si="169"/>
        <v>342.20994161736962</v>
      </c>
      <c r="O244" s="1629">
        <v>0.48699999999999999</v>
      </c>
      <c r="P244" s="1629">
        <v>0.51300000000000001</v>
      </c>
      <c r="Q244" s="1625">
        <f t="shared" si="170"/>
        <v>166.65624156765901</v>
      </c>
      <c r="R244" s="1628">
        <f t="shared" si="171"/>
        <v>175.55370004971061</v>
      </c>
      <c r="S244" s="1627">
        <f t="shared" si="172"/>
        <v>3993.2437000497102</v>
      </c>
      <c r="T244" s="1627">
        <f t="shared" si="173"/>
        <v>4526.7562999502898</v>
      </c>
      <c r="U244" s="1626">
        <f t="shared" si="174"/>
        <v>998.31092501242756</v>
      </c>
      <c r="V244" s="1626">
        <f t="shared" si="175"/>
        <v>1131.6890749875724</v>
      </c>
      <c r="W244" s="1625">
        <f t="shared" si="176"/>
        <v>2130</v>
      </c>
      <c r="X244" s="1614"/>
      <c r="Y244" s="1613"/>
      <c r="Z244" s="1612">
        <f t="shared" si="177"/>
        <v>0.96138548467348595</v>
      </c>
      <c r="AA244" s="1611"/>
      <c r="AB244" s="1611"/>
      <c r="AC244" s="1611"/>
      <c r="AD244" s="1611"/>
      <c r="AE244" s="1611"/>
      <c r="AF244" s="1611"/>
      <c r="AG244" s="1611"/>
      <c r="AH244" s="1611"/>
      <c r="AI244" s="1611"/>
      <c r="AJ244" s="1611"/>
      <c r="AK244" s="1611"/>
      <c r="AL244" s="1611"/>
      <c r="AM244" s="1611"/>
      <c r="AN244" s="1611"/>
      <c r="AO244" s="1611"/>
      <c r="AP244" s="1611"/>
      <c r="AQ244" s="1611"/>
    </row>
    <row r="245" spans="1:43" outlineLevel="2">
      <c r="A245" s="1638" t="s">
        <v>312</v>
      </c>
      <c r="B245" s="1637" t="s">
        <v>120</v>
      </c>
      <c r="C245" s="1636"/>
      <c r="D245" s="1635">
        <v>1</v>
      </c>
      <c r="E245" s="1634" t="s">
        <v>967</v>
      </c>
      <c r="F245" s="1633" t="s">
        <v>1069</v>
      </c>
      <c r="G245" s="1632">
        <v>4159.8999416173692</v>
      </c>
      <c r="H245" s="1632">
        <v>4702.3100000000004</v>
      </c>
      <c r="I245" s="1630">
        <f t="shared" si="165"/>
        <v>8862.2099416173696</v>
      </c>
      <c r="J245" s="1630">
        <f t="shared" si="166"/>
        <v>8862.2099416173696</v>
      </c>
      <c r="K245" s="1631">
        <v>4000</v>
      </c>
      <c r="L245" s="1630">
        <f t="shared" si="167"/>
        <v>4000</v>
      </c>
      <c r="M245" s="1630">
        <f t="shared" si="168"/>
        <v>4000</v>
      </c>
      <c r="N245" s="1625">
        <f t="shared" si="169"/>
        <v>4862.2099416173696</v>
      </c>
      <c r="O245" s="1629">
        <v>0.48699999999999999</v>
      </c>
      <c r="P245" s="1629">
        <v>0.51300000000000001</v>
      </c>
      <c r="Q245" s="1625">
        <f t="shared" si="170"/>
        <v>2367.8962415676588</v>
      </c>
      <c r="R245" s="1628">
        <f t="shared" si="171"/>
        <v>2494.3137000497109</v>
      </c>
      <c r="S245" s="1627">
        <f t="shared" si="172"/>
        <v>1792.0037000497105</v>
      </c>
      <c r="T245" s="1627">
        <f t="shared" si="173"/>
        <v>2207.9962999502895</v>
      </c>
      <c r="U245" s="1626">
        <f t="shared" si="174"/>
        <v>448.00092501242762</v>
      </c>
      <c r="V245" s="1626">
        <f t="shared" si="175"/>
        <v>551.99907498757238</v>
      </c>
      <c r="W245" s="1625">
        <f t="shared" si="176"/>
        <v>1000</v>
      </c>
      <c r="X245" s="1614"/>
      <c r="Y245" s="1613"/>
      <c r="Z245" s="1612">
        <f t="shared" si="177"/>
        <v>0.4513546876401342</v>
      </c>
      <c r="AA245" s="1611"/>
      <c r="AB245" s="1611"/>
      <c r="AC245" s="1611"/>
      <c r="AD245" s="1611"/>
      <c r="AE245" s="1611"/>
      <c r="AF245" s="1611"/>
      <c r="AG245" s="1611"/>
      <c r="AH245" s="1611"/>
      <c r="AI245" s="1611"/>
      <c r="AJ245" s="1611"/>
      <c r="AK245" s="1611"/>
      <c r="AL245" s="1611"/>
      <c r="AM245" s="1611"/>
      <c r="AN245" s="1611"/>
      <c r="AO245" s="1611"/>
      <c r="AP245" s="1611"/>
      <c r="AQ245" s="1611"/>
    </row>
    <row r="246" spans="1:43" outlineLevel="2">
      <c r="A246" s="1638" t="s">
        <v>312</v>
      </c>
      <c r="B246" s="1637" t="s">
        <v>120</v>
      </c>
      <c r="C246" s="1636"/>
      <c r="D246" s="1635">
        <v>1</v>
      </c>
      <c r="E246" s="1634" t="s">
        <v>967</v>
      </c>
      <c r="F246" s="1633" t="s">
        <v>1063</v>
      </c>
      <c r="G246" s="1632">
        <v>4159.8999416173692</v>
      </c>
      <c r="H246" s="1632">
        <v>4702.3100000000004</v>
      </c>
      <c r="I246" s="1630">
        <f t="shared" si="165"/>
        <v>8862.2099416173696</v>
      </c>
      <c r="J246" s="1630">
        <f t="shared" si="166"/>
        <v>8862.2099416173696</v>
      </c>
      <c r="K246" s="1631">
        <v>4000</v>
      </c>
      <c r="L246" s="1630">
        <f t="shared" si="167"/>
        <v>4000</v>
      </c>
      <c r="M246" s="1630">
        <f t="shared" si="168"/>
        <v>4000</v>
      </c>
      <c r="N246" s="1625">
        <f t="shared" si="169"/>
        <v>4862.2099416173696</v>
      </c>
      <c r="O246" s="1629">
        <v>0.48699999999999999</v>
      </c>
      <c r="P246" s="1629">
        <v>0.51300000000000001</v>
      </c>
      <c r="Q246" s="1625">
        <f t="shared" si="170"/>
        <v>2367.8962415676588</v>
      </c>
      <c r="R246" s="1628">
        <f t="shared" si="171"/>
        <v>2494.3137000497109</v>
      </c>
      <c r="S246" s="1627">
        <f t="shared" si="172"/>
        <v>1792.0037000497105</v>
      </c>
      <c r="T246" s="1627">
        <f t="shared" si="173"/>
        <v>2207.9962999502895</v>
      </c>
      <c r="U246" s="1626">
        <f t="shared" si="174"/>
        <v>448.00092501242762</v>
      </c>
      <c r="V246" s="1626">
        <f t="shared" si="175"/>
        <v>551.99907498757238</v>
      </c>
      <c r="W246" s="1625">
        <f t="shared" si="176"/>
        <v>1000</v>
      </c>
      <c r="X246" s="1614"/>
      <c r="Y246" s="1613"/>
      <c r="Z246" s="1612">
        <f t="shared" si="177"/>
        <v>0.4513546876401342</v>
      </c>
      <c r="AA246" s="1611"/>
      <c r="AB246" s="1611"/>
      <c r="AC246" s="1611"/>
      <c r="AD246" s="1611"/>
      <c r="AE246" s="1611"/>
      <c r="AF246" s="1611"/>
      <c r="AG246" s="1611"/>
      <c r="AH246" s="1611"/>
      <c r="AI246" s="1611"/>
      <c r="AJ246" s="1611"/>
      <c r="AK246" s="1611"/>
      <c r="AL246" s="1611"/>
      <c r="AM246" s="1611"/>
      <c r="AN246" s="1611"/>
      <c r="AO246" s="1611"/>
      <c r="AP246" s="1611"/>
      <c r="AQ246" s="1611"/>
    </row>
    <row r="247" spans="1:43" outlineLevel="2">
      <c r="A247" s="1638" t="s">
        <v>312</v>
      </c>
      <c r="B247" s="1637" t="s">
        <v>120</v>
      </c>
      <c r="C247" s="1636"/>
      <c r="D247" s="1635">
        <v>4</v>
      </c>
      <c r="E247" s="1634" t="s">
        <v>934</v>
      </c>
      <c r="F247" s="1633" t="s">
        <v>1070</v>
      </c>
      <c r="G247" s="1632">
        <v>4159.8999416173692</v>
      </c>
      <c r="H247" s="1632">
        <v>4702.3100000000004</v>
      </c>
      <c r="I247" s="1630">
        <f t="shared" si="165"/>
        <v>8862.2099416173696</v>
      </c>
      <c r="J247" s="1630">
        <f t="shared" si="166"/>
        <v>35448.839766469478</v>
      </c>
      <c r="K247" s="1631">
        <v>4530</v>
      </c>
      <c r="L247" s="1630">
        <f t="shared" si="167"/>
        <v>4530</v>
      </c>
      <c r="M247" s="1630">
        <f t="shared" si="168"/>
        <v>18120</v>
      </c>
      <c r="N247" s="1625">
        <f t="shared" si="169"/>
        <v>17328.839766469478</v>
      </c>
      <c r="O247" s="1629">
        <v>0.48699999999999999</v>
      </c>
      <c r="P247" s="1629">
        <v>0.51300000000000001</v>
      </c>
      <c r="Q247" s="1625">
        <f t="shared" si="170"/>
        <v>8439.1449662706364</v>
      </c>
      <c r="R247" s="1628">
        <f t="shared" si="171"/>
        <v>8889.6948001988421</v>
      </c>
      <c r="S247" s="1627">
        <f t="shared" si="172"/>
        <v>8200.4548001988405</v>
      </c>
      <c r="T247" s="1627">
        <f t="shared" si="173"/>
        <v>9919.5451998011595</v>
      </c>
      <c r="U247" s="1626">
        <f t="shared" si="174"/>
        <v>2050.1137000497101</v>
      </c>
      <c r="V247" s="1626">
        <f t="shared" si="175"/>
        <v>2479.8862999502899</v>
      </c>
      <c r="W247" s="1625">
        <f t="shared" si="176"/>
        <v>4530</v>
      </c>
      <c r="X247" s="1614"/>
      <c r="Y247" s="1613"/>
      <c r="Z247" s="1612">
        <f t="shared" si="177"/>
        <v>0.51115918375245195</v>
      </c>
      <c r="AA247" s="1611"/>
      <c r="AB247" s="1611"/>
      <c r="AC247" s="1611"/>
      <c r="AD247" s="1611"/>
      <c r="AE247" s="1611"/>
      <c r="AF247" s="1611"/>
      <c r="AG247" s="1611"/>
      <c r="AH247" s="1611"/>
      <c r="AI247" s="1611"/>
      <c r="AJ247" s="1611"/>
      <c r="AK247" s="1611"/>
      <c r="AL247" s="1611"/>
      <c r="AM247" s="1611"/>
      <c r="AN247" s="1611"/>
      <c r="AO247" s="1611"/>
      <c r="AP247" s="1611"/>
      <c r="AQ247" s="1611"/>
    </row>
    <row r="248" spans="1:43" outlineLevel="2">
      <c r="A248" s="1638" t="s">
        <v>312</v>
      </c>
      <c r="B248" s="1637" t="s">
        <v>120</v>
      </c>
      <c r="C248" s="1636"/>
      <c r="D248" s="1635">
        <v>5</v>
      </c>
      <c r="E248" s="1634" t="s">
        <v>934</v>
      </c>
      <c r="F248" s="1633" t="s">
        <v>1069</v>
      </c>
      <c r="G248" s="1632">
        <v>4159.8999416173692</v>
      </c>
      <c r="H248" s="1632">
        <v>4702.3100000000004</v>
      </c>
      <c r="I248" s="1630">
        <f t="shared" si="165"/>
        <v>8862.2099416173696</v>
      </c>
      <c r="J248" s="1630">
        <f t="shared" si="166"/>
        <v>44311.049708086852</v>
      </c>
      <c r="K248" s="1631">
        <v>4530</v>
      </c>
      <c r="L248" s="1630">
        <f t="shared" si="167"/>
        <v>4530</v>
      </c>
      <c r="M248" s="1630">
        <f t="shared" si="168"/>
        <v>22650</v>
      </c>
      <c r="N248" s="1625">
        <f t="shared" si="169"/>
        <v>21661.049708086852</v>
      </c>
      <c r="O248" s="1629">
        <v>0.48699999999999999</v>
      </c>
      <c r="P248" s="1629">
        <v>0.51300000000000001</v>
      </c>
      <c r="Q248" s="1625">
        <f t="shared" si="170"/>
        <v>10548.931207838297</v>
      </c>
      <c r="R248" s="1628">
        <f t="shared" si="171"/>
        <v>11112.118500248554</v>
      </c>
      <c r="S248" s="1627">
        <f t="shared" si="172"/>
        <v>10250.568500248548</v>
      </c>
      <c r="T248" s="1627">
        <f t="shared" si="173"/>
        <v>12399.431499751448</v>
      </c>
      <c r="U248" s="1626">
        <f t="shared" si="174"/>
        <v>2562.642125062137</v>
      </c>
      <c r="V248" s="1626">
        <f t="shared" si="175"/>
        <v>3099.8578749378621</v>
      </c>
      <c r="W248" s="1625">
        <f t="shared" si="176"/>
        <v>5662.4999999999991</v>
      </c>
      <c r="X248" s="1614"/>
      <c r="Y248" s="1613"/>
      <c r="Z248" s="1612">
        <f t="shared" si="177"/>
        <v>0.51115918375245195</v>
      </c>
      <c r="AA248" s="1611"/>
      <c r="AB248" s="1611"/>
      <c r="AC248" s="1611"/>
      <c r="AD248" s="1611"/>
      <c r="AE248" s="1611"/>
      <c r="AF248" s="1611"/>
      <c r="AG248" s="1611"/>
      <c r="AH248" s="1611"/>
      <c r="AI248" s="1611"/>
      <c r="AJ248" s="1611"/>
      <c r="AK248" s="1611"/>
      <c r="AL248" s="1611"/>
      <c r="AM248" s="1611"/>
      <c r="AN248" s="1611"/>
      <c r="AO248" s="1611"/>
      <c r="AP248" s="1611"/>
      <c r="AQ248" s="1611"/>
    </row>
    <row r="249" spans="1:43" outlineLevel="2">
      <c r="A249" s="1638" t="s">
        <v>312</v>
      </c>
      <c r="B249" s="1637" t="s">
        <v>120</v>
      </c>
      <c r="C249" s="1636"/>
      <c r="D249" s="1635">
        <v>2</v>
      </c>
      <c r="E249" s="1634" t="s">
        <v>934</v>
      </c>
      <c r="F249" s="1633" t="s">
        <v>1068</v>
      </c>
      <c r="G249" s="1632">
        <v>4159.8999416173692</v>
      </c>
      <c r="H249" s="1632">
        <v>4702.3100000000004</v>
      </c>
      <c r="I249" s="1630">
        <f t="shared" si="165"/>
        <v>8862.2099416173696</v>
      </c>
      <c r="J249" s="1630">
        <f t="shared" si="166"/>
        <v>17724.419883234739</v>
      </c>
      <c r="K249" s="1631">
        <v>4530</v>
      </c>
      <c r="L249" s="1630">
        <f t="shared" si="167"/>
        <v>4530</v>
      </c>
      <c r="M249" s="1630">
        <f t="shared" si="168"/>
        <v>9060</v>
      </c>
      <c r="N249" s="1625">
        <f t="shared" si="169"/>
        <v>8664.4198832347392</v>
      </c>
      <c r="O249" s="1629">
        <v>0.48699999999999999</v>
      </c>
      <c r="P249" s="1629">
        <v>0.51300000000000001</v>
      </c>
      <c r="Q249" s="1625">
        <f t="shared" si="170"/>
        <v>4219.5724831353182</v>
      </c>
      <c r="R249" s="1628">
        <f t="shared" si="171"/>
        <v>4444.8474000994211</v>
      </c>
      <c r="S249" s="1627">
        <f t="shared" si="172"/>
        <v>4100.2274000994203</v>
      </c>
      <c r="T249" s="1627">
        <f t="shared" si="173"/>
        <v>4959.7725999005797</v>
      </c>
      <c r="U249" s="1626">
        <f t="shared" si="174"/>
        <v>1025.0568500248551</v>
      </c>
      <c r="V249" s="1626">
        <f t="shared" si="175"/>
        <v>1239.9431499751449</v>
      </c>
      <c r="W249" s="1625">
        <f t="shared" si="176"/>
        <v>2265</v>
      </c>
      <c r="X249" s="1614"/>
      <c r="Y249" s="1613"/>
      <c r="Z249" s="1612">
        <f t="shared" si="177"/>
        <v>0.51115918375245195</v>
      </c>
      <c r="AA249" s="1611"/>
      <c r="AB249" s="1611"/>
      <c r="AC249" s="1611"/>
      <c r="AD249" s="1611"/>
      <c r="AE249" s="1611"/>
      <c r="AF249" s="1611"/>
      <c r="AG249" s="1611"/>
      <c r="AH249" s="1611"/>
      <c r="AI249" s="1611"/>
      <c r="AJ249" s="1611"/>
      <c r="AK249" s="1611"/>
      <c r="AL249" s="1611"/>
      <c r="AM249" s="1611"/>
      <c r="AN249" s="1611"/>
      <c r="AO249" s="1611"/>
      <c r="AP249" s="1611"/>
      <c r="AQ249" s="1611"/>
    </row>
    <row r="250" spans="1:43" outlineLevel="2">
      <c r="A250" s="1638" t="s">
        <v>312</v>
      </c>
      <c r="B250" s="1637" t="s">
        <v>120</v>
      </c>
      <c r="C250" s="1636"/>
      <c r="D250" s="1635">
        <v>1</v>
      </c>
      <c r="E250" s="1634" t="s">
        <v>934</v>
      </c>
      <c r="F250" s="1633" t="s">
        <v>1066</v>
      </c>
      <c r="G250" s="1632">
        <v>4159.8999416173692</v>
      </c>
      <c r="H250" s="1632">
        <v>4702.3100000000004</v>
      </c>
      <c r="I250" s="1630">
        <f t="shared" si="165"/>
        <v>8862.2099416173696</v>
      </c>
      <c r="J250" s="1630">
        <f t="shared" si="166"/>
        <v>8862.2099416173696</v>
      </c>
      <c r="K250" s="1631">
        <v>4530</v>
      </c>
      <c r="L250" s="1630">
        <f t="shared" si="167"/>
        <v>4530</v>
      </c>
      <c r="M250" s="1630">
        <f t="shared" si="168"/>
        <v>4530</v>
      </c>
      <c r="N250" s="1625">
        <f t="shared" si="169"/>
        <v>4332.2099416173696</v>
      </c>
      <c r="O250" s="1629">
        <v>0.48699999999999999</v>
      </c>
      <c r="P250" s="1629">
        <v>0.51300000000000001</v>
      </c>
      <c r="Q250" s="1625">
        <f t="shared" si="170"/>
        <v>2109.7862415676591</v>
      </c>
      <c r="R250" s="1628">
        <f t="shared" si="171"/>
        <v>2222.4237000497105</v>
      </c>
      <c r="S250" s="1627">
        <f t="shared" si="172"/>
        <v>2050.1137000497101</v>
      </c>
      <c r="T250" s="1627">
        <f t="shared" si="173"/>
        <v>2479.8862999502899</v>
      </c>
      <c r="U250" s="1626">
        <f t="shared" si="174"/>
        <v>512.52842501242753</v>
      </c>
      <c r="V250" s="1626">
        <f t="shared" si="175"/>
        <v>619.97157498757247</v>
      </c>
      <c r="W250" s="1625">
        <f t="shared" si="176"/>
        <v>1132.5</v>
      </c>
      <c r="X250" s="1614"/>
      <c r="Y250" s="1613"/>
      <c r="Z250" s="1612">
        <f t="shared" si="177"/>
        <v>0.51115918375245195</v>
      </c>
      <c r="AA250" s="1611"/>
      <c r="AB250" s="1611"/>
      <c r="AC250" s="1611"/>
      <c r="AD250" s="1611"/>
      <c r="AE250" s="1611"/>
      <c r="AF250" s="1611"/>
      <c r="AG250" s="1611"/>
      <c r="AH250" s="1611"/>
      <c r="AI250" s="1611"/>
      <c r="AJ250" s="1611"/>
      <c r="AK250" s="1611"/>
      <c r="AL250" s="1611"/>
      <c r="AM250" s="1611"/>
      <c r="AN250" s="1611"/>
      <c r="AO250" s="1611"/>
      <c r="AP250" s="1611"/>
      <c r="AQ250" s="1611"/>
    </row>
    <row r="251" spans="1:43" outlineLevel="2">
      <c r="A251" s="1638" t="s">
        <v>312</v>
      </c>
      <c r="B251" s="1637" t="s">
        <v>120</v>
      </c>
      <c r="C251" s="1636"/>
      <c r="D251" s="1635">
        <v>3</v>
      </c>
      <c r="E251" s="1634" t="s">
        <v>934</v>
      </c>
      <c r="F251" s="1633" t="s">
        <v>979</v>
      </c>
      <c r="G251" s="1632">
        <v>4159.8999416173692</v>
      </c>
      <c r="H251" s="1632">
        <v>4702.3100000000004</v>
      </c>
      <c r="I251" s="1630">
        <f t="shared" si="165"/>
        <v>8862.2099416173696</v>
      </c>
      <c r="J251" s="1630">
        <f t="shared" si="166"/>
        <v>26586.629824852109</v>
      </c>
      <c r="K251" s="1631">
        <v>4530</v>
      </c>
      <c r="L251" s="1630">
        <f t="shared" si="167"/>
        <v>4530</v>
      </c>
      <c r="M251" s="1630">
        <f t="shared" si="168"/>
        <v>13590</v>
      </c>
      <c r="N251" s="1625">
        <f t="shared" si="169"/>
        <v>12996.629824852109</v>
      </c>
      <c r="O251" s="1629">
        <v>0.48699999999999999</v>
      </c>
      <c r="P251" s="1629">
        <v>0.51300000000000001</v>
      </c>
      <c r="Q251" s="1625">
        <f t="shared" si="170"/>
        <v>6329.3587247029773</v>
      </c>
      <c r="R251" s="1628">
        <f t="shared" si="171"/>
        <v>6667.2711001491316</v>
      </c>
      <c r="S251" s="1627">
        <f t="shared" si="172"/>
        <v>6150.3411001491313</v>
      </c>
      <c r="T251" s="1627">
        <f t="shared" si="173"/>
        <v>7439.6588998508687</v>
      </c>
      <c r="U251" s="1626">
        <f t="shared" si="174"/>
        <v>1537.5852750372828</v>
      </c>
      <c r="V251" s="1626">
        <f t="shared" si="175"/>
        <v>1859.9147249627172</v>
      </c>
      <c r="W251" s="1625">
        <f t="shared" si="176"/>
        <v>3397.5</v>
      </c>
      <c r="X251" s="1614"/>
      <c r="Y251" s="1613"/>
      <c r="Z251" s="1612">
        <f t="shared" si="177"/>
        <v>0.51115918375245195</v>
      </c>
      <c r="AA251" s="1611"/>
      <c r="AB251" s="1611"/>
      <c r="AC251" s="1611"/>
      <c r="AD251" s="1611"/>
      <c r="AE251" s="1611"/>
      <c r="AF251" s="1611"/>
      <c r="AG251" s="1611"/>
      <c r="AH251" s="1611"/>
      <c r="AI251" s="1611"/>
      <c r="AJ251" s="1611"/>
      <c r="AK251" s="1611"/>
      <c r="AL251" s="1611"/>
      <c r="AM251" s="1611"/>
      <c r="AN251" s="1611"/>
      <c r="AO251" s="1611"/>
      <c r="AP251" s="1611"/>
      <c r="AQ251" s="1611"/>
    </row>
    <row r="252" spans="1:43" outlineLevel="2">
      <c r="A252" s="1638" t="s">
        <v>312</v>
      </c>
      <c r="B252" s="1637" t="s">
        <v>120</v>
      </c>
      <c r="C252" s="1636"/>
      <c r="D252" s="1635">
        <v>0</v>
      </c>
      <c r="E252" s="1634" t="s">
        <v>909</v>
      </c>
      <c r="F252" s="1633" t="s">
        <v>979</v>
      </c>
      <c r="G252" s="1632">
        <v>4159.8999416173692</v>
      </c>
      <c r="H252" s="1632">
        <v>4702.3100000000004</v>
      </c>
      <c r="I252" s="1630">
        <f t="shared" si="165"/>
        <v>8862.2099416173696</v>
      </c>
      <c r="J252" s="1630">
        <f t="shared" si="166"/>
        <v>0</v>
      </c>
      <c r="K252" s="1631">
        <v>4069</v>
      </c>
      <c r="L252" s="1630">
        <f t="shared" si="167"/>
        <v>4069</v>
      </c>
      <c r="M252" s="1630">
        <f t="shared" si="168"/>
        <v>0</v>
      </c>
      <c r="N252" s="1625">
        <f t="shared" si="169"/>
        <v>0</v>
      </c>
      <c r="O252" s="1629">
        <v>0.48699999999999999</v>
      </c>
      <c r="P252" s="1629">
        <v>0.51300000000000001</v>
      </c>
      <c r="Q252" s="1625">
        <f t="shared" si="170"/>
        <v>0</v>
      </c>
      <c r="R252" s="1628">
        <f t="shared" si="171"/>
        <v>0</v>
      </c>
      <c r="S252" s="1627">
        <f t="shared" si="172"/>
        <v>0</v>
      </c>
      <c r="T252" s="1627">
        <f t="shared" si="173"/>
        <v>0</v>
      </c>
      <c r="U252" s="1626">
        <f t="shared" si="174"/>
        <v>0</v>
      </c>
      <c r="V252" s="1626">
        <f t="shared" si="175"/>
        <v>0</v>
      </c>
      <c r="W252" s="1625">
        <f t="shared" si="176"/>
        <v>0</v>
      </c>
      <c r="X252" s="1614"/>
      <c r="Y252" s="1613"/>
      <c r="Z252" s="1612">
        <f t="shared" si="177"/>
        <v>0.45914055600192655</v>
      </c>
      <c r="AA252" s="1611"/>
      <c r="AB252" s="1611"/>
      <c r="AC252" s="1611"/>
      <c r="AD252" s="1611"/>
      <c r="AE252" s="1611"/>
      <c r="AF252" s="1611"/>
      <c r="AG252" s="1611"/>
      <c r="AH252" s="1611"/>
      <c r="AI252" s="1611"/>
      <c r="AJ252" s="1611"/>
      <c r="AK252" s="1611"/>
      <c r="AL252" s="1611"/>
      <c r="AM252" s="1611"/>
      <c r="AN252" s="1611"/>
      <c r="AO252" s="1611"/>
      <c r="AP252" s="1611"/>
      <c r="AQ252" s="1611"/>
    </row>
    <row r="253" spans="1:43" outlineLevel="2">
      <c r="A253" s="1638" t="s">
        <v>312</v>
      </c>
      <c r="B253" s="1637" t="s">
        <v>120</v>
      </c>
      <c r="C253" s="1636"/>
      <c r="D253" s="1635">
        <v>5</v>
      </c>
      <c r="E253" s="1634" t="s">
        <v>933</v>
      </c>
      <c r="F253" s="1633" t="s">
        <v>1070</v>
      </c>
      <c r="G253" s="1632">
        <v>4159.8999416173692</v>
      </c>
      <c r="H253" s="1632">
        <v>4702.3100000000004</v>
      </c>
      <c r="I253" s="1630">
        <f t="shared" si="165"/>
        <v>8862.2099416173696</v>
      </c>
      <c r="J253" s="1630">
        <f t="shared" si="166"/>
        <v>44311.049708086852</v>
      </c>
      <c r="K253" s="1631">
        <v>4465</v>
      </c>
      <c r="L253" s="1630">
        <f t="shared" si="167"/>
        <v>4465</v>
      </c>
      <c r="M253" s="1630">
        <f t="shared" si="168"/>
        <v>22325</v>
      </c>
      <c r="N253" s="1625">
        <f t="shared" si="169"/>
        <v>21986.049708086852</v>
      </c>
      <c r="O253" s="1629">
        <v>0.48699999999999999</v>
      </c>
      <c r="P253" s="1629">
        <v>0.51300000000000001</v>
      </c>
      <c r="Q253" s="1625">
        <f t="shared" si="170"/>
        <v>10707.206207838297</v>
      </c>
      <c r="R253" s="1628">
        <f t="shared" si="171"/>
        <v>11278.843500248555</v>
      </c>
      <c r="S253" s="1627">
        <f t="shared" si="172"/>
        <v>10092.293500248548</v>
      </c>
      <c r="T253" s="1627">
        <f t="shared" si="173"/>
        <v>12232.706499751448</v>
      </c>
      <c r="U253" s="1626">
        <f t="shared" si="174"/>
        <v>2523.0733750621371</v>
      </c>
      <c r="V253" s="1626">
        <f t="shared" si="175"/>
        <v>3058.176624937862</v>
      </c>
      <c r="W253" s="1625">
        <f t="shared" si="176"/>
        <v>5581.2499999999991</v>
      </c>
      <c r="X253" s="1614"/>
      <c r="Y253" s="1613"/>
      <c r="Z253" s="1612">
        <f t="shared" si="177"/>
        <v>0.50382467007829979</v>
      </c>
      <c r="AA253" s="1611"/>
      <c r="AB253" s="1611"/>
      <c r="AC253" s="1611"/>
      <c r="AD253" s="1611"/>
      <c r="AE253" s="1611"/>
      <c r="AF253" s="1611"/>
      <c r="AG253" s="1611"/>
      <c r="AH253" s="1611"/>
      <c r="AI253" s="1611"/>
      <c r="AJ253" s="1611"/>
      <c r="AK253" s="1611"/>
      <c r="AL253" s="1611"/>
      <c r="AM253" s="1611"/>
      <c r="AN253" s="1611"/>
      <c r="AO253" s="1611"/>
      <c r="AP253" s="1611"/>
      <c r="AQ253" s="1611"/>
    </row>
    <row r="254" spans="1:43" outlineLevel="2">
      <c r="A254" s="1638" t="s">
        <v>312</v>
      </c>
      <c r="B254" s="1637" t="s">
        <v>120</v>
      </c>
      <c r="C254" s="1636"/>
      <c r="D254" s="1635">
        <v>8</v>
      </c>
      <c r="E254" s="1634" t="s">
        <v>933</v>
      </c>
      <c r="F254" s="1633" t="s">
        <v>1069</v>
      </c>
      <c r="G254" s="1632">
        <v>4159.8999416173692</v>
      </c>
      <c r="H254" s="1632">
        <v>4702.3100000000004</v>
      </c>
      <c r="I254" s="1630">
        <f t="shared" si="165"/>
        <v>8862.2099416173696</v>
      </c>
      <c r="J254" s="1630">
        <f t="shared" si="166"/>
        <v>70897.679532938957</v>
      </c>
      <c r="K254" s="1631">
        <v>4465</v>
      </c>
      <c r="L254" s="1630">
        <f t="shared" si="167"/>
        <v>4465</v>
      </c>
      <c r="M254" s="1630">
        <f t="shared" si="168"/>
        <v>35720</v>
      </c>
      <c r="N254" s="1625">
        <f t="shared" si="169"/>
        <v>35177.679532938957</v>
      </c>
      <c r="O254" s="1629">
        <v>0.48699999999999999</v>
      </c>
      <c r="P254" s="1629">
        <v>0.51300000000000001</v>
      </c>
      <c r="Q254" s="1625">
        <f t="shared" si="170"/>
        <v>17131.529932541271</v>
      </c>
      <c r="R254" s="1628">
        <f t="shared" si="171"/>
        <v>18046.149600397686</v>
      </c>
      <c r="S254" s="1627">
        <f t="shared" si="172"/>
        <v>16147.669600397683</v>
      </c>
      <c r="T254" s="1627">
        <f t="shared" si="173"/>
        <v>19572.330399602317</v>
      </c>
      <c r="U254" s="1626">
        <f t="shared" si="174"/>
        <v>4036.9174000994208</v>
      </c>
      <c r="V254" s="1626">
        <f t="shared" si="175"/>
        <v>4893.0825999005792</v>
      </c>
      <c r="W254" s="1625">
        <f t="shared" si="176"/>
        <v>8930</v>
      </c>
      <c r="X254" s="1614"/>
      <c r="Y254" s="1613"/>
      <c r="Z254" s="1612">
        <f t="shared" si="177"/>
        <v>0.50382467007829979</v>
      </c>
      <c r="AA254" s="1611"/>
      <c r="AB254" s="1611"/>
      <c r="AC254" s="1611"/>
      <c r="AD254" s="1611"/>
      <c r="AE254" s="1611"/>
      <c r="AF254" s="1611"/>
      <c r="AG254" s="1611"/>
      <c r="AH254" s="1611"/>
      <c r="AI254" s="1611"/>
      <c r="AJ254" s="1611"/>
      <c r="AK254" s="1611"/>
      <c r="AL254" s="1611"/>
      <c r="AM254" s="1611"/>
      <c r="AN254" s="1611"/>
      <c r="AO254" s="1611"/>
      <c r="AP254" s="1611"/>
      <c r="AQ254" s="1611"/>
    </row>
    <row r="255" spans="1:43" outlineLevel="2">
      <c r="A255" s="1638" t="s">
        <v>312</v>
      </c>
      <c r="B255" s="1637" t="s">
        <v>120</v>
      </c>
      <c r="C255" s="1636"/>
      <c r="D255" s="1635">
        <v>6</v>
      </c>
      <c r="E255" s="1634" t="s">
        <v>933</v>
      </c>
      <c r="F255" s="1633" t="s">
        <v>1068</v>
      </c>
      <c r="G255" s="1632">
        <v>4159.8999416173692</v>
      </c>
      <c r="H255" s="1632">
        <v>4702.3100000000004</v>
      </c>
      <c r="I255" s="1630">
        <f t="shared" si="165"/>
        <v>8862.2099416173696</v>
      </c>
      <c r="J255" s="1630">
        <f t="shared" si="166"/>
        <v>53173.259649704218</v>
      </c>
      <c r="K255" s="1631">
        <v>4465</v>
      </c>
      <c r="L255" s="1630">
        <f t="shared" si="167"/>
        <v>4465</v>
      </c>
      <c r="M255" s="1630">
        <f t="shared" si="168"/>
        <v>26790</v>
      </c>
      <c r="N255" s="1625">
        <f t="shared" si="169"/>
        <v>26383.259649704218</v>
      </c>
      <c r="O255" s="1629">
        <v>0.48699999999999999</v>
      </c>
      <c r="P255" s="1629">
        <v>0.51300000000000001</v>
      </c>
      <c r="Q255" s="1625">
        <f t="shared" si="170"/>
        <v>12848.647449405953</v>
      </c>
      <c r="R255" s="1628">
        <f t="shared" si="171"/>
        <v>13534.612200298265</v>
      </c>
      <c r="S255" s="1627">
        <f t="shared" si="172"/>
        <v>12110.752200298264</v>
      </c>
      <c r="T255" s="1627">
        <f t="shared" si="173"/>
        <v>14679.247799701736</v>
      </c>
      <c r="U255" s="1626">
        <f t="shared" si="174"/>
        <v>3027.688050074566</v>
      </c>
      <c r="V255" s="1626">
        <f t="shared" si="175"/>
        <v>3669.811949925434</v>
      </c>
      <c r="W255" s="1625">
        <f t="shared" si="176"/>
        <v>6697.5</v>
      </c>
      <c r="X255" s="1614"/>
      <c r="Y255" s="1613"/>
      <c r="Z255" s="1612">
        <f t="shared" si="177"/>
        <v>0.50382467007829979</v>
      </c>
      <c r="AA255" s="1611"/>
      <c r="AB255" s="1611"/>
      <c r="AC255" s="1611"/>
      <c r="AD255" s="1611"/>
      <c r="AE255" s="1611"/>
      <c r="AF255" s="1611"/>
      <c r="AG255" s="1611"/>
      <c r="AH255" s="1611"/>
      <c r="AI255" s="1611"/>
      <c r="AJ255" s="1611"/>
      <c r="AK255" s="1611"/>
      <c r="AL255" s="1611"/>
      <c r="AM255" s="1611"/>
      <c r="AN255" s="1611"/>
      <c r="AO255" s="1611"/>
      <c r="AP255" s="1611"/>
      <c r="AQ255" s="1611"/>
    </row>
    <row r="256" spans="1:43" outlineLevel="2">
      <c r="A256" s="1638" t="s">
        <v>312</v>
      </c>
      <c r="B256" s="1637" t="s">
        <v>120</v>
      </c>
      <c r="C256" s="1636"/>
      <c r="D256" s="1635">
        <v>10</v>
      </c>
      <c r="E256" s="1634" t="s">
        <v>933</v>
      </c>
      <c r="F256" s="1633" t="s">
        <v>1071</v>
      </c>
      <c r="G256" s="1632">
        <v>4159.8999416173692</v>
      </c>
      <c r="H256" s="1632">
        <v>4702.3100000000004</v>
      </c>
      <c r="I256" s="1630">
        <f t="shared" si="165"/>
        <v>8862.2099416173696</v>
      </c>
      <c r="J256" s="1630">
        <f t="shared" si="166"/>
        <v>88622.099416173704</v>
      </c>
      <c r="K256" s="1631">
        <v>4465</v>
      </c>
      <c r="L256" s="1630">
        <f t="shared" si="167"/>
        <v>4465</v>
      </c>
      <c r="M256" s="1630">
        <f t="shared" si="168"/>
        <v>44650</v>
      </c>
      <c r="N256" s="1625">
        <f t="shared" si="169"/>
        <v>43972.099416173704</v>
      </c>
      <c r="O256" s="1629">
        <v>0.48699999999999999</v>
      </c>
      <c r="P256" s="1629">
        <v>0.51300000000000001</v>
      </c>
      <c r="Q256" s="1625">
        <f t="shared" si="170"/>
        <v>21414.412415676594</v>
      </c>
      <c r="R256" s="1628">
        <f t="shared" si="171"/>
        <v>22557.68700049711</v>
      </c>
      <c r="S256" s="1627">
        <f t="shared" si="172"/>
        <v>20184.587000497097</v>
      </c>
      <c r="T256" s="1627">
        <f t="shared" si="173"/>
        <v>24465.412999502896</v>
      </c>
      <c r="U256" s="1626">
        <f t="shared" si="174"/>
        <v>5046.1467501242741</v>
      </c>
      <c r="V256" s="1626">
        <f t="shared" si="175"/>
        <v>6116.353249875724</v>
      </c>
      <c r="W256" s="1625">
        <f t="shared" si="176"/>
        <v>11162.499999999998</v>
      </c>
      <c r="X256" s="1614"/>
      <c r="Y256" s="1613"/>
      <c r="Z256" s="1612">
        <f t="shared" si="177"/>
        <v>0.50382467007829979</v>
      </c>
      <c r="AA256" s="1611"/>
      <c r="AB256" s="1611"/>
      <c r="AC256" s="1611"/>
      <c r="AD256" s="1611"/>
      <c r="AE256" s="1611"/>
      <c r="AF256" s="1611"/>
      <c r="AG256" s="1611"/>
      <c r="AH256" s="1611"/>
      <c r="AI256" s="1611"/>
      <c r="AJ256" s="1611"/>
      <c r="AK256" s="1611"/>
      <c r="AL256" s="1611"/>
      <c r="AM256" s="1611"/>
      <c r="AN256" s="1611"/>
      <c r="AO256" s="1611"/>
      <c r="AP256" s="1611"/>
      <c r="AQ256" s="1611"/>
    </row>
    <row r="257" spans="1:43" outlineLevel="2">
      <c r="A257" s="1638" t="s">
        <v>312</v>
      </c>
      <c r="B257" s="1637" t="s">
        <v>120</v>
      </c>
      <c r="C257" s="1636"/>
      <c r="D257" s="1635">
        <v>10</v>
      </c>
      <c r="E257" s="1634" t="s">
        <v>933</v>
      </c>
      <c r="F257" s="1633" t="s">
        <v>1065</v>
      </c>
      <c r="G257" s="1632">
        <v>4159.8999416173692</v>
      </c>
      <c r="H257" s="1632">
        <v>4702.3100000000004</v>
      </c>
      <c r="I257" s="1630">
        <f t="shared" si="165"/>
        <v>8862.2099416173696</v>
      </c>
      <c r="J257" s="1630">
        <f t="shared" si="166"/>
        <v>88622.099416173704</v>
      </c>
      <c r="K257" s="1631">
        <v>4465</v>
      </c>
      <c r="L257" s="1630">
        <f t="shared" si="167"/>
        <v>4465</v>
      </c>
      <c r="M257" s="1630">
        <f t="shared" si="168"/>
        <v>44650</v>
      </c>
      <c r="N257" s="1625">
        <f t="shared" si="169"/>
        <v>43972.099416173704</v>
      </c>
      <c r="O257" s="1629">
        <v>0.48699999999999999</v>
      </c>
      <c r="P257" s="1629">
        <v>0.51300000000000001</v>
      </c>
      <c r="Q257" s="1625">
        <f t="shared" si="170"/>
        <v>21414.412415676594</v>
      </c>
      <c r="R257" s="1628">
        <f t="shared" si="171"/>
        <v>22557.68700049711</v>
      </c>
      <c r="S257" s="1627">
        <f t="shared" si="172"/>
        <v>20184.587000497097</v>
      </c>
      <c r="T257" s="1627">
        <f t="shared" si="173"/>
        <v>24465.412999502896</v>
      </c>
      <c r="U257" s="1626">
        <f t="shared" si="174"/>
        <v>5046.1467501242741</v>
      </c>
      <c r="V257" s="1626">
        <f t="shared" si="175"/>
        <v>6116.353249875724</v>
      </c>
      <c r="W257" s="1625">
        <f t="shared" si="176"/>
        <v>11162.499999999998</v>
      </c>
      <c r="X257" s="1614"/>
      <c r="Y257" s="1613"/>
      <c r="Z257" s="1612">
        <f t="shared" si="177"/>
        <v>0.50382467007829979</v>
      </c>
      <c r="AA257" s="1611"/>
      <c r="AB257" s="1611"/>
      <c r="AC257" s="1611"/>
      <c r="AD257" s="1611"/>
      <c r="AE257" s="1611"/>
      <c r="AF257" s="1611"/>
      <c r="AG257" s="1611"/>
      <c r="AH257" s="1611"/>
      <c r="AI257" s="1611"/>
      <c r="AJ257" s="1611"/>
      <c r="AK257" s="1611"/>
      <c r="AL257" s="1611"/>
      <c r="AM257" s="1611"/>
      <c r="AN257" s="1611"/>
      <c r="AO257" s="1611"/>
      <c r="AP257" s="1611"/>
      <c r="AQ257" s="1611"/>
    </row>
    <row r="258" spans="1:43" outlineLevel="2">
      <c r="A258" s="1638" t="s">
        <v>312</v>
      </c>
      <c r="B258" s="1637" t="s">
        <v>120</v>
      </c>
      <c r="C258" s="1636"/>
      <c r="D258" s="1635">
        <v>10</v>
      </c>
      <c r="E258" s="1634" t="s">
        <v>933</v>
      </c>
      <c r="F258" s="1633" t="s">
        <v>1064</v>
      </c>
      <c r="G258" s="1632">
        <v>4159.8999416173692</v>
      </c>
      <c r="H258" s="1632">
        <v>4702.3100000000004</v>
      </c>
      <c r="I258" s="1630">
        <f t="shared" si="165"/>
        <v>8862.2099416173696</v>
      </c>
      <c r="J258" s="1630">
        <f t="shared" si="166"/>
        <v>88622.099416173704</v>
      </c>
      <c r="K258" s="1631">
        <v>4465</v>
      </c>
      <c r="L258" s="1630">
        <f t="shared" si="167"/>
        <v>4465</v>
      </c>
      <c r="M258" s="1630">
        <f t="shared" si="168"/>
        <v>44650</v>
      </c>
      <c r="N258" s="1625">
        <f t="shared" si="169"/>
        <v>43972.099416173704</v>
      </c>
      <c r="O258" s="1629">
        <v>0.48699999999999999</v>
      </c>
      <c r="P258" s="1629">
        <v>0.51300000000000001</v>
      </c>
      <c r="Q258" s="1625">
        <f t="shared" si="170"/>
        <v>21414.412415676594</v>
      </c>
      <c r="R258" s="1628">
        <f t="shared" si="171"/>
        <v>22557.68700049711</v>
      </c>
      <c r="S258" s="1627">
        <f t="shared" si="172"/>
        <v>20184.587000497097</v>
      </c>
      <c r="T258" s="1627">
        <f t="shared" si="173"/>
        <v>24465.412999502896</v>
      </c>
      <c r="U258" s="1626">
        <f t="shared" si="174"/>
        <v>5046.1467501242741</v>
      </c>
      <c r="V258" s="1626">
        <f t="shared" si="175"/>
        <v>6116.353249875724</v>
      </c>
      <c r="W258" s="1625">
        <f t="shared" si="176"/>
        <v>11162.499999999998</v>
      </c>
      <c r="X258" s="1614"/>
      <c r="Y258" s="1613"/>
      <c r="Z258" s="1612">
        <f t="shared" si="177"/>
        <v>0.50382467007829979</v>
      </c>
      <c r="AA258" s="1611"/>
      <c r="AB258" s="1611"/>
      <c r="AC258" s="1611"/>
      <c r="AD258" s="1611"/>
      <c r="AE258" s="1611"/>
      <c r="AF258" s="1611"/>
      <c r="AG258" s="1611"/>
      <c r="AH258" s="1611"/>
      <c r="AI258" s="1611"/>
      <c r="AJ258" s="1611"/>
      <c r="AK258" s="1611"/>
      <c r="AL258" s="1611"/>
      <c r="AM258" s="1611"/>
      <c r="AN258" s="1611"/>
      <c r="AO258" s="1611"/>
      <c r="AP258" s="1611"/>
      <c r="AQ258" s="1611"/>
    </row>
    <row r="259" spans="1:43" outlineLevel="2">
      <c r="A259" s="1638" t="s">
        <v>312</v>
      </c>
      <c r="B259" s="1637" t="s">
        <v>120</v>
      </c>
      <c r="C259" s="1636"/>
      <c r="D259" s="1635">
        <v>5</v>
      </c>
      <c r="E259" s="1634" t="s">
        <v>933</v>
      </c>
      <c r="F259" s="1633" t="s">
        <v>1063</v>
      </c>
      <c r="G259" s="1632">
        <v>4159.8999416173692</v>
      </c>
      <c r="H259" s="1632">
        <v>4702.3100000000004</v>
      </c>
      <c r="I259" s="1630">
        <f t="shared" si="165"/>
        <v>8862.2099416173696</v>
      </c>
      <c r="J259" s="1630">
        <f t="shared" si="166"/>
        <v>44311.049708086852</v>
      </c>
      <c r="K259" s="1631">
        <v>4465</v>
      </c>
      <c r="L259" s="1630">
        <f t="shared" si="167"/>
        <v>4465</v>
      </c>
      <c r="M259" s="1630">
        <f t="shared" si="168"/>
        <v>22325</v>
      </c>
      <c r="N259" s="1625">
        <f t="shared" si="169"/>
        <v>21986.049708086852</v>
      </c>
      <c r="O259" s="1629">
        <v>0.48699999999999999</v>
      </c>
      <c r="P259" s="1629">
        <v>0.51300000000000001</v>
      </c>
      <c r="Q259" s="1625">
        <f t="shared" si="170"/>
        <v>10707.206207838297</v>
      </c>
      <c r="R259" s="1628">
        <f t="shared" si="171"/>
        <v>11278.843500248555</v>
      </c>
      <c r="S259" s="1627">
        <f t="shared" si="172"/>
        <v>10092.293500248548</v>
      </c>
      <c r="T259" s="1627">
        <f t="shared" si="173"/>
        <v>12232.706499751448</v>
      </c>
      <c r="U259" s="1626">
        <f t="shared" si="174"/>
        <v>2523.0733750621371</v>
      </c>
      <c r="V259" s="1626">
        <f t="shared" si="175"/>
        <v>3058.176624937862</v>
      </c>
      <c r="W259" s="1625">
        <f t="shared" si="176"/>
        <v>5581.2499999999991</v>
      </c>
      <c r="X259" s="1614"/>
      <c r="Y259" s="1613"/>
      <c r="Z259" s="1612">
        <f t="shared" si="177"/>
        <v>0.50382467007829979</v>
      </c>
      <c r="AA259" s="1611"/>
      <c r="AB259" s="1611"/>
      <c r="AC259" s="1611"/>
      <c r="AD259" s="1611"/>
      <c r="AE259" s="1611"/>
      <c r="AF259" s="1611"/>
      <c r="AG259" s="1611"/>
      <c r="AH259" s="1611"/>
      <c r="AI259" s="1611"/>
      <c r="AJ259" s="1611"/>
      <c r="AK259" s="1611"/>
      <c r="AL259" s="1611"/>
      <c r="AM259" s="1611"/>
      <c r="AN259" s="1611"/>
      <c r="AO259" s="1611"/>
      <c r="AP259" s="1611"/>
      <c r="AQ259" s="1611"/>
    </row>
    <row r="260" spans="1:43" outlineLevel="2">
      <c r="A260" s="1638" t="s">
        <v>312</v>
      </c>
      <c r="B260" s="1637" t="s">
        <v>120</v>
      </c>
      <c r="C260" s="1636"/>
      <c r="D260" s="1635">
        <v>8</v>
      </c>
      <c r="E260" s="1634" t="s">
        <v>933</v>
      </c>
      <c r="F260" s="1633" t="s">
        <v>979</v>
      </c>
      <c r="G260" s="1632">
        <v>4159.8999416173692</v>
      </c>
      <c r="H260" s="1632">
        <v>4702.3100000000004</v>
      </c>
      <c r="I260" s="1630">
        <f t="shared" si="165"/>
        <v>8862.2099416173696</v>
      </c>
      <c r="J260" s="1630">
        <f t="shared" si="166"/>
        <v>70897.679532938957</v>
      </c>
      <c r="K260" s="1631">
        <v>4465</v>
      </c>
      <c r="L260" s="1630">
        <f t="shared" si="167"/>
        <v>4465</v>
      </c>
      <c r="M260" s="1630">
        <f t="shared" si="168"/>
        <v>35720</v>
      </c>
      <c r="N260" s="1625">
        <f t="shared" si="169"/>
        <v>35177.679532938957</v>
      </c>
      <c r="O260" s="1629">
        <v>0.48699999999999999</v>
      </c>
      <c r="P260" s="1629">
        <v>0.51300000000000001</v>
      </c>
      <c r="Q260" s="1625">
        <f t="shared" si="170"/>
        <v>17131.529932541271</v>
      </c>
      <c r="R260" s="1628">
        <f t="shared" si="171"/>
        <v>18046.149600397686</v>
      </c>
      <c r="S260" s="1627">
        <f t="shared" si="172"/>
        <v>16147.669600397683</v>
      </c>
      <c r="T260" s="1627">
        <f t="shared" si="173"/>
        <v>19572.330399602317</v>
      </c>
      <c r="U260" s="1626">
        <f t="shared" si="174"/>
        <v>4036.9174000994208</v>
      </c>
      <c r="V260" s="1626">
        <f t="shared" si="175"/>
        <v>4893.0825999005792</v>
      </c>
      <c r="W260" s="1625">
        <f t="shared" si="176"/>
        <v>8930</v>
      </c>
      <c r="X260" s="1614"/>
      <c r="Y260" s="1613"/>
      <c r="Z260" s="1612">
        <f t="shared" si="177"/>
        <v>0.50382467007829979</v>
      </c>
      <c r="AA260" s="1611"/>
      <c r="AB260" s="1611"/>
      <c r="AC260" s="1611"/>
      <c r="AD260" s="1611"/>
      <c r="AE260" s="1611"/>
      <c r="AF260" s="1611"/>
      <c r="AG260" s="1611"/>
      <c r="AH260" s="1611"/>
      <c r="AI260" s="1611"/>
      <c r="AJ260" s="1611"/>
      <c r="AK260" s="1611"/>
      <c r="AL260" s="1611"/>
      <c r="AM260" s="1611"/>
      <c r="AN260" s="1611"/>
      <c r="AO260" s="1611"/>
      <c r="AP260" s="1611"/>
      <c r="AQ260" s="1611"/>
    </row>
    <row r="261" spans="1:43" outlineLevel="2">
      <c r="A261" s="1638" t="s">
        <v>312</v>
      </c>
      <c r="B261" s="1637" t="s">
        <v>120</v>
      </c>
      <c r="C261" s="1636"/>
      <c r="D261" s="1635">
        <v>1</v>
      </c>
      <c r="E261" s="1634" t="s">
        <v>920</v>
      </c>
      <c r="F261" s="1633" t="s">
        <v>979</v>
      </c>
      <c r="G261" s="1632">
        <v>4159.8999416173692</v>
      </c>
      <c r="H261" s="1632">
        <v>4702.3100000000004</v>
      </c>
      <c r="I261" s="1630">
        <f t="shared" si="165"/>
        <v>8862.2099416173696</v>
      </c>
      <c r="J261" s="1630">
        <f t="shared" si="166"/>
        <v>8862.2099416173696</v>
      </c>
      <c r="K261" s="1631">
        <v>3815</v>
      </c>
      <c r="L261" s="1630">
        <f t="shared" si="167"/>
        <v>3815</v>
      </c>
      <c r="M261" s="1630">
        <f t="shared" si="168"/>
        <v>3815</v>
      </c>
      <c r="N261" s="1625">
        <f t="shared" si="169"/>
        <v>5047.2099416173696</v>
      </c>
      <c r="O261" s="1629">
        <v>0.48699999999999999</v>
      </c>
      <c r="P261" s="1629">
        <v>0.51300000000000001</v>
      </c>
      <c r="Q261" s="1625">
        <f t="shared" si="170"/>
        <v>2457.991241567659</v>
      </c>
      <c r="R261" s="1628">
        <f t="shared" si="171"/>
        <v>2589.2187000497106</v>
      </c>
      <c r="S261" s="1627">
        <f t="shared" si="172"/>
        <v>1701.9087000497102</v>
      </c>
      <c r="T261" s="1627">
        <f t="shared" si="173"/>
        <v>2113.0912999502898</v>
      </c>
      <c r="U261" s="1626">
        <f t="shared" si="174"/>
        <v>425.47717501242755</v>
      </c>
      <c r="V261" s="1626">
        <f t="shared" si="175"/>
        <v>528.27282498757245</v>
      </c>
      <c r="W261" s="1625">
        <f t="shared" si="176"/>
        <v>953.75</v>
      </c>
      <c r="X261" s="1614"/>
      <c r="Y261" s="1613"/>
      <c r="Z261" s="1612">
        <f t="shared" si="177"/>
        <v>0.43047953333677802</v>
      </c>
      <c r="AA261" s="1611"/>
      <c r="AB261" s="1611"/>
      <c r="AC261" s="1611"/>
      <c r="AD261" s="1611"/>
      <c r="AE261" s="1611"/>
      <c r="AF261" s="1611"/>
      <c r="AG261" s="1611"/>
      <c r="AH261" s="1611"/>
      <c r="AI261" s="1611"/>
      <c r="AJ261" s="1611"/>
      <c r="AK261" s="1611"/>
      <c r="AL261" s="1611"/>
      <c r="AM261" s="1611"/>
      <c r="AN261" s="1611"/>
      <c r="AO261" s="1611"/>
      <c r="AP261" s="1611"/>
      <c r="AQ261" s="1611"/>
    </row>
    <row r="262" spans="1:43" outlineLevel="2">
      <c r="A262" s="1638" t="s">
        <v>312</v>
      </c>
      <c r="B262" s="1637" t="s">
        <v>120</v>
      </c>
      <c r="C262" s="1636"/>
      <c r="D262" s="1635">
        <v>12</v>
      </c>
      <c r="E262" s="1634" t="s">
        <v>920</v>
      </c>
      <c r="F262" s="1633" t="s">
        <v>1070</v>
      </c>
      <c r="G262" s="1632">
        <v>4159.8999416173692</v>
      </c>
      <c r="H262" s="1632">
        <v>4702.3100000000004</v>
      </c>
      <c r="I262" s="1630">
        <f t="shared" si="165"/>
        <v>8862.2099416173696</v>
      </c>
      <c r="J262" s="1630">
        <f t="shared" si="166"/>
        <v>106346.51929940844</v>
      </c>
      <c r="K262" s="1631">
        <v>5005</v>
      </c>
      <c r="L262" s="1630">
        <f t="shared" si="167"/>
        <v>5005</v>
      </c>
      <c r="M262" s="1630">
        <f t="shared" si="168"/>
        <v>60060</v>
      </c>
      <c r="N262" s="1625">
        <f t="shared" si="169"/>
        <v>46286.519299408435</v>
      </c>
      <c r="O262" s="1629">
        <v>0.48699999999999999</v>
      </c>
      <c r="P262" s="1629">
        <v>0.51300000000000001</v>
      </c>
      <c r="Q262" s="1625">
        <f t="shared" si="170"/>
        <v>22541.534898811908</v>
      </c>
      <c r="R262" s="1628">
        <f t="shared" si="171"/>
        <v>23744.984400596528</v>
      </c>
      <c r="S262" s="1627">
        <f t="shared" si="172"/>
        <v>27377.264400596527</v>
      </c>
      <c r="T262" s="1627">
        <f t="shared" si="173"/>
        <v>32682.735599403473</v>
      </c>
      <c r="U262" s="1626">
        <f t="shared" si="174"/>
        <v>6844.3161001491317</v>
      </c>
      <c r="V262" s="1626">
        <f t="shared" si="175"/>
        <v>8170.6838998508683</v>
      </c>
      <c r="W262" s="1625">
        <f t="shared" si="176"/>
        <v>15015</v>
      </c>
      <c r="X262" s="1614"/>
      <c r="Y262" s="1613"/>
      <c r="Z262" s="1612">
        <f t="shared" si="177"/>
        <v>0.56475755290971796</v>
      </c>
      <c r="AA262" s="1611"/>
      <c r="AB262" s="1611"/>
      <c r="AC262" s="1611"/>
      <c r="AD262" s="1611"/>
      <c r="AE262" s="1611"/>
      <c r="AF262" s="1611"/>
      <c r="AG262" s="1611"/>
      <c r="AH262" s="1611"/>
      <c r="AI262" s="1611"/>
      <c r="AJ262" s="1611"/>
      <c r="AK262" s="1611"/>
      <c r="AL262" s="1611"/>
      <c r="AM262" s="1611"/>
      <c r="AN262" s="1611"/>
      <c r="AO262" s="1611"/>
      <c r="AP262" s="1611"/>
      <c r="AQ262" s="1611"/>
    </row>
    <row r="263" spans="1:43" outlineLevel="2">
      <c r="A263" s="1638" t="s">
        <v>312</v>
      </c>
      <c r="B263" s="1637" t="s">
        <v>120</v>
      </c>
      <c r="C263" s="1636"/>
      <c r="D263" s="1635">
        <v>12</v>
      </c>
      <c r="E263" s="1634" t="s">
        <v>920</v>
      </c>
      <c r="F263" s="1633" t="s">
        <v>1069</v>
      </c>
      <c r="G263" s="1632">
        <v>4159.8999416173692</v>
      </c>
      <c r="H263" s="1632">
        <v>4702.3100000000004</v>
      </c>
      <c r="I263" s="1630">
        <f t="shared" si="165"/>
        <v>8862.2099416173696</v>
      </c>
      <c r="J263" s="1630">
        <f t="shared" si="166"/>
        <v>106346.51929940844</v>
      </c>
      <c r="K263" s="1631">
        <v>5005</v>
      </c>
      <c r="L263" s="1630">
        <f t="shared" si="167"/>
        <v>5005</v>
      </c>
      <c r="M263" s="1630">
        <f t="shared" si="168"/>
        <v>60060</v>
      </c>
      <c r="N263" s="1625">
        <f t="shared" si="169"/>
        <v>46286.519299408435</v>
      </c>
      <c r="O263" s="1629">
        <v>0.48699999999999999</v>
      </c>
      <c r="P263" s="1629">
        <v>0.51300000000000001</v>
      </c>
      <c r="Q263" s="1625">
        <f t="shared" si="170"/>
        <v>22541.534898811908</v>
      </c>
      <c r="R263" s="1628">
        <f t="shared" si="171"/>
        <v>23744.984400596528</v>
      </c>
      <c r="S263" s="1627">
        <f t="shared" si="172"/>
        <v>27377.264400596527</v>
      </c>
      <c r="T263" s="1627">
        <f t="shared" si="173"/>
        <v>32682.735599403473</v>
      </c>
      <c r="U263" s="1626">
        <f t="shared" si="174"/>
        <v>6844.3161001491317</v>
      </c>
      <c r="V263" s="1626">
        <f t="shared" si="175"/>
        <v>8170.6838998508683</v>
      </c>
      <c r="W263" s="1625">
        <f t="shared" si="176"/>
        <v>15015</v>
      </c>
      <c r="X263" s="1614"/>
      <c r="Y263" s="1613"/>
      <c r="Z263" s="1612">
        <f t="shared" si="177"/>
        <v>0.56475755290971796</v>
      </c>
      <c r="AA263" s="1611"/>
      <c r="AB263" s="1611"/>
      <c r="AC263" s="1611"/>
      <c r="AD263" s="1611"/>
      <c r="AE263" s="1611"/>
      <c r="AF263" s="1611"/>
      <c r="AG263" s="1611"/>
      <c r="AH263" s="1611"/>
      <c r="AI263" s="1611"/>
      <c r="AJ263" s="1611"/>
      <c r="AK263" s="1611"/>
      <c r="AL263" s="1611"/>
      <c r="AM263" s="1611"/>
      <c r="AN263" s="1611"/>
      <c r="AO263" s="1611"/>
      <c r="AP263" s="1611"/>
      <c r="AQ263" s="1611"/>
    </row>
    <row r="264" spans="1:43" outlineLevel="2">
      <c r="A264" s="1638" t="s">
        <v>312</v>
      </c>
      <c r="B264" s="1637" t="s">
        <v>120</v>
      </c>
      <c r="C264" s="1636"/>
      <c r="D264" s="1635">
        <v>10</v>
      </c>
      <c r="E264" s="1634" t="s">
        <v>920</v>
      </c>
      <c r="F264" s="1633" t="s">
        <v>1068</v>
      </c>
      <c r="G264" s="1632">
        <v>4159.8999416173692</v>
      </c>
      <c r="H264" s="1632">
        <v>4702.3100000000004</v>
      </c>
      <c r="I264" s="1630">
        <f t="shared" si="165"/>
        <v>8862.2099416173696</v>
      </c>
      <c r="J264" s="1630">
        <f t="shared" si="166"/>
        <v>88622.099416173704</v>
      </c>
      <c r="K264" s="1631">
        <v>5005</v>
      </c>
      <c r="L264" s="1630">
        <f t="shared" si="167"/>
        <v>5005</v>
      </c>
      <c r="M264" s="1630">
        <f t="shared" si="168"/>
        <v>50050</v>
      </c>
      <c r="N264" s="1625">
        <f t="shared" si="169"/>
        <v>38572.099416173704</v>
      </c>
      <c r="O264" s="1629">
        <v>0.48699999999999999</v>
      </c>
      <c r="P264" s="1629">
        <v>0.51300000000000001</v>
      </c>
      <c r="Q264" s="1625">
        <f t="shared" si="170"/>
        <v>18784.612415676595</v>
      </c>
      <c r="R264" s="1628">
        <f t="shared" si="171"/>
        <v>19787.487000497109</v>
      </c>
      <c r="S264" s="1627">
        <f t="shared" si="172"/>
        <v>22814.387000497096</v>
      </c>
      <c r="T264" s="1627">
        <f t="shared" si="173"/>
        <v>27235.612999502897</v>
      </c>
      <c r="U264" s="1626">
        <f t="shared" si="174"/>
        <v>5703.596750124274</v>
      </c>
      <c r="V264" s="1626">
        <f t="shared" si="175"/>
        <v>6808.9032498757242</v>
      </c>
      <c r="W264" s="1625">
        <f t="shared" si="176"/>
        <v>12512.499999999998</v>
      </c>
      <c r="X264" s="1614"/>
      <c r="Y264" s="1613"/>
      <c r="Z264" s="1612">
        <f t="shared" si="177"/>
        <v>0.56475755290971796</v>
      </c>
      <c r="AA264" s="1611"/>
      <c r="AB264" s="1611"/>
      <c r="AC264" s="1611"/>
      <c r="AD264" s="1611"/>
      <c r="AE264" s="1611"/>
      <c r="AF264" s="1611"/>
      <c r="AG264" s="1611"/>
      <c r="AH264" s="1611"/>
      <c r="AI264" s="1611"/>
      <c r="AJ264" s="1611"/>
      <c r="AK264" s="1611"/>
      <c r="AL264" s="1611"/>
      <c r="AM264" s="1611"/>
      <c r="AN264" s="1611"/>
      <c r="AO264" s="1611"/>
      <c r="AP264" s="1611"/>
      <c r="AQ264" s="1611"/>
    </row>
    <row r="265" spans="1:43" outlineLevel="2">
      <c r="A265" s="1638" t="s">
        <v>312</v>
      </c>
      <c r="B265" s="1637" t="s">
        <v>120</v>
      </c>
      <c r="C265" s="1636"/>
      <c r="D265" s="1635">
        <v>9</v>
      </c>
      <c r="E265" s="1634" t="s">
        <v>920</v>
      </c>
      <c r="F265" s="1633" t="s">
        <v>1071</v>
      </c>
      <c r="G265" s="1632">
        <v>4159.8999416173692</v>
      </c>
      <c r="H265" s="1632">
        <v>4702.3100000000004</v>
      </c>
      <c r="I265" s="1630">
        <f t="shared" si="165"/>
        <v>8862.2099416173696</v>
      </c>
      <c r="J265" s="1630">
        <f t="shared" si="166"/>
        <v>79759.88947455633</v>
      </c>
      <c r="K265" s="1631">
        <v>5005</v>
      </c>
      <c r="L265" s="1630">
        <f t="shared" si="167"/>
        <v>5005</v>
      </c>
      <c r="M265" s="1630">
        <f t="shared" si="168"/>
        <v>45045</v>
      </c>
      <c r="N265" s="1625">
        <f t="shared" si="169"/>
        <v>34714.88947455633</v>
      </c>
      <c r="O265" s="1629">
        <v>0.48699999999999999</v>
      </c>
      <c r="P265" s="1629">
        <v>0.51300000000000001</v>
      </c>
      <c r="Q265" s="1625">
        <f t="shared" si="170"/>
        <v>16906.151174108931</v>
      </c>
      <c r="R265" s="1628">
        <f t="shared" si="171"/>
        <v>17808.7383004474</v>
      </c>
      <c r="S265" s="1627">
        <f t="shared" si="172"/>
        <v>20532.948300447391</v>
      </c>
      <c r="T265" s="1627">
        <f t="shared" si="173"/>
        <v>24512.051699552601</v>
      </c>
      <c r="U265" s="1626">
        <f t="shared" si="174"/>
        <v>5133.2370751118478</v>
      </c>
      <c r="V265" s="1626">
        <f t="shared" si="175"/>
        <v>6128.0129248881503</v>
      </c>
      <c r="W265" s="1625">
        <f t="shared" si="176"/>
        <v>11261.249999999998</v>
      </c>
      <c r="X265" s="1614"/>
      <c r="Y265" s="1613"/>
      <c r="Z265" s="1612">
        <f t="shared" si="177"/>
        <v>0.56475755290971796</v>
      </c>
      <c r="AA265" s="1611"/>
      <c r="AB265" s="1611"/>
      <c r="AC265" s="1611"/>
      <c r="AD265" s="1611"/>
      <c r="AE265" s="1611"/>
      <c r="AF265" s="1611"/>
      <c r="AG265" s="1611"/>
      <c r="AH265" s="1611"/>
      <c r="AI265" s="1611"/>
      <c r="AJ265" s="1611"/>
      <c r="AK265" s="1611"/>
      <c r="AL265" s="1611"/>
      <c r="AM265" s="1611"/>
      <c r="AN265" s="1611"/>
      <c r="AO265" s="1611"/>
      <c r="AP265" s="1611"/>
      <c r="AQ265" s="1611"/>
    </row>
    <row r="266" spans="1:43" outlineLevel="2">
      <c r="A266" s="1638" t="s">
        <v>312</v>
      </c>
      <c r="B266" s="1637" t="s">
        <v>120</v>
      </c>
      <c r="C266" s="1636"/>
      <c r="D266" s="1635">
        <v>6</v>
      </c>
      <c r="E266" s="1634" t="s">
        <v>920</v>
      </c>
      <c r="F266" s="1633" t="s">
        <v>1065</v>
      </c>
      <c r="G266" s="1632">
        <v>4159.8999416173692</v>
      </c>
      <c r="H266" s="1632">
        <v>4702.3100000000004</v>
      </c>
      <c r="I266" s="1630">
        <f t="shared" si="165"/>
        <v>8862.2099416173696</v>
      </c>
      <c r="J266" s="1630">
        <f t="shared" si="166"/>
        <v>53173.259649704218</v>
      </c>
      <c r="K266" s="1631">
        <v>5005</v>
      </c>
      <c r="L266" s="1630">
        <f t="shared" si="167"/>
        <v>5005</v>
      </c>
      <c r="M266" s="1630">
        <f t="shared" si="168"/>
        <v>30030</v>
      </c>
      <c r="N266" s="1625">
        <f t="shared" si="169"/>
        <v>23143.259649704218</v>
      </c>
      <c r="O266" s="1629">
        <v>0.48699999999999999</v>
      </c>
      <c r="P266" s="1629">
        <v>0.51300000000000001</v>
      </c>
      <c r="Q266" s="1625">
        <f t="shared" si="170"/>
        <v>11270.767449405954</v>
      </c>
      <c r="R266" s="1628">
        <f t="shared" si="171"/>
        <v>11872.492200298264</v>
      </c>
      <c r="S266" s="1627">
        <f t="shared" si="172"/>
        <v>13688.632200298263</v>
      </c>
      <c r="T266" s="1627">
        <f t="shared" si="173"/>
        <v>16341.367799701737</v>
      </c>
      <c r="U266" s="1626">
        <f t="shared" si="174"/>
        <v>3422.1580500745658</v>
      </c>
      <c r="V266" s="1626">
        <f t="shared" si="175"/>
        <v>4085.3419499254342</v>
      </c>
      <c r="W266" s="1625">
        <f t="shared" si="176"/>
        <v>7507.5</v>
      </c>
      <c r="X266" s="1614"/>
      <c r="Y266" s="1613"/>
      <c r="Z266" s="1612">
        <f t="shared" si="177"/>
        <v>0.56475755290971796</v>
      </c>
      <c r="AA266" s="1611"/>
      <c r="AB266" s="1611"/>
      <c r="AC266" s="1611"/>
      <c r="AD266" s="1611"/>
      <c r="AE266" s="1611"/>
      <c r="AF266" s="1611"/>
      <c r="AG266" s="1611"/>
      <c r="AH266" s="1611"/>
      <c r="AI266" s="1611"/>
      <c r="AJ266" s="1611"/>
      <c r="AK266" s="1611"/>
      <c r="AL266" s="1611"/>
      <c r="AM266" s="1611"/>
      <c r="AN266" s="1611"/>
      <c r="AO266" s="1611"/>
      <c r="AP266" s="1611"/>
      <c r="AQ266" s="1611"/>
    </row>
    <row r="267" spans="1:43" outlineLevel="2">
      <c r="A267" s="1638" t="s">
        <v>312</v>
      </c>
      <c r="B267" s="1637" t="s">
        <v>120</v>
      </c>
      <c r="C267" s="1636"/>
      <c r="D267" s="1635">
        <v>9</v>
      </c>
      <c r="E267" s="1634" t="s">
        <v>920</v>
      </c>
      <c r="F267" s="1633" t="s">
        <v>1064</v>
      </c>
      <c r="G267" s="1632">
        <v>4159.8999416173692</v>
      </c>
      <c r="H267" s="1632">
        <v>4702.3100000000004</v>
      </c>
      <c r="I267" s="1630">
        <f t="shared" si="165"/>
        <v>8862.2099416173696</v>
      </c>
      <c r="J267" s="1630">
        <f t="shared" si="166"/>
        <v>79759.88947455633</v>
      </c>
      <c r="K267" s="1631">
        <v>5005</v>
      </c>
      <c r="L267" s="1630">
        <f t="shared" si="167"/>
        <v>5005</v>
      </c>
      <c r="M267" s="1630">
        <f t="shared" si="168"/>
        <v>45045</v>
      </c>
      <c r="N267" s="1625">
        <f t="shared" si="169"/>
        <v>34714.88947455633</v>
      </c>
      <c r="O267" s="1629">
        <v>0.48699999999999999</v>
      </c>
      <c r="P267" s="1629">
        <v>0.51300000000000001</v>
      </c>
      <c r="Q267" s="1625">
        <f t="shared" si="170"/>
        <v>16906.151174108931</v>
      </c>
      <c r="R267" s="1628">
        <f t="shared" si="171"/>
        <v>17808.7383004474</v>
      </c>
      <c r="S267" s="1627">
        <f t="shared" si="172"/>
        <v>20532.948300447391</v>
      </c>
      <c r="T267" s="1627">
        <f t="shared" si="173"/>
        <v>24512.051699552601</v>
      </c>
      <c r="U267" s="1626">
        <f t="shared" si="174"/>
        <v>5133.2370751118478</v>
      </c>
      <c r="V267" s="1626">
        <f t="shared" si="175"/>
        <v>6128.0129248881503</v>
      </c>
      <c r="W267" s="1625">
        <f t="shared" si="176"/>
        <v>11261.249999999998</v>
      </c>
      <c r="X267" s="1614"/>
      <c r="Y267" s="1613"/>
      <c r="Z267" s="1612">
        <f t="shared" si="177"/>
        <v>0.56475755290971796</v>
      </c>
      <c r="AA267" s="1611"/>
      <c r="AB267" s="1611"/>
      <c r="AC267" s="1611"/>
      <c r="AD267" s="1611"/>
      <c r="AE267" s="1611"/>
      <c r="AF267" s="1611"/>
      <c r="AG267" s="1611"/>
      <c r="AH267" s="1611"/>
      <c r="AI267" s="1611"/>
      <c r="AJ267" s="1611"/>
      <c r="AK267" s="1611"/>
      <c r="AL267" s="1611"/>
      <c r="AM267" s="1611"/>
      <c r="AN267" s="1611"/>
      <c r="AO267" s="1611"/>
      <c r="AP267" s="1611"/>
      <c r="AQ267" s="1611"/>
    </row>
    <row r="268" spans="1:43" outlineLevel="2">
      <c r="A268" s="1638" t="s">
        <v>312</v>
      </c>
      <c r="B268" s="1637" t="s">
        <v>120</v>
      </c>
      <c r="C268" s="1636"/>
      <c r="D268" s="1635">
        <v>4</v>
      </c>
      <c r="E268" s="1634" t="s">
        <v>920</v>
      </c>
      <c r="F268" s="1633" t="s">
        <v>1063</v>
      </c>
      <c r="G268" s="1632">
        <v>4159.8999416173692</v>
      </c>
      <c r="H268" s="1632">
        <v>4702.3100000000004</v>
      </c>
      <c r="I268" s="1630">
        <f t="shared" si="165"/>
        <v>8862.2099416173696</v>
      </c>
      <c r="J268" s="1630">
        <f t="shared" si="166"/>
        <v>35448.839766469478</v>
      </c>
      <c r="K268" s="1631">
        <v>5005</v>
      </c>
      <c r="L268" s="1630">
        <f t="shared" si="167"/>
        <v>5005</v>
      </c>
      <c r="M268" s="1630">
        <f t="shared" si="168"/>
        <v>20020</v>
      </c>
      <c r="N268" s="1625">
        <f t="shared" si="169"/>
        <v>15428.839766469478</v>
      </c>
      <c r="O268" s="1629">
        <v>0.48699999999999999</v>
      </c>
      <c r="P268" s="1629">
        <v>0.51300000000000001</v>
      </c>
      <c r="Q268" s="1625">
        <f t="shared" si="170"/>
        <v>7513.8449662706362</v>
      </c>
      <c r="R268" s="1628">
        <f t="shared" si="171"/>
        <v>7914.9948001988423</v>
      </c>
      <c r="S268" s="1627">
        <f t="shared" si="172"/>
        <v>9125.7548001988398</v>
      </c>
      <c r="T268" s="1627">
        <f t="shared" si="173"/>
        <v>10894.24519980116</v>
      </c>
      <c r="U268" s="1626">
        <f t="shared" si="174"/>
        <v>2281.43870004971</v>
      </c>
      <c r="V268" s="1626">
        <f t="shared" si="175"/>
        <v>2723.56129995029</v>
      </c>
      <c r="W268" s="1625">
        <f t="shared" si="176"/>
        <v>5005</v>
      </c>
      <c r="X268" s="1614"/>
      <c r="Y268" s="1613"/>
      <c r="Z268" s="1612">
        <f t="shared" si="177"/>
        <v>0.56475755290971796</v>
      </c>
      <c r="AA268" s="1611"/>
      <c r="AB268" s="1611"/>
      <c r="AC268" s="1611"/>
      <c r="AD268" s="1611"/>
      <c r="AE268" s="1611"/>
      <c r="AF268" s="1611"/>
      <c r="AG268" s="1611"/>
      <c r="AH268" s="1611"/>
      <c r="AI268" s="1611"/>
      <c r="AJ268" s="1611"/>
      <c r="AK268" s="1611"/>
      <c r="AL268" s="1611"/>
      <c r="AM268" s="1611"/>
      <c r="AN268" s="1611"/>
      <c r="AO268" s="1611"/>
      <c r="AP268" s="1611"/>
      <c r="AQ268" s="1611"/>
    </row>
    <row r="269" spans="1:43" outlineLevel="2">
      <c r="A269" s="1638" t="s">
        <v>312</v>
      </c>
      <c r="B269" s="1637" t="s">
        <v>120</v>
      </c>
      <c r="C269" s="1636"/>
      <c r="D269" s="1635">
        <v>2</v>
      </c>
      <c r="E269" s="1634" t="s">
        <v>920</v>
      </c>
      <c r="F269" s="1633" t="s">
        <v>1066</v>
      </c>
      <c r="G269" s="1632">
        <v>4159.8999416173692</v>
      </c>
      <c r="H269" s="1632">
        <v>4702.3100000000004</v>
      </c>
      <c r="I269" s="1630">
        <f t="shared" si="165"/>
        <v>8862.2099416173696</v>
      </c>
      <c r="J269" s="1630">
        <f t="shared" si="166"/>
        <v>17724.419883234739</v>
      </c>
      <c r="K269" s="1631">
        <v>5005</v>
      </c>
      <c r="L269" s="1630">
        <f t="shared" si="167"/>
        <v>5005</v>
      </c>
      <c r="M269" s="1630">
        <f t="shared" si="168"/>
        <v>10010</v>
      </c>
      <c r="N269" s="1625">
        <f t="shared" si="169"/>
        <v>7714.4198832347392</v>
      </c>
      <c r="O269" s="1629">
        <v>0.48699999999999999</v>
      </c>
      <c r="P269" s="1629">
        <v>0.51300000000000001</v>
      </c>
      <c r="Q269" s="1625">
        <f t="shared" si="170"/>
        <v>3756.9224831353181</v>
      </c>
      <c r="R269" s="1628">
        <f t="shared" si="171"/>
        <v>3957.4974000994212</v>
      </c>
      <c r="S269" s="1627">
        <f t="shared" si="172"/>
        <v>4562.8774000994199</v>
      </c>
      <c r="T269" s="1627">
        <f t="shared" si="173"/>
        <v>5447.1225999005801</v>
      </c>
      <c r="U269" s="1626">
        <f t="shared" si="174"/>
        <v>1140.719350024855</v>
      </c>
      <c r="V269" s="1626">
        <f t="shared" si="175"/>
        <v>1361.780649975145</v>
      </c>
      <c r="W269" s="1625">
        <f t="shared" si="176"/>
        <v>2502.5</v>
      </c>
      <c r="X269" s="1614"/>
      <c r="Y269" s="1613"/>
      <c r="Z269" s="1612">
        <f t="shared" si="177"/>
        <v>0.56475755290971796</v>
      </c>
      <c r="AA269" s="1611"/>
      <c r="AB269" s="1611"/>
      <c r="AC269" s="1611"/>
      <c r="AD269" s="1611"/>
      <c r="AE269" s="1611"/>
      <c r="AF269" s="1611"/>
      <c r="AG269" s="1611"/>
      <c r="AH269" s="1611"/>
      <c r="AI269" s="1611"/>
      <c r="AJ269" s="1611"/>
      <c r="AK269" s="1611"/>
      <c r="AL269" s="1611"/>
      <c r="AM269" s="1611"/>
      <c r="AN269" s="1611"/>
      <c r="AO269" s="1611"/>
      <c r="AP269" s="1611"/>
      <c r="AQ269" s="1611"/>
    </row>
    <row r="270" spans="1:43" outlineLevel="2">
      <c r="A270" s="1638" t="s">
        <v>312</v>
      </c>
      <c r="B270" s="1637" t="s">
        <v>120</v>
      </c>
      <c r="C270" s="1636"/>
      <c r="D270" s="1635">
        <v>34</v>
      </c>
      <c r="E270" s="1634" t="s">
        <v>920</v>
      </c>
      <c r="F270" s="1633" t="s">
        <v>979</v>
      </c>
      <c r="G270" s="1632">
        <v>4159.8999416173692</v>
      </c>
      <c r="H270" s="1632">
        <v>4702.3100000000004</v>
      </c>
      <c r="I270" s="1630">
        <f t="shared" ref="I270:I301" si="178">G270+H270</f>
        <v>8862.2099416173696</v>
      </c>
      <c r="J270" s="1630">
        <f t="shared" ref="J270:J301" si="179">D270*I270</f>
        <v>301315.13801499055</v>
      </c>
      <c r="K270" s="1631">
        <v>5005</v>
      </c>
      <c r="L270" s="1630">
        <f t="shared" ref="L270:L301" si="180">IF(I270&gt;K270,K270,I270)</f>
        <v>5005</v>
      </c>
      <c r="M270" s="1630">
        <f t="shared" ref="M270:M301" si="181">L270*D270</f>
        <v>170170</v>
      </c>
      <c r="N270" s="1625">
        <f t="shared" ref="N270:N301" si="182">J270-M270</f>
        <v>131145.13801499055</v>
      </c>
      <c r="O270" s="1629">
        <v>0.48699999999999999</v>
      </c>
      <c r="P270" s="1629">
        <v>0.51300000000000001</v>
      </c>
      <c r="Q270" s="1625">
        <f t="shared" ref="Q270:Q301" si="183">N270*O270</f>
        <v>63867.682213300395</v>
      </c>
      <c r="R270" s="1628">
        <f t="shared" ref="R270:R301" si="184">N270*P270</f>
        <v>67277.455801690157</v>
      </c>
      <c r="S270" s="1627">
        <f t="shared" ref="S270:S301" si="185">(G270*D270)-Q270</f>
        <v>77568.915801690164</v>
      </c>
      <c r="T270" s="1627">
        <f t="shared" ref="T270:T301" si="186">(H270*D270)-R270</f>
        <v>92601.084198309851</v>
      </c>
      <c r="U270" s="1626">
        <f t="shared" ref="U270:U301" si="187">S270/4</f>
        <v>19392.228950422541</v>
      </c>
      <c r="V270" s="1626">
        <f t="shared" ref="V270:V301" si="188">T270/4</f>
        <v>23150.271049577463</v>
      </c>
      <c r="W270" s="1625">
        <f t="shared" ref="W270:W301" si="189">V270+U270</f>
        <v>42542.5</v>
      </c>
      <c r="X270" s="1614"/>
      <c r="Y270" s="1613"/>
      <c r="Z270" s="1612">
        <f t="shared" ref="Z270:Z301" si="190">K270/I270</f>
        <v>0.56475755290971796</v>
      </c>
      <c r="AA270" s="1611"/>
      <c r="AB270" s="1611"/>
      <c r="AC270" s="1611"/>
      <c r="AD270" s="1611"/>
      <c r="AE270" s="1611"/>
      <c r="AF270" s="1611"/>
      <c r="AG270" s="1611"/>
      <c r="AH270" s="1611"/>
      <c r="AI270" s="1611"/>
      <c r="AJ270" s="1611"/>
      <c r="AK270" s="1611"/>
      <c r="AL270" s="1611"/>
      <c r="AM270" s="1611"/>
      <c r="AN270" s="1611"/>
      <c r="AO270" s="1611"/>
      <c r="AP270" s="1611"/>
      <c r="AQ270" s="1611"/>
    </row>
    <row r="271" spans="1:43" outlineLevel="2">
      <c r="A271" s="1638" t="s">
        <v>312</v>
      </c>
      <c r="B271" s="1637" t="s">
        <v>120</v>
      </c>
      <c r="C271" s="1636"/>
      <c r="D271" s="1635">
        <v>1</v>
      </c>
      <c r="E271" s="1634" t="s">
        <v>962</v>
      </c>
      <c r="F271" s="1633" t="s">
        <v>979</v>
      </c>
      <c r="G271" s="1632">
        <v>4159.8999416173692</v>
      </c>
      <c r="H271" s="1632">
        <v>4702.3100000000004</v>
      </c>
      <c r="I271" s="1630">
        <f t="shared" si="178"/>
        <v>8862.2099416173696</v>
      </c>
      <c r="J271" s="1630">
        <f t="shared" si="179"/>
        <v>8862.2099416173696</v>
      </c>
      <c r="K271" s="1631">
        <v>4615</v>
      </c>
      <c r="L271" s="1630">
        <f t="shared" si="180"/>
        <v>4615</v>
      </c>
      <c r="M271" s="1630">
        <f t="shared" si="181"/>
        <v>4615</v>
      </c>
      <c r="N271" s="1625">
        <f t="shared" si="182"/>
        <v>4247.2099416173696</v>
      </c>
      <c r="O271" s="1629">
        <v>0.48699999999999999</v>
      </c>
      <c r="P271" s="1629">
        <v>0.51300000000000001</v>
      </c>
      <c r="Q271" s="1625">
        <f t="shared" si="183"/>
        <v>2068.3912415676591</v>
      </c>
      <c r="R271" s="1628">
        <f t="shared" si="184"/>
        <v>2178.8187000497105</v>
      </c>
      <c r="S271" s="1627">
        <f t="shared" si="185"/>
        <v>2091.5087000497101</v>
      </c>
      <c r="T271" s="1627">
        <f t="shared" si="186"/>
        <v>2523.4912999502899</v>
      </c>
      <c r="U271" s="1626">
        <f t="shared" si="187"/>
        <v>522.87717501242753</v>
      </c>
      <c r="V271" s="1626">
        <f t="shared" si="188"/>
        <v>630.87282498757247</v>
      </c>
      <c r="W271" s="1625">
        <f t="shared" si="189"/>
        <v>1153.75</v>
      </c>
      <c r="X271" s="1614"/>
      <c r="Y271" s="1613"/>
      <c r="Z271" s="1612">
        <f t="shared" si="190"/>
        <v>0.52075047086480486</v>
      </c>
      <c r="AA271" s="1611"/>
      <c r="AB271" s="1611"/>
      <c r="AC271" s="1611"/>
      <c r="AD271" s="1611"/>
      <c r="AE271" s="1611"/>
      <c r="AF271" s="1611"/>
      <c r="AG271" s="1611"/>
      <c r="AH271" s="1611"/>
      <c r="AI271" s="1611"/>
      <c r="AJ271" s="1611"/>
      <c r="AK271" s="1611"/>
      <c r="AL271" s="1611"/>
      <c r="AM271" s="1611"/>
      <c r="AN271" s="1611"/>
      <c r="AO271" s="1611"/>
      <c r="AP271" s="1611"/>
      <c r="AQ271" s="1611"/>
    </row>
    <row r="272" spans="1:43" outlineLevel="2">
      <c r="A272" s="1638" t="s">
        <v>312</v>
      </c>
      <c r="B272" s="1637" t="s">
        <v>120</v>
      </c>
      <c r="C272" s="1636"/>
      <c r="D272" s="1635">
        <v>1</v>
      </c>
      <c r="E272" s="1634" t="s">
        <v>932</v>
      </c>
      <c r="F272" s="1633" t="s">
        <v>1071</v>
      </c>
      <c r="G272" s="1632">
        <v>4159.8999416173692</v>
      </c>
      <c r="H272" s="1632">
        <v>4702.3100000000004</v>
      </c>
      <c r="I272" s="1630">
        <f t="shared" si="178"/>
        <v>8862.2099416173696</v>
      </c>
      <c r="J272" s="1630">
        <f t="shared" si="179"/>
        <v>8862.2099416173696</v>
      </c>
      <c r="K272" s="1631">
        <v>5305</v>
      </c>
      <c r="L272" s="1630">
        <f t="shared" si="180"/>
        <v>5305</v>
      </c>
      <c r="M272" s="1630">
        <f t="shared" si="181"/>
        <v>5305</v>
      </c>
      <c r="N272" s="1625">
        <f t="shared" si="182"/>
        <v>3557.2099416173696</v>
      </c>
      <c r="O272" s="1629">
        <v>0.48699999999999999</v>
      </c>
      <c r="P272" s="1629">
        <v>0.51300000000000001</v>
      </c>
      <c r="Q272" s="1625">
        <f t="shared" si="183"/>
        <v>1732.3612415676589</v>
      </c>
      <c r="R272" s="1628">
        <f t="shared" si="184"/>
        <v>1824.8487000497107</v>
      </c>
      <c r="S272" s="1627">
        <f t="shared" si="185"/>
        <v>2427.5387000497103</v>
      </c>
      <c r="T272" s="1627">
        <f t="shared" si="186"/>
        <v>2877.4612999502897</v>
      </c>
      <c r="U272" s="1626">
        <f t="shared" si="187"/>
        <v>606.88467501242758</v>
      </c>
      <c r="V272" s="1626">
        <f t="shared" si="188"/>
        <v>719.36532498757242</v>
      </c>
      <c r="W272" s="1625">
        <f t="shared" si="189"/>
        <v>1326.25</v>
      </c>
      <c r="X272" s="1614"/>
      <c r="Y272" s="1613"/>
      <c r="Z272" s="1612">
        <f t="shared" si="190"/>
        <v>0.598609154482728</v>
      </c>
      <c r="AA272" s="1611"/>
      <c r="AB272" s="1611"/>
      <c r="AC272" s="1611"/>
      <c r="AD272" s="1611"/>
      <c r="AE272" s="1611"/>
      <c r="AF272" s="1611"/>
      <c r="AG272" s="1611"/>
      <c r="AH272" s="1611"/>
      <c r="AI272" s="1611"/>
      <c r="AJ272" s="1611"/>
      <c r="AK272" s="1611"/>
      <c r="AL272" s="1611"/>
      <c r="AM272" s="1611"/>
      <c r="AN272" s="1611"/>
      <c r="AO272" s="1611"/>
      <c r="AP272" s="1611"/>
      <c r="AQ272" s="1611"/>
    </row>
    <row r="273" spans="1:43" outlineLevel="2">
      <c r="A273" s="1638" t="s">
        <v>312</v>
      </c>
      <c r="B273" s="1637" t="s">
        <v>120</v>
      </c>
      <c r="C273" s="1636"/>
      <c r="D273" s="1635">
        <v>8</v>
      </c>
      <c r="E273" s="1634" t="s">
        <v>940</v>
      </c>
      <c r="F273" s="1633" t="s">
        <v>1070</v>
      </c>
      <c r="G273" s="1632">
        <v>4159.8999416173692</v>
      </c>
      <c r="H273" s="1632">
        <v>4702.3100000000004</v>
      </c>
      <c r="I273" s="1630">
        <f t="shared" si="178"/>
        <v>8862.2099416173696</v>
      </c>
      <c r="J273" s="1630">
        <f t="shared" si="179"/>
        <v>70897.679532938957</v>
      </c>
      <c r="K273" s="1631">
        <v>4650</v>
      </c>
      <c r="L273" s="1630">
        <f t="shared" si="180"/>
        <v>4650</v>
      </c>
      <c r="M273" s="1630">
        <f t="shared" si="181"/>
        <v>37200</v>
      </c>
      <c r="N273" s="1625">
        <f t="shared" si="182"/>
        <v>33697.679532938957</v>
      </c>
      <c r="O273" s="1629">
        <v>0.48699999999999999</v>
      </c>
      <c r="P273" s="1629">
        <v>0.51300000000000001</v>
      </c>
      <c r="Q273" s="1625">
        <f t="shared" si="183"/>
        <v>16410.769932541272</v>
      </c>
      <c r="R273" s="1628">
        <f t="shared" si="184"/>
        <v>17286.909600397685</v>
      </c>
      <c r="S273" s="1627">
        <f t="shared" si="185"/>
        <v>16868.429600397681</v>
      </c>
      <c r="T273" s="1627">
        <f t="shared" si="186"/>
        <v>20331.570399602319</v>
      </c>
      <c r="U273" s="1626">
        <f t="shared" si="187"/>
        <v>4217.1074000994204</v>
      </c>
      <c r="V273" s="1626">
        <f t="shared" si="188"/>
        <v>5082.8925999005796</v>
      </c>
      <c r="W273" s="1625">
        <f t="shared" si="189"/>
        <v>9300</v>
      </c>
      <c r="X273" s="1614"/>
      <c r="Y273" s="1613"/>
      <c r="Z273" s="1612">
        <f t="shared" si="190"/>
        <v>0.52469982438165608</v>
      </c>
      <c r="AA273" s="1611"/>
      <c r="AB273" s="1611"/>
      <c r="AC273" s="1611"/>
      <c r="AD273" s="1611"/>
      <c r="AE273" s="1611"/>
      <c r="AF273" s="1611"/>
      <c r="AG273" s="1611"/>
      <c r="AH273" s="1611"/>
      <c r="AI273" s="1611"/>
      <c r="AJ273" s="1611"/>
      <c r="AK273" s="1611"/>
      <c r="AL273" s="1611"/>
      <c r="AM273" s="1611"/>
      <c r="AN273" s="1611"/>
      <c r="AO273" s="1611"/>
      <c r="AP273" s="1611"/>
      <c r="AQ273" s="1611"/>
    </row>
    <row r="274" spans="1:43" outlineLevel="2">
      <c r="A274" s="1638" t="s">
        <v>312</v>
      </c>
      <c r="B274" s="1637" t="s">
        <v>120</v>
      </c>
      <c r="C274" s="1636"/>
      <c r="D274" s="1635">
        <v>6</v>
      </c>
      <c r="E274" s="1634" t="s">
        <v>940</v>
      </c>
      <c r="F274" s="1633" t="s">
        <v>1069</v>
      </c>
      <c r="G274" s="1632">
        <v>4159.8999416173692</v>
      </c>
      <c r="H274" s="1632">
        <v>4702.3100000000004</v>
      </c>
      <c r="I274" s="1630">
        <f t="shared" si="178"/>
        <v>8862.2099416173696</v>
      </c>
      <c r="J274" s="1630">
        <f t="shared" si="179"/>
        <v>53173.259649704218</v>
      </c>
      <c r="K274" s="1631">
        <v>4650</v>
      </c>
      <c r="L274" s="1630">
        <f t="shared" si="180"/>
        <v>4650</v>
      </c>
      <c r="M274" s="1630">
        <f t="shared" si="181"/>
        <v>27900</v>
      </c>
      <c r="N274" s="1625">
        <f t="shared" si="182"/>
        <v>25273.259649704218</v>
      </c>
      <c r="O274" s="1629">
        <v>0.48699999999999999</v>
      </c>
      <c r="P274" s="1629">
        <v>0.51300000000000001</v>
      </c>
      <c r="Q274" s="1625">
        <f t="shared" si="183"/>
        <v>12308.077449405953</v>
      </c>
      <c r="R274" s="1628">
        <f t="shared" si="184"/>
        <v>12965.182200298264</v>
      </c>
      <c r="S274" s="1627">
        <f t="shared" si="185"/>
        <v>12651.322200298264</v>
      </c>
      <c r="T274" s="1627">
        <f t="shared" si="186"/>
        <v>15248.677799701736</v>
      </c>
      <c r="U274" s="1626">
        <f t="shared" si="187"/>
        <v>3162.830550074566</v>
      </c>
      <c r="V274" s="1626">
        <f t="shared" si="188"/>
        <v>3812.169449925434</v>
      </c>
      <c r="W274" s="1625">
        <f t="shared" si="189"/>
        <v>6975</v>
      </c>
      <c r="X274" s="1614"/>
      <c r="Y274" s="1613"/>
      <c r="Z274" s="1612">
        <f t="shared" si="190"/>
        <v>0.52469982438165608</v>
      </c>
      <c r="AA274" s="1611"/>
      <c r="AB274" s="1611"/>
      <c r="AC274" s="1611"/>
      <c r="AD274" s="1611"/>
      <c r="AE274" s="1611"/>
      <c r="AF274" s="1611"/>
      <c r="AG274" s="1611"/>
      <c r="AH274" s="1611"/>
      <c r="AI274" s="1611"/>
      <c r="AJ274" s="1611"/>
      <c r="AK274" s="1611"/>
      <c r="AL274" s="1611"/>
      <c r="AM274" s="1611"/>
      <c r="AN274" s="1611"/>
      <c r="AO274" s="1611"/>
      <c r="AP274" s="1611"/>
      <c r="AQ274" s="1611"/>
    </row>
    <row r="275" spans="1:43" outlineLevel="2">
      <c r="A275" s="1638" t="s">
        <v>312</v>
      </c>
      <c r="B275" s="1637" t="s">
        <v>120</v>
      </c>
      <c r="C275" s="1636"/>
      <c r="D275" s="1635">
        <v>8</v>
      </c>
      <c r="E275" s="1634" t="s">
        <v>940</v>
      </c>
      <c r="F275" s="1633" t="s">
        <v>1068</v>
      </c>
      <c r="G275" s="1632">
        <v>4159.8999416173692</v>
      </c>
      <c r="H275" s="1632">
        <v>4702.3100000000004</v>
      </c>
      <c r="I275" s="1630">
        <f t="shared" si="178"/>
        <v>8862.2099416173696</v>
      </c>
      <c r="J275" s="1630">
        <f t="shared" si="179"/>
        <v>70897.679532938957</v>
      </c>
      <c r="K275" s="1631">
        <v>4650</v>
      </c>
      <c r="L275" s="1630">
        <f t="shared" si="180"/>
        <v>4650</v>
      </c>
      <c r="M275" s="1630">
        <f t="shared" si="181"/>
        <v>37200</v>
      </c>
      <c r="N275" s="1625">
        <f t="shared" si="182"/>
        <v>33697.679532938957</v>
      </c>
      <c r="O275" s="1629">
        <v>0.48699999999999999</v>
      </c>
      <c r="P275" s="1629">
        <v>0.51300000000000001</v>
      </c>
      <c r="Q275" s="1625">
        <f t="shared" si="183"/>
        <v>16410.769932541272</v>
      </c>
      <c r="R275" s="1628">
        <f t="shared" si="184"/>
        <v>17286.909600397685</v>
      </c>
      <c r="S275" s="1627">
        <f t="shared" si="185"/>
        <v>16868.429600397681</v>
      </c>
      <c r="T275" s="1627">
        <f t="shared" si="186"/>
        <v>20331.570399602319</v>
      </c>
      <c r="U275" s="1626">
        <f t="shared" si="187"/>
        <v>4217.1074000994204</v>
      </c>
      <c r="V275" s="1626">
        <f t="shared" si="188"/>
        <v>5082.8925999005796</v>
      </c>
      <c r="W275" s="1625">
        <f t="shared" si="189"/>
        <v>9300</v>
      </c>
      <c r="X275" s="1614"/>
      <c r="Y275" s="1613"/>
      <c r="Z275" s="1612">
        <f t="shared" si="190"/>
        <v>0.52469982438165608</v>
      </c>
      <c r="AA275" s="1611"/>
      <c r="AB275" s="1611"/>
      <c r="AC275" s="1611"/>
      <c r="AD275" s="1611"/>
      <c r="AE275" s="1611"/>
      <c r="AF275" s="1611"/>
      <c r="AG275" s="1611"/>
      <c r="AH275" s="1611"/>
      <c r="AI275" s="1611"/>
      <c r="AJ275" s="1611"/>
      <c r="AK275" s="1611"/>
      <c r="AL275" s="1611"/>
      <c r="AM275" s="1611"/>
      <c r="AN275" s="1611"/>
      <c r="AO275" s="1611"/>
      <c r="AP275" s="1611"/>
      <c r="AQ275" s="1611"/>
    </row>
    <row r="276" spans="1:43" outlineLevel="2">
      <c r="A276" s="1638" t="s">
        <v>312</v>
      </c>
      <c r="B276" s="1637" t="s">
        <v>120</v>
      </c>
      <c r="C276" s="1636"/>
      <c r="D276" s="1635">
        <v>4</v>
      </c>
      <c r="E276" s="1634" t="s">
        <v>940</v>
      </c>
      <c r="F276" s="1633" t="s">
        <v>1071</v>
      </c>
      <c r="G276" s="1632">
        <v>4159.8999416173692</v>
      </c>
      <c r="H276" s="1632">
        <v>4702.3100000000004</v>
      </c>
      <c r="I276" s="1630">
        <f t="shared" si="178"/>
        <v>8862.2099416173696</v>
      </c>
      <c r="J276" s="1630">
        <f t="shared" si="179"/>
        <v>35448.839766469478</v>
      </c>
      <c r="K276" s="1631">
        <v>4650</v>
      </c>
      <c r="L276" s="1630">
        <f t="shared" si="180"/>
        <v>4650</v>
      </c>
      <c r="M276" s="1630">
        <f t="shared" si="181"/>
        <v>18600</v>
      </c>
      <c r="N276" s="1625">
        <f t="shared" si="182"/>
        <v>16848.839766469478</v>
      </c>
      <c r="O276" s="1629">
        <v>0.48699999999999999</v>
      </c>
      <c r="P276" s="1629">
        <v>0.51300000000000001</v>
      </c>
      <c r="Q276" s="1625">
        <f t="shared" si="183"/>
        <v>8205.3849662706361</v>
      </c>
      <c r="R276" s="1628">
        <f t="shared" si="184"/>
        <v>8643.4548001988423</v>
      </c>
      <c r="S276" s="1627">
        <f t="shared" si="185"/>
        <v>8434.2148001988407</v>
      </c>
      <c r="T276" s="1627">
        <f t="shared" si="186"/>
        <v>10165.785199801159</v>
      </c>
      <c r="U276" s="1626">
        <f t="shared" si="187"/>
        <v>2108.5537000497102</v>
      </c>
      <c r="V276" s="1626">
        <f t="shared" si="188"/>
        <v>2541.4462999502898</v>
      </c>
      <c r="W276" s="1625">
        <f t="shared" si="189"/>
        <v>4650</v>
      </c>
      <c r="X276" s="1614"/>
      <c r="Y276" s="1613"/>
      <c r="Z276" s="1612">
        <f t="shared" si="190"/>
        <v>0.52469982438165608</v>
      </c>
      <c r="AA276" s="1611"/>
      <c r="AB276" s="1611"/>
      <c r="AC276" s="1611"/>
      <c r="AD276" s="1611"/>
      <c r="AE276" s="1611"/>
      <c r="AF276" s="1611"/>
      <c r="AG276" s="1611"/>
      <c r="AH276" s="1611"/>
      <c r="AI276" s="1611"/>
      <c r="AJ276" s="1611"/>
      <c r="AK276" s="1611"/>
      <c r="AL276" s="1611"/>
      <c r="AM276" s="1611"/>
      <c r="AN276" s="1611"/>
      <c r="AO276" s="1611"/>
      <c r="AP276" s="1611"/>
      <c r="AQ276" s="1611"/>
    </row>
    <row r="277" spans="1:43" outlineLevel="2">
      <c r="A277" s="1638" t="s">
        <v>312</v>
      </c>
      <c r="B277" s="1637" t="s">
        <v>120</v>
      </c>
      <c r="C277" s="1636"/>
      <c r="D277" s="1635">
        <v>5</v>
      </c>
      <c r="E277" s="1634" t="s">
        <v>940</v>
      </c>
      <c r="F277" s="1633" t="s">
        <v>1065</v>
      </c>
      <c r="G277" s="1632">
        <v>4159.8999416173692</v>
      </c>
      <c r="H277" s="1632">
        <v>4702.3100000000004</v>
      </c>
      <c r="I277" s="1630">
        <f t="shared" si="178"/>
        <v>8862.2099416173696</v>
      </c>
      <c r="J277" s="1630">
        <f t="shared" si="179"/>
        <v>44311.049708086852</v>
      </c>
      <c r="K277" s="1631">
        <v>4650</v>
      </c>
      <c r="L277" s="1630">
        <f t="shared" si="180"/>
        <v>4650</v>
      </c>
      <c r="M277" s="1630">
        <f t="shared" si="181"/>
        <v>23250</v>
      </c>
      <c r="N277" s="1625">
        <f t="shared" si="182"/>
        <v>21061.049708086852</v>
      </c>
      <c r="O277" s="1629">
        <v>0.48699999999999999</v>
      </c>
      <c r="P277" s="1629">
        <v>0.51300000000000001</v>
      </c>
      <c r="Q277" s="1625">
        <f t="shared" si="183"/>
        <v>10256.731207838297</v>
      </c>
      <c r="R277" s="1628">
        <f t="shared" si="184"/>
        <v>10804.318500248555</v>
      </c>
      <c r="S277" s="1627">
        <f t="shared" si="185"/>
        <v>10542.768500248549</v>
      </c>
      <c r="T277" s="1627">
        <f t="shared" si="186"/>
        <v>12707.231499751448</v>
      </c>
      <c r="U277" s="1626">
        <f t="shared" si="187"/>
        <v>2635.6921250621372</v>
      </c>
      <c r="V277" s="1626">
        <f t="shared" si="188"/>
        <v>3176.8078749378619</v>
      </c>
      <c r="W277" s="1625">
        <f t="shared" si="189"/>
        <v>5812.4999999999991</v>
      </c>
      <c r="X277" s="1614"/>
      <c r="Y277" s="1613"/>
      <c r="Z277" s="1612">
        <f t="shared" si="190"/>
        <v>0.52469982438165608</v>
      </c>
      <c r="AA277" s="1611"/>
      <c r="AB277" s="1611"/>
      <c r="AC277" s="1611"/>
      <c r="AD277" s="1611"/>
      <c r="AE277" s="1611"/>
      <c r="AF277" s="1611"/>
      <c r="AG277" s="1611"/>
      <c r="AH277" s="1611"/>
      <c r="AI277" s="1611"/>
      <c r="AJ277" s="1611"/>
      <c r="AK277" s="1611"/>
      <c r="AL277" s="1611"/>
      <c r="AM277" s="1611"/>
      <c r="AN277" s="1611"/>
      <c r="AO277" s="1611"/>
      <c r="AP277" s="1611"/>
      <c r="AQ277" s="1611"/>
    </row>
    <row r="278" spans="1:43" outlineLevel="2">
      <c r="A278" s="1638" t="s">
        <v>312</v>
      </c>
      <c r="B278" s="1637" t="s">
        <v>120</v>
      </c>
      <c r="C278" s="1636"/>
      <c r="D278" s="1635">
        <v>1</v>
      </c>
      <c r="E278" s="1634" t="s">
        <v>940</v>
      </c>
      <c r="F278" s="1633" t="s">
        <v>1064</v>
      </c>
      <c r="G278" s="1632">
        <v>4159.8999416173692</v>
      </c>
      <c r="H278" s="1632">
        <v>4702.3100000000004</v>
      </c>
      <c r="I278" s="1630">
        <f t="shared" si="178"/>
        <v>8862.2099416173696</v>
      </c>
      <c r="J278" s="1630">
        <f t="shared" si="179"/>
        <v>8862.2099416173696</v>
      </c>
      <c r="K278" s="1631">
        <v>4650</v>
      </c>
      <c r="L278" s="1630">
        <f t="shared" si="180"/>
        <v>4650</v>
      </c>
      <c r="M278" s="1630">
        <f t="shared" si="181"/>
        <v>4650</v>
      </c>
      <c r="N278" s="1625">
        <f t="shared" si="182"/>
        <v>4212.2099416173696</v>
      </c>
      <c r="O278" s="1629">
        <v>0.48699999999999999</v>
      </c>
      <c r="P278" s="1629">
        <v>0.51300000000000001</v>
      </c>
      <c r="Q278" s="1625">
        <f t="shared" si="183"/>
        <v>2051.346241567659</v>
      </c>
      <c r="R278" s="1628">
        <f t="shared" si="184"/>
        <v>2160.8637000497106</v>
      </c>
      <c r="S278" s="1627">
        <f t="shared" si="185"/>
        <v>2108.5537000497102</v>
      </c>
      <c r="T278" s="1627">
        <f t="shared" si="186"/>
        <v>2541.4462999502898</v>
      </c>
      <c r="U278" s="1626">
        <f t="shared" si="187"/>
        <v>527.13842501242755</v>
      </c>
      <c r="V278" s="1626">
        <f t="shared" si="188"/>
        <v>635.36157498757245</v>
      </c>
      <c r="W278" s="1625">
        <f t="shared" si="189"/>
        <v>1162.5</v>
      </c>
      <c r="X278" s="1614"/>
      <c r="Y278" s="1613"/>
      <c r="Z278" s="1612">
        <f t="shared" si="190"/>
        <v>0.52469982438165608</v>
      </c>
      <c r="AA278" s="1611"/>
      <c r="AB278" s="1611"/>
      <c r="AC278" s="1611"/>
      <c r="AD278" s="1611"/>
      <c r="AE278" s="1611"/>
      <c r="AF278" s="1611"/>
      <c r="AG278" s="1611"/>
      <c r="AH278" s="1611"/>
      <c r="AI278" s="1611"/>
      <c r="AJ278" s="1611"/>
      <c r="AK278" s="1611"/>
      <c r="AL278" s="1611"/>
      <c r="AM278" s="1611"/>
      <c r="AN278" s="1611"/>
      <c r="AO278" s="1611"/>
      <c r="AP278" s="1611"/>
      <c r="AQ278" s="1611"/>
    </row>
    <row r="279" spans="1:43" outlineLevel="2">
      <c r="A279" s="1638" t="s">
        <v>312</v>
      </c>
      <c r="B279" s="1637" t="s">
        <v>120</v>
      </c>
      <c r="C279" s="1636"/>
      <c r="D279" s="1635">
        <v>3</v>
      </c>
      <c r="E279" s="1634" t="s">
        <v>940</v>
      </c>
      <c r="F279" s="1633" t="s">
        <v>1063</v>
      </c>
      <c r="G279" s="1632">
        <v>4159.8999416173692</v>
      </c>
      <c r="H279" s="1632">
        <v>4702.3100000000004</v>
      </c>
      <c r="I279" s="1630">
        <f t="shared" si="178"/>
        <v>8862.2099416173696</v>
      </c>
      <c r="J279" s="1630">
        <f t="shared" si="179"/>
        <v>26586.629824852109</v>
      </c>
      <c r="K279" s="1631">
        <v>4650</v>
      </c>
      <c r="L279" s="1630">
        <f t="shared" si="180"/>
        <v>4650</v>
      </c>
      <c r="M279" s="1630">
        <f t="shared" si="181"/>
        <v>13950</v>
      </c>
      <c r="N279" s="1625">
        <f t="shared" si="182"/>
        <v>12636.629824852109</v>
      </c>
      <c r="O279" s="1629">
        <v>0.48699999999999999</v>
      </c>
      <c r="P279" s="1629">
        <v>0.51300000000000001</v>
      </c>
      <c r="Q279" s="1625">
        <f t="shared" si="183"/>
        <v>6154.0387247029767</v>
      </c>
      <c r="R279" s="1628">
        <f t="shared" si="184"/>
        <v>6482.5911001491322</v>
      </c>
      <c r="S279" s="1627">
        <f t="shared" si="185"/>
        <v>6325.6611001491319</v>
      </c>
      <c r="T279" s="1627">
        <f t="shared" si="186"/>
        <v>7624.3388998508681</v>
      </c>
      <c r="U279" s="1626">
        <f t="shared" si="187"/>
        <v>1581.415275037283</v>
      </c>
      <c r="V279" s="1626">
        <f t="shared" si="188"/>
        <v>1906.084724962717</v>
      </c>
      <c r="W279" s="1625">
        <f t="shared" si="189"/>
        <v>3487.5</v>
      </c>
      <c r="X279" s="1614"/>
      <c r="Y279" s="1613"/>
      <c r="Z279" s="1612">
        <f t="shared" si="190"/>
        <v>0.52469982438165608</v>
      </c>
      <c r="AA279" s="1611"/>
      <c r="AB279" s="1611"/>
      <c r="AC279" s="1611"/>
      <c r="AD279" s="1611"/>
      <c r="AE279" s="1611"/>
      <c r="AF279" s="1611"/>
      <c r="AG279" s="1611"/>
      <c r="AH279" s="1611"/>
      <c r="AI279" s="1611"/>
      <c r="AJ279" s="1611"/>
      <c r="AK279" s="1611"/>
      <c r="AL279" s="1611"/>
      <c r="AM279" s="1611"/>
      <c r="AN279" s="1611"/>
      <c r="AO279" s="1611"/>
      <c r="AP279" s="1611"/>
      <c r="AQ279" s="1611"/>
    </row>
    <row r="280" spans="1:43" outlineLevel="2">
      <c r="A280" s="1638" t="s">
        <v>312</v>
      </c>
      <c r="B280" s="1637" t="s">
        <v>120</v>
      </c>
      <c r="C280" s="1636"/>
      <c r="D280" s="1635">
        <v>3</v>
      </c>
      <c r="E280" s="1634" t="s">
        <v>940</v>
      </c>
      <c r="F280" s="1633" t="s">
        <v>1066</v>
      </c>
      <c r="G280" s="1632">
        <v>4159.8999416173692</v>
      </c>
      <c r="H280" s="1632">
        <v>4702.3100000000004</v>
      </c>
      <c r="I280" s="1630">
        <f t="shared" si="178"/>
        <v>8862.2099416173696</v>
      </c>
      <c r="J280" s="1630">
        <f t="shared" si="179"/>
        <v>26586.629824852109</v>
      </c>
      <c r="K280" s="1631">
        <v>4650</v>
      </c>
      <c r="L280" s="1630">
        <f t="shared" si="180"/>
        <v>4650</v>
      </c>
      <c r="M280" s="1630">
        <f t="shared" si="181"/>
        <v>13950</v>
      </c>
      <c r="N280" s="1625">
        <f t="shared" si="182"/>
        <v>12636.629824852109</v>
      </c>
      <c r="O280" s="1629">
        <v>0.48699999999999999</v>
      </c>
      <c r="P280" s="1629">
        <v>0.51300000000000001</v>
      </c>
      <c r="Q280" s="1625">
        <f t="shared" si="183"/>
        <v>6154.0387247029767</v>
      </c>
      <c r="R280" s="1628">
        <f t="shared" si="184"/>
        <v>6482.5911001491322</v>
      </c>
      <c r="S280" s="1627">
        <f t="shared" si="185"/>
        <v>6325.6611001491319</v>
      </c>
      <c r="T280" s="1627">
        <f t="shared" si="186"/>
        <v>7624.3388998508681</v>
      </c>
      <c r="U280" s="1626">
        <f t="shared" si="187"/>
        <v>1581.415275037283</v>
      </c>
      <c r="V280" s="1626">
        <f t="shared" si="188"/>
        <v>1906.084724962717</v>
      </c>
      <c r="W280" s="1625">
        <f t="shared" si="189"/>
        <v>3487.5</v>
      </c>
      <c r="X280" s="1614"/>
      <c r="Y280" s="1613"/>
      <c r="Z280" s="1612">
        <f t="shared" si="190"/>
        <v>0.52469982438165608</v>
      </c>
      <c r="AA280" s="1611"/>
      <c r="AB280" s="1611"/>
      <c r="AC280" s="1611"/>
      <c r="AD280" s="1611"/>
      <c r="AE280" s="1611"/>
      <c r="AF280" s="1611"/>
      <c r="AG280" s="1611"/>
      <c r="AH280" s="1611"/>
      <c r="AI280" s="1611"/>
      <c r="AJ280" s="1611"/>
      <c r="AK280" s="1611"/>
      <c r="AL280" s="1611"/>
      <c r="AM280" s="1611"/>
      <c r="AN280" s="1611"/>
      <c r="AO280" s="1611"/>
      <c r="AP280" s="1611"/>
      <c r="AQ280" s="1611"/>
    </row>
    <row r="281" spans="1:43" outlineLevel="2">
      <c r="A281" s="1638" t="s">
        <v>312</v>
      </c>
      <c r="B281" s="1637" t="s">
        <v>120</v>
      </c>
      <c r="C281" s="1636"/>
      <c r="D281" s="1635">
        <v>5</v>
      </c>
      <c r="E281" s="1634" t="s">
        <v>940</v>
      </c>
      <c r="F281" s="1633" t="s">
        <v>979</v>
      </c>
      <c r="G281" s="1632">
        <v>4159.8999416173692</v>
      </c>
      <c r="H281" s="1632">
        <v>4702.3100000000004</v>
      </c>
      <c r="I281" s="1630">
        <f t="shared" si="178"/>
        <v>8862.2099416173696</v>
      </c>
      <c r="J281" s="1630">
        <f t="shared" si="179"/>
        <v>44311.049708086852</v>
      </c>
      <c r="K281" s="1631">
        <v>4650</v>
      </c>
      <c r="L281" s="1630">
        <f t="shared" si="180"/>
        <v>4650</v>
      </c>
      <c r="M281" s="1630">
        <f t="shared" si="181"/>
        <v>23250</v>
      </c>
      <c r="N281" s="1625">
        <f t="shared" si="182"/>
        <v>21061.049708086852</v>
      </c>
      <c r="O281" s="1629">
        <v>0.48699999999999999</v>
      </c>
      <c r="P281" s="1629">
        <v>0.51300000000000001</v>
      </c>
      <c r="Q281" s="1625">
        <f t="shared" si="183"/>
        <v>10256.731207838297</v>
      </c>
      <c r="R281" s="1628">
        <f t="shared" si="184"/>
        <v>10804.318500248555</v>
      </c>
      <c r="S281" s="1627">
        <f t="shared" si="185"/>
        <v>10542.768500248549</v>
      </c>
      <c r="T281" s="1627">
        <f t="shared" si="186"/>
        <v>12707.231499751448</v>
      </c>
      <c r="U281" s="1626">
        <f t="shared" si="187"/>
        <v>2635.6921250621372</v>
      </c>
      <c r="V281" s="1626">
        <f t="shared" si="188"/>
        <v>3176.8078749378619</v>
      </c>
      <c r="W281" s="1625">
        <f t="shared" si="189"/>
        <v>5812.4999999999991</v>
      </c>
      <c r="X281" s="1614"/>
      <c r="Y281" s="1613"/>
      <c r="Z281" s="1612">
        <f t="shared" si="190"/>
        <v>0.52469982438165608</v>
      </c>
      <c r="AA281" s="1611"/>
      <c r="AB281" s="1611"/>
      <c r="AC281" s="1611"/>
      <c r="AD281" s="1611"/>
      <c r="AE281" s="1611"/>
      <c r="AF281" s="1611"/>
      <c r="AG281" s="1611"/>
      <c r="AH281" s="1611"/>
      <c r="AI281" s="1611"/>
      <c r="AJ281" s="1611"/>
      <c r="AK281" s="1611"/>
      <c r="AL281" s="1611"/>
      <c r="AM281" s="1611"/>
      <c r="AN281" s="1611"/>
      <c r="AO281" s="1611"/>
      <c r="AP281" s="1611"/>
      <c r="AQ281" s="1611"/>
    </row>
    <row r="282" spans="1:43" outlineLevel="2">
      <c r="A282" s="1638" t="s">
        <v>312</v>
      </c>
      <c r="B282" s="1637" t="s">
        <v>120</v>
      </c>
      <c r="C282" s="1636"/>
      <c r="D282" s="1635">
        <v>1</v>
      </c>
      <c r="E282" s="1634" t="s">
        <v>960</v>
      </c>
      <c r="F282" s="1633" t="s">
        <v>1070</v>
      </c>
      <c r="G282" s="1632">
        <v>4159.8999416173692</v>
      </c>
      <c r="H282" s="1632">
        <v>4702.3100000000004</v>
      </c>
      <c r="I282" s="1630">
        <f t="shared" si="178"/>
        <v>8862.2099416173696</v>
      </c>
      <c r="J282" s="1630">
        <f t="shared" si="179"/>
        <v>8862.2099416173696</v>
      </c>
      <c r="K282" s="1631">
        <v>4465</v>
      </c>
      <c r="L282" s="1630">
        <f t="shared" si="180"/>
        <v>4465</v>
      </c>
      <c r="M282" s="1630">
        <f t="shared" si="181"/>
        <v>4465</v>
      </c>
      <c r="N282" s="1625">
        <f t="shared" si="182"/>
        <v>4397.2099416173696</v>
      </c>
      <c r="O282" s="1629">
        <v>0.48699999999999999</v>
      </c>
      <c r="P282" s="1629">
        <v>0.51300000000000001</v>
      </c>
      <c r="Q282" s="1625">
        <f t="shared" si="183"/>
        <v>2141.4412415676588</v>
      </c>
      <c r="R282" s="1628">
        <f t="shared" si="184"/>
        <v>2255.7687000497108</v>
      </c>
      <c r="S282" s="1627">
        <f t="shared" si="185"/>
        <v>2018.4587000497104</v>
      </c>
      <c r="T282" s="1627">
        <f t="shared" si="186"/>
        <v>2446.5412999502896</v>
      </c>
      <c r="U282" s="1626">
        <f t="shared" si="187"/>
        <v>504.6146750124276</v>
      </c>
      <c r="V282" s="1626">
        <f t="shared" si="188"/>
        <v>611.6353249875724</v>
      </c>
      <c r="W282" s="1625">
        <f t="shared" si="189"/>
        <v>1116.25</v>
      </c>
      <c r="X282" s="1614"/>
      <c r="Y282" s="1613"/>
      <c r="Z282" s="1612">
        <f t="shared" si="190"/>
        <v>0.50382467007829979</v>
      </c>
      <c r="AA282" s="1611"/>
      <c r="AB282" s="1611"/>
      <c r="AC282" s="1611"/>
      <c r="AD282" s="1611"/>
      <c r="AE282" s="1611"/>
      <c r="AF282" s="1611"/>
      <c r="AG282" s="1611"/>
      <c r="AH282" s="1611"/>
      <c r="AI282" s="1611"/>
      <c r="AJ282" s="1611"/>
      <c r="AK282" s="1611"/>
      <c r="AL282" s="1611"/>
      <c r="AM282" s="1611"/>
      <c r="AN282" s="1611"/>
      <c r="AO282" s="1611"/>
      <c r="AP282" s="1611"/>
      <c r="AQ282" s="1611"/>
    </row>
    <row r="283" spans="1:43" outlineLevel="2">
      <c r="A283" s="1638" t="s">
        <v>312</v>
      </c>
      <c r="B283" s="1637" t="s">
        <v>120</v>
      </c>
      <c r="C283" s="1636"/>
      <c r="D283" s="1635">
        <v>3</v>
      </c>
      <c r="E283" s="1634" t="s">
        <v>960</v>
      </c>
      <c r="F283" s="1633" t="s">
        <v>1069</v>
      </c>
      <c r="G283" s="1632">
        <v>4159.8999416173692</v>
      </c>
      <c r="H283" s="1632">
        <v>4702.3100000000004</v>
      </c>
      <c r="I283" s="1630">
        <f t="shared" si="178"/>
        <v>8862.2099416173696</v>
      </c>
      <c r="J283" s="1630">
        <f t="shared" si="179"/>
        <v>26586.629824852109</v>
      </c>
      <c r="K283" s="1631">
        <v>4465</v>
      </c>
      <c r="L283" s="1630">
        <f t="shared" si="180"/>
        <v>4465</v>
      </c>
      <c r="M283" s="1630">
        <f t="shared" si="181"/>
        <v>13395</v>
      </c>
      <c r="N283" s="1625">
        <f t="shared" si="182"/>
        <v>13191.629824852109</v>
      </c>
      <c r="O283" s="1629">
        <v>0.48699999999999999</v>
      </c>
      <c r="P283" s="1629">
        <v>0.51300000000000001</v>
      </c>
      <c r="Q283" s="1625">
        <f t="shared" si="183"/>
        <v>6424.3237247029765</v>
      </c>
      <c r="R283" s="1628">
        <f t="shared" si="184"/>
        <v>6767.3061001491324</v>
      </c>
      <c r="S283" s="1627">
        <f t="shared" si="185"/>
        <v>6055.3761001491321</v>
      </c>
      <c r="T283" s="1627">
        <f t="shared" si="186"/>
        <v>7339.6238998508679</v>
      </c>
      <c r="U283" s="1626">
        <f t="shared" si="187"/>
        <v>1513.844025037283</v>
      </c>
      <c r="V283" s="1626">
        <f t="shared" si="188"/>
        <v>1834.905974962717</v>
      </c>
      <c r="W283" s="1625">
        <f t="shared" si="189"/>
        <v>3348.75</v>
      </c>
      <c r="X283" s="1614"/>
      <c r="Y283" s="1613"/>
      <c r="Z283" s="1612">
        <f t="shared" si="190"/>
        <v>0.50382467007829979</v>
      </c>
      <c r="AA283" s="1611"/>
      <c r="AB283" s="1611"/>
      <c r="AC283" s="1611"/>
      <c r="AD283" s="1611"/>
      <c r="AE283" s="1611"/>
      <c r="AF283" s="1611"/>
      <c r="AG283" s="1611"/>
      <c r="AH283" s="1611"/>
      <c r="AI283" s="1611"/>
      <c r="AJ283" s="1611"/>
      <c r="AK283" s="1611"/>
      <c r="AL283" s="1611"/>
      <c r="AM283" s="1611"/>
      <c r="AN283" s="1611"/>
      <c r="AO283" s="1611"/>
      <c r="AP283" s="1611"/>
      <c r="AQ283" s="1611"/>
    </row>
    <row r="284" spans="1:43" outlineLevel="2">
      <c r="A284" s="1638" t="s">
        <v>312</v>
      </c>
      <c r="B284" s="1637" t="s">
        <v>120</v>
      </c>
      <c r="C284" s="1636"/>
      <c r="D284" s="1635">
        <v>2</v>
      </c>
      <c r="E284" s="1634" t="s">
        <v>960</v>
      </c>
      <c r="F284" s="1633" t="s">
        <v>1071</v>
      </c>
      <c r="G284" s="1632">
        <v>4159.8999416173692</v>
      </c>
      <c r="H284" s="1632">
        <v>4702.3100000000004</v>
      </c>
      <c r="I284" s="1630">
        <f t="shared" si="178"/>
        <v>8862.2099416173696</v>
      </c>
      <c r="J284" s="1630">
        <f t="shared" si="179"/>
        <v>17724.419883234739</v>
      </c>
      <c r="K284" s="1631">
        <v>4465</v>
      </c>
      <c r="L284" s="1630">
        <f t="shared" si="180"/>
        <v>4465</v>
      </c>
      <c r="M284" s="1630">
        <f t="shared" si="181"/>
        <v>8930</v>
      </c>
      <c r="N284" s="1625">
        <f t="shared" si="182"/>
        <v>8794.4198832347392</v>
      </c>
      <c r="O284" s="1629">
        <v>0.48699999999999999</v>
      </c>
      <c r="P284" s="1629">
        <v>0.51300000000000001</v>
      </c>
      <c r="Q284" s="1625">
        <f t="shared" si="183"/>
        <v>4282.8824831353177</v>
      </c>
      <c r="R284" s="1628">
        <f t="shared" si="184"/>
        <v>4511.5374000994216</v>
      </c>
      <c r="S284" s="1627">
        <f t="shared" si="185"/>
        <v>4036.9174000994208</v>
      </c>
      <c r="T284" s="1627">
        <f t="shared" si="186"/>
        <v>4893.0825999005792</v>
      </c>
      <c r="U284" s="1626">
        <f t="shared" si="187"/>
        <v>1009.2293500248552</v>
      </c>
      <c r="V284" s="1626">
        <f t="shared" si="188"/>
        <v>1223.2706499751448</v>
      </c>
      <c r="W284" s="1625">
        <f t="shared" si="189"/>
        <v>2232.5</v>
      </c>
      <c r="X284" s="1614"/>
      <c r="Y284" s="1613"/>
      <c r="Z284" s="1612">
        <f t="shared" si="190"/>
        <v>0.50382467007829979</v>
      </c>
      <c r="AA284" s="1611"/>
      <c r="AB284" s="1611"/>
      <c r="AC284" s="1611"/>
      <c r="AD284" s="1611"/>
      <c r="AE284" s="1611"/>
      <c r="AF284" s="1611"/>
      <c r="AG284" s="1611"/>
      <c r="AH284" s="1611"/>
      <c r="AI284" s="1611"/>
      <c r="AJ284" s="1611"/>
      <c r="AK284" s="1611"/>
      <c r="AL284" s="1611"/>
      <c r="AM284" s="1611"/>
      <c r="AN284" s="1611"/>
      <c r="AO284" s="1611"/>
      <c r="AP284" s="1611"/>
      <c r="AQ284" s="1611"/>
    </row>
    <row r="285" spans="1:43" outlineLevel="2">
      <c r="A285" s="1638" t="s">
        <v>312</v>
      </c>
      <c r="B285" s="1637" t="s">
        <v>120</v>
      </c>
      <c r="C285" s="1636"/>
      <c r="D285" s="1635">
        <v>2</v>
      </c>
      <c r="E285" s="1634" t="s">
        <v>960</v>
      </c>
      <c r="F285" s="1633" t="s">
        <v>979</v>
      </c>
      <c r="G285" s="1632">
        <v>4159.8999416173692</v>
      </c>
      <c r="H285" s="1632">
        <v>4702.3100000000004</v>
      </c>
      <c r="I285" s="1630">
        <f t="shared" si="178"/>
        <v>8862.2099416173696</v>
      </c>
      <c r="J285" s="1630">
        <f t="shared" si="179"/>
        <v>17724.419883234739</v>
      </c>
      <c r="K285" s="1631">
        <v>4465</v>
      </c>
      <c r="L285" s="1630">
        <f t="shared" si="180"/>
        <v>4465</v>
      </c>
      <c r="M285" s="1630">
        <f t="shared" si="181"/>
        <v>8930</v>
      </c>
      <c r="N285" s="1625">
        <f t="shared" si="182"/>
        <v>8794.4198832347392</v>
      </c>
      <c r="O285" s="1629">
        <v>0.48699999999999999</v>
      </c>
      <c r="P285" s="1629">
        <v>0.51300000000000001</v>
      </c>
      <c r="Q285" s="1625">
        <f t="shared" si="183"/>
        <v>4282.8824831353177</v>
      </c>
      <c r="R285" s="1628">
        <f t="shared" si="184"/>
        <v>4511.5374000994216</v>
      </c>
      <c r="S285" s="1627">
        <f t="shared" si="185"/>
        <v>4036.9174000994208</v>
      </c>
      <c r="T285" s="1627">
        <f t="shared" si="186"/>
        <v>4893.0825999005792</v>
      </c>
      <c r="U285" s="1626">
        <f t="shared" si="187"/>
        <v>1009.2293500248552</v>
      </c>
      <c r="V285" s="1626">
        <f t="shared" si="188"/>
        <v>1223.2706499751448</v>
      </c>
      <c r="W285" s="1625">
        <f t="shared" si="189"/>
        <v>2232.5</v>
      </c>
      <c r="X285" s="1614"/>
      <c r="Y285" s="1613"/>
      <c r="Z285" s="1612">
        <f t="shared" si="190"/>
        <v>0.50382467007829979</v>
      </c>
      <c r="AA285" s="1611"/>
      <c r="AB285" s="1611"/>
      <c r="AC285" s="1611"/>
      <c r="AD285" s="1611"/>
      <c r="AE285" s="1611"/>
      <c r="AF285" s="1611"/>
      <c r="AG285" s="1611"/>
      <c r="AH285" s="1611"/>
      <c r="AI285" s="1611"/>
      <c r="AJ285" s="1611"/>
      <c r="AK285" s="1611"/>
      <c r="AL285" s="1611"/>
      <c r="AM285" s="1611"/>
      <c r="AN285" s="1611"/>
      <c r="AO285" s="1611"/>
      <c r="AP285" s="1611"/>
      <c r="AQ285" s="1611"/>
    </row>
    <row r="286" spans="1:43" outlineLevel="2">
      <c r="A286" s="1638" t="s">
        <v>312</v>
      </c>
      <c r="B286" s="1637" t="s">
        <v>120</v>
      </c>
      <c r="C286" s="1636"/>
      <c r="D286" s="1635">
        <v>1</v>
      </c>
      <c r="E286" s="1634" t="s">
        <v>958</v>
      </c>
      <c r="F286" s="1633" t="s">
        <v>1070</v>
      </c>
      <c r="G286" s="1632">
        <v>4159.8999416173692</v>
      </c>
      <c r="H286" s="1632">
        <v>4702.3100000000004</v>
      </c>
      <c r="I286" s="1630">
        <f t="shared" si="178"/>
        <v>8862.2099416173696</v>
      </c>
      <c r="J286" s="1630">
        <f t="shared" si="179"/>
        <v>8862.2099416173696</v>
      </c>
      <c r="K286" s="1631">
        <v>5235</v>
      </c>
      <c r="L286" s="1630">
        <f t="shared" si="180"/>
        <v>5235</v>
      </c>
      <c r="M286" s="1630">
        <f t="shared" si="181"/>
        <v>5235</v>
      </c>
      <c r="N286" s="1625">
        <f t="shared" si="182"/>
        <v>3627.2099416173696</v>
      </c>
      <c r="O286" s="1629">
        <v>0.48699999999999999</v>
      </c>
      <c r="P286" s="1629">
        <v>0.51300000000000001</v>
      </c>
      <c r="Q286" s="1625">
        <f t="shared" si="183"/>
        <v>1766.4512415676591</v>
      </c>
      <c r="R286" s="1628">
        <f t="shared" si="184"/>
        <v>1860.7587000497106</v>
      </c>
      <c r="S286" s="1627">
        <f t="shared" si="185"/>
        <v>2393.4487000497102</v>
      </c>
      <c r="T286" s="1627">
        <f t="shared" si="186"/>
        <v>2841.5512999502898</v>
      </c>
      <c r="U286" s="1626">
        <f t="shared" si="187"/>
        <v>598.36217501242754</v>
      </c>
      <c r="V286" s="1626">
        <f t="shared" si="188"/>
        <v>710.38782498757246</v>
      </c>
      <c r="W286" s="1625">
        <f t="shared" si="189"/>
        <v>1308.75</v>
      </c>
      <c r="X286" s="1614"/>
      <c r="Y286" s="1613"/>
      <c r="Z286" s="1612">
        <f t="shared" si="190"/>
        <v>0.59071044744902568</v>
      </c>
      <c r="AA286" s="1611"/>
      <c r="AB286" s="1611"/>
      <c r="AC286" s="1611"/>
      <c r="AD286" s="1611"/>
      <c r="AE286" s="1611"/>
      <c r="AF286" s="1611"/>
      <c r="AG286" s="1611"/>
      <c r="AH286" s="1611"/>
      <c r="AI286" s="1611"/>
      <c r="AJ286" s="1611"/>
      <c r="AK286" s="1611"/>
      <c r="AL286" s="1611"/>
      <c r="AM286" s="1611"/>
      <c r="AN286" s="1611"/>
      <c r="AO286" s="1611"/>
      <c r="AP286" s="1611"/>
      <c r="AQ286" s="1611"/>
    </row>
    <row r="287" spans="1:43" outlineLevel="2">
      <c r="A287" s="1638" t="s">
        <v>312</v>
      </c>
      <c r="B287" s="1637" t="s">
        <v>120</v>
      </c>
      <c r="C287" s="1636"/>
      <c r="D287" s="1635">
        <v>2</v>
      </c>
      <c r="E287" s="1634" t="s">
        <v>958</v>
      </c>
      <c r="F287" s="1633" t="s">
        <v>979</v>
      </c>
      <c r="G287" s="1632">
        <v>4159.8999416173692</v>
      </c>
      <c r="H287" s="1632">
        <v>4702.3100000000004</v>
      </c>
      <c r="I287" s="1630">
        <f t="shared" si="178"/>
        <v>8862.2099416173696</v>
      </c>
      <c r="J287" s="1630">
        <f t="shared" si="179"/>
        <v>17724.419883234739</v>
      </c>
      <c r="K287" s="1631">
        <v>5235</v>
      </c>
      <c r="L287" s="1630">
        <f t="shared" si="180"/>
        <v>5235</v>
      </c>
      <c r="M287" s="1630">
        <f t="shared" si="181"/>
        <v>10470</v>
      </c>
      <c r="N287" s="1625">
        <f t="shared" si="182"/>
        <v>7254.4198832347392</v>
      </c>
      <c r="O287" s="1629">
        <v>0.48699999999999999</v>
      </c>
      <c r="P287" s="1629">
        <v>0.51300000000000001</v>
      </c>
      <c r="Q287" s="1625">
        <f t="shared" si="183"/>
        <v>3532.9024831353181</v>
      </c>
      <c r="R287" s="1628">
        <f t="shared" si="184"/>
        <v>3721.5174000994211</v>
      </c>
      <c r="S287" s="1627">
        <f t="shared" si="185"/>
        <v>4786.8974000994203</v>
      </c>
      <c r="T287" s="1627">
        <f t="shared" si="186"/>
        <v>5683.1025999005797</v>
      </c>
      <c r="U287" s="1626">
        <f t="shared" si="187"/>
        <v>1196.7243500248551</v>
      </c>
      <c r="V287" s="1626">
        <f t="shared" si="188"/>
        <v>1420.7756499751449</v>
      </c>
      <c r="W287" s="1625">
        <f t="shared" si="189"/>
        <v>2617.5</v>
      </c>
      <c r="X287" s="1614"/>
      <c r="Y287" s="1613"/>
      <c r="Z287" s="1612">
        <f t="shared" si="190"/>
        <v>0.59071044744902568</v>
      </c>
      <c r="AA287" s="1611"/>
      <c r="AB287" s="1611"/>
      <c r="AC287" s="1611"/>
      <c r="AD287" s="1611"/>
      <c r="AE287" s="1611"/>
      <c r="AF287" s="1611"/>
      <c r="AG287" s="1611"/>
      <c r="AH287" s="1611"/>
      <c r="AI287" s="1611"/>
      <c r="AJ287" s="1611"/>
      <c r="AK287" s="1611"/>
      <c r="AL287" s="1611"/>
      <c r="AM287" s="1611"/>
      <c r="AN287" s="1611"/>
      <c r="AO287" s="1611"/>
      <c r="AP287" s="1611"/>
      <c r="AQ287" s="1611"/>
    </row>
    <row r="288" spans="1:43" outlineLevel="2">
      <c r="A288" s="1638" t="s">
        <v>312</v>
      </c>
      <c r="B288" s="1637" t="s">
        <v>120</v>
      </c>
      <c r="C288" s="1636"/>
      <c r="D288" s="1635">
        <v>3</v>
      </c>
      <c r="E288" s="1634" t="s">
        <v>957</v>
      </c>
      <c r="F288" s="1633" t="s">
        <v>1070</v>
      </c>
      <c r="G288" s="1632">
        <v>4159.8999416173692</v>
      </c>
      <c r="H288" s="1632">
        <v>4702.3100000000004</v>
      </c>
      <c r="I288" s="1630">
        <f t="shared" si="178"/>
        <v>8862.2099416173696</v>
      </c>
      <c r="J288" s="1630">
        <f t="shared" si="179"/>
        <v>26586.629824852109</v>
      </c>
      <c r="K288" s="1631">
        <v>4075</v>
      </c>
      <c r="L288" s="1630">
        <f t="shared" si="180"/>
        <v>4075</v>
      </c>
      <c r="M288" s="1630">
        <f t="shared" si="181"/>
        <v>12225</v>
      </c>
      <c r="N288" s="1625">
        <f t="shared" si="182"/>
        <v>14361.629824852109</v>
      </c>
      <c r="O288" s="1629">
        <v>0.48699999999999999</v>
      </c>
      <c r="P288" s="1629">
        <v>0.51300000000000001</v>
      </c>
      <c r="Q288" s="1625">
        <f t="shared" si="183"/>
        <v>6994.1137247029765</v>
      </c>
      <c r="R288" s="1628">
        <f t="shared" si="184"/>
        <v>7367.5161001491324</v>
      </c>
      <c r="S288" s="1627">
        <f t="shared" si="185"/>
        <v>5485.5861001491321</v>
      </c>
      <c r="T288" s="1627">
        <f t="shared" si="186"/>
        <v>6739.4138998508679</v>
      </c>
      <c r="U288" s="1626">
        <f t="shared" si="187"/>
        <v>1371.396525037283</v>
      </c>
      <c r="V288" s="1626">
        <f t="shared" si="188"/>
        <v>1684.853474962717</v>
      </c>
      <c r="W288" s="1625">
        <f t="shared" si="189"/>
        <v>3056.25</v>
      </c>
      <c r="X288" s="1614"/>
      <c r="Y288" s="1613"/>
      <c r="Z288" s="1612">
        <f t="shared" si="190"/>
        <v>0.45981758803338674</v>
      </c>
      <c r="AA288" s="1611"/>
      <c r="AB288" s="1611"/>
      <c r="AC288" s="1611"/>
      <c r="AD288" s="1611"/>
      <c r="AE288" s="1611"/>
      <c r="AF288" s="1611"/>
      <c r="AG288" s="1611"/>
      <c r="AH288" s="1611"/>
      <c r="AI288" s="1611"/>
      <c r="AJ288" s="1611"/>
      <c r="AK288" s="1611"/>
      <c r="AL288" s="1611"/>
      <c r="AM288" s="1611"/>
      <c r="AN288" s="1611"/>
      <c r="AO288" s="1611"/>
      <c r="AP288" s="1611"/>
      <c r="AQ288" s="1611"/>
    </row>
    <row r="289" spans="1:43" outlineLevel="2">
      <c r="A289" s="1638" t="s">
        <v>312</v>
      </c>
      <c r="B289" s="1637" t="s">
        <v>120</v>
      </c>
      <c r="C289" s="1636"/>
      <c r="D289" s="1635">
        <v>4</v>
      </c>
      <c r="E289" s="1634" t="s">
        <v>957</v>
      </c>
      <c r="F289" s="1633" t="s">
        <v>1069</v>
      </c>
      <c r="G289" s="1632">
        <v>4159.8999416173692</v>
      </c>
      <c r="H289" s="1632">
        <v>4702.3100000000004</v>
      </c>
      <c r="I289" s="1630">
        <f t="shared" si="178"/>
        <v>8862.2099416173696</v>
      </c>
      <c r="J289" s="1630">
        <f t="shared" si="179"/>
        <v>35448.839766469478</v>
      </c>
      <c r="K289" s="1631">
        <v>4075</v>
      </c>
      <c r="L289" s="1630">
        <f t="shared" si="180"/>
        <v>4075</v>
      </c>
      <c r="M289" s="1630">
        <f t="shared" si="181"/>
        <v>16300</v>
      </c>
      <c r="N289" s="1625">
        <f t="shared" si="182"/>
        <v>19148.839766469478</v>
      </c>
      <c r="O289" s="1629">
        <v>0.48699999999999999</v>
      </c>
      <c r="P289" s="1629">
        <v>0.51300000000000001</v>
      </c>
      <c r="Q289" s="1625">
        <f t="shared" si="183"/>
        <v>9325.4849662706365</v>
      </c>
      <c r="R289" s="1628">
        <f t="shared" si="184"/>
        <v>9823.354800198842</v>
      </c>
      <c r="S289" s="1627">
        <f t="shared" si="185"/>
        <v>7314.1148001988404</v>
      </c>
      <c r="T289" s="1627">
        <f t="shared" si="186"/>
        <v>8985.8851998011596</v>
      </c>
      <c r="U289" s="1626">
        <f t="shared" si="187"/>
        <v>1828.5287000497101</v>
      </c>
      <c r="V289" s="1626">
        <f t="shared" si="188"/>
        <v>2246.4712999502899</v>
      </c>
      <c r="W289" s="1625">
        <f t="shared" si="189"/>
        <v>4075</v>
      </c>
      <c r="X289" s="1614"/>
      <c r="Y289" s="1613"/>
      <c r="Z289" s="1612">
        <f t="shared" si="190"/>
        <v>0.45981758803338674</v>
      </c>
      <c r="AA289" s="1611"/>
      <c r="AB289" s="1611"/>
      <c r="AC289" s="1611"/>
      <c r="AD289" s="1611"/>
      <c r="AE289" s="1611"/>
      <c r="AF289" s="1611"/>
      <c r="AG289" s="1611"/>
      <c r="AH289" s="1611"/>
      <c r="AI289" s="1611"/>
      <c r="AJ289" s="1611"/>
      <c r="AK289" s="1611"/>
      <c r="AL289" s="1611"/>
      <c r="AM289" s="1611"/>
      <c r="AN289" s="1611"/>
      <c r="AO289" s="1611"/>
      <c r="AP289" s="1611"/>
      <c r="AQ289" s="1611"/>
    </row>
    <row r="290" spans="1:43" outlineLevel="2">
      <c r="A290" s="1638" t="s">
        <v>312</v>
      </c>
      <c r="B290" s="1637" t="s">
        <v>120</v>
      </c>
      <c r="C290" s="1636"/>
      <c r="D290" s="1635">
        <v>4</v>
      </c>
      <c r="E290" s="1634" t="s">
        <v>957</v>
      </c>
      <c r="F290" s="1633" t="s">
        <v>1068</v>
      </c>
      <c r="G290" s="1632">
        <v>4159.8999416173692</v>
      </c>
      <c r="H290" s="1632">
        <v>4702.3100000000004</v>
      </c>
      <c r="I290" s="1630">
        <f t="shared" si="178"/>
        <v>8862.2099416173696</v>
      </c>
      <c r="J290" s="1630">
        <f t="shared" si="179"/>
        <v>35448.839766469478</v>
      </c>
      <c r="K290" s="1631">
        <v>4075</v>
      </c>
      <c r="L290" s="1630">
        <f t="shared" si="180"/>
        <v>4075</v>
      </c>
      <c r="M290" s="1630">
        <f t="shared" si="181"/>
        <v>16300</v>
      </c>
      <c r="N290" s="1625">
        <f t="shared" si="182"/>
        <v>19148.839766469478</v>
      </c>
      <c r="O290" s="1629">
        <v>0.48699999999999999</v>
      </c>
      <c r="P290" s="1629">
        <v>0.51300000000000001</v>
      </c>
      <c r="Q290" s="1625">
        <f t="shared" si="183"/>
        <v>9325.4849662706365</v>
      </c>
      <c r="R290" s="1628">
        <f t="shared" si="184"/>
        <v>9823.354800198842</v>
      </c>
      <c r="S290" s="1627">
        <f t="shared" si="185"/>
        <v>7314.1148001988404</v>
      </c>
      <c r="T290" s="1627">
        <f t="shared" si="186"/>
        <v>8985.8851998011596</v>
      </c>
      <c r="U290" s="1626">
        <f t="shared" si="187"/>
        <v>1828.5287000497101</v>
      </c>
      <c r="V290" s="1626">
        <f t="shared" si="188"/>
        <v>2246.4712999502899</v>
      </c>
      <c r="W290" s="1625">
        <f t="shared" si="189"/>
        <v>4075</v>
      </c>
      <c r="X290" s="1614"/>
      <c r="Y290" s="1613"/>
      <c r="Z290" s="1612">
        <f t="shared" si="190"/>
        <v>0.45981758803338674</v>
      </c>
      <c r="AA290" s="1611"/>
      <c r="AB290" s="1611"/>
      <c r="AC290" s="1611"/>
      <c r="AD290" s="1611"/>
      <c r="AE290" s="1611"/>
      <c r="AF290" s="1611"/>
      <c r="AG290" s="1611"/>
      <c r="AH290" s="1611"/>
      <c r="AI290" s="1611"/>
      <c r="AJ290" s="1611"/>
      <c r="AK290" s="1611"/>
      <c r="AL290" s="1611"/>
      <c r="AM290" s="1611"/>
      <c r="AN290" s="1611"/>
      <c r="AO290" s="1611"/>
      <c r="AP290" s="1611"/>
      <c r="AQ290" s="1611"/>
    </row>
    <row r="291" spans="1:43" outlineLevel="2">
      <c r="A291" s="1638" t="s">
        <v>312</v>
      </c>
      <c r="B291" s="1637" t="s">
        <v>120</v>
      </c>
      <c r="C291" s="1636"/>
      <c r="D291" s="1635">
        <v>3</v>
      </c>
      <c r="E291" s="1634" t="s">
        <v>957</v>
      </c>
      <c r="F291" s="1633" t="s">
        <v>1071</v>
      </c>
      <c r="G291" s="1632">
        <v>4159.8999416173692</v>
      </c>
      <c r="H291" s="1632">
        <v>4702.3100000000004</v>
      </c>
      <c r="I291" s="1630">
        <f t="shared" si="178"/>
        <v>8862.2099416173696</v>
      </c>
      <c r="J291" s="1630">
        <f t="shared" si="179"/>
        <v>26586.629824852109</v>
      </c>
      <c r="K291" s="1631">
        <v>4075</v>
      </c>
      <c r="L291" s="1630">
        <f t="shared" si="180"/>
        <v>4075</v>
      </c>
      <c r="M291" s="1630">
        <f t="shared" si="181"/>
        <v>12225</v>
      </c>
      <c r="N291" s="1625">
        <f t="shared" si="182"/>
        <v>14361.629824852109</v>
      </c>
      <c r="O291" s="1629">
        <v>0.48699999999999999</v>
      </c>
      <c r="P291" s="1629">
        <v>0.51300000000000001</v>
      </c>
      <c r="Q291" s="1625">
        <f t="shared" si="183"/>
        <v>6994.1137247029765</v>
      </c>
      <c r="R291" s="1628">
        <f t="shared" si="184"/>
        <v>7367.5161001491324</v>
      </c>
      <c r="S291" s="1627">
        <f t="shared" si="185"/>
        <v>5485.5861001491321</v>
      </c>
      <c r="T291" s="1627">
        <f t="shared" si="186"/>
        <v>6739.4138998508679</v>
      </c>
      <c r="U291" s="1626">
        <f t="shared" si="187"/>
        <v>1371.396525037283</v>
      </c>
      <c r="V291" s="1626">
        <f t="shared" si="188"/>
        <v>1684.853474962717</v>
      </c>
      <c r="W291" s="1625">
        <f t="shared" si="189"/>
        <v>3056.25</v>
      </c>
      <c r="X291" s="1614"/>
      <c r="Y291" s="1613"/>
      <c r="Z291" s="1612">
        <f t="shared" si="190"/>
        <v>0.45981758803338674</v>
      </c>
      <c r="AA291" s="1611"/>
      <c r="AB291" s="1611"/>
      <c r="AC291" s="1611"/>
      <c r="AD291" s="1611"/>
      <c r="AE291" s="1611"/>
      <c r="AF291" s="1611"/>
      <c r="AG291" s="1611"/>
      <c r="AH291" s="1611"/>
      <c r="AI291" s="1611"/>
      <c r="AJ291" s="1611"/>
      <c r="AK291" s="1611"/>
      <c r="AL291" s="1611"/>
      <c r="AM291" s="1611"/>
      <c r="AN291" s="1611"/>
      <c r="AO291" s="1611"/>
      <c r="AP291" s="1611"/>
      <c r="AQ291" s="1611"/>
    </row>
    <row r="292" spans="1:43" outlineLevel="2">
      <c r="A292" s="1638" t="s">
        <v>312</v>
      </c>
      <c r="B292" s="1637" t="s">
        <v>120</v>
      </c>
      <c r="C292" s="1636"/>
      <c r="D292" s="1635">
        <v>5</v>
      </c>
      <c r="E292" s="1634" t="s">
        <v>957</v>
      </c>
      <c r="F292" s="1633" t="s">
        <v>1065</v>
      </c>
      <c r="G292" s="1632">
        <v>4159.8999416173692</v>
      </c>
      <c r="H292" s="1632">
        <v>4702.3100000000004</v>
      </c>
      <c r="I292" s="1630">
        <f t="shared" si="178"/>
        <v>8862.2099416173696</v>
      </c>
      <c r="J292" s="1630">
        <f t="shared" si="179"/>
        <v>44311.049708086852</v>
      </c>
      <c r="K292" s="1631">
        <v>4075</v>
      </c>
      <c r="L292" s="1630">
        <f t="shared" si="180"/>
        <v>4075</v>
      </c>
      <c r="M292" s="1630">
        <f t="shared" si="181"/>
        <v>20375</v>
      </c>
      <c r="N292" s="1625">
        <f t="shared" si="182"/>
        <v>23936.049708086852</v>
      </c>
      <c r="O292" s="1629">
        <v>0.48699999999999999</v>
      </c>
      <c r="P292" s="1629">
        <v>0.51300000000000001</v>
      </c>
      <c r="Q292" s="1625">
        <f t="shared" si="183"/>
        <v>11656.856207838297</v>
      </c>
      <c r="R292" s="1628">
        <f t="shared" si="184"/>
        <v>12279.193500248555</v>
      </c>
      <c r="S292" s="1627">
        <f t="shared" si="185"/>
        <v>9142.6435002485487</v>
      </c>
      <c r="T292" s="1627">
        <f t="shared" si="186"/>
        <v>11232.356499751448</v>
      </c>
      <c r="U292" s="1626">
        <f t="shared" si="187"/>
        <v>2285.6608750621372</v>
      </c>
      <c r="V292" s="1626">
        <f t="shared" si="188"/>
        <v>2808.0891249378619</v>
      </c>
      <c r="W292" s="1625">
        <f t="shared" si="189"/>
        <v>5093.7499999999991</v>
      </c>
      <c r="X292" s="1614"/>
      <c r="Y292" s="1613"/>
      <c r="Z292" s="1612">
        <f t="shared" si="190"/>
        <v>0.45981758803338674</v>
      </c>
      <c r="AA292" s="1611"/>
      <c r="AB292" s="1611"/>
      <c r="AC292" s="1611"/>
      <c r="AD292" s="1611"/>
      <c r="AE292" s="1611"/>
      <c r="AF292" s="1611"/>
      <c r="AG292" s="1611"/>
      <c r="AH292" s="1611"/>
      <c r="AI292" s="1611"/>
      <c r="AJ292" s="1611"/>
      <c r="AK292" s="1611"/>
      <c r="AL292" s="1611"/>
      <c r="AM292" s="1611"/>
      <c r="AN292" s="1611"/>
      <c r="AO292" s="1611"/>
      <c r="AP292" s="1611"/>
      <c r="AQ292" s="1611"/>
    </row>
    <row r="293" spans="1:43" outlineLevel="2">
      <c r="A293" s="1638" t="s">
        <v>312</v>
      </c>
      <c r="B293" s="1637" t="s">
        <v>120</v>
      </c>
      <c r="C293" s="1636"/>
      <c r="D293" s="1635">
        <v>2</v>
      </c>
      <c r="E293" s="1634" t="s">
        <v>957</v>
      </c>
      <c r="F293" s="1633" t="s">
        <v>1064</v>
      </c>
      <c r="G293" s="1632">
        <v>4159.8999416173692</v>
      </c>
      <c r="H293" s="1632">
        <v>4702.3100000000004</v>
      </c>
      <c r="I293" s="1630">
        <f t="shared" si="178"/>
        <v>8862.2099416173696</v>
      </c>
      <c r="J293" s="1630">
        <f t="shared" si="179"/>
        <v>17724.419883234739</v>
      </c>
      <c r="K293" s="1631">
        <v>4075</v>
      </c>
      <c r="L293" s="1630">
        <f t="shared" si="180"/>
        <v>4075</v>
      </c>
      <c r="M293" s="1630">
        <f t="shared" si="181"/>
        <v>8150</v>
      </c>
      <c r="N293" s="1625">
        <f t="shared" si="182"/>
        <v>9574.4198832347392</v>
      </c>
      <c r="O293" s="1629">
        <v>0.48699999999999999</v>
      </c>
      <c r="P293" s="1629">
        <v>0.51300000000000001</v>
      </c>
      <c r="Q293" s="1625">
        <f t="shared" si="183"/>
        <v>4662.7424831353183</v>
      </c>
      <c r="R293" s="1628">
        <f t="shared" si="184"/>
        <v>4911.677400099421</v>
      </c>
      <c r="S293" s="1627">
        <f t="shared" si="185"/>
        <v>3657.0574000994202</v>
      </c>
      <c r="T293" s="1627">
        <f t="shared" si="186"/>
        <v>4492.9425999005798</v>
      </c>
      <c r="U293" s="1626">
        <f t="shared" si="187"/>
        <v>914.26435002485505</v>
      </c>
      <c r="V293" s="1626">
        <f t="shared" si="188"/>
        <v>1123.235649975145</v>
      </c>
      <c r="W293" s="1625">
        <f t="shared" si="189"/>
        <v>2037.5</v>
      </c>
      <c r="X293" s="1614"/>
      <c r="Y293" s="1613"/>
      <c r="Z293" s="1612">
        <f t="shared" si="190"/>
        <v>0.45981758803338674</v>
      </c>
      <c r="AA293" s="1611"/>
      <c r="AB293" s="1611"/>
      <c r="AC293" s="1611"/>
      <c r="AD293" s="1611"/>
      <c r="AE293" s="1611"/>
      <c r="AF293" s="1611"/>
      <c r="AG293" s="1611"/>
      <c r="AH293" s="1611"/>
      <c r="AI293" s="1611"/>
      <c r="AJ293" s="1611"/>
      <c r="AK293" s="1611"/>
      <c r="AL293" s="1611"/>
      <c r="AM293" s="1611"/>
      <c r="AN293" s="1611"/>
      <c r="AO293" s="1611"/>
      <c r="AP293" s="1611"/>
      <c r="AQ293" s="1611"/>
    </row>
    <row r="294" spans="1:43" outlineLevel="2">
      <c r="A294" s="1638" t="s">
        <v>312</v>
      </c>
      <c r="B294" s="1637" t="s">
        <v>120</v>
      </c>
      <c r="C294" s="1636"/>
      <c r="D294" s="1635">
        <v>2</v>
      </c>
      <c r="E294" s="1634" t="s">
        <v>957</v>
      </c>
      <c r="F294" s="1633" t="s">
        <v>1066</v>
      </c>
      <c r="G294" s="1632">
        <v>4159.8999416173692</v>
      </c>
      <c r="H294" s="1632">
        <v>4702.3100000000004</v>
      </c>
      <c r="I294" s="1630">
        <f t="shared" si="178"/>
        <v>8862.2099416173696</v>
      </c>
      <c r="J294" s="1630">
        <f t="shared" si="179"/>
        <v>17724.419883234739</v>
      </c>
      <c r="K294" s="1631">
        <v>4075</v>
      </c>
      <c r="L294" s="1630">
        <f t="shared" si="180"/>
        <v>4075</v>
      </c>
      <c r="M294" s="1630">
        <f t="shared" si="181"/>
        <v>8150</v>
      </c>
      <c r="N294" s="1625">
        <f t="shared" si="182"/>
        <v>9574.4198832347392</v>
      </c>
      <c r="O294" s="1629">
        <v>0.48699999999999999</v>
      </c>
      <c r="P294" s="1629">
        <v>0.51300000000000001</v>
      </c>
      <c r="Q294" s="1625">
        <f t="shared" si="183"/>
        <v>4662.7424831353183</v>
      </c>
      <c r="R294" s="1628">
        <f t="shared" si="184"/>
        <v>4911.677400099421</v>
      </c>
      <c r="S294" s="1627">
        <f t="shared" si="185"/>
        <v>3657.0574000994202</v>
      </c>
      <c r="T294" s="1627">
        <f t="shared" si="186"/>
        <v>4492.9425999005798</v>
      </c>
      <c r="U294" s="1626">
        <f t="shared" si="187"/>
        <v>914.26435002485505</v>
      </c>
      <c r="V294" s="1626">
        <f t="shared" si="188"/>
        <v>1123.235649975145</v>
      </c>
      <c r="W294" s="1625">
        <f t="shared" si="189"/>
        <v>2037.5</v>
      </c>
      <c r="X294" s="1614"/>
      <c r="Y294" s="1613"/>
      <c r="Z294" s="1612">
        <f t="shared" si="190"/>
        <v>0.45981758803338674</v>
      </c>
      <c r="AA294" s="1611"/>
      <c r="AB294" s="1611"/>
      <c r="AC294" s="1611"/>
      <c r="AD294" s="1611"/>
      <c r="AE294" s="1611"/>
      <c r="AF294" s="1611"/>
      <c r="AG294" s="1611"/>
      <c r="AH294" s="1611"/>
      <c r="AI294" s="1611"/>
      <c r="AJ294" s="1611"/>
      <c r="AK294" s="1611"/>
      <c r="AL294" s="1611"/>
      <c r="AM294" s="1611"/>
      <c r="AN294" s="1611"/>
      <c r="AO294" s="1611"/>
      <c r="AP294" s="1611"/>
      <c r="AQ294" s="1611"/>
    </row>
    <row r="295" spans="1:43" outlineLevel="2">
      <c r="A295" s="1638" t="s">
        <v>312</v>
      </c>
      <c r="B295" s="1637" t="s">
        <v>120</v>
      </c>
      <c r="C295" s="1636"/>
      <c r="D295" s="1635">
        <v>4</v>
      </c>
      <c r="E295" s="1634" t="s">
        <v>957</v>
      </c>
      <c r="F295" s="1633" t="s">
        <v>979</v>
      </c>
      <c r="G295" s="1632">
        <v>4159.8999416173692</v>
      </c>
      <c r="H295" s="1632">
        <v>4702.3100000000004</v>
      </c>
      <c r="I295" s="1630">
        <f t="shared" si="178"/>
        <v>8862.2099416173696</v>
      </c>
      <c r="J295" s="1630">
        <f t="shared" si="179"/>
        <v>35448.839766469478</v>
      </c>
      <c r="K295" s="1631">
        <v>4075</v>
      </c>
      <c r="L295" s="1630">
        <f t="shared" si="180"/>
        <v>4075</v>
      </c>
      <c r="M295" s="1630">
        <f t="shared" si="181"/>
        <v>16300</v>
      </c>
      <c r="N295" s="1625">
        <f t="shared" si="182"/>
        <v>19148.839766469478</v>
      </c>
      <c r="O295" s="1629">
        <v>0.48699999999999999</v>
      </c>
      <c r="P295" s="1629">
        <v>0.51300000000000001</v>
      </c>
      <c r="Q295" s="1625">
        <f t="shared" si="183"/>
        <v>9325.4849662706365</v>
      </c>
      <c r="R295" s="1628">
        <f t="shared" si="184"/>
        <v>9823.354800198842</v>
      </c>
      <c r="S295" s="1627">
        <f t="shared" si="185"/>
        <v>7314.1148001988404</v>
      </c>
      <c r="T295" s="1627">
        <f t="shared" si="186"/>
        <v>8985.8851998011596</v>
      </c>
      <c r="U295" s="1626">
        <f t="shared" si="187"/>
        <v>1828.5287000497101</v>
      </c>
      <c r="V295" s="1626">
        <f t="shared" si="188"/>
        <v>2246.4712999502899</v>
      </c>
      <c r="W295" s="1625">
        <f t="shared" si="189"/>
        <v>4075</v>
      </c>
      <c r="X295" s="1614"/>
      <c r="Y295" s="1613"/>
      <c r="Z295" s="1612">
        <f t="shared" si="190"/>
        <v>0.45981758803338674</v>
      </c>
      <c r="AA295" s="1611"/>
      <c r="AB295" s="1611"/>
      <c r="AC295" s="1611"/>
      <c r="AD295" s="1611"/>
      <c r="AE295" s="1611"/>
      <c r="AF295" s="1611"/>
      <c r="AG295" s="1611"/>
      <c r="AH295" s="1611"/>
      <c r="AI295" s="1611"/>
      <c r="AJ295" s="1611"/>
      <c r="AK295" s="1611"/>
      <c r="AL295" s="1611"/>
      <c r="AM295" s="1611"/>
      <c r="AN295" s="1611"/>
      <c r="AO295" s="1611"/>
      <c r="AP295" s="1611"/>
      <c r="AQ295" s="1611"/>
    </row>
    <row r="296" spans="1:43" outlineLevel="2">
      <c r="A296" s="1638" t="s">
        <v>312</v>
      </c>
      <c r="B296" s="1637" t="s">
        <v>120</v>
      </c>
      <c r="C296" s="1636"/>
      <c r="D296" s="1635">
        <v>1</v>
      </c>
      <c r="E296" s="1634" t="s">
        <v>913</v>
      </c>
      <c r="F296" s="1633" t="s">
        <v>1066</v>
      </c>
      <c r="G296" s="1632">
        <v>4159.8999416173692</v>
      </c>
      <c r="H296" s="1632">
        <v>4702.3100000000004</v>
      </c>
      <c r="I296" s="1630">
        <f t="shared" si="178"/>
        <v>8862.2099416173696</v>
      </c>
      <c r="J296" s="1630">
        <f t="shared" si="179"/>
        <v>8862.2099416173696</v>
      </c>
      <c r="K296" s="1631">
        <v>7050</v>
      </c>
      <c r="L296" s="1630">
        <f t="shared" si="180"/>
        <v>7050</v>
      </c>
      <c r="M296" s="1630">
        <f t="shared" si="181"/>
        <v>7050</v>
      </c>
      <c r="N296" s="1625">
        <f t="shared" si="182"/>
        <v>1812.2099416173696</v>
      </c>
      <c r="O296" s="1629">
        <v>0.48699999999999999</v>
      </c>
      <c r="P296" s="1629">
        <v>0.51300000000000001</v>
      </c>
      <c r="Q296" s="1625">
        <f t="shared" si="183"/>
        <v>882.54624156765897</v>
      </c>
      <c r="R296" s="1628">
        <f t="shared" si="184"/>
        <v>929.66370004971066</v>
      </c>
      <c r="S296" s="1627">
        <f t="shared" si="185"/>
        <v>3277.3537000497104</v>
      </c>
      <c r="T296" s="1627">
        <f t="shared" si="186"/>
        <v>3772.6462999502896</v>
      </c>
      <c r="U296" s="1626">
        <f t="shared" si="187"/>
        <v>819.33842501242759</v>
      </c>
      <c r="V296" s="1626">
        <f t="shared" si="188"/>
        <v>943.16157498757241</v>
      </c>
      <c r="W296" s="1625">
        <f t="shared" si="189"/>
        <v>1762.5</v>
      </c>
      <c r="X296" s="1614"/>
      <c r="Y296" s="1613"/>
      <c r="Z296" s="1612">
        <f t="shared" si="190"/>
        <v>0.7955126369657366</v>
      </c>
      <c r="AA296" s="1611"/>
      <c r="AB296" s="1611"/>
      <c r="AC296" s="1611"/>
      <c r="AD296" s="1611"/>
      <c r="AE296" s="1611"/>
      <c r="AF296" s="1611"/>
      <c r="AG296" s="1611"/>
      <c r="AH296" s="1611"/>
      <c r="AI296" s="1611"/>
      <c r="AJ296" s="1611"/>
      <c r="AK296" s="1611"/>
      <c r="AL296" s="1611"/>
      <c r="AM296" s="1611"/>
      <c r="AN296" s="1611"/>
      <c r="AO296" s="1611"/>
      <c r="AP296" s="1611"/>
      <c r="AQ296" s="1611"/>
    </row>
    <row r="297" spans="1:43" outlineLevel="2">
      <c r="A297" s="1638" t="s">
        <v>312</v>
      </c>
      <c r="B297" s="1637" t="s">
        <v>120</v>
      </c>
      <c r="C297" s="1636"/>
      <c r="D297" s="1635">
        <v>1</v>
      </c>
      <c r="E297" s="1634" t="s">
        <v>913</v>
      </c>
      <c r="F297" s="1633" t="s">
        <v>1072</v>
      </c>
      <c r="G297" s="1632">
        <v>4159.8999416173692</v>
      </c>
      <c r="H297" s="1632">
        <v>4702.3100000000004</v>
      </c>
      <c r="I297" s="1630">
        <f t="shared" si="178"/>
        <v>8862.2099416173696</v>
      </c>
      <c r="J297" s="1630">
        <f t="shared" si="179"/>
        <v>8862.2099416173696</v>
      </c>
      <c r="K297" s="1631">
        <v>7050</v>
      </c>
      <c r="L297" s="1630">
        <f t="shared" si="180"/>
        <v>7050</v>
      </c>
      <c r="M297" s="1630">
        <f t="shared" si="181"/>
        <v>7050</v>
      </c>
      <c r="N297" s="1625">
        <f t="shared" si="182"/>
        <v>1812.2099416173696</v>
      </c>
      <c r="O297" s="1629">
        <v>0.48699999999999999</v>
      </c>
      <c r="P297" s="1629">
        <v>0.51300000000000001</v>
      </c>
      <c r="Q297" s="1625">
        <f t="shared" si="183"/>
        <v>882.54624156765897</v>
      </c>
      <c r="R297" s="1628">
        <f t="shared" si="184"/>
        <v>929.66370004971066</v>
      </c>
      <c r="S297" s="1627">
        <f t="shared" si="185"/>
        <v>3277.3537000497104</v>
      </c>
      <c r="T297" s="1627">
        <f t="shared" si="186"/>
        <v>3772.6462999502896</v>
      </c>
      <c r="U297" s="1626">
        <f t="shared" si="187"/>
        <v>819.33842501242759</v>
      </c>
      <c r="V297" s="1626">
        <f t="shared" si="188"/>
        <v>943.16157498757241</v>
      </c>
      <c r="W297" s="1625">
        <f t="shared" si="189"/>
        <v>1762.5</v>
      </c>
      <c r="X297" s="1614"/>
      <c r="Y297" s="1613"/>
      <c r="Z297" s="1612">
        <f t="shared" si="190"/>
        <v>0.7955126369657366</v>
      </c>
      <c r="AA297" s="1611"/>
      <c r="AB297" s="1611"/>
      <c r="AC297" s="1611"/>
      <c r="AD297" s="1611"/>
      <c r="AE297" s="1611"/>
      <c r="AF297" s="1611"/>
      <c r="AG297" s="1611"/>
      <c r="AH297" s="1611"/>
      <c r="AI297" s="1611"/>
      <c r="AJ297" s="1611"/>
      <c r="AK297" s="1611"/>
      <c r="AL297" s="1611"/>
      <c r="AM297" s="1611"/>
      <c r="AN297" s="1611"/>
      <c r="AO297" s="1611"/>
      <c r="AP297" s="1611"/>
      <c r="AQ297" s="1611"/>
    </row>
    <row r="298" spans="1:43" outlineLevel="2">
      <c r="A298" s="1638" t="s">
        <v>312</v>
      </c>
      <c r="B298" s="1637" t="s">
        <v>120</v>
      </c>
      <c r="C298" s="1636"/>
      <c r="D298" s="1635">
        <v>1</v>
      </c>
      <c r="E298" s="1634" t="s">
        <v>955</v>
      </c>
      <c r="F298" s="1633" t="s">
        <v>979</v>
      </c>
      <c r="G298" s="1632">
        <v>4159.8999416173692</v>
      </c>
      <c r="H298" s="1632">
        <v>4702.3100000000004</v>
      </c>
      <c r="I298" s="1630">
        <f t="shared" si="178"/>
        <v>8862.2099416173696</v>
      </c>
      <c r="J298" s="1630">
        <f t="shared" si="179"/>
        <v>8862.2099416173696</v>
      </c>
      <c r="K298" s="1631">
        <v>6197</v>
      </c>
      <c r="L298" s="1630">
        <f t="shared" si="180"/>
        <v>6197</v>
      </c>
      <c r="M298" s="1630">
        <f t="shared" si="181"/>
        <v>6197</v>
      </c>
      <c r="N298" s="1625">
        <f t="shared" si="182"/>
        <v>2665.2099416173696</v>
      </c>
      <c r="O298" s="1629">
        <v>0.48699999999999999</v>
      </c>
      <c r="P298" s="1629">
        <v>0.51300000000000001</v>
      </c>
      <c r="Q298" s="1625">
        <f t="shared" si="183"/>
        <v>1297.9572415676589</v>
      </c>
      <c r="R298" s="1628">
        <f t="shared" si="184"/>
        <v>1367.2527000497107</v>
      </c>
      <c r="S298" s="1627">
        <f t="shared" si="185"/>
        <v>2861.9427000497103</v>
      </c>
      <c r="T298" s="1627">
        <f t="shared" si="186"/>
        <v>3335.0572999502897</v>
      </c>
      <c r="U298" s="1626">
        <f t="shared" si="187"/>
        <v>715.48567501242758</v>
      </c>
      <c r="V298" s="1626">
        <f t="shared" si="188"/>
        <v>833.76432498757242</v>
      </c>
      <c r="W298" s="1625">
        <f t="shared" si="189"/>
        <v>1549.25</v>
      </c>
      <c r="X298" s="1614"/>
      <c r="Y298" s="1613"/>
      <c r="Z298" s="1612">
        <f t="shared" si="190"/>
        <v>0.69926124982647797</v>
      </c>
      <c r="AA298" s="1611"/>
      <c r="AB298" s="1611"/>
      <c r="AC298" s="1611"/>
      <c r="AD298" s="1611"/>
      <c r="AE298" s="1611"/>
      <c r="AF298" s="1611"/>
      <c r="AG298" s="1611"/>
      <c r="AH298" s="1611"/>
      <c r="AI298" s="1611"/>
      <c r="AJ298" s="1611"/>
      <c r="AK298" s="1611"/>
      <c r="AL298" s="1611"/>
      <c r="AM298" s="1611"/>
      <c r="AN298" s="1611"/>
      <c r="AO298" s="1611"/>
      <c r="AP298" s="1611"/>
      <c r="AQ298" s="1611"/>
    </row>
    <row r="299" spans="1:43" outlineLevel="2">
      <c r="A299" s="1638" t="s">
        <v>312</v>
      </c>
      <c r="B299" s="1637" t="s">
        <v>120</v>
      </c>
      <c r="C299" s="1636"/>
      <c r="D299" s="1635">
        <v>1</v>
      </c>
      <c r="E299" s="1634" t="s">
        <v>907</v>
      </c>
      <c r="F299" s="1633" t="s">
        <v>1070</v>
      </c>
      <c r="G299" s="1632">
        <v>4159.8999416173692</v>
      </c>
      <c r="H299" s="1632">
        <v>4702.3100000000004</v>
      </c>
      <c r="I299" s="1630">
        <f t="shared" si="178"/>
        <v>8862.2099416173696</v>
      </c>
      <c r="J299" s="1630">
        <f t="shared" si="179"/>
        <v>8862.2099416173696</v>
      </c>
      <c r="K299" s="1631">
        <v>4765</v>
      </c>
      <c r="L299" s="1630">
        <f t="shared" si="180"/>
        <v>4765</v>
      </c>
      <c r="M299" s="1630">
        <f t="shared" si="181"/>
        <v>4765</v>
      </c>
      <c r="N299" s="1625">
        <f t="shared" si="182"/>
        <v>4097.2099416173696</v>
      </c>
      <c r="O299" s="1629">
        <v>0.48699999999999999</v>
      </c>
      <c r="P299" s="1629">
        <v>0.51300000000000001</v>
      </c>
      <c r="Q299" s="1625">
        <f t="shared" si="183"/>
        <v>1995.3412415676589</v>
      </c>
      <c r="R299" s="1628">
        <f t="shared" si="184"/>
        <v>2101.8687000497107</v>
      </c>
      <c r="S299" s="1627">
        <f t="shared" si="185"/>
        <v>2164.5587000497103</v>
      </c>
      <c r="T299" s="1627">
        <f t="shared" si="186"/>
        <v>2600.4412999502897</v>
      </c>
      <c r="U299" s="1626">
        <f t="shared" si="187"/>
        <v>541.13967501242757</v>
      </c>
      <c r="V299" s="1626">
        <f t="shared" si="188"/>
        <v>650.11032498757243</v>
      </c>
      <c r="W299" s="1625">
        <f t="shared" si="189"/>
        <v>1191.25</v>
      </c>
      <c r="X299" s="1614"/>
      <c r="Y299" s="1613"/>
      <c r="Z299" s="1612">
        <f t="shared" si="190"/>
        <v>0.53767627165130993</v>
      </c>
      <c r="AA299" s="1611"/>
      <c r="AB299" s="1611"/>
      <c r="AC299" s="1611"/>
      <c r="AD299" s="1611"/>
      <c r="AE299" s="1611"/>
      <c r="AF299" s="1611"/>
      <c r="AG299" s="1611"/>
      <c r="AH299" s="1611"/>
      <c r="AI299" s="1611"/>
      <c r="AJ299" s="1611"/>
      <c r="AK299" s="1611"/>
      <c r="AL299" s="1611"/>
      <c r="AM299" s="1611"/>
      <c r="AN299" s="1611"/>
      <c r="AO299" s="1611"/>
      <c r="AP299" s="1611"/>
      <c r="AQ299" s="1611"/>
    </row>
    <row r="300" spans="1:43" outlineLevel="2">
      <c r="A300" s="1638" t="s">
        <v>312</v>
      </c>
      <c r="B300" s="1637" t="s">
        <v>120</v>
      </c>
      <c r="C300" s="1636"/>
      <c r="D300" s="1635">
        <v>1</v>
      </c>
      <c r="E300" s="1634" t="s">
        <v>907</v>
      </c>
      <c r="F300" s="1633" t="s">
        <v>1069</v>
      </c>
      <c r="G300" s="1632">
        <v>4159.8999416173692</v>
      </c>
      <c r="H300" s="1632">
        <v>4702.3100000000004</v>
      </c>
      <c r="I300" s="1630">
        <f t="shared" si="178"/>
        <v>8862.2099416173696</v>
      </c>
      <c r="J300" s="1630">
        <f t="shared" si="179"/>
        <v>8862.2099416173696</v>
      </c>
      <c r="K300" s="1631">
        <v>4765</v>
      </c>
      <c r="L300" s="1630">
        <f t="shared" si="180"/>
        <v>4765</v>
      </c>
      <c r="M300" s="1630">
        <f t="shared" si="181"/>
        <v>4765</v>
      </c>
      <c r="N300" s="1625">
        <f t="shared" si="182"/>
        <v>4097.2099416173696</v>
      </c>
      <c r="O300" s="1629">
        <v>0.48699999999999999</v>
      </c>
      <c r="P300" s="1629">
        <v>0.51300000000000001</v>
      </c>
      <c r="Q300" s="1625">
        <f t="shared" si="183"/>
        <v>1995.3412415676589</v>
      </c>
      <c r="R300" s="1628">
        <f t="shared" si="184"/>
        <v>2101.8687000497107</v>
      </c>
      <c r="S300" s="1627">
        <f t="shared" si="185"/>
        <v>2164.5587000497103</v>
      </c>
      <c r="T300" s="1627">
        <f t="shared" si="186"/>
        <v>2600.4412999502897</v>
      </c>
      <c r="U300" s="1626">
        <f t="shared" si="187"/>
        <v>541.13967501242757</v>
      </c>
      <c r="V300" s="1626">
        <f t="shared" si="188"/>
        <v>650.11032498757243</v>
      </c>
      <c r="W300" s="1625">
        <f t="shared" si="189"/>
        <v>1191.25</v>
      </c>
      <c r="X300" s="1614"/>
      <c r="Y300" s="1613"/>
      <c r="Z300" s="1612">
        <f t="shared" si="190"/>
        <v>0.53767627165130993</v>
      </c>
      <c r="AA300" s="1611"/>
      <c r="AB300" s="1611"/>
      <c r="AC300" s="1611"/>
      <c r="AD300" s="1611"/>
      <c r="AE300" s="1611"/>
      <c r="AF300" s="1611"/>
      <c r="AG300" s="1611"/>
      <c r="AH300" s="1611"/>
      <c r="AI300" s="1611"/>
      <c r="AJ300" s="1611"/>
      <c r="AK300" s="1611"/>
      <c r="AL300" s="1611"/>
      <c r="AM300" s="1611"/>
      <c r="AN300" s="1611"/>
      <c r="AO300" s="1611"/>
      <c r="AP300" s="1611"/>
      <c r="AQ300" s="1611"/>
    </row>
    <row r="301" spans="1:43" outlineLevel="2">
      <c r="A301" s="1638" t="s">
        <v>312</v>
      </c>
      <c r="B301" s="1637" t="s">
        <v>120</v>
      </c>
      <c r="C301" s="1636"/>
      <c r="D301" s="1635">
        <v>3</v>
      </c>
      <c r="E301" s="1634" t="s">
        <v>907</v>
      </c>
      <c r="F301" s="1633" t="s">
        <v>1065</v>
      </c>
      <c r="G301" s="1632">
        <v>4159.8999416173692</v>
      </c>
      <c r="H301" s="1632">
        <v>4702.3100000000004</v>
      </c>
      <c r="I301" s="1630">
        <f t="shared" si="178"/>
        <v>8862.2099416173696</v>
      </c>
      <c r="J301" s="1630">
        <f t="shared" si="179"/>
        <v>26586.629824852109</v>
      </c>
      <c r="K301" s="1631">
        <v>4765</v>
      </c>
      <c r="L301" s="1630">
        <f t="shared" si="180"/>
        <v>4765</v>
      </c>
      <c r="M301" s="1630">
        <f t="shared" si="181"/>
        <v>14295</v>
      </c>
      <c r="N301" s="1625">
        <f t="shared" si="182"/>
        <v>12291.629824852109</v>
      </c>
      <c r="O301" s="1629">
        <v>0.48699999999999999</v>
      </c>
      <c r="P301" s="1629">
        <v>0.51300000000000001</v>
      </c>
      <c r="Q301" s="1625">
        <f t="shared" si="183"/>
        <v>5986.0237247029772</v>
      </c>
      <c r="R301" s="1628">
        <f t="shared" si="184"/>
        <v>6305.6061001491316</v>
      </c>
      <c r="S301" s="1627">
        <f t="shared" si="185"/>
        <v>6493.6761001491313</v>
      </c>
      <c r="T301" s="1627">
        <f t="shared" si="186"/>
        <v>7801.3238998508687</v>
      </c>
      <c r="U301" s="1626">
        <f t="shared" si="187"/>
        <v>1623.4190250372828</v>
      </c>
      <c r="V301" s="1626">
        <f t="shared" si="188"/>
        <v>1950.3309749627172</v>
      </c>
      <c r="W301" s="1625">
        <f t="shared" si="189"/>
        <v>3573.75</v>
      </c>
      <c r="X301" s="1614"/>
      <c r="Y301" s="1613"/>
      <c r="Z301" s="1612">
        <f t="shared" si="190"/>
        <v>0.53767627165130993</v>
      </c>
      <c r="AA301" s="1611"/>
      <c r="AB301" s="1611"/>
      <c r="AC301" s="1611"/>
      <c r="AD301" s="1611"/>
      <c r="AE301" s="1611"/>
      <c r="AF301" s="1611"/>
      <c r="AG301" s="1611"/>
      <c r="AH301" s="1611"/>
      <c r="AI301" s="1611"/>
      <c r="AJ301" s="1611"/>
      <c r="AK301" s="1611"/>
      <c r="AL301" s="1611"/>
      <c r="AM301" s="1611"/>
      <c r="AN301" s="1611"/>
      <c r="AO301" s="1611"/>
      <c r="AP301" s="1611"/>
      <c r="AQ301" s="1611"/>
    </row>
    <row r="302" spans="1:43" outlineLevel="2">
      <c r="A302" s="1638" t="s">
        <v>312</v>
      </c>
      <c r="B302" s="1637" t="s">
        <v>120</v>
      </c>
      <c r="C302" s="1636"/>
      <c r="D302" s="1635">
        <v>1</v>
      </c>
      <c r="E302" s="1634" t="s">
        <v>907</v>
      </c>
      <c r="F302" s="1633" t="s">
        <v>1064</v>
      </c>
      <c r="G302" s="1632">
        <v>4159.8999416173692</v>
      </c>
      <c r="H302" s="1632">
        <v>4702.3100000000004</v>
      </c>
      <c r="I302" s="1630">
        <f t="shared" ref="I302:I333" si="191">G302+H302</f>
        <v>8862.2099416173696</v>
      </c>
      <c r="J302" s="1630">
        <f t="shared" ref="J302:J333" si="192">D302*I302</f>
        <v>8862.2099416173696</v>
      </c>
      <c r="K302" s="1631">
        <v>4765</v>
      </c>
      <c r="L302" s="1630">
        <f t="shared" ref="L302:L333" si="193">IF(I302&gt;K302,K302,I302)</f>
        <v>4765</v>
      </c>
      <c r="M302" s="1630">
        <f t="shared" ref="M302:M333" si="194">L302*D302</f>
        <v>4765</v>
      </c>
      <c r="N302" s="1625">
        <f t="shared" ref="N302:N333" si="195">J302-M302</f>
        <v>4097.2099416173696</v>
      </c>
      <c r="O302" s="1629">
        <v>0.48699999999999999</v>
      </c>
      <c r="P302" s="1629">
        <v>0.51300000000000001</v>
      </c>
      <c r="Q302" s="1625">
        <f t="shared" ref="Q302:Q333" si="196">N302*O302</f>
        <v>1995.3412415676589</v>
      </c>
      <c r="R302" s="1628">
        <f t="shared" ref="R302:R333" si="197">N302*P302</f>
        <v>2101.8687000497107</v>
      </c>
      <c r="S302" s="1627">
        <f t="shared" ref="S302:S333" si="198">(G302*D302)-Q302</f>
        <v>2164.5587000497103</v>
      </c>
      <c r="T302" s="1627">
        <f t="shared" ref="T302:T333" si="199">(H302*D302)-R302</f>
        <v>2600.4412999502897</v>
      </c>
      <c r="U302" s="1626">
        <f t="shared" ref="U302:U333" si="200">S302/4</f>
        <v>541.13967501242757</v>
      </c>
      <c r="V302" s="1626">
        <f t="shared" ref="V302:V333" si="201">T302/4</f>
        <v>650.11032498757243</v>
      </c>
      <c r="W302" s="1625">
        <f t="shared" ref="W302:W333" si="202">V302+U302</f>
        <v>1191.25</v>
      </c>
      <c r="X302" s="1614"/>
      <c r="Y302" s="1613"/>
      <c r="Z302" s="1612">
        <f t="shared" ref="Z302:Z333" si="203">K302/I302</f>
        <v>0.53767627165130993</v>
      </c>
      <c r="AA302" s="1611"/>
      <c r="AB302" s="1611"/>
      <c r="AC302" s="1611"/>
      <c r="AD302" s="1611"/>
      <c r="AE302" s="1611"/>
      <c r="AF302" s="1611"/>
      <c r="AG302" s="1611"/>
      <c r="AH302" s="1611"/>
      <c r="AI302" s="1611"/>
      <c r="AJ302" s="1611"/>
      <c r="AK302" s="1611"/>
      <c r="AL302" s="1611"/>
      <c r="AM302" s="1611"/>
      <c r="AN302" s="1611"/>
      <c r="AO302" s="1611"/>
      <c r="AP302" s="1611"/>
      <c r="AQ302" s="1611"/>
    </row>
    <row r="303" spans="1:43" outlineLevel="2">
      <c r="A303" s="1638" t="s">
        <v>312</v>
      </c>
      <c r="B303" s="1637" t="s">
        <v>120</v>
      </c>
      <c r="C303" s="1636"/>
      <c r="D303" s="1635">
        <v>1</v>
      </c>
      <c r="E303" s="1634" t="s">
        <v>907</v>
      </c>
      <c r="F303" s="1633" t="s">
        <v>1063</v>
      </c>
      <c r="G303" s="1632">
        <v>4159.8999416173692</v>
      </c>
      <c r="H303" s="1632">
        <v>4702.3100000000004</v>
      </c>
      <c r="I303" s="1630">
        <f t="shared" si="191"/>
        <v>8862.2099416173696</v>
      </c>
      <c r="J303" s="1630">
        <f t="shared" si="192"/>
        <v>8862.2099416173696</v>
      </c>
      <c r="K303" s="1631">
        <v>4765</v>
      </c>
      <c r="L303" s="1630">
        <f t="shared" si="193"/>
        <v>4765</v>
      </c>
      <c r="M303" s="1630">
        <f t="shared" si="194"/>
        <v>4765</v>
      </c>
      <c r="N303" s="1625">
        <f t="shared" si="195"/>
        <v>4097.2099416173696</v>
      </c>
      <c r="O303" s="1629">
        <v>0.48699999999999999</v>
      </c>
      <c r="P303" s="1629">
        <v>0.51300000000000001</v>
      </c>
      <c r="Q303" s="1625">
        <f t="shared" si="196"/>
        <v>1995.3412415676589</v>
      </c>
      <c r="R303" s="1628">
        <f t="shared" si="197"/>
        <v>2101.8687000497107</v>
      </c>
      <c r="S303" s="1627">
        <f t="shared" si="198"/>
        <v>2164.5587000497103</v>
      </c>
      <c r="T303" s="1627">
        <f t="shared" si="199"/>
        <v>2600.4412999502897</v>
      </c>
      <c r="U303" s="1626">
        <f t="shared" si="200"/>
        <v>541.13967501242757</v>
      </c>
      <c r="V303" s="1626">
        <f t="shared" si="201"/>
        <v>650.11032498757243</v>
      </c>
      <c r="W303" s="1625">
        <f t="shared" si="202"/>
        <v>1191.25</v>
      </c>
      <c r="X303" s="1614"/>
      <c r="Y303" s="1613"/>
      <c r="Z303" s="1612">
        <f t="shared" si="203"/>
        <v>0.53767627165130993</v>
      </c>
      <c r="AA303" s="1611"/>
      <c r="AB303" s="1611"/>
      <c r="AC303" s="1611"/>
      <c r="AD303" s="1611"/>
      <c r="AE303" s="1611"/>
      <c r="AF303" s="1611"/>
      <c r="AG303" s="1611"/>
      <c r="AH303" s="1611"/>
      <c r="AI303" s="1611"/>
      <c r="AJ303" s="1611"/>
      <c r="AK303" s="1611"/>
      <c r="AL303" s="1611"/>
      <c r="AM303" s="1611"/>
      <c r="AN303" s="1611"/>
      <c r="AO303" s="1611"/>
      <c r="AP303" s="1611"/>
      <c r="AQ303" s="1611"/>
    </row>
    <row r="304" spans="1:43" outlineLevel="2">
      <c r="A304" s="1638" t="s">
        <v>312</v>
      </c>
      <c r="B304" s="1637" t="s">
        <v>120</v>
      </c>
      <c r="C304" s="1636"/>
      <c r="D304" s="1635">
        <v>1</v>
      </c>
      <c r="E304" s="1634" t="s">
        <v>953</v>
      </c>
      <c r="F304" s="1633" t="s">
        <v>979</v>
      </c>
      <c r="G304" s="1632">
        <v>4159.8999416173692</v>
      </c>
      <c r="H304" s="1632">
        <v>4702.3100000000004</v>
      </c>
      <c r="I304" s="1630">
        <f t="shared" si="191"/>
        <v>8862.2099416173696</v>
      </c>
      <c r="J304" s="1630">
        <f t="shared" si="192"/>
        <v>8862.2099416173696</v>
      </c>
      <c r="K304" s="1631">
        <v>4865</v>
      </c>
      <c r="L304" s="1630">
        <f t="shared" si="193"/>
        <v>4865</v>
      </c>
      <c r="M304" s="1630">
        <f t="shared" si="194"/>
        <v>4865</v>
      </c>
      <c r="N304" s="1625">
        <f t="shared" si="195"/>
        <v>3997.2099416173696</v>
      </c>
      <c r="O304" s="1629">
        <v>0.48699999999999999</v>
      </c>
      <c r="P304" s="1629">
        <v>0.51300000000000001</v>
      </c>
      <c r="Q304" s="1625">
        <f t="shared" si="196"/>
        <v>1946.6412415676589</v>
      </c>
      <c r="R304" s="1628">
        <f t="shared" si="197"/>
        <v>2050.5687000497105</v>
      </c>
      <c r="S304" s="1627">
        <f t="shared" si="198"/>
        <v>2213.2587000497106</v>
      </c>
      <c r="T304" s="1627">
        <f t="shared" si="199"/>
        <v>2651.7412999502899</v>
      </c>
      <c r="U304" s="1626">
        <f t="shared" si="200"/>
        <v>553.31467501242764</v>
      </c>
      <c r="V304" s="1626">
        <f t="shared" si="201"/>
        <v>662.93532498757247</v>
      </c>
      <c r="W304" s="1625">
        <f t="shared" si="202"/>
        <v>1216.25</v>
      </c>
      <c r="X304" s="1614"/>
      <c r="Y304" s="1613"/>
      <c r="Z304" s="1612">
        <f t="shared" si="203"/>
        <v>0.54896013884231321</v>
      </c>
      <c r="AA304" s="1611"/>
      <c r="AB304" s="1611"/>
      <c r="AC304" s="1611"/>
      <c r="AD304" s="1611"/>
      <c r="AE304" s="1611"/>
      <c r="AF304" s="1611"/>
      <c r="AG304" s="1611"/>
      <c r="AH304" s="1611"/>
      <c r="AI304" s="1611"/>
      <c r="AJ304" s="1611"/>
      <c r="AK304" s="1611"/>
      <c r="AL304" s="1611"/>
      <c r="AM304" s="1611"/>
      <c r="AN304" s="1611"/>
      <c r="AO304" s="1611"/>
      <c r="AP304" s="1611"/>
      <c r="AQ304" s="1611"/>
    </row>
    <row r="305" spans="1:43" outlineLevel="2">
      <c r="A305" s="1638" t="s">
        <v>312</v>
      </c>
      <c r="B305" s="1637" t="s">
        <v>120</v>
      </c>
      <c r="C305" s="1636"/>
      <c r="D305" s="1635">
        <v>0</v>
      </c>
      <c r="E305" s="1634" t="s">
        <v>973</v>
      </c>
      <c r="F305" s="1633" t="s">
        <v>1069</v>
      </c>
      <c r="G305" s="1632">
        <v>4159.8999416173692</v>
      </c>
      <c r="H305" s="1632">
        <v>4702.3100000000004</v>
      </c>
      <c r="I305" s="1630">
        <f t="shared" si="191"/>
        <v>8862.2099416173696</v>
      </c>
      <c r="J305" s="1630">
        <f t="shared" si="192"/>
        <v>0</v>
      </c>
      <c r="K305" s="1631">
        <v>5880</v>
      </c>
      <c r="L305" s="1630">
        <f t="shared" si="193"/>
        <v>5880</v>
      </c>
      <c r="M305" s="1630">
        <f t="shared" si="194"/>
        <v>0</v>
      </c>
      <c r="N305" s="1625">
        <f t="shared" si="195"/>
        <v>0</v>
      </c>
      <c r="O305" s="1629">
        <v>0.48699999999999999</v>
      </c>
      <c r="P305" s="1629">
        <v>0.51300000000000001</v>
      </c>
      <c r="Q305" s="1625">
        <f t="shared" si="196"/>
        <v>0</v>
      </c>
      <c r="R305" s="1628">
        <f t="shared" si="197"/>
        <v>0</v>
      </c>
      <c r="S305" s="1627">
        <f t="shared" si="198"/>
        <v>0</v>
      </c>
      <c r="T305" s="1627">
        <f t="shared" si="199"/>
        <v>0</v>
      </c>
      <c r="U305" s="1626">
        <f t="shared" si="200"/>
        <v>0</v>
      </c>
      <c r="V305" s="1626">
        <f t="shared" si="201"/>
        <v>0</v>
      </c>
      <c r="W305" s="1625">
        <f t="shared" si="202"/>
        <v>0</v>
      </c>
      <c r="X305" s="1614"/>
      <c r="Y305" s="1613"/>
      <c r="Z305" s="1612">
        <f t="shared" si="203"/>
        <v>0.66349139083099729</v>
      </c>
      <c r="AA305" s="1611"/>
      <c r="AB305" s="1611"/>
      <c r="AC305" s="1611"/>
      <c r="AD305" s="1611"/>
      <c r="AE305" s="1611"/>
      <c r="AF305" s="1611"/>
      <c r="AG305" s="1611"/>
      <c r="AH305" s="1611"/>
      <c r="AI305" s="1611"/>
      <c r="AJ305" s="1611"/>
      <c r="AK305" s="1611"/>
      <c r="AL305" s="1611"/>
      <c r="AM305" s="1611"/>
      <c r="AN305" s="1611"/>
      <c r="AO305" s="1611"/>
      <c r="AP305" s="1611"/>
      <c r="AQ305" s="1611"/>
    </row>
    <row r="306" spans="1:43" outlineLevel="2">
      <c r="A306" s="1638" t="s">
        <v>312</v>
      </c>
      <c r="B306" s="1637" t="s">
        <v>120</v>
      </c>
      <c r="C306" s="1636"/>
      <c r="D306" s="1635">
        <v>1</v>
      </c>
      <c r="E306" s="1634" t="s">
        <v>973</v>
      </c>
      <c r="F306" s="1633" t="s">
        <v>1064</v>
      </c>
      <c r="G306" s="1632">
        <v>4159.8999416173692</v>
      </c>
      <c r="H306" s="1632">
        <v>4702.3100000000004</v>
      </c>
      <c r="I306" s="1630">
        <f t="shared" si="191"/>
        <v>8862.2099416173696</v>
      </c>
      <c r="J306" s="1630">
        <f t="shared" si="192"/>
        <v>8862.2099416173696</v>
      </c>
      <c r="K306" s="1631">
        <v>5880</v>
      </c>
      <c r="L306" s="1630">
        <f t="shared" si="193"/>
        <v>5880</v>
      </c>
      <c r="M306" s="1630">
        <f t="shared" si="194"/>
        <v>5880</v>
      </c>
      <c r="N306" s="1625">
        <f t="shared" si="195"/>
        <v>2982.2099416173696</v>
      </c>
      <c r="O306" s="1629">
        <v>0.48699999999999999</v>
      </c>
      <c r="P306" s="1629">
        <v>0.51300000000000001</v>
      </c>
      <c r="Q306" s="1625">
        <f t="shared" si="196"/>
        <v>1452.336241567659</v>
      </c>
      <c r="R306" s="1628">
        <f t="shared" si="197"/>
        <v>1529.8737000497106</v>
      </c>
      <c r="S306" s="1627">
        <f t="shared" si="198"/>
        <v>2707.56370004971</v>
      </c>
      <c r="T306" s="1627">
        <f t="shared" si="199"/>
        <v>3172.43629995029</v>
      </c>
      <c r="U306" s="1626">
        <f t="shared" si="200"/>
        <v>676.89092501242749</v>
      </c>
      <c r="V306" s="1626">
        <f t="shared" si="201"/>
        <v>793.10907498757251</v>
      </c>
      <c r="W306" s="1625">
        <f t="shared" si="202"/>
        <v>1470</v>
      </c>
      <c r="X306" s="1614"/>
      <c r="Y306" s="1613"/>
      <c r="Z306" s="1612">
        <f t="shared" si="203"/>
        <v>0.66349139083099729</v>
      </c>
      <c r="AA306" s="1611"/>
      <c r="AB306" s="1611"/>
      <c r="AC306" s="1611"/>
      <c r="AD306" s="1611"/>
      <c r="AE306" s="1611"/>
      <c r="AF306" s="1611"/>
      <c r="AG306" s="1611"/>
      <c r="AH306" s="1611"/>
      <c r="AI306" s="1611"/>
      <c r="AJ306" s="1611"/>
      <c r="AK306" s="1611"/>
      <c r="AL306" s="1611"/>
      <c r="AM306" s="1611"/>
      <c r="AN306" s="1611"/>
      <c r="AO306" s="1611"/>
      <c r="AP306" s="1611"/>
      <c r="AQ306" s="1611"/>
    </row>
    <row r="307" spans="1:43" outlineLevel="2">
      <c r="A307" s="1638" t="s">
        <v>312</v>
      </c>
      <c r="B307" s="1637" t="s">
        <v>120</v>
      </c>
      <c r="C307" s="1636"/>
      <c r="D307" s="1635">
        <v>4</v>
      </c>
      <c r="E307" s="1634" t="s">
        <v>952</v>
      </c>
      <c r="F307" s="1633" t="s">
        <v>1070</v>
      </c>
      <c r="G307" s="1632">
        <v>4159.8999416173692</v>
      </c>
      <c r="H307" s="1632">
        <v>4702.3100000000004</v>
      </c>
      <c r="I307" s="1630">
        <f t="shared" si="191"/>
        <v>8862.2099416173696</v>
      </c>
      <c r="J307" s="1630">
        <f t="shared" si="192"/>
        <v>35448.839766469478</v>
      </c>
      <c r="K307" s="1631">
        <v>4815</v>
      </c>
      <c r="L307" s="1630">
        <f t="shared" si="193"/>
        <v>4815</v>
      </c>
      <c r="M307" s="1630">
        <f t="shared" si="194"/>
        <v>19260</v>
      </c>
      <c r="N307" s="1625">
        <f t="shared" si="195"/>
        <v>16188.839766469478</v>
      </c>
      <c r="O307" s="1629">
        <v>0.48699999999999999</v>
      </c>
      <c r="P307" s="1629">
        <v>0.51300000000000001</v>
      </c>
      <c r="Q307" s="1625">
        <f t="shared" si="196"/>
        <v>7883.9649662706361</v>
      </c>
      <c r="R307" s="1628">
        <f t="shared" si="197"/>
        <v>8304.8748001988424</v>
      </c>
      <c r="S307" s="1627">
        <f t="shared" si="198"/>
        <v>8755.6348001988408</v>
      </c>
      <c r="T307" s="1627">
        <f t="shared" si="199"/>
        <v>10504.365199801159</v>
      </c>
      <c r="U307" s="1626">
        <f t="shared" si="200"/>
        <v>2188.9087000497102</v>
      </c>
      <c r="V307" s="1626">
        <f t="shared" si="201"/>
        <v>2626.0912999502898</v>
      </c>
      <c r="W307" s="1625">
        <f t="shared" si="202"/>
        <v>4815</v>
      </c>
      <c r="X307" s="1614"/>
      <c r="Y307" s="1613"/>
      <c r="Z307" s="1612">
        <f t="shared" si="203"/>
        <v>0.54331820524681151</v>
      </c>
      <c r="AA307" s="1611"/>
      <c r="AB307" s="1611"/>
      <c r="AC307" s="1611"/>
      <c r="AD307" s="1611"/>
      <c r="AE307" s="1611"/>
      <c r="AF307" s="1611"/>
      <c r="AG307" s="1611"/>
      <c r="AH307" s="1611"/>
      <c r="AI307" s="1611"/>
      <c r="AJ307" s="1611"/>
      <c r="AK307" s="1611"/>
      <c r="AL307" s="1611"/>
      <c r="AM307" s="1611"/>
      <c r="AN307" s="1611"/>
      <c r="AO307" s="1611"/>
      <c r="AP307" s="1611"/>
      <c r="AQ307" s="1611"/>
    </row>
    <row r="308" spans="1:43" outlineLevel="2">
      <c r="A308" s="1638" t="s">
        <v>312</v>
      </c>
      <c r="B308" s="1637" t="s">
        <v>120</v>
      </c>
      <c r="C308" s="1636"/>
      <c r="D308" s="1635">
        <v>2</v>
      </c>
      <c r="E308" s="1634" t="s">
        <v>952</v>
      </c>
      <c r="F308" s="1633" t="s">
        <v>1068</v>
      </c>
      <c r="G308" s="1632">
        <v>4159.8999416173692</v>
      </c>
      <c r="H308" s="1632">
        <v>4702.3100000000004</v>
      </c>
      <c r="I308" s="1630">
        <f t="shared" si="191"/>
        <v>8862.2099416173696</v>
      </c>
      <c r="J308" s="1630">
        <f t="shared" si="192"/>
        <v>17724.419883234739</v>
      </c>
      <c r="K308" s="1631">
        <v>4815</v>
      </c>
      <c r="L308" s="1630">
        <f t="shared" si="193"/>
        <v>4815</v>
      </c>
      <c r="M308" s="1630">
        <f t="shared" si="194"/>
        <v>9630</v>
      </c>
      <c r="N308" s="1625">
        <f t="shared" si="195"/>
        <v>8094.4198832347392</v>
      </c>
      <c r="O308" s="1629">
        <v>0.48699999999999999</v>
      </c>
      <c r="P308" s="1629">
        <v>0.51300000000000001</v>
      </c>
      <c r="Q308" s="1625">
        <f t="shared" si="196"/>
        <v>3941.982483135318</v>
      </c>
      <c r="R308" s="1628">
        <f t="shared" si="197"/>
        <v>4152.4374000994212</v>
      </c>
      <c r="S308" s="1627">
        <f t="shared" si="198"/>
        <v>4377.8174000994204</v>
      </c>
      <c r="T308" s="1627">
        <f t="shared" si="199"/>
        <v>5252.1825999005796</v>
      </c>
      <c r="U308" s="1626">
        <f t="shared" si="200"/>
        <v>1094.4543500248551</v>
      </c>
      <c r="V308" s="1626">
        <f t="shared" si="201"/>
        <v>1313.0456499751449</v>
      </c>
      <c r="W308" s="1625">
        <f t="shared" si="202"/>
        <v>2407.5</v>
      </c>
      <c r="X308" s="1614"/>
      <c r="Y308" s="1613"/>
      <c r="Z308" s="1612">
        <f t="shared" si="203"/>
        <v>0.54331820524681151</v>
      </c>
      <c r="AA308" s="1611"/>
      <c r="AB308" s="1611"/>
      <c r="AC308" s="1611"/>
      <c r="AD308" s="1611"/>
      <c r="AE308" s="1611"/>
      <c r="AF308" s="1611"/>
      <c r="AG308" s="1611"/>
      <c r="AH308" s="1611"/>
      <c r="AI308" s="1611"/>
      <c r="AJ308" s="1611"/>
      <c r="AK308" s="1611"/>
      <c r="AL308" s="1611"/>
      <c r="AM308" s="1611"/>
      <c r="AN308" s="1611"/>
      <c r="AO308" s="1611"/>
      <c r="AP308" s="1611"/>
      <c r="AQ308" s="1611"/>
    </row>
    <row r="309" spans="1:43" outlineLevel="2">
      <c r="A309" s="1638" t="s">
        <v>312</v>
      </c>
      <c r="B309" s="1637" t="s">
        <v>120</v>
      </c>
      <c r="C309" s="1636"/>
      <c r="D309" s="1635">
        <v>1</v>
      </c>
      <c r="E309" s="1634" t="s">
        <v>952</v>
      </c>
      <c r="F309" s="1633" t="s">
        <v>1065</v>
      </c>
      <c r="G309" s="1632">
        <v>4159.8999416173692</v>
      </c>
      <c r="H309" s="1632">
        <v>4702.3100000000004</v>
      </c>
      <c r="I309" s="1630">
        <f t="shared" si="191"/>
        <v>8862.2099416173696</v>
      </c>
      <c r="J309" s="1630">
        <f t="shared" si="192"/>
        <v>8862.2099416173696</v>
      </c>
      <c r="K309" s="1631">
        <v>4815</v>
      </c>
      <c r="L309" s="1630">
        <f t="shared" si="193"/>
        <v>4815</v>
      </c>
      <c r="M309" s="1630">
        <f t="shared" si="194"/>
        <v>4815</v>
      </c>
      <c r="N309" s="1625">
        <f t="shared" si="195"/>
        <v>4047.2099416173696</v>
      </c>
      <c r="O309" s="1629">
        <v>0.48699999999999999</v>
      </c>
      <c r="P309" s="1629">
        <v>0.51300000000000001</v>
      </c>
      <c r="Q309" s="1625">
        <f t="shared" si="196"/>
        <v>1970.991241567659</v>
      </c>
      <c r="R309" s="1628">
        <f t="shared" si="197"/>
        <v>2076.2187000497106</v>
      </c>
      <c r="S309" s="1627">
        <f t="shared" si="198"/>
        <v>2188.9087000497102</v>
      </c>
      <c r="T309" s="1627">
        <f t="shared" si="199"/>
        <v>2626.0912999502898</v>
      </c>
      <c r="U309" s="1626">
        <f t="shared" si="200"/>
        <v>547.22717501242755</v>
      </c>
      <c r="V309" s="1626">
        <f t="shared" si="201"/>
        <v>656.52282498757245</v>
      </c>
      <c r="W309" s="1625">
        <f t="shared" si="202"/>
        <v>1203.75</v>
      </c>
      <c r="X309" s="1614"/>
      <c r="Y309" s="1613"/>
      <c r="Z309" s="1612">
        <f t="shared" si="203"/>
        <v>0.54331820524681151</v>
      </c>
      <c r="AA309" s="1611"/>
      <c r="AB309" s="1611"/>
      <c r="AC309" s="1611"/>
      <c r="AD309" s="1611"/>
      <c r="AE309" s="1611"/>
      <c r="AF309" s="1611"/>
      <c r="AG309" s="1611"/>
      <c r="AH309" s="1611"/>
      <c r="AI309" s="1611"/>
      <c r="AJ309" s="1611"/>
      <c r="AK309" s="1611"/>
      <c r="AL309" s="1611"/>
      <c r="AM309" s="1611"/>
      <c r="AN309" s="1611"/>
      <c r="AO309" s="1611"/>
      <c r="AP309" s="1611"/>
      <c r="AQ309" s="1611"/>
    </row>
    <row r="310" spans="1:43" outlineLevel="2">
      <c r="A310" s="1638" t="s">
        <v>312</v>
      </c>
      <c r="B310" s="1637" t="s">
        <v>120</v>
      </c>
      <c r="C310" s="1636"/>
      <c r="D310" s="1635">
        <v>1</v>
      </c>
      <c r="E310" s="1634" t="s">
        <v>931</v>
      </c>
      <c r="F310" s="1633" t="s">
        <v>1064</v>
      </c>
      <c r="G310" s="1632">
        <v>4159.8999416173692</v>
      </c>
      <c r="H310" s="1632">
        <v>4702.3100000000004</v>
      </c>
      <c r="I310" s="1630">
        <f t="shared" si="191"/>
        <v>8862.2099416173696</v>
      </c>
      <c r="J310" s="1630">
        <f t="shared" si="192"/>
        <v>8862.2099416173696</v>
      </c>
      <c r="K310" s="1631">
        <v>5700</v>
      </c>
      <c r="L310" s="1630">
        <f t="shared" si="193"/>
        <v>5700</v>
      </c>
      <c r="M310" s="1630">
        <f t="shared" si="194"/>
        <v>5700</v>
      </c>
      <c r="N310" s="1625">
        <f t="shared" si="195"/>
        <v>3162.2099416173696</v>
      </c>
      <c r="O310" s="1629">
        <v>0.48699999999999999</v>
      </c>
      <c r="P310" s="1629">
        <v>0.51300000000000001</v>
      </c>
      <c r="Q310" s="1625">
        <f t="shared" si="196"/>
        <v>1539.9962415676589</v>
      </c>
      <c r="R310" s="1628">
        <f t="shared" si="197"/>
        <v>1622.2137000497107</v>
      </c>
      <c r="S310" s="1627">
        <f t="shared" si="198"/>
        <v>2619.9037000497101</v>
      </c>
      <c r="T310" s="1627">
        <f t="shared" si="199"/>
        <v>3080.0962999502899</v>
      </c>
      <c r="U310" s="1626">
        <f t="shared" si="200"/>
        <v>654.97592501242752</v>
      </c>
      <c r="V310" s="1626">
        <f t="shared" si="201"/>
        <v>770.02407498757248</v>
      </c>
      <c r="W310" s="1625">
        <f t="shared" si="202"/>
        <v>1425</v>
      </c>
      <c r="X310" s="1614"/>
      <c r="Y310" s="1613"/>
      <c r="Z310" s="1612">
        <f t="shared" si="203"/>
        <v>0.64318042988719126</v>
      </c>
      <c r="AA310" s="1611"/>
      <c r="AB310" s="1611"/>
      <c r="AC310" s="1611"/>
      <c r="AD310" s="1611"/>
      <c r="AE310" s="1611"/>
      <c r="AF310" s="1611"/>
      <c r="AG310" s="1611"/>
      <c r="AH310" s="1611"/>
      <c r="AI310" s="1611"/>
      <c r="AJ310" s="1611"/>
      <c r="AK310" s="1611"/>
      <c r="AL310" s="1611"/>
      <c r="AM310" s="1611"/>
      <c r="AN310" s="1611"/>
      <c r="AO310" s="1611"/>
      <c r="AP310" s="1611"/>
      <c r="AQ310" s="1611"/>
    </row>
    <row r="311" spans="1:43" outlineLevel="2">
      <c r="A311" s="1638" t="s">
        <v>312</v>
      </c>
      <c r="B311" s="1637" t="s">
        <v>120</v>
      </c>
      <c r="C311" s="1636"/>
      <c r="D311" s="1635">
        <v>2</v>
      </c>
      <c r="E311" s="1634" t="s">
        <v>931</v>
      </c>
      <c r="F311" s="1633" t="s">
        <v>1067</v>
      </c>
      <c r="G311" s="1632">
        <v>4159.8999416173692</v>
      </c>
      <c r="H311" s="1632">
        <v>4702.3100000000004</v>
      </c>
      <c r="I311" s="1630">
        <f t="shared" si="191"/>
        <v>8862.2099416173696</v>
      </c>
      <c r="J311" s="1630">
        <f t="shared" si="192"/>
        <v>17724.419883234739</v>
      </c>
      <c r="K311" s="1631">
        <v>6700</v>
      </c>
      <c r="L311" s="1630">
        <f t="shared" si="193"/>
        <v>6700</v>
      </c>
      <c r="M311" s="1630">
        <f t="shared" si="194"/>
        <v>13400</v>
      </c>
      <c r="N311" s="1625">
        <f t="shared" si="195"/>
        <v>4324.4198832347392</v>
      </c>
      <c r="O311" s="1629">
        <v>0.48699999999999999</v>
      </c>
      <c r="P311" s="1629">
        <v>0.51300000000000001</v>
      </c>
      <c r="Q311" s="1625">
        <f t="shared" si="196"/>
        <v>2105.9924831353178</v>
      </c>
      <c r="R311" s="1628">
        <f t="shared" si="197"/>
        <v>2218.4274000994214</v>
      </c>
      <c r="S311" s="1627">
        <f t="shared" si="198"/>
        <v>6213.8074000994202</v>
      </c>
      <c r="T311" s="1627">
        <f t="shared" si="199"/>
        <v>7186.1925999005798</v>
      </c>
      <c r="U311" s="1626">
        <f t="shared" si="200"/>
        <v>1553.451850024855</v>
      </c>
      <c r="V311" s="1626">
        <f t="shared" si="201"/>
        <v>1796.548149975145</v>
      </c>
      <c r="W311" s="1625">
        <f t="shared" si="202"/>
        <v>3350</v>
      </c>
      <c r="X311" s="1614"/>
      <c r="Y311" s="1613"/>
      <c r="Z311" s="1612">
        <f t="shared" si="203"/>
        <v>0.75601910179722487</v>
      </c>
      <c r="AA311" s="1611"/>
      <c r="AB311" s="1611"/>
      <c r="AC311" s="1611"/>
      <c r="AD311" s="1611"/>
      <c r="AE311" s="1611"/>
      <c r="AF311" s="1611"/>
      <c r="AG311" s="1611"/>
      <c r="AH311" s="1611"/>
      <c r="AI311" s="1611"/>
      <c r="AJ311" s="1611"/>
      <c r="AK311" s="1611"/>
      <c r="AL311" s="1611"/>
      <c r="AM311" s="1611"/>
      <c r="AN311" s="1611"/>
      <c r="AO311" s="1611"/>
      <c r="AP311" s="1611"/>
      <c r="AQ311" s="1611"/>
    </row>
    <row r="312" spans="1:43" outlineLevel="2">
      <c r="A312" s="1638" t="s">
        <v>312</v>
      </c>
      <c r="B312" s="1637" t="s">
        <v>120</v>
      </c>
      <c r="C312" s="1636"/>
      <c r="D312" s="1635">
        <v>1</v>
      </c>
      <c r="E312" s="1634" t="s">
        <v>931</v>
      </c>
      <c r="F312" s="1633" t="s">
        <v>979</v>
      </c>
      <c r="G312" s="1632">
        <v>4159.8999416173692</v>
      </c>
      <c r="H312" s="1632">
        <v>4702.3100000000004</v>
      </c>
      <c r="I312" s="1630">
        <f t="shared" si="191"/>
        <v>8862.2099416173696</v>
      </c>
      <c r="J312" s="1630">
        <f t="shared" si="192"/>
        <v>8862.2099416173696</v>
      </c>
      <c r="K312" s="1631">
        <v>5300</v>
      </c>
      <c r="L312" s="1630">
        <f t="shared" si="193"/>
        <v>5300</v>
      </c>
      <c r="M312" s="1630">
        <f t="shared" si="194"/>
        <v>5300</v>
      </c>
      <c r="N312" s="1625">
        <f t="shared" si="195"/>
        <v>3562.2099416173696</v>
      </c>
      <c r="O312" s="1629">
        <v>0.48699999999999999</v>
      </c>
      <c r="P312" s="1629">
        <v>0.51300000000000001</v>
      </c>
      <c r="Q312" s="1625">
        <f t="shared" si="196"/>
        <v>1734.7962415676589</v>
      </c>
      <c r="R312" s="1628">
        <f t="shared" si="197"/>
        <v>1827.4137000497108</v>
      </c>
      <c r="S312" s="1627">
        <f t="shared" si="198"/>
        <v>2425.1037000497104</v>
      </c>
      <c r="T312" s="1627">
        <f t="shared" si="199"/>
        <v>2874.8962999502896</v>
      </c>
      <c r="U312" s="1626">
        <f t="shared" si="200"/>
        <v>606.27592501242759</v>
      </c>
      <c r="V312" s="1626">
        <f t="shared" si="201"/>
        <v>718.72407498757241</v>
      </c>
      <c r="W312" s="1625">
        <f t="shared" si="202"/>
        <v>1325</v>
      </c>
      <c r="X312" s="1614"/>
      <c r="Y312" s="1613"/>
      <c r="Z312" s="1612">
        <f t="shared" si="203"/>
        <v>0.59804496112317784</v>
      </c>
      <c r="AA312" s="1611"/>
      <c r="AB312" s="1611"/>
      <c r="AC312" s="1611"/>
      <c r="AD312" s="1611"/>
      <c r="AE312" s="1611"/>
      <c r="AF312" s="1611"/>
      <c r="AG312" s="1611"/>
      <c r="AH312" s="1611"/>
      <c r="AI312" s="1611"/>
      <c r="AJ312" s="1611"/>
      <c r="AK312" s="1611"/>
      <c r="AL312" s="1611"/>
      <c r="AM312" s="1611"/>
      <c r="AN312" s="1611"/>
      <c r="AO312" s="1611"/>
      <c r="AP312" s="1611"/>
      <c r="AQ312" s="1611"/>
    </row>
    <row r="313" spans="1:43" outlineLevel="2">
      <c r="A313" s="1638" t="s">
        <v>312</v>
      </c>
      <c r="B313" s="1637" t="s">
        <v>120</v>
      </c>
      <c r="C313" s="1636"/>
      <c r="D313" s="1635">
        <v>1</v>
      </c>
      <c r="E313" s="1634" t="s">
        <v>950</v>
      </c>
      <c r="F313" s="1633" t="s">
        <v>1070</v>
      </c>
      <c r="G313" s="1632">
        <v>4159.8999416173692</v>
      </c>
      <c r="H313" s="1632">
        <v>4702.3100000000004</v>
      </c>
      <c r="I313" s="1630">
        <f t="shared" si="191"/>
        <v>8862.2099416173696</v>
      </c>
      <c r="J313" s="1630">
        <f t="shared" si="192"/>
        <v>8862.2099416173696</v>
      </c>
      <c r="K313" s="1631">
        <v>4915</v>
      </c>
      <c r="L313" s="1630">
        <f t="shared" si="193"/>
        <v>4915</v>
      </c>
      <c r="M313" s="1630">
        <f t="shared" si="194"/>
        <v>4915</v>
      </c>
      <c r="N313" s="1625">
        <f t="shared" si="195"/>
        <v>3947.2099416173696</v>
      </c>
      <c r="O313" s="1629">
        <v>0.48699999999999999</v>
      </c>
      <c r="P313" s="1629">
        <v>0.51300000000000001</v>
      </c>
      <c r="Q313" s="1625">
        <f t="shared" si="196"/>
        <v>1922.291241567659</v>
      </c>
      <c r="R313" s="1628">
        <f t="shared" si="197"/>
        <v>2024.9187000497107</v>
      </c>
      <c r="S313" s="1627">
        <f t="shared" si="198"/>
        <v>2237.60870004971</v>
      </c>
      <c r="T313" s="1627">
        <f t="shared" si="199"/>
        <v>2677.39129995029</v>
      </c>
      <c r="U313" s="1626">
        <f t="shared" si="200"/>
        <v>559.40217501242751</v>
      </c>
      <c r="V313" s="1626">
        <f t="shared" si="201"/>
        <v>669.34782498757249</v>
      </c>
      <c r="W313" s="1625">
        <f t="shared" si="202"/>
        <v>1228.75</v>
      </c>
      <c r="X313" s="1614"/>
      <c r="Y313" s="1613"/>
      <c r="Z313" s="1612">
        <f t="shared" si="203"/>
        <v>0.5546020724378149</v>
      </c>
      <c r="AA313" s="1611"/>
      <c r="AB313" s="1611"/>
      <c r="AC313" s="1611"/>
      <c r="AD313" s="1611"/>
      <c r="AE313" s="1611"/>
      <c r="AF313" s="1611"/>
      <c r="AG313" s="1611"/>
      <c r="AH313" s="1611"/>
      <c r="AI313" s="1611"/>
      <c r="AJ313" s="1611"/>
      <c r="AK313" s="1611"/>
      <c r="AL313" s="1611"/>
      <c r="AM313" s="1611"/>
      <c r="AN313" s="1611"/>
      <c r="AO313" s="1611"/>
      <c r="AP313" s="1611"/>
      <c r="AQ313" s="1611"/>
    </row>
    <row r="314" spans="1:43" outlineLevel="2">
      <c r="A314" s="1638" t="s">
        <v>312</v>
      </c>
      <c r="B314" s="1637" t="s">
        <v>120</v>
      </c>
      <c r="C314" s="1636"/>
      <c r="D314" s="1635">
        <v>1</v>
      </c>
      <c r="E314" s="1634" t="s">
        <v>950</v>
      </c>
      <c r="F314" s="1633" t="s">
        <v>1071</v>
      </c>
      <c r="G314" s="1632">
        <v>4159.8999416173692</v>
      </c>
      <c r="H314" s="1632">
        <v>4702.3100000000004</v>
      </c>
      <c r="I314" s="1630">
        <f t="shared" si="191"/>
        <v>8862.2099416173696</v>
      </c>
      <c r="J314" s="1630">
        <f t="shared" si="192"/>
        <v>8862.2099416173696</v>
      </c>
      <c r="K314" s="1631">
        <v>4915</v>
      </c>
      <c r="L314" s="1630">
        <f t="shared" si="193"/>
        <v>4915</v>
      </c>
      <c r="M314" s="1630">
        <f t="shared" si="194"/>
        <v>4915</v>
      </c>
      <c r="N314" s="1625">
        <f t="shared" si="195"/>
        <v>3947.2099416173696</v>
      </c>
      <c r="O314" s="1629">
        <v>0.48699999999999999</v>
      </c>
      <c r="P314" s="1629">
        <v>0.51300000000000001</v>
      </c>
      <c r="Q314" s="1625">
        <f t="shared" si="196"/>
        <v>1922.291241567659</v>
      </c>
      <c r="R314" s="1628">
        <f t="shared" si="197"/>
        <v>2024.9187000497107</v>
      </c>
      <c r="S314" s="1627">
        <f t="shared" si="198"/>
        <v>2237.60870004971</v>
      </c>
      <c r="T314" s="1627">
        <f t="shared" si="199"/>
        <v>2677.39129995029</v>
      </c>
      <c r="U314" s="1626">
        <f t="shared" si="200"/>
        <v>559.40217501242751</v>
      </c>
      <c r="V314" s="1626">
        <f t="shared" si="201"/>
        <v>669.34782498757249</v>
      </c>
      <c r="W314" s="1625">
        <f t="shared" si="202"/>
        <v>1228.75</v>
      </c>
      <c r="X314" s="1614"/>
      <c r="Y314" s="1613"/>
      <c r="Z314" s="1612">
        <f t="shared" si="203"/>
        <v>0.5546020724378149</v>
      </c>
      <c r="AA314" s="1611"/>
      <c r="AB314" s="1611"/>
      <c r="AC314" s="1611"/>
      <c r="AD314" s="1611"/>
      <c r="AE314" s="1611"/>
      <c r="AF314" s="1611"/>
      <c r="AG314" s="1611"/>
      <c r="AH314" s="1611"/>
      <c r="AI314" s="1611"/>
      <c r="AJ314" s="1611"/>
      <c r="AK314" s="1611"/>
      <c r="AL314" s="1611"/>
      <c r="AM314" s="1611"/>
      <c r="AN314" s="1611"/>
      <c r="AO314" s="1611"/>
      <c r="AP314" s="1611"/>
      <c r="AQ314" s="1611"/>
    </row>
    <row r="315" spans="1:43" outlineLevel="2">
      <c r="A315" s="1638" t="s">
        <v>312</v>
      </c>
      <c r="B315" s="1637" t="s">
        <v>120</v>
      </c>
      <c r="C315" s="1636"/>
      <c r="D315" s="1635">
        <v>1</v>
      </c>
      <c r="E315" s="1634" t="s">
        <v>950</v>
      </c>
      <c r="F315" s="1633" t="s">
        <v>1065</v>
      </c>
      <c r="G315" s="1632">
        <v>4159.8999416173692</v>
      </c>
      <c r="H315" s="1632">
        <v>4702.3100000000004</v>
      </c>
      <c r="I315" s="1630">
        <f t="shared" si="191"/>
        <v>8862.2099416173696</v>
      </c>
      <c r="J315" s="1630">
        <f t="shared" si="192"/>
        <v>8862.2099416173696</v>
      </c>
      <c r="K315" s="1631">
        <v>4915</v>
      </c>
      <c r="L315" s="1630">
        <f t="shared" si="193"/>
        <v>4915</v>
      </c>
      <c r="M315" s="1630">
        <f t="shared" si="194"/>
        <v>4915</v>
      </c>
      <c r="N315" s="1625">
        <f t="shared" si="195"/>
        <v>3947.2099416173696</v>
      </c>
      <c r="O315" s="1629">
        <v>0.48699999999999999</v>
      </c>
      <c r="P315" s="1629">
        <v>0.51300000000000001</v>
      </c>
      <c r="Q315" s="1625">
        <f t="shared" si="196"/>
        <v>1922.291241567659</v>
      </c>
      <c r="R315" s="1628">
        <f t="shared" si="197"/>
        <v>2024.9187000497107</v>
      </c>
      <c r="S315" s="1627">
        <f t="shared" si="198"/>
        <v>2237.60870004971</v>
      </c>
      <c r="T315" s="1627">
        <f t="shared" si="199"/>
        <v>2677.39129995029</v>
      </c>
      <c r="U315" s="1626">
        <f t="shared" si="200"/>
        <v>559.40217501242751</v>
      </c>
      <c r="V315" s="1626">
        <f t="shared" si="201"/>
        <v>669.34782498757249</v>
      </c>
      <c r="W315" s="1625">
        <f t="shared" si="202"/>
        <v>1228.75</v>
      </c>
      <c r="X315" s="1614"/>
      <c r="Y315" s="1613"/>
      <c r="Z315" s="1612">
        <f t="shared" si="203"/>
        <v>0.5546020724378149</v>
      </c>
      <c r="AA315" s="1611"/>
      <c r="AB315" s="1611"/>
      <c r="AC315" s="1611"/>
      <c r="AD315" s="1611"/>
      <c r="AE315" s="1611"/>
      <c r="AF315" s="1611"/>
      <c r="AG315" s="1611"/>
      <c r="AH315" s="1611"/>
      <c r="AI315" s="1611"/>
      <c r="AJ315" s="1611"/>
      <c r="AK315" s="1611"/>
      <c r="AL315" s="1611"/>
      <c r="AM315" s="1611"/>
      <c r="AN315" s="1611"/>
      <c r="AO315" s="1611"/>
      <c r="AP315" s="1611"/>
      <c r="AQ315" s="1611"/>
    </row>
    <row r="316" spans="1:43" outlineLevel="2">
      <c r="A316" s="1638" t="s">
        <v>312</v>
      </c>
      <c r="B316" s="1637" t="s">
        <v>120</v>
      </c>
      <c r="C316" s="1636"/>
      <c r="D316" s="1635">
        <v>1</v>
      </c>
      <c r="E316" s="1634" t="s">
        <v>950</v>
      </c>
      <c r="F316" s="1633" t="s">
        <v>1064</v>
      </c>
      <c r="G316" s="1632">
        <v>4159.8999416173692</v>
      </c>
      <c r="H316" s="1632">
        <v>4702.3100000000004</v>
      </c>
      <c r="I316" s="1630">
        <f t="shared" si="191"/>
        <v>8862.2099416173696</v>
      </c>
      <c r="J316" s="1630">
        <f t="shared" si="192"/>
        <v>8862.2099416173696</v>
      </c>
      <c r="K316" s="1631">
        <v>4915</v>
      </c>
      <c r="L316" s="1630">
        <f t="shared" si="193"/>
        <v>4915</v>
      </c>
      <c r="M316" s="1630">
        <f t="shared" si="194"/>
        <v>4915</v>
      </c>
      <c r="N316" s="1625">
        <f t="shared" si="195"/>
        <v>3947.2099416173696</v>
      </c>
      <c r="O316" s="1629">
        <v>0.48699999999999999</v>
      </c>
      <c r="P316" s="1629">
        <v>0.51300000000000001</v>
      </c>
      <c r="Q316" s="1625">
        <f t="shared" si="196"/>
        <v>1922.291241567659</v>
      </c>
      <c r="R316" s="1628">
        <f t="shared" si="197"/>
        <v>2024.9187000497107</v>
      </c>
      <c r="S316" s="1627">
        <f t="shared" si="198"/>
        <v>2237.60870004971</v>
      </c>
      <c r="T316" s="1627">
        <f t="shared" si="199"/>
        <v>2677.39129995029</v>
      </c>
      <c r="U316" s="1626">
        <f t="shared" si="200"/>
        <v>559.40217501242751</v>
      </c>
      <c r="V316" s="1626">
        <f t="shared" si="201"/>
        <v>669.34782498757249</v>
      </c>
      <c r="W316" s="1625">
        <f t="shared" si="202"/>
        <v>1228.75</v>
      </c>
      <c r="X316" s="1614"/>
      <c r="Y316" s="1613"/>
      <c r="Z316" s="1612">
        <f t="shared" si="203"/>
        <v>0.5546020724378149</v>
      </c>
      <c r="AA316" s="1611"/>
      <c r="AB316" s="1611"/>
      <c r="AC316" s="1611"/>
      <c r="AD316" s="1611"/>
      <c r="AE316" s="1611"/>
      <c r="AF316" s="1611"/>
      <c r="AG316" s="1611"/>
      <c r="AH316" s="1611"/>
      <c r="AI316" s="1611"/>
      <c r="AJ316" s="1611"/>
      <c r="AK316" s="1611"/>
      <c r="AL316" s="1611"/>
      <c r="AM316" s="1611"/>
      <c r="AN316" s="1611"/>
      <c r="AO316" s="1611"/>
      <c r="AP316" s="1611"/>
      <c r="AQ316" s="1611"/>
    </row>
    <row r="317" spans="1:43" outlineLevel="2">
      <c r="A317" s="1638" t="s">
        <v>312</v>
      </c>
      <c r="B317" s="1637" t="s">
        <v>120</v>
      </c>
      <c r="C317" s="1636"/>
      <c r="D317" s="1635">
        <v>1</v>
      </c>
      <c r="E317" s="1634" t="s">
        <v>950</v>
      </c>
      <c r="F317" s="1633" t="s">
        <v>979</v>
      </c>
      <c r="G317" s="1632">
        <v>4159.8999416173692</v>
      </c>
      <c r="H317" s="1632">
        <v>4702.3100000000004</v>
      </c>
      <c r="I317" s="1630">
        <f t="shared" si="191"/>
        <v>8862.2099416173696</v>
      </c>
      <c r="J317" s="1630">
        <f t="shared" si="192"/>
        <v>8862.2099416173696</v>
      </c>
      <c r="K317" s="1631">
        <v>4915</v>
      </c>
      <c r="L317" s="1630">
        <f t="shared" si="193"/>
        <v>4915</v>
      </c>
      <c r="M317" s="1630">
        <f t="shared" si="194"/>
        <v>4915</v>
      </c>
      <c r="N317" s="1625">
        <f t="shared" si="195"/>
        <v>3947.2099416173696</v>
      </c>
      <c r="O317" s="1629">
        <v>0.48699999999999999</v>
      </c>
      <c r="P317" s="1629">
        <v>0.51300000000000001</v>
      </c>
      <c r="Q317" s="1625">
        <f t="shared" si="196"/>
        <v>1922.291241567659</v>
      </c>
      <c r="R317" s="1628">
        <f t="shared" si="197"/>
        <v>2024.9187000497107</v>
      </c>
      <c r="S317" s="1627">
        <f t="shared" si="198"/>
        <v>2237.60870004971</v>
      </c>
      <c r="T317" s="1627">
        <f t="shared" si="199"/>
        <v>2677.39129995029</v>
      </c>
      <c r="U317" s="1626">
        <f t="shared" si="200"/>
        <v>559.40217501242751</v>
      </c>
      <c r="V317" s="1626">
        <f t="shared" si="201"/>
        <v>669.34782498757249</v>
      </c>
      <c r="W317" s="1625">
        <f t="shared" si="202"/>
        <v>1228.75</v>
      </c>
      <c r="X317" s="1614"/>
      <c r="Y317" s="1613"/>
      <c r="Z317" s="1612">
        <f t="shared" si="203"/>
        <v>0.5546020724378149</v>
      </c>
      <c r="AA317" s="1611"/>
      <c r="AB317" s="1611"/>
      <c r="AC317" s="1611"/>
      <c r="AD317" s="1611"/>
      <c r="AE317" s="1611"/>
      <c r="AF317" s="1611"/>
      <c r="AG317" s="1611"/>
      <c r="AH317" s="1611"/>
      <c r="AI317" s="1611"/>
      <c r="AJ317" s="1611"/>
      <c r="AK317" s="1611"/>
      <c r="AL317" s="1611"/>
      <c r="AM317" s="1611"/>
      <c r="AN317" s="1611"/>
      <c r="AO317" s="1611"/>
      <c r="AP317" s="1611"/>
      <c r="AQ317" s="1611"/>
    </row>
    <row r="318" spans="1:43" outlineLevel="2">
      <c r="A318" s="1638" t="s">
        <v>312</v>
      </c>
      <c r="B318" s="1637" t="s">
        <v>120</v>
      </c>
      <c r="C318" s="1636"/>
      <c r="D318" s="1635">
        <v>2</v>
      </c>
      <c r="E318" s="1634" t="s">
        <v>917</v>
      </c>
      <c r="F318" s="1633" t="s">
        <v>1068</v>
      </c>
      <c r="G318" s="1632">
        <v>4159.8999416173692</v>
      </c>
      <c r="H318" s="1632">
        <v>4702.3100000000004</v>
      </c>
      <c r="I318" s="1630">
        <f t="shared" si="191"/>
        <v>8862.2099416173696</v>
      </c>
      <c r="J318" s="1630">
        <f t="shared" si="192"/>
        <v>17724.419883234739</v>
      </c>
      <c r="K318" s="1631">
        <v>4580</v>
      </c>
      <c r="L318" s="1630">
        <f t="shared" si="193"/>
        <v>4580</v>
      </c>
      <c r="M318" s="1630">
        <f t="shared" si="194"/>
        <v>9160</v>
      </c>
      <c r="N318" s="1625">
        <f t="shared" si="195"/>
        <v>8564.4198832347392</v>
      </c>
      <c r="O318" s="1629">
        <v>0.48699999999999999</v>
      </c>
      <c r="P318" s="1629">
        <v>0.51300000000000001</v>
      </c>
      <c r="Q318" s="1625">
        <f t="shared" si="196"/>
        <v>4170.8724831353184</v>
      </c>
      <c r="R318" s="1628">
        <f t="shared" si="197"/>
        <v>4393.5474000994209</v>
      </c>
      <c r="S318" s="1627">
        <f t="shared" si="198"/>
        <v>4148.9274000994201</v>
      </c>
      <c r="T318" s="1627">
        <f t="shared" si="199"/>
        <v>5011.0725999005799</v>
      </c>
      <c r="U318" s="1626">
        <f t="shared" si="200"/>
        <v>1037.231850024855</v>
      </c>
      <c r="V318" s="1626">
        <f t="shared" si="201"/>
        <v>1252.768149975145</v>
      </c>
      <c r="W318" s="1625">
        <f t="shared" si="202"/>
        <v>2290</v>
      </c>
      <c r="X318" s="1614"/>
      <c r="Y318" s="1613"/>
      <c r="Z318" s="1612">
        <f t="shared" si="203"/>
        <v>0.51680111734795364</v>
      </c>
      <c r="AA318" s="1611"/>
      <c r="AB318" s="1611"/>
      <c r="AC318" s="1611"/>
      <c r="AD318" s="1611"/>
      <c r="AE318" s="1611"/>
      <c r="AF318" s="1611"/>
      <c r="AG318" s="1611"/>
      <c r="AH318" s="1611"/>
      <c r="AI318" s="1611"/>
      <c r="AJ318" s="1611"/>
      <c r="AK318" s="1611"/>
      <c r="AL318" s="1611"/>
      <c r="AM318" s="1611"/>
      <c r="AN318" s="1611"/>
      <c r="AO318" s="1611"/>
      <c r="AP318" s="1611"/>
      <c r="AQ318" s="1611"/>
    </row>
    <row r="319" spans="1:43" outlineLevel="2">
      <c r="A319" s="1638" t="s">
        <v>312</v>
      </c>
      <c r="B319" s="1637" t="s">
        <v>120</v>
      </c>
      <c r="C319" s="1636"/>
      <c r="D319" s="1635">
        <v>1</v>
      </c>
      <c r="E319" s="1634" t="s">
        <v>917</v>
      </c>
      <c r="F319" s="1633" t="s">
        <v>1065</v>
      </c>
      <c r="G319" s="1632">
        <v>4159.8999416173692</v>
      </c>
      <c r="H319" s="1632">
        <v>4702.3100000000004</v>
      </c>
      <c r="I319" s="1630">
        <f t="shared" si="191"/>
        <v>8862.2099416173696</v>
      </c>
      <c r="J319" s="1630">
        <f t="shared" si="192"/>
        <v>8862.2099416173696</v>
      </c>
      <c r="K319" s="1631">
        <v>4580</v>
      </c>
      <c r="L319" s="1630">
        <f t="shared" si="193"/>
        <v>4580</v>
      </c>
      <c r="M319" s="1630">
        <f t="shared" si="194"/>
        <v>4580</v>
      </c>
      <c r="N319" s="1625">
        <f t="shared" si="195"/>
        <v>4282.2099416173696</v>
      </c>
      <c r="O319" s="1629">
        <v>0.48699999999999999</v>
      </c>
      <c r="P319" s="1629">
        <v>0.51300000000000001</v>
      </c>
      <c r="Q319" s="1625">
        <f t="shared" si="196"/>
        <v>2085.4362415676592</v>
      </c>
      <c r="R319" s="1628">
        <f t="shared" si="197"/>
        <v>2196.7737000497104</v>
      </c>
      <c r="S319" s="1627">
        <f t="shared" si="198"/>
        <v>2074.46370004971</v>
      </c>
      <c r="T319" s="1627">
        <f t="shared" si="199"/>
        <v>2505.53629995029</v>
      </c>
      <c r="U319" s="1626">
        <f t="shared" si="200"/>
        <v>518.61592501242751</v>
      </c>
      <c r="V319" s="1626">
        <f t="shared" si="201"/>
        <v>626.38407498757249</v>
      </c>
      <c r="W319" s="1625">
        <f t="shared" si="202"/>
        <v>1145</v>
      </c>
      <c r="X319" s="1614"/>
      <c r="Y319" s="1613"/>
      <c r="Z319" s="1612">
        <f t="shared" si="203"/>
        <v>0.51680111734795364</v>
      </c>
      <c r="AA319" s="1611"/>
      <c r="AB319" s="1611"/>
      <c r="AC319" s="1611"/>
      <c r="AD319" s="1611"/>
      <c r="AE319" s="1611"/>
      <c r="AF319" s="1611"/>
      <c r="AG319" s="1611"/>
      <c r="AH319" s="1611"/>
      <c r="AI319" s="1611"/>
      <c r="AJ319" s="1611"/>
      <c r="AK319" s="1611"/>
      <c r="AL319" s="1611"/>
      <c r="AM319" s="1611"/>
      <c r="AN319" s="1611"/>
      <c r="AO319" s="1611"/>
      <c r="AP319" s="1611"/>
      <c r="AQ319" s="1611"/>
    </row>
    <row r="320" spans="1:43" outlineLevel="2">
      <c r="A320" s="1638" t="s">
        <v>312</v>
      </c>
      <c r="B320" s="1637" t="s">
        <v>120</v>
      </c>
      <c r="C320" s="1636"/>
      <c r="D320" s="1635">
        <v>1</v>
      </c>
      <c r="E320" s="1634" t="s">
        <v>917</v>
      </c>
      <c r="F320" s="1633" t="s">
        <v>1066</v>
      </c>
      <c r="G320" s="1632">
        <v>4159.8999416173692</v>
      </c>
      <c r="H320" s="1632">
        <v>4702.3100000000004</v>
      </c>
      <c r="I320" s="1630">
        <f t="shared" si="191"/>
        <v>8862.2099416173696</v>
      </c>
      <c r="J320" s="1630">
        <f t="shared" si="192"/>
        <v>8862.2099416173696</v>
      </c>
      <c r="K320" s="1631">
        <v>4580</v>
      </c>
      <c r="L320" s="1630">
        <f t="shared" si="193"/>
        <v>4580</v>
      </c>
      <c r="M320" s="1630">
        <f t="shared" si="194"/>
        <v>4580</v>
      </c>
      <c r="N320" s="1625">
        <f t="shared" si="195"/>
        <v>4282.2099416173696</v>
      </c>
      <c r="O320" s="1629">
        <v>0.48699999999999999</v>
      </c>
      <c r="P320" s="1629">
        <v>0.51300000000000001</v>
      </c>
      <c r="Q320" s="1625">
        <f t="shared" si="196"/>
        <v>2085.4362415676592</v>
      </c>
      <c r="R320" s="1628">
        <f t="shared" si="197"/>
        <v>2196.7737000497104</v>
      </c>
      <c r="S320" s="1627">
        <f t="shared" si="198"/>
        <v>2074.46370004971</v>
      </c>
      <c r="T320" s="1627">
        <f t="shared" si="199"/>
        <v>2505.53629995029</v>
      </c>
      <c r="U320" s="1626">
        <f t="shared" si="200"/>
        <v>518.61592501242751</v>
      </c>
      <c r="V320" s="1626">
        <f t="shared" si="201"/>
        <v>626.38407498757249</v>
      </c>
      <c r="W320" s="1625">
        <f t="shared" si="202"/>
        <v>1145</v>
      </c>
      <c r="X320" s="1614"/>
      <c r="Y320" s="1613"/>
      <c r="Z320" s="1612">
        <f t="shared" si="203"/>
        <v>0.51680111734795364</v>
      </c>
      <c r="AA320" s="1611"/>
      <c r="AB320" s="1611"/>
      <c r="AC320" s="1611"/>
      <c r="AD320" s="1611"/>
      <c r="AE320" s="1611"/>
      <c r="AF320" s="1611"/>
      <c r="AG320" s="1611"/>
      <c r="AH320" s="1611"/>
      <c r="AI320" s="1611"/>
      <c r="AJ320" s="1611"/>
      <c r="AK320" s="1611"/>
      <c r="AL320" s="1611"/>
      <c r="AM320" s="1611"/>
      <c r="AN320" s="1611"/>
      <c r="AO320" s="1611"/>
      <c r="AP320" s="1611"/>
      <c r="AQ320" s="1611"/>
    </row>
    <row r="321" spans="1:43" outlineLevel="2">
      <c r="A321" s="1638" t="s">
        <v>312</v>
      </c>
      <c r="B321" s="1637" t="s">
        <v>120</v>
      </c>
      <c r="C321" s="1636"/>
      <c r="D321" s="1635">
        <v>11</v>
      </c>
      <c r="E321" s="1634" t="s">
        <v>941</v>
      </c>
      <c r="F321" s="1633" t="s">
        <v>1064</v>
      </c>
      <c r="G321" s="1632">
        <v>4159.8999416173692</v>
      </c>
      <c r="H321" s="1632">
        <v>4702.3100000000004</v>
      </c>
      <c r="I321" s="1630">
        <f t="shared" si="191"/>
        <v>8862.2099416173696</v>
      </c>
      <c r="J321" s="1630">
        <f t="shared" si="192"/>
        <v>97484.309357791062</v>
      </c>
      <c r="K321" s="1631">
        <v>6600</v>
      </c>
      <c r="L321" s="1630">
        <f t="shared" si="193"/>
        <v>6600</v>
      </c>
      <c r="M321" s="1630">
        <f t="shared" si="194"/>
        <v>72600</v>
      </c>
      <c r="N321" s="1625">
        <f t="shared" si="195"/>
        <v>24884.309357791062</v>
      </c>
      <c r="O321" s="1629">
        <v>0.48699999999999999</v>
      </c>
      <c r="P321" s="1629">
        <v>0.51300000000000001</v>
      </c>
      <c r="Q321" s="1625">
        <f t="shared" si="196"/>
        <v>12118.658657244247</v>
      </c>
      <c r="R321" s="1628">
        <f t="shared" si="197"/>
        <v>12765.650700546816</v>
      </c>
      <c r="S321" s="1627">
        <f t="shared" si="198"/>
        <v>33640.240700546812</v>
      </c>
      <c r="T321" s="1627">
        <f t="shared" si="199"/>
        <v>38959.759299453188</v>
      </c>
      <c r="U321" s="1626">
        <f t="shared" si="200"/>
        <v>8410.060175136703</v>
      </c>
      <c r="V321" s="1626">
        <f t="shared" si="201"/>
        <v>9739.939824863297</v>
      </c>
      <c r="W321" s="1625">
        <f t="shared" si="202"/>
        <v>18150</v>
      </c>
      <c r="X321" s="1614"/>
      <c r="Y321" s="1613"/>
      <c r="Z321" s="1612">
        <f t="shared" si="203"/>
        <v>0.74473523460622149</v>
      </c>
      <c r="AA321" s="1611"/>
      <c r="AB321" s="1611"/>
      <c r="AC321" s="1611"/>
      <c r="AD321" s="1611"/>
      <c r="AE321" s="1611"/>
      <c r="AF321" s="1611"/>
      <c r="AG321" s="1611"/>
      <c r="AH321" s="1611"/>
      <c r="AI321" s="1611"/>
      <c r="AJ321" s="1611"/>
      <c r="AK321" s="1611"/>
      <c r="AL321" s="1611"/>
      <c r="AM321" s="1611"/>
      <c r="AN321" s="1611"/>
      <c r="AO321" s="1611"/>
      <c r="AP321" s="1611"/>
      <c r="AQ321" s="1611"/>
    </row>
    <row r="322" spans="1:43" outlineLevel="2">
      <c r="A322" s="1638" t="s">
        <v>312</v>
      </c>
      <c r="B322" s="1637" t="s">
        <v>120</v>
      </c>
      <c r="C322" s="1636"/>
      <c r="D322" s="1635">
        <v>4</v>
      </c>
      <c r="E322" s="1634" t="s">
        <v>941</v>
      </c>
      <c r="F322" s="1633" t="s">
        <v>1063</v>
      </c>
      <c r="G322" s="1632">
        <v>4159.8999416173692</v>
      </c>
      <c r="H322" s="1632">
        <v>4702.3100000000004</v>
      </c>
      <c r="I322" s="1630">
        <f t="shared" si="191"/>
        <v>8862.2099416173696</v>
      </c>
      <c r="J322" s="1630">
        <f t="shared" si="192"/>
        <v>35448.839766469478</v>
      </c>
      <c r="K322" s="1631">
        <v>6600</v>
      </c>
      <c r="L322" s="1630">
        <f t="shared" si="193"/>
        <v>6600</v>
      </c>
      <c r="M322" s="1630">
        <f t="shared" si="194"/>
        <v>26400</v>
      </c>
      <c r="N322" s="1625">
        <f t="shared" si="195"/>
        <v>9048.8397664694785</v>
      </c>
      <c r="O322" s="1629">
        <v>0.48699999999999999</v>
      </c>
      <c r="P322" s="1629">
        <v>0.51300000000000001</v>
      </c>
      <c r="Q322" s="1625">
        <f t="shared" si="196"/>
        <v>4406.7849662706358</v>
      </c>
      <c r="R322" s="1628">
        <f t="shared" si="197"/>
        <v>4642.0548001988427</v>
      </c>
      <c r="S322" s="1627">
        <f t="shared" si="198"/>
        <v>12232.814800198841</v>
      </c>
      <c r="T322" s="1627">
        <f t="shared" si="199"/>
        <v>14167.185199801159</v>
      </c>
      <c r="U322" s="1626">
        <f t="shared" si="200"/>
        <v>3058.2037000497103</v>
      </c>
      <c r="V322" s="1626">
        <f t="shared" si="201"/>
        <v>3541.7962999502897</v>
      </c>
      <c r="W322" s="1625">
        <f t="shared" si="202"/>
        <v>6600</v>
      </c>
      <c r="X322" s="1614"/>
      <c r="Y322" s="1613"/>
      <c r="Z322" s="1612">
        <f t="shared" si="203"/>
        <v>0.74473523460622149</v>
      </c>
      <c r="AA322" s="1611"/>
      <c r="AB322" s="1611"/>
      <c r="AC322" s="1611"/>
      <c r="AD322" s="1611"/>
      <c r="AE322" s="1611"/>
      <c r="AF322" s="1611"/>
      <c r="AG322" s="1611"/>
      <c r="AH322" s="1611"/>
      <c r="AI322" s="1611"/>
      <c r="AJ322" s="1611"/>
      <c r="AK322" s="1611"/>
      <c r="AL322" s="1611"/>
      <c r="AM322" s="1611"/>
      <c r="AN322" s="1611"/>
      <c r="AO322" s="1611"/>
      <c r="AP322" s="1611"/>
      <c r="AQ322" s="1611"/>
    </row>
    <row r="323" spans="1:43" outlineLevel="2">
      <c r="A323" s="1638" t="s">
        <v>312</v>
      </c>
      <c r="B323" s="1637" t="s">
        <v>120</v>
      </c>
      <c r="C323" s="1636"/>
      <c r="D323" s="1635">
        <v>3</v>
      </c>
      <c r="E323" s="1634" t="s">
        <v>941</v>
      </c>
      <c r="F323" s="1633" t="s">
        <v>1066</v>
      </c>
      <c r="G323" s="1632">
        <v>4159.8999416173692</v>
      </c>
      <c r="H323" s="1632">
        <v>4702.3100000000004</v>
      </c>
      <c r="I323" s="1630">
        <f t="shared" si="191"/>
        <v>8862.2099416173696</v>
      </c>
      <c r="J323" s="1630">
        <f t="shared" si="192"/>
        <v>26586.629824852109</v>
      </c>
      <c r="K323" s="1631">
        <v>6600</v>
      </c>
      <c r="L323" s="1630">
        <f t="shared" si="193"/>
        <v>6600</v>
      </c>
      <c r="M323" s="1630">
        <f t="shared" si="194"/>
        <v>19800</v>
      </c>
      <c r="N323" s="1625">
        <f t="shared" si="195"/>
        <v>6786.6298248521089</v>
      </c>
      <c r="O323" s="1629">
        <v>0.48699999999999999</v>
      </c>
      <c r="P323" s="1629">
        <v>0.51300000000000001</v>
      </c>
      <c r="Q323" s="1625">
        <f t="shared" si="196"/>
        <v>3305.0887247029768</v>
      </c>
      <c r="R323" s="1628">
        <f t="shared" si="197"/>
        <v>3481.541100149132</v>
      </c>
      <c r="S323" s="1627">
        <f t="shared" si="198"/>
        <v>9174.6111001491317</v>
      </c>
      <c r="T323" s="1627">
        <f t="shared" si="199"/>
        <v>10625.388899850868</v>
      </c>
      <c r="U323" s="1626">
        <f t="shared" si="200"/>
        <v>2293.6527750372829</v>
      </c>
      <c r="V323" s="1626">
        <f t="shared" si="201"/>
        <v>2656.3472249627171</v>
      </c>
      <c r="W323" s="1625">
        <f t="shared" si="202"/>
        <v>4950</v>
      </c>
      <c r="X323" s="1614"/>
      <c r="Y323" s="1613"/>
      <c r="Z323" s="1612">
        <f t="shared" si="203"/>
        <v>0.74473523460622149</v>
      </c>
      <c r="AA323" s="1611"/>
      <c r="AB323" s="1611"/>
      <c r="AC323" s="1611"/>
      <c r="AD323" s="1611"/>
      <c r="AE323" s="1611"/>
      <c r="AF323" s="1611"/>
      <c r="AG323" s="1611"/>
      <c r="AH323" s="1611"/>
      <c r="AI323" s="1611"/>
      <c r="AJ323" s="1611"/>
      <c r="AK323" s="1611"/>
      <c r="AL323" s="1611"/>
      <c r="AM323" s="1611"/>
      <c r="AN323" s="1611"/>
      <c r="AO323" s="1611"/>
      <c r="AP323" s="1611"/>
      <c r="AQ323" s="1611"/>
    </row>
    <row r="324" spans="1:43" outlineLevel="2">
      <c r="A324" s="1638" t="s">
        <v>312</v>
      </c>
      <c r="B324" s="1637" t="s">
        <v>120</v>
      </c>
      <c r="C324" s="1636"/>
      <c r="D324" s="1635">
        <v>1</v>
      </c>
      <c r="E324" s="1634" t="s">
        <v>968</v>
      </c>
      <c r="F324" s="1633" t="s">
        <v>1069</v>
      </c>
      <c r="G324" s="1632">
        <v>4159.8999416173692</v>
      </c>
      <c r="H324" s="1632">
        <v>4702.3100000000004</v>
      </c>
      <c r="I324" s="1630">
        <f t="shared" si="191"/>
        <v>8862.2099416173696</v>
      </c>
      <c r="J324" s="1630">
        <f t="shared" si="192"/>
        <v>8862.2099416173696</v>
      </c>
      <c r="K324" s="1631">
        <v>8520</v>
      </c>
      <c r="L324" s="1630">
        <f t="shared" si="193"/>
        <v>8520</v>
      </c>
      <c r="M324" s="1630">
        <f t="shared" si="194"/>
        <v>8520</v>
      </c>
      <c r="N324" s="1625">
        <f t="shared" si="195"/>
        <v>342.20994161736962</v>
      </c>
      <c r="O324" s="1629">
        <v>0.48699999999999999</v>
      </c>
      <c r="P324" s="1629">
        <v>0.51300000000000001</v>
      </c>
      <c r="Q324" s="1625">
        <f t="shared" si="196"/>
        <v>166.65624156765901</v>
      </c>
      <c r="R324" s="1628">
        <f t="shared" si="197"/>
        <v>175.55370004971061</v>
      </c>
      <c r="S324" s="1627">
        <f t="shared" si="198"/>
        <v>3993.2437000497102</v>
      </c>
      <c r="T324" s="1627">
        <f t="shared" si="199"/>
        <v>4526.7562999502898</v>
      </c>
      <c r="U324" s="1626">
        <f t="shared" si="200"/>
        <v>998.31092501242756</v>
      </c>
      <c r="V324" s="1626">
        <f t="shared" si="201"/>
        <v>1131.6890749875724</v>
      </c>
      <c r="W324" s="1625">
        <f t="shared" si="202"/>
        <v>2130</v>
      </c>
      <c r="X324" s="1614"/>
      <c r="Y324" s="1613"/>
      <c r="Z324" s="1612">
        <f t="shared" si="203"/>
        <v>0.96138548467348595</v>
      </c>
      <c r="AA324" s="1611"/>
      <c r="AB324" s="1611"/>
      <c r="AC324" s="1611"/>
      <c r="AD324" s="1611"/>
      <c r="AE324" s="1611"/>
      <c r="AF324" s="1611"/>
      <c r="AG324" s="1611"/>
      <c r="AH324" s="1611"/>
      <c r="AI324" s="1611"/>
      <c r="AJ324" s="1611"/>
      <c r="AK324" s="1611"/>
      <c r="AL324" s="1611"/>
      <c r="AM324" s="1611"/>
      <c r="AN324" s="1611"/>
      <c r="AO324" s="1611"/>
      <c r="AP324" s="1611"/>
      <c r="AQ324" s="1611"/>
    </row>
    <row r="325" spans="1:43" outlineLevel="2">
      <c r="A325" s="1638" t="s">
        <v>312</v>
      </c>
      <c r="B325" s="1637" t="s">
        <v>120</v>
      </c>
      <c r="C325" s="1636"/>
      <c r="D325" s="1635">
        <v>1</v>
      </c>
      <c r="E325" s="1634" t="s">
        <v>971</v>
      </c>
      <c r="F325" s="1633" t="s">
        <v>1065</v>
      </c>
      <c r="G325" s="1632">
        <v>4159.8999416173692</v>
      </c>
      <c r="H325" s="1632">
        <v>4702.3100000000004</v>
      </c>
      <c r="I325" s="1630">
        <f t="shared" si="191"/>
        <v>8862.2099416173696</v>
      </c>
      <c r="J325" s="1630">
        <f t="shared" si="192"/>
        <v>8862.2099416173696</v>
      </c>
      <c r="K325" s="1631">
        <v>8200</v>
      </c>
      <c r="L325" s="1630">
        <f t="shared" si="193"/>
        <v>8200</v>
      </c>
      <c r="M325" s="1630">
        <f t="shared" si="194"/>
        <v>8200</v>
      </c>
      <c r="N325" s="1625">
        <f t="shared" si="195"/>
        <v>662.20994161736962</v>
      </c>
      <c r="O325" s="1629">
        <v>0.48699999999999999</v>
      </c>
      <c r="P325" s="1629">
        <v>0.51300000000000001</v>
      </c>
      <c r="Q325" s="1625">
        <f t="shared" si="196"/>
        <v>322.49624156765901</v>
      </c>
      <c r="R325" s="1628">
        <f t="shared" si="197"/>
        <v>339.71370004971061</v>
      </c>
      <c r="S325" s="1627">
        <f t="shared" si="198"/>
        <v>3837.4037000497101</v>
      </c>
      <c r="T325" s="1627">
        <f t="shared" si="199"/>
        <v>4362.5962999502899</v>
      </c>
      <c r="U325" s="1626">
        <f t="shared" si="200"/>
        <v>959.35092501242752</v>
      </c>
      <c r="V325" s="1626">
        <f t="shared" si="201"/>
        <v>1090.6490749875725</v>
      </c>
      <c r="W325" s="1625">
        <f t="shared" si="202"/>
        <v>2050</v>
      </c>
      <c r="X325" s="1614"/>
      <c r="Y325" s="1613"/>
      <c r="Z325" s="1612">
        <f t="shared" si="203"/>
        <v>0.92527710966227517</v>
      </c>
      <c r="AA325" s="1611"/>
      <c r="AB325" s="1611"/>
      <c r="AC325" s="1611"/>
      <c r="AD325" s="1611"/>
      <c r="AE325" s="1611"/>
      <c r="AF325" s="1611"/>
      <c r="AG325" s="1611"/>
      <c r="AH325" s="1611"/>
      <c r="AI325" s="1611"/>
      <c r="AJ325" s="1611"/>
      <c r="AK325" s="1611"/>
      <c r="AL325" s="1611"/>
      <c r="AM325" s="1611"/>
      <c r="AN325" s="1611"/>
      <c r="AO325" s="1611"/>
      <c r="AP325" s="1611"/>
      <c r="AQ325" s="1611"/>
    </row>
    <row r="326" spans="1:43" outlineLevel="2">
      <c r="A326" s="1638" t="s">
        <v>312</v>
      </c>
      <c r="B326" s="1637" t="s">
        <v>120</v>
      </c>
      <c r="C326" s="1636"/>
      <c r="D326" s="1635">
        <v>1</v>
      </c>
      <c r="E326" s="1634" t="s">
        <v>971</v>
      </c>
      <c r="F326" s="1633" t="s">
        <v>1066</v>
      </c>
      <c r="G326" s="1632">
        <v>4159.8999416173692</v>
      </c>
      <c r="H326" s="1632">
        <v>4702.3100000000004</v>
      </c>
      <c r="I326" s="1630">
        <f t="shared" si="191"/>
        <v>8862.2099416173696</v>
      </c>
      <c r="J326" s="1630">
        <f t="shared" si="192"/>
        <v>8862.2099416173696</v>
      </c>
      <c r="K326" s="1631">
        <v>8200</v>
      </c>
      <c r="L326" s="1630">
        <f t="shared" si="193"/>
        <v>8200</v>
      </c>
      <c r="M326" s="1630">
        <f t="shared" si="194"/>
        <v>8200</v>
      </c>
      <c r="N326" s="1625">
        <f t="shared" si="195"/>
        <v>662.20994161736962</v>
      </c>
      <c r="O326" s="1629">
        <v>0.48699999999999999</v>
      </c>
      <c r="P326" s="1629">
        <v>0.51300000000000001</v>
      </c>
      <c r="Q326" s="1625">
        <f t="shared" si="196"/>
        <v>322.49624156765901</v>
      </c>
      <c r="R326" s="1628">
        <f t="shared" si="197"/>
        <v>339.71370004971061</v>
      </c>
      <c r="S326" s="1627">
        <f t="shared" si="198"/>
        <v>3837.4037000497101</v>
      </c>
      <c r="T326" s="1627">
        <f t="shared" si="199"/>
        <v>4362.5962999502899</v>
      </c>
      <c r="U326" s="1626">
        <f t="shared" si="200"/>
        <v>959.35092501242752</v>
      </c>
      <c r="V326" s="1626">
        <f t="shared" si="201"/>
        <v>1090.6490749875725</v>
      </c>
      <c r="W326" s="1625">
        <f t="shared" si="202"/>
        <v>2050</v>
      </c>
      <c r="X326" s="1614"/>
      <c r="Y326" s="1613"/>
      <c r="Z326" s="1612">
        <f t="shared" si="203"/>
        <v>0.92527710966227517</v>
      </c>
      <c r="AA326" s="1611"/>
      <c r="AB326" s="1611"/>
      <c r="AC326" s="1611"/>
      <c r="AD326" s="1611"/>
      <c r="AE326" s="1611"/>
      <c r="AF326" s="1611"/>
      <c r="AG326" s="1611"/>
      <c r="AH326" s="1611"/>
      <c r="AI326" s="1611"/>
      <c r="AJ326" s="1611"/>
      <c r="AK326" s="1611"/>
      <c r="AL326" s="1611"/>
      <c r="AM326" s="1611"/>
      <c r="AN326" s="1611"/>
      <c r="AO326" s="1611"/>
      <c r="AP326" s="1611"/>
      <c r="AQ326" s="1611"/>
    </row>
    <row r="327" spans="1:43" outlineLevel="2">
      <c r="A327" s="1638" t="s">
        <v>312</v>
      </c>
      <c r="B327" s="1637" t="s">
        <v>120</v>
      </c>
      <c r="C327" s="1636"/>
      <c r="D327" s="1635">
        <v>1</v>
      </c>
      <c r="E327" s="1634" t="s">
        <v>978</v>
      </c>
      <c r="F327" s="1633" t="s">
        <v>1070</v>
      </c>
      <c r="G327" s="1632">
        <v>4159.8999416173692</v>
      </c>
      <c r="H327" s="1632">
        <v>4702.3100000000004</v>
      </c>
      <c r="I327" s="1630">
        <f t="shared" si="191"/>
        <v>8862.2099416173696</v>
      </c>
      <c r="J327" s="1630">
        <f t="shared" si="192"/>
        <v>8862.2099416173696</v>
      </c>
      <c r="K327" s="1631">
        <v>6050</v>
      </c>
      <c r="L327" s="1630">
        <f t="shared" si="193"/>
        <v>6050</v>
      </c>
      <c r="M327" s="1630">
        <f t="shared" si="194"/>
        <v>6050</v>
      </c>
      <c r="N327" s="1625">
        <f t="shared" si="195"/>
        <v>2812.2099416173696</v>
      </c>
      <c r="O327" s="1629">
        <v>0.48699999999999999</v>
      </c>
      <c r="P327" s="1629">
        <v>0.51300000000000001</v>
      </c>
      <c r="Q327" s="1625">
        <f t="shared" si="196"/>
        <v>1369.5462415676591</v>
      </c>
      <c r="R327" s="1628">
        <f t="shared" si="197"/>
        <v>1442.6637000497105</v>
      </c>
      <c r="S327" s="1627">
        <f t="shared" si="198"/>
        <v>2790.3537000497099</v>
      </c>
      <c r="T327" s="1627">
        <f t="shared" si="199"/>
        <v>3259.6462999502901</v>
      </c>
      <c r="U327" s="1626">
        <f t="shared" si="200"/>
        <v>697.58842501242748</v>
      </c>
      <c r="V327" s="1626">
        <f t="shared" si="201"/>
        <v>814.91157498757252</v>
      </c>
      <c r="W327" s="1625">
        <f t="shared" si="202"/>
        <v>1512.5</v>
      </c>
      <c r="X327" s="1614"/>
      <c r="Y327" s="1613"/>
      <c r="Z327" s="1612">
        <f t="shared" si="203"/>
        <v>0.68267396505570299</v>
      </c>
      <c r="AA327" s="1611"/>
      <c r="AB327" s="1611"/>
      <c r="AC327" s="1611"/>
      <c r="AD327" s="1611"/>
      <c r="AE327" s="1611"/>
      <c r="AF327" s="1611"/>
      <c r="AG327" s="1611"/>
      <c r="AH327" s="1611"/>
      <c r="AI327" s="1611"/>
      <c r="AJ327" s="1611"/>
      <c r="AK327" s="1611"/>
      <c r="AL327" s="1611"/>
      <c r="AM327" s="1611"/>
      <c r="AN327" s="1611"/>
      <c r="AO327" s="1611"/>
      <c r="AP327" s="1611"/>
      <c r="AQ327" s="1611"/>
    </row>
    <row r="328" spans="1:43" outlineLevel="2">
      <c r="A328" s="1638" t="s">
        <v>312</v>
      </c>
      <c r="B328" s="1637" t="s">
        <v>120</v>
      </c>
      <c r="C328" s="1636"/>
      <c r="D328" s="1635">
        <v>2</v>
      </c>
      <c r="E328" s="1634" t="s">
        <v>978</v>
      </c>
      <c r="F328" s="1633" t="s">
        <v>979</v>
      </c>
      <c r="G328" s="1632">
        <v>4159.8999416173692</v>
      </c>
      <c r="H328" s="1632">
        <v>4702.3100000000004</v>
      </c>
      <c r="I328" s="1630">
        <f t="shared" si="191"/>
        <v>8862.2099416173696</v>
      </c>
      <c r="J328" s="1630">
        <f t="shared" si="192"/>
        <v>17724.419883234739</v>
      </c>
      <c r="K328" s="1631">
        <v>6050</v>
      </c>
      <c r="L328" s="1630">
        <f t="shared" si="193"/>
        <v>6050</v>
      </c>
      <c r="M328" s="1630">
        <f t="shared" si="194"/>
        <v>12100</v>
      </c>
      <c r="N328" s="1625">
        <f t="shared" si="195"/>
        <v>5624.4198832347392</v>
      </c>
      <c r="O328" s="1629">
        <v>0.48699999999999999</v>
      </c>
      <c r="P328" s="1629">
        <v>0.51300000000000001</v>
      </c>
      <c r="Q328" s="1625">
        <f t="shared" si="196"/>
        <v>2739.0924831353182</v>
      </c>
      <c r="R328" s="1628">
        <f t="shared" si="197"/>
        <v>2885.3274000994211</v>
      </c>
      <c r="S328" s="1627">
        <f t="shared" si="198"/>
        <v>5580.7074000994198</v>
      </c>
      <c r="T328" s="1627">
        <f t="shared" si="199"/>
        <v>6519.2925999005802</v>
      </c>
      <c r="U328" s="1626">
        <f t="shared" si="200"/>
        <v>1395.176850024855</v>
      </c>
      <c r="V328" s="1626">
        <f t="shared" si="201"/>
        <v>1629.823149975145</v>
      </c>
      <c r="W328" s="1625">
        <f t="shared" si="202"/>
        <v>3025</v>
      </c>
      <c r="X328" s="1614"/>
      <c r="Y328" s="1613"/>
      <c r="Z328" s="1612">
        <f t="shared" si="203"/>
        <v>0.68267396505570299</v>
      </c>
      <c r="AA328" s="1611"/>
      <c r="AB328" s="1611"/>
      <c r="AC328" s="1611"/>
      <c r="AD328" s="1611"/>
      <c r="AE328" s="1611"/>
      <c r="AF328" s="1611"/>
      <c r="AG328" s="1611"/>
      <c r="AH328" s="1611"/>
      <c r="AI328" s="1611"/>
      <c r="AJ328" s="1611"/>
      <c r="AK328" s="1611"/>
      <c r="AL328" s="1611"/>
      <c r="AM328" s="1611"/>
      <c r="AN328" s="1611"/>
      <c r="AO328" s="1611"/>
      <c r="AP328" s="1611"/>
      <c r="AQ328" s="1611"/>
    </row>
    <row r="329" spans="1:43" outlineLevel="2">
      <c r="A329" s="1638" t="s">
        <v>312</v>
      </c>
      <c r="B329" s="1637" t="s">
        <v>120</v>
      </c>
      <c r="C329" s="1636"/>
      <c r="D329" s="1635">
        <v>17</v>
      </c>
      <c r="E329" s="1634" t="s">
        <v>964</v>
      </c>
      <c r="F329" s="1633" t="s">
        <v>1067</v>
      </c>
      <c r="G329" s="1632">
        <v>4159.8999416173692</v>
      </c>
      <c r="H329" s="1632">
        <v>4702.3100000000004</v>
      </c>
      <c r="I329" s="1630">
        <f t="shared" si="191"/>
        <v>8862.2099416173696</v>
      </c>
      <c r="J329" s="1630">
        <f t="shared" si="192"/>
        <v>150657.56900749527</v>
      </c>
      <c r="K329" s="1631">
        <v>6865</v>
      </c>
      <c r="L329" s="1630">
        <f t="shared" si="193"/>
        <v>6865</v>
      </c>
      <c r="M329" s="1630">
        <f t="shared" si="194"/>
        <v>116705</v>
      </c>
      <c r="N329" s="1625">
        <f t="shared" si="195"/>
        <v>33952.569007495273</v>
      </c>
      <c r="O329" s="1629">
        <v>0.48699999999999999</v>
      </c>
      <c r="P329" s="1629">
        <v>0.51300000000000001</v>
      </c>
      <c r="Q329" s="1625">
        <f t="shared" si="196"/>
        <v>16534.901106650199</v>
      </c>
      <c r="R329" s="1628">
        <f t="shared" si="197"/>
        <v>17417.667900845074</v>
      </c>
      <c r="S329" s="1627">
        <f t="shared" si="198"/>
        <v>54183.397900845084</v>
      </c>
      <c r="T329" s="1627">
        <f t="shared" si="199"/>
        <v>62521.60209915493</v>
      </c>
      <c r="U329" s="1626">
        <f t="shared" si="200"/>
        <v>13545.849475211271</v>
      </c>
      <c r="V329" s="1626">
        <f t="shared" si="201"/>
        <v>15630.400524788733</v>
      </c>
      <c r="W329" s="1625">
        <f t="shared" si="202"/>
        <v>29176.250000000004</v>
      </c>
      <c r="X329" s="1614"/>
      <c r="Y329" s="1613"/>
      <c r="Z329" s="1612">
        <f t="shared" si="203"/>
        <v>0.77463748266238031</v>
      </c>
      <c r="AA329" s="1611"/>
      <c r="AB329" s="1611"/>
      <c r="AC329" s="1611"/>
      <c r="AD329" s="1611"/>
      <c r="AE329" s="1611"/>
      <c r="AF329" s="1611"/>
      <c r="AG329" s="1611"/>
      <c r="AH329" s="1611"/>
      <c r="AI329" s="1611"/>
      <c r="AJ329" s="1611"/>
      <c r="AK329" s="1611"/>
      <c r="AL329" s="1611"/>
      <c r="AM329" s="1611"/>
      <c r="AN329" s="1611"/>
      <c r="AO329" s="1611"/>
      <c r="AP329" s="1611"/>
      <c r="AQ329" s="1611"/>
    </row>
    <row r="330" spans="1:43" outlineLevel="2">
      <c r="A330" s="1638" t="s">
        <v>312</v>
      </c>
      <c r="B330" s="1637" t="s">
        <v>120</v>
      </c>
      <c r="C330" s="1636"/>
      <c r="D330" s="1635">
        <v>7</v>
      </c>
      <c r="E330" s="1634" t="s">
        <v>964</v>
      </c>
      <c r="F330" s="1633" t="s">
        <v>1072</v>
      </c>
      <c r="G330" s="1632">
        <v>4159.8999416173692</v>
      </c>
      <c r="H330" s="1632">
        <v>4702.3100000000004</v>
      </c>
      <c r="I330" s="1630">
        <f t="shared" si="191"/>
        <v>8862.2099416173696</v>
      </c>
      <c r="J330" s="1630">
        <f t="shared" si="192"/>
        <v>62035.469591321584</v>
      </c>
      <c r="K330" s="1631">
        <v>6865</v>
      </c>
      <c r="L330" s="1630">
        <f t="shared" si="193"/>
        <v>6865</v>
      </c>
      <c r="M330" s="1630">
        <f t="shared" si="194"/>
        <v>48055</v>
      </c>
      <c r="N330" s="1625">
        <f t="shared" si="195"/>
        <v>13980.469591321584</v>
      </c>
      <c r="O330" s="1629">
        <v>0.48699999999999999</v>
      </c>
      <c r="P330" s="1629">
        <v>0.51300000000000001</v>
      </c>
      <c r="Q330" s="1625">
        <f t="shared" si="196"/>
        <v>6808.4886909736115</v>
      </c>
      <c r="R330" s="1628">
        <f t="shared" si="197"/>
        <v>7171.9809003479722</v>
      </c>
      <c r="S330" s="1627">
        <f t="shared" si="198"/>
        <v>22310.810900347973</v>
      </c>
      <c r="T330" s="1627">
        <f t="shared" si="199"/>
        <v>25744.189099652034</v>
      </c>
      <c r="U330" s="1626">
        <f t="shared" si="200"/>
        <v>5577.7027250869933</v>
      </c>
      <c r="V330" s="1626">
        <f t="shared" si="201"/>
        <v>6436.0472749130086</v>
      </c>
      <c r="W330" s="1625">
        <f t="shared" si="202"/>
        <v>12013.750000000002</v>
      </c>
      <c r="X330" s="1614"/>
      <c r="Y330" s="1613"/>
      <c r="Z330" s="1612">
        <f t="shared" si="203"/>
        <v>0.77463748266238031</v>
      </c>
      <c r="AA330" s="1611"/>
      <c r="AB330" s="1611"/>
      <c r="AC330" s="1611"/>
      <c r="AD330" s="1611"/>
      <c r="AE330" s="1611"/>
      <c r="AF330" s="1611"/>
      <c r="AG330" s="1611"/>
      <c r="AH330" s="1611"/>
      <c r="AI330" s="1611"/>
      <c r="AJ330" s="1611"/>
      <c r="AK330" s="1611"/>
      <c r="AL330" s="1611"/>
      <c r="AM330" s="1611"/>
      <c r="AN330" s="1611"/>
      <c r="AO330" s="1611"/>
      <c r="AP330" s="1611"/>
      <c r="AQ330" s="1611"/>
    </row>
    <row r="331" spans="1:43" outlineLevel="2">
      <c r="A331" s="1638" t="s">
        <v>312</v>
      </c>
      <c r="B331" s="1637" t="s">
        <v>120</v>
      </c>
      <c r="C331" s="1636"/>
      <c r="D331" s="1635">
        <v>3</v>
      </c>
      <c r="E331" s="1634" t="s">
        <v>964</v>
      </c>
      <c r="F331" s="1633" t="s">
        <v>1079</v>
      </c>
      <c r="G331" s="1632">
        <v>4159.8999416173692</v>
      </c>
      <c r="H331" s="1632">
        <v>4702.3100000000004</v>
      </c>
      <c r="I331" s="1630">
        <f t="shared" si="191"/>
        <v>8862.2099416173696</v>
      </c>
      <c r="J331" s="1630">
        <f t="shared" si="192"/>
        <v>26586.629824852109</v>
      </c>
      <c r="K331" s="1631">
        <v>6865</v>
      </c>
      <c r="L331" s="1630">
        <f t="shared" si="193"/>
        <v>6865</v>
      </c>
      <c r="M331" s="1630">
        <f t="shared" si="194"/>
        <v>20595</v>
      </c>
      <c r="N331" s="1625">
        <f t="shared" si="195"/>
        <v>5991.6298248521089</v>
      </c>
      <c r="O331" s="1629">
        <v>0.48699999999999999</v>
      </c>
      <c r="P331" s="1629">
        <v>0.51300000000000001</v>
      </c>
      <c r="Q331" s="1625">
        <f t="shared" si="196"/>
        <v>2917.9237247029769</v>
      </c>
      <c r="R331" s="1628">
        <f t="shared" si="197"/>
        <v>3073.706100149132</v>
      </c>
      <c r="S331" s="1627">
        <f t="shared" si="198"/>
        <v>9561.7761001491308</v>
      </c>
      <c r="T331" s="1627">
        <f t="shared" si="199"/>
        <v>11033.223899850869</v>
      </c>
      <c r="U331" s="1626">
        <f t="shared" si="200"/>
        <v>2390.4440250372827</v>
      </c>
      <c r="V331" s="1626">
        <f t="shared" si="201"/>
        <v>2758.3059749627173</v>
      </c>
      <c r="W331" s="1625">
        <f t="shared" si="202"/>
        <v>5148.75</v>
      </c>
      <c r="X331" s="1614"/>
      <c r="Y331" s="1613"/>
      <c r="Z331" s="1612">
        <f t="shared" si="203"/>
        <v>0.77463748266238031</v>
      </c>
      <c r="AA331" s="1611"/>
      <c r="AB331" s="1611"/>
      <c r="AC331" s="1611"/>
      <c r="AD331" s="1611"/>
      <c r="AE331" s="1611"/>
      <c r="AF331" s="1611"/>
      <c r="AG331" s="1611"/>
      <c r="AH331" s="1611"/>
      <c r="AI331" s="1611"/>
      <c r="AJ331" s="1611"/>
      <c r="AK331" s="1611"/>
      <c r="AL331" s="1611"/>
      <c r="AM331" s="1611"/>
      <c r="AN331" s="1611"/>
      <c r="AO331" s="1611"/>
      <c r="AP331" s="1611"/>
      <c r="AQ331" s="1611"/>
    </row>
    <row r="332" spans="1:43" outlineLevel="2">
      <c r="A332" s="1638" t="s">
        <v>312</v>
      </c>
      <c r="B332" s="1637" t="s">
        <v>120</v>
      </c>
      <c r="C332" s="1636"/>
      <c r="D332" s="1635">
        <v>1</v>
      </c>
      <c r="E332" s="1634" t="s">
        <v>964</v>
      </c>
      <c r="F332" s="1633" t="s">
        <v>1075</v>
      </c>
      <c r="G332" s="1632">
        <v>4159.8999416173692</v>
      </c>
      <c r="H332" s="1632">
        <v>4702.3100000000004</v>
      </c>
      <c r="I332" s="1630">
        <f t="shared" si="191"/>
        <v>8862.2099416173696</v>
      </c>
      <c r="J332" s="1630">
        <f t="shared" si="192"/>
        <v>8862.2099416173696</v>
      </c>
      <c r="K332" s="1631">
        <v>7015</v>
      </c>
      <c r="L332" s="1630">
        <f t="shared" si="193"/>
        <v>7015</v>
      </c>
      <c r="M332" s="1630">
        <f t="shared" si="194"/>
        <v>7015</v>
      </c>
      <c r="N332" s="1625">
        <f t="shared" si="195"/>
        <v>1847.2099416173696</v>
      </c>
      <c r="O332" s="1629">
        <v>0.48699999999999999</v>
      </c>
      <c r="P332" s="1629">
        <v>0.51300000000000001</v>
      </c>
      <c r="Q332" s="1625">
        <f t="shared" si="196"/>
        <v>899.59124156765904</v>
      </c>
      <c r="R332" s="1628">
        <f t="shared" si="197"/>
        <v>947.61870004971058</v>
      </c>
      <c r="S332" s="1627">
        <f t="shared" si="198"/>
        <v>3260.3087000497103</v>
      </c>
      <c r="T332" s="1627">
        <f t="shared" si="199"/>
        <v>3754.6912999502897</v>
      </c>
      <c r="U332" s="1626">
        <f t="shared" si="200"/>
        <v>815.07717501242757</v>
      </c>
      <c r="V332" s="1626">
        <f t="shared" si="201"/>
        <v>938.67282498757243</v>
      </c>
      <c r="W332" s="1625">
        <f t="shared" si="202"/>
        <v>1753.75</v>
      </c>
      <c r="X332" s="1614"/>
      <c r="Y332" s="1613"/>
      <c r="Z332" s="1612">
        <f t="shared" si="203"/>
        <v>0.79156328344888538</v>
      </c>
      <c r="AA332" s="1611"/>
      <c r="AB332" s="1611"/>
      <c r="AC332" s="1611"/>
      <c r="AD332" s="1611"/>
      <c r="AE332" s="1611"/>
      <c r="AF332" s="1611"/>
      <c r="AG332" s="1611"/>
      <c r="AH332" s="1611"/>
      <c r="AI332" s="1611"/>
      <c r="AJ332" s="1611"/>
      <c r="AK332" s="1611"/>
      <c r="AL332" s="1611"/>
      <c r="AM332" s="1611"/>
      <c r="AN332" s="1611"/>
      <c r="AO332" s="1611"/>
      <c r="AP332" s="1611"/>
      <c r="AQ332" s="1611"/>
    </row>
    <row r="333" spans="1:43" outlineLevel="2">
      <c r="A333" s="1638" t="s">
        <v>312</v>
      </c>
      <c r="B333" s="1637" t="s">
        <v>120</v>
      </c>
      <c r="C333" s="1636"/>
      <c r="D333" s="1635">
        <v>1</v>
      </c>
      <c r="E333" s="1634" t="s">
        <v>954</v>
      </c>
      <c r="F333" s="1633" t="s">
        <v>1070</v>
      </c>
      <c r="G333" s="1632">
        <v>4159.8999416173692</v>
      </c>
      <c r="H333" s="1632">
        <v>4702.3100000000004</v>
      </c>
      <c r="I333" s="1630">
        <f t="shared" si="191"/>
        <v>8862.2099416173696</v>
      </c>
      <c r="J333" s="1630">
        <f t="shared" si="192"/>
        <v>8862.2099416173696</v>
      </c>
      <c r="K333" s="1631">
        <v>4540</v>
      </c>
      <c r="L333" s="1630">
        <f t="shared" si="193"/>
        <v>4540</v>
      </c>
      <c r="M333" s="1630">
        <f t="shared" si="194"/>
        <v>4540</v>
      </c>
      <c r="N333" s="1625">
        <f t="shared" si="195"/>
        <v>4322.2099416173696</v>
      </c>
      <c r="O333" s="1629">
        <v>0.48699999999999999</v>
      </c>
      <c r="P333" s="1629">
        <v>0.51300000000000001</v>
      </c>
      <c r="Q333" s="1625">
        <f t="shared" si="196"/>
        <v>2104.9162415676587</v>
      </c>
      <c r="R333" s="1628">
        <f t="shared" si="197"/>
        <v>2217.2937000497109</v>
      </c>
      <c r="S333" s="1627">
        <f t="shared" si="198"/>
        <v>2054.9837000497105</v>
      </c>
      <c r="T333" s="1627">
        <f t="shared" si="199"/>
        <v>2485.0162999502895</v>
      </c>
      <c r="U333" s="1626">
        <f t="shared" si="200"/>
        <v>513.74592501242762</v>
      </c>
      <c r="V333" s="1626">
        <f t="shared" si="201"/>
        <v>621.25407498757238</v>
      </c>
      <c r="W333" s="1625">
        <f t="shared" si="202"/>
        <v>1135</v>
      </c>
      <c r="X333" s="1614"/>
      <c r="Y333" s="1613"/>
      <c r="Z333" s="1612">
        <f t="shared" si="203"/>
        <v>0.51228757047155238</v>
      </c>
      <c r="AA333" s="1611"/>
      <c r="AB333" s="1611"/>
      <c r="AC333" s="1611"/>
      <c r="AD333" s="1611"/>
      <c r="AE333" s="1611"/>
      <c r="AF333" s="1611"/>
      <c r="AG333" s="1611"/>
      <c r="AH333" s="1611"/>
      <c r="AI333" s="1611"/>
      <c r="AJ333" s="1611"/>
      <c r="AK333" s="1611"/>
      <c r="AL333" s="1611"/>
      <c r="AM333" s="1611"/>
      <c r="AN333" s="1611"/>
      <c r="AO333" s="1611"/>
      <c r="AP333" s="1611"/>
      <c r="AQ333" s="1611"/>
    </row>
    <row r="334" spans="1:43" outlineLevel="2">
      <c r="A334" s="1638" t="s">
        <v>312</v>
      </c>
      <c r="B334" s="1637" t="s">
        <v>120</v>
      </c>
      <c r="C334" s="1636"/>
      <c r="D334" s="1635">
        <v>1</v>
      </c>
      <c r="E334" s="1634" t="s">
        <v>951</v>
      </c>
      <c r="F334" s="1633" t="s">
        <v>1065</v>
      </c>
      <c r="G334" s="1632">
        <v>4159.8999416173692</v>
      </c>
      <c r="H334" s="1632">
        <v>4702.3100000000004</v>
      </c>
      <c r="I334" s="1630">
        <f t="shared" ref="I334:I365" si="204">G334+H334</f>
        <v>8862.2099416173696</v>
      </c>
      <c r="J334" s="1630">
        <f t="shared" ref="J334:J365" si="205">D334*I334</f>
        <v>8862.2099416173696</v>
      </c>
      <c r="K334" s="1631">
        <v>5025</v>
      </c>
      <c r="L334" s="1630">
        <f t="shared" ref="L334:L365" si="206">IF(I334&gt;K334,K334,I334)</f>
        <v>5025</v>
      </c>
      <c r="M334" s="1630">
        <f t="shared" ref="M334:M365" si="207">L334*D334</f>
        <v>5025</v>
      </c>
      <c r="N334" s="1625">
        <f t="shared" ref="N334:N365" si="208">J334-M334</f>
        <v>3837.2099416173696</v>
      </c>
      <c r="O334" s="1629">
        <v>0.48699999999999999</v>
      </c>
      <c r="P334" s="1629">
        <v>0.51300000000000001</v>
      </c>
      <c r="Q334" s="1625">
        <f t="shared" ref="Q334:Q365" si="209">N334*O334</f>
        <v>1868.721241567659</v>
      </c>
      <c r="R334" s="1628">
        <f t="shared" ref="R334:R365" si="210">N334*P334</f>
        <v>1968.4887000497106</v>
      </c>
      <c r="S334" s="1627">
        <f t="shared" ref="S334:S365" si="211">(G334*D334)-Q334</f>
        <v>2291.1787000497102</v>
      </c>
      <c r="T334" s="1627">
        <f t="shared" ref="T334:T365" si="212">(H334*D334)-R334</f>
        <v>2733.8212999502898</v>
      </c>
      <c r="U334" s="1626">
        <f t="shared" ref="U334:U365" si="213">S334/4</f>
        <v>572.79467501242755</v>
      </c>
      <c r="V334" s="1626">
        <f t="shared" ref="V334:V365" si="214">T334/4</f>
        <v>683.45532498757245</v>
      </c>
      <c r="W334" s="1625">
        <f t="shared" ref="W334:W365" si="215">V334+U334</f>
        <v>1256.25</v>
      </c>
      <c r="X334" s="1614"/>
      <c r="Y334" s="1613"/>
      <c r="Z334" s="1612">
        <f t="shared" ref="Z334:Z365" si="216">K334/I334</f>
        <v>0.5670143263479186</v>
      </c>
      <c r="AA334" s="1611"/>
      <c r="AB334" s="1611"/>
      <c r="AC334" s="1611"/>
      <c r="AD334" s="1611"/>
      <c r="AE334" s="1611"/>
      <c r="AF334" s="1611"/>
      <c r="AG334" s="1611"/>
      <c r="AH334" s="1611"/>
      <c r="AI334" s="1611"/>
      <c r="AJ334" s="1611"/>
      <c r="AK334" s="1611"/>
      <c r="AL334" s="1611"/>
      <c r="AM334" s="1611"/>
      <c r="AN334" s="1611"/>
      <c r="AO334" s="1611"/>
      <c r="AP334" s="1611"/>
      <c r="AQ334" s="1611"/>
    </row>
    <row r="335" spans="1:43" outlineLevel="2">
      <c r="A335" s="1638" t="s">
        <v>312</v>
      </c>
      <c r="B335" s="1637" t="s">
        <v>120</v>
      </c>
      <c r="C335" s="1636"/>
      <c r="D335" s="1635">
        <v>2</v>
      </c>
      <c r="E335" s="1634" t="s">
        <v>935</v>
      </c>
      <c r="F335" s="1633" t="s">
        <v>1070</v>
      </c>
      <c r="G335" s="1632">
        <v>4159.8999416173692</v>
      </c>
      <c r="H335" s="1632">
        <v>4702.3100000000004</v>
      </c>
      <c r="I335" s="1630">
        <f t="shared" si="204"/>
        <v>8862.2099416173696</v>
      </c>
      <c r="J335" s="1630">
        <f t="shared" si="205"/>
        <v>17724.419883234739</v>
      </c>
      <c r="K335" s="1631">
        <v>3035</v>
      </c>
      <c r="L335" s="1630">
        <f t="shared" si="206"/>
        <v>3035</v>
      </c>
      <c r="M335" s="1630">
        <f t="shared" si="207"/>
        <v>6070</v>
      </c>
      <c r="N335" s="1625">
        <f t="shared" si="208"/>
        <v>11654.419883234739</v>
      </c>
      <c r="O335" s="1629">
        <v>0.48699999999999999</v>
      </c>
      <c r="P335" s="1629">
        <v>0.51300000000000001</v>
      </c>
      <c r="Q335" s="1625">
        <f t="shared" si="209"/>
        <v>5675.7024831353183</v>
      </c>
      <c r="R335" s="1628">
        <f t="shared" si="210"/>
        <v>5978.717400099421</v>
      </c>
      <c r="S335" s="1627">
        <f t="shared" si="211"/>
        <v>2644.0974000994202</v>
      </c>
      <c r="T335" s="1627">
        <f t="shared" si="212"/>
        <v>3425.9025999005798</v>
      </c>
      <c r="U335" s="1626">
        <f t="shared" si="213"/>
        <v>661.02435002485504</v>
      </c>
      <c r="V335" s="1626">
        <f t="shared" si="214"/>
        <v>856.47564997514496</v>
      </c>
      <c r="W335" s="1625">
        <f t="shared" si="215"/>
        <v>1517.5</v>
      </c>
      <c r="X335" s="1614"/>
      <c r="Y335" s="1613"/>
      <c r="Z335" s="1612">
        <f t="shared" si="216"/>
        <v>0.34246536924695187</v>
      </c>
      <c r="AA335" s="1611"/>
      <c r="AB335" s="1611"/>
      <c r="AC335" s="1611"/>
      <c r="AD335" s="1611"/>
      <c r="AE335" s="1611"/>
      <c r="AF335" s="1611"/>
      <c r="AG335" s="1611"/>
      <c r="AH335" s="1611"/>
      <c r="AI335" s="1611"/>
      <c r="AJ335" s="1611"/>
      <c r="AK335" s="1611"/>
      <c r="AL335" s="1611"/>
      <c r="AM335" s="1611"/>
      <c r="AN335" s="1611"/>
      <c r="AO335" s="1611"/>
      <c r="AP335" s="1611"/>
      <c r="AQ335" s="1611"/>
    </row>
    <row r="336" spans="1:43" outlineLevel="2">
      <c r="A336" s="1638" t="s">
        <v>312</v>
      </c>
      <c r="B336" s="1637" t="s">
        <v>120</v>
      </c>
      <c r="C336" s="1636"/>
      <c r="D336" s="1635">
        <v>2</v>
      </c>
      <c r="E336" s="1634" t="s">
        <v>935</v>
      </c>
      <c r="F336" s="1633" t="s">
        <v>1069</v>
      </c>
      <c r="G336" s="1632">
        <v>4159.8999416173692</v>
      </c>
      <c r="H336" s="1632">
        <v>4702.3100000000004</v>
      </c>
      <c r="I336" s="1630">
        <f t="shared" si="204"/>
        <v>8862.2099416173696</v>
      </c>
      <c r="J336" s="1630">
        <f t="shared" si="205"/>
        <v>17724.419883234739</v>
      </c>
      <c r="K336" s="1631">
        <v>2995</v>
      </c>
      <c r="L336" s="1630">
        <f t="shared" si="206"/>
        <v>2995</v>
      </c>
      <c r="M336" s="1630">
        <f t="shared" si="207"/>
        <v>5990</v>
      </c>
      <c r="N336" s="1625">
        <f t="shared" si="208"/>
        <v>11734.419883234739</v>
      </c>
      <c r="O336" s="1629">
        <v>0.48699999999999999</v>
      </c>
      <c r="P336" s="1629">
        <v>0.51300000000000001</v>
      </c>
      <c r="Q336" s="1625">
        <f t="shared" si="209"/>
        <v>5714.6624831353183</v>
      </c>
      <c r="R336" s="1628">
        <f t="shared" si="210"/>
        <v>6019.7574000994209</v>
      </c>
      <c r="S336" s="1627">
        <f t="shared" si="211"/>
        <v>2605.1374000994201</v>
      </c>
      <c r="T336" s="1627">
        <f t="shared" si="212"/>
        <v>3384.8625999005799</v>
      </c>
      <c r="U336" s="1626">
        <f t="shared" si="213"/>
        <v>651.28435002485503</v>
      </c>
      <c r="V336" s="1626">
        <f t="shared" si="214"/>
        <v>846.21564997514497</v>
      </c>
      <c r="W336" s="1625">
        <f t="shared" si="215"/>
        <v>1497.5</v>
      </c>
      <c r="X336" s="1614"/>
      <c r="Y336" s="1613"/>
      <c r="Z336" s="1612">
        <f t="shared" si="216"/>
        <v>0.33795182237055049</v>
      </c>
      <c r="AA336" s="1611"/>
      <c r="AB336" s="1611"/>
      <c r="AC336" s="1611"/>
      <c r="AD336" s="1611"/>
      <c r="AE336" s="1611"/>
      <c r="AF336" s="1611"/>
      <c r="AG336" s="1611"/>
      <c r="AH336" s="1611"/>
      <c r="AI336" s="1611"/>
      <c r="AJ336" s="1611"/>
      <c r="AK336" s="1611"/>
      <c r="AL336" s="1611"/>
      <c r="AM336" s="1611"/>
      <c r="AN336" s="1611"/>
      <c r="AO336" s="1611"/>
      <c r="AP336" s="1611"/>
      <c r="AQ336" s="1611"/>
    </row>
    <row r="337" spans="1:43" outlineLevel="2">
      <c r="A337" s="1638" t="s">
        <v>312</v>
      </c>
      <c r="B337" s="1637" t="s">
        <v>120</v>
      </c>
      <c r="C337" s="1636"/>
      <c r="D337" s="1635">
        <v>3</v>
      </c>
      <c r="E337" s="1634" t="s">
        <v>935</v>
      </c>
      <c r="F337" s="1633" t="s">
        <v>1068</v>
      </c>
      <c r="G337" s="1632">
        <v>4159.8999416173692</v>
      </c>
      <c r="H337" s="1632">
        <v>4702.3100000000004</v>
      </c>
      <c r="I337" s="1630">
        <f t="shared" si="204"/>
        <v>8862.2099416173696</v>
      </c>
      <c r="J337" s="1630">
        <f t="shared" si="205"/>
        <v>26586.629824852109</v>
      </c>
      <c r="K337" s="1631">
        <v>2995</v>
      </c>
      <c r="L337" s="1630">
        <f t="shared" si="206"/>
        <v>2995</v>
      </c>
      <c r="M337" s="1630">
        <f t="shared" si="207"/>
        <v>8985</v>
      </c>
      <c r="N337" s="1625">
        <f t="shared" si="208"/>
        <v>17601.629824852109</v>
      </c>
      <c r="O337" s="1629">
        <v>0.48699999999999999</v>
      </c>
      <c r="P337" s="1629">
        <v>0.51300000000000001</v>
      </c>
      <c r="Q337" s="1625">
        <f t="shared" si="209"/>
        <v>8571.9937247029775</v>
      </c>
      <c r="R337" s="1628">
        <f t="shared" si="210"/>
        <v>9029.6361001491314</v>
      </c>
      <c r="S337" s="1627">
        <f t="shared" si="211"/>
        <v>3907.7061001491311</v>
      </c>
      <c r="T337" s="1627">
        <f t="shared" si="212"/>
        <v>5077.2938998508689</v>
      </c>
      <c r="U337" s="1626">
        <f t="shared" si="213"/>
        <v>976.92652503728277</v>
      </c>
      <c r="V337" s="1626">
        <f t="shared" si="214"/>
        <v>1269.3234749627172</v>
      </c>
      <c r="W337" s="1625">
        <f t="shared" si="215"/>
        <v>2246.25</v>
      </c>
      <c r="X337" s="1614"/>
      <c r="Y337" s="1613"/>
      <c r="Z337" s="1612">
        <f t="shared" si="216"/>
        <v>0.33795182237055049</v>
      </c>
      <c r="AA337" s="1611"/>
      <c r="AB337" s="1611"/>
      <c r="AC337" s="1611"/>
      <c r="AD337" s="1611"/>
      <c r="AE337" s="1611"/>
      <c r="AF337" s="1611"/>
      <c r="AG337" s="1611"/>
      <c r="AH337" s="1611"/>
      <c r="AI337" s="1611"/>
      <c r="AJ337" s="1611"/>
      <c r="AK337" s="1611"/>
      <c r="AL337" s="1611"/>
      <c r="AM337" s="1611"/>
      <c r="AN337" s="1611"/>
      <c r="AO337" s="1611"/>
      <c r="AP337" s="1611"/>
      <c r="AQ337" s="1611"/>
    </row>
    <row r="338" spans="1:43" outlineLevel="2">
      <c r="A338" s="1638" t="s">
        <v>312</v>
      </c>
      <c r="B338" s="1637" t="s">
        <v>120</v>
      </c>
      <c r="C338" s="1636"/>
      <c r="D338" s="1635">
        <v>1</v>
      </c>
      <c r="E338" s="1634" t="s">
        <v>935</v>
      </c>
      <c r="F338" s="1633" t="s">
        <v>1071</v>
      </c>
      <c r="G338" s="1632">
        <v>4159.8999416173692</v>
      </c>
      <c r="H338" s="1632">
        <v>4702.3100000000004</v>
      </c>
      <c r="I338" s="1630">
        <f t="shared" si="204"/>
        <v>8862.2099416173696</v>
      </c>
      <c r="J338" s="1630">
        <f t="shared" si="205"/>
        <v>8862.2099416173696</v>
      </c>
      <c r="K338" s="1631">
        <v>2995</v>
      </c>
      <c r="L338" s="1630">
        <f t="shared" si="206"/>
        <v>2995</v>
      </c>
      <c r="M338" s="1630">
        <f t="shared" si="207"/>
        <v>2995</v>
      </c>
      <c r="N338" s="1625">
        <f t="shared" si="208"/>
        <v>5867.2099416173696</v>
      </c>
      <c r="O338" s="1629">
        <v>0.48699999999999999</v>
      </c>
      <c r="P338" s="1629">
        <v>0.51300000000000001</v>
      </c>
      <c r="Q338" s="1625">
        <f t="shared" si="209"/>
        <v>2857.3312415676592</v>
      </c>
      <c r="R338" s="1628">
        <f t="shared" si="210"/>
        <v>3009.8787000497105</v>
      </c>
      <c r="S338" s="1627">
        <f t="shared" si="211"/>
        <v>1302.5687000497101</v>
      </c>
      <c r="T338" s="1627">
        <f t="shared" si="212"/>
        <v>1692.4312999502899</v>
      </c>
      <c r="U338" s="1626">
        <f t="shared" si="213"/>
        <v>325.64217501242751</v>
      </c>
      <c r="V338" s="1626">
        <f t="shared" si="214"/>
        <v>423.10782498757249</v>
      </c>
      <c r="W338" s="1625">
        <f t="shared" si="215"/>
        <v>748.75</v>
      </c>
      <c r="X338" s="1614"/>
      <c r="Y338" s="1613"/>
      <c r="Z338" s="1612">
        <f t="shared" si="216"/>
        <v>0.33795182237055049</v>
      </c>
      <c r="AA338" s="1611"/>
      <c r="AB338" s="1611"/>
      <c r="AC338" s="1611"/>
      <c r="AD338" s="1611"/>
      <c r="AE338" s="1611"/>
      <c r="AF338" s="1611"/>
      <c r="AG338" s="1611"/>
      <c r="AH338" s="1611"/>
      <c r="AI338" s="1611"/>
      <c r="AJ338" s="1611"/>
      <c r="AK338" s="1611"/>
      <c r="AL338" s="1611"/>
      <c r="AM338" s="1611"/>
      <c r="AN338" s="1611"/>
      <c r="AO338" s="1611"/>
      <c r="AP338" s="1611"/>
      <c r="AQ338" s="1611"/>
    </row>
    <row r="339" spans="1:43" outlineLevel="2">
      <c r="A339" s="1638" t="s">
        <v>312</v>
      </c>
      <c r="B339" s="1637" t="s">
        <v>120</v>
      </c>
      <c r="C339" s="1636"/>
      <c r="D339" s="1635">
        <v>1</v>
      </c>
      <c r="E339" s="1634" t="s">
        <v>935</v>
      </c>
      <c r="F339" s="1633" t="s">
        <v>1065</v>
      </c>
      <c r="G339" s="1632">
        <v>4159.8999416173692</v>
      </c>
      <c r="H339" s="1632">
        <v>4702.3100000000004</v>
      </c>
      <c r="I339" s="1630">
        <f t="shared" si="204"/>
        <v>8862.2099416173696</v>
      </c>
      <c r="J339" s="1630">
        <f t="shared" si="205"/>
        <v>8862.2099416173696</v>
      </c>
      <c r="K339" s="1631">
        <v>2995</v>
      </c>
      <c r="L339" s="1630">
        <f t="shared" si="206"/>
        <v>2995</v>
      </c>
      <c r="M339" s="1630">
        <f t="shared" si="207"/>
        <v>2995</v>
      </c>
      <c r="N339" s="1625">
        <f t="shared" si="208"/>
        <v>5867.2099416173696</v>
      </c>
      <c r="O339" s="1629">
        <v>0.48699999999999999</v>
      </c>
      <c r="P339" s="1629">
        <v>0.51300000000000001</v>
      </c>
      <c r="Q339" s="1625">
        <f t="shared" si="209"/>
        <v>2857.3312415676592</v>
      </c>
      <c r="R339" s="1628">
        <f t="shared" si="210"/>
        <v>3009.8787000497105</v>
      </c>
      <c r="S339" s="1627">
        <f t="shared" si="211"/>
        <v>1302.5687000497101</v>
      </c>
      <c r="T339" s="1627">
        <f t="shared" si="212"/>
        <v>1692.4312999502899</v>
      </c>
      <c r="U339" s="1626">
        <f t="shared" si="213"/>
        <v>325.64217501242751</v>
      </c>
      <c r="V339" s="1626">
        <f t="shared" si="214"/>
        <v>423.10782498757249</v>
      </c>
      <c r="W339" s="1625">
        <f t="shared" si="215"/>
        <v>748.75</v>
      </c>
      <c r="X339" s="1614"/>
      <c r="Y339" s="1613"/>
      <c r="Z339" s="1612">
        <f t="shared" si="216"/>
        <v>0.33795182237055049</v>
      </c>
      <c r="AA339" s="1611"/>
      <c r="AB339" s="1611"/>
      <c r="AC339" s="1611"/>
      <c r="AD339" s="1611"/>
      <c r="AE339" s="1611"/>
      <c r="AF339" s="1611"/>
      <c r="AG339" s="1611"/>
      <c r="AH339" s="1611"/>
      <c r="AI339" s="1611"/>
      <c r="AJ339" s="1611"/>
      <c r="AK339" s="1611"/>
      <c r="AL339" s="1611"/>
      <c r="AM339" s="1611"/>
      <c r="AN339" s="1611"/>
      <c r="AO339" s="1611"/>
      <c r="AP339" s="1611"/>
      <c r="AQ339" s="1611"/>
    </row>
    <row r="340" spans="1:43" outlineLevel="2">
      <c r="A340" s="1638" t="s">
        <v>312</v>
      </c>
      <c r="B340" s="1637" t="s">
        <v>120</v>
      </c>
      <c r="C340" s="1636"/>
      <c r="D340" s="1635">
        <v>3</v>
      </c>
      <c r="E340" s="1634" t="s">
        <v>935</v>
      </c>
      <c r="F340" s="1633" t="s">
        <v>1064</v>
      </c>
      <c r="G340" s="1632">
        <v>4159.8999416173692</v>
      </c>
      <c r="H340" s="1632">
        <v>4702.3100000000004</v>
      </c>
      <c r="I340" s="1630">
        <f t="shared" si="204"/>
        <v>8862.2099416173696</v>
      </c>
      <c r="J340" s="1630">
        <f t="shared" si="205"/>
        <v>26586.629824852109</v>
      </c>
      <c r="K340" s="1631">
        <v>2995</v>
      </c>
      <c r="L340" s="1630">
        <f t="shared" si="206"/>
        <v>2995</v>
      </c>
      <c r="M340" s="1630">
        <f t="shared" si="207"/>
        <v>8985</v>
      </c>
      <c r="N340" s="1625">
        <f t="shared" si="208"/>
        <v>17601.629824852109</v>
      </c>
      <c r="O340" s="1629">
        <v>0.48699999999999999</v>
      </c>
      <c r="P340" s="1629">
        <v>0.51300000000000001</v>
      </c>
      <c r="Q340" s="1625">
        <f t="shared" si="209"/>
        <v>8571.9937247029775</v>
      </c>
      <c r="R340" s="1628">
        <f t="shared" si="210"/>
        <v>9029.6361001491314</v>
      </c>
      <c r="S340" s="1627">
        <f t="shared" si="211"/>
        <v>3907.7061001491311</v>
      </c>
      <c r="T340" s="1627">
        <f t="shared" si="212"/>
        <v>5077.2938998508689</v>
      </c>
      <c r="U340" s="1626">
        <f t="shared" si="213"/>
        <v>976.92652503728277</v>
      </c>
      <c r="V340" s="1626">
        <f t="shared" si="214"/>
        <v>1269.3234749627172</v>
      </c>
      <c r="W340" s="1625">
        <f t="shared" si="215"/>
        <v>2246.25</v>
      </c>
      <c r="X340" s="1614"/>
      <c r="Y340" s="1613"/>
      <c r="Z340" s="1612">
        <f t="shared" si="216"/>
        <v>0.33795182237055049</v>
      </c>
      <c r="AA340" s="1611"/>
      <c r="AB340" s="1611"/>
      <c r="AC340" s="1611"/>
      <c r="AD340" s="1611"/>
      <c r="AE340" s="1611"/>
      <c r="AF340" s="1611"/>
      <c r="AG340" s="1611"/>
      <c r="AH340" s="1611"/>
      <c r="AI340" s="1611"/>
      <c r="AJ340" s="1611"/>
      <c r="AK340" s="1611"/>
      <c r="AL340" s="1611"/>
      <c r="AM340" s="1611"/>
      <c r="AN340" s="1611"/>
      <c r="AO340" s="1611"/>
      <c r="AP340" s="1611"/>
      <c r="AQ340" s="1611"/>
    </row>
    <row r="341" spans="1:43" outlineLevel="2">
      <c r="A341" s="1638" t="s">
        <v>312</v>
      </c>
      <c r="B341" s="1637" t="s">
        <v>120</v>
      </c>
      <c r="C341" s="1636"/>
      <c r="D341" s="1635">
        <v>2</v>
      </c>
      <c r="E341" s="1634" t="s">
        <v>935</v>
      </c>
      <c r="F341" s="1633" t="s">
        <v>1063</v>
      </c>
      <c r="G341" s="1632">
        <v>4159.8999416173692</v>
      </c>
      <c r="H341" s="1632">
        <v>4702.3100000000004</v>
      </c>
      <c r="I341" s="1630">
        <f t="shared" si="204"/>
        <v>8862.2099416173696</v>
      </c>
      <c r="J341" s="1630">
        <f t="shared" si="205"/>
        <v>17724.419883234739</v>
      </c>
      <c r="K341" s="1631">
        <v>2995</v>
      </c>
      <c r="L341" s="1630">
        <f t="shared" si="206"/>
        <v>2995</v>
      </c>
      <c r="M341" s="1630">
        <f t="shared" si="207"/>
        <v>5990</v>
      </c>
      <c r="N341" s="1625">
        <f t="shared" si="208"/>
        <v>11734.419883234739</v>
      </c>
      <c r="O341" s="1629">
        <v>0.48699999999999999</v>
      </c>
      <c r="P341" s="1629">
        <v>0.51300000000000001</v>
      </c>
      <c r="Q341" s="1625">
        <f t="shared" si="209"/>
        <v>5714.6624831353183</v>
      </c>
      <c r="R341" s="1628">
        <f t="shared" si="210"/>
        <v>6019.7574000994209</v>
      </c>
      <c r="S341" s="1627">
        <f t="shared" si="211"/>
        <v>2605.1374000994201</v>
      </c>
      <c r="T341" s="1627">
        <f t="shared" si="212"/>
        <v>3384.8625999005799</v>
      </c>
      <c r="U341" s="1626">
        <f t="shared" si="213"/>
        <v>651.28435002485503</v>
      </c>
      <c r="V341" s="1626">
        <f t="shared" si="214"/>
        <v>846.21564997514497</v>
      </c>
      <c r="W341" s="1625">
        <f t="shared" si="215"/>
        <v>1497.5</v>
      </c>
      <c r="X341" s="1614"/>
      <c r="Y341" s="1613"/>
      <c r="Z341" s="1612">
        <f t="shared" si="216"/>
        <v>0.33795182237055049</v>
      </c>
      <c r="AA341" s="1611"/>
      <c r="AB341" s="1611"/>
      <c r="AC341" s="1611"/>
      <c r="AD341" s="1611"/>
      <c r="AE341" s="1611"/>
      <c r="AF341" s="1611"/>
      <c r="AG341" s="1611"/>
      <c r="AH341" s="1611"/>
      <c r="AI341" s="1611"/>
      <c r="AJ341" s="1611"/>
      <c r="AK341" s="1611"/>
      <c r="AL341" s="1611"/>
      <c r="AM341" s="1611"/>
      <c r="AN341" s="1611"/>
      <c r="AO341" s="1611"/>
      <c r="AP341" s="1611"/>
      <c r="AQ341" s="1611"/>
    </row>
    <row r="342" spans="1:43" outlineLevel="2">
      <c r="A342" s="1638" t="s">
        <v>312</v>
      </c>
      <c r="B342" s="1637" t="s">
        <v>120</v>
      </c>
      <c r="C342" s="1636"/>
      <c r="D342" s="1635">
        <v>7</v>
      </c>
      <c r="E342" s="1634" t="s">
        <v>935</v>
      </c>
      <c r="F342" s="1633" t="s">
        <v>979</v>
      </c>
      <c r="G342" s="1632">
        <v>4159.8999416173692</v>
      </c>
      <c r="H342" s="1632">
        <v>4702.3100000000004</v>
      </c>
      <c r="I342" s="1630">
        <f t="shared" si="204"/>
        <v>8862.2099416173696</v>
      </c>
      <c r="J342" s="1630">
        <f t="shared" si="205"/>
        <v>62035.469591321584</v>
      </c>
      <c r="K342" s="1631">
        <v>3020</v>
      </c>
      <c r="L342" s="1630">
        <f t="shared" si="206"/>
        <v>3020</v>
      </c>
      <c r="M342" s="1630">
        <f t="shared" si="207"/>
        <v>21140</v>
      </c>
      <c r="N342" s="1625">
        <f t="shared" si="208"/>
        <v>40895.469591321584</v>
      </c>
      <c r="O342" s="1629">
        <v>0.48699999999999999</v>
      </c>
      <c r="P342" s="1629">
        <v>0.51300000000000001</v>
      </c>
      <c r="Q342" s="1625">
        <f t="shared" si="209"/>
        <v>19916.093690973612</v>
      </c>
      <c r="R342" s="1628">
        <f t="shared" si="210"/>
        <v>20979.375900347972</v>
      </c>
      <c r="S342" s="1627">
        <f t="shared" si="211"/>
        <v>9203.2059003479735</v>
      </c>
      <c r="T342" s="1627">
        <f t="shared" si="212"/>
        <v>11936.794099652034</v>
      </c>
      <c r="U342" s="1626">
        <f t="shared" si="213"/>
        <v>2300.8014750869934</v>
      </c>
      <c r="V342" s="1626">
        <f t="shared" si="214"/>
        <v>2984.1985249130084</v>
      </c>
      <c r="W342" s="1625">
        <f t="shared" si="215"/>
        <v>5285.0000000000018</v>
      </c>
      <c r="X342" s="1614"/>
      <c r="Y342" s="1613"/>
      <c r="Z342" s="1612">
        <f t="shared" si="216"/>
        <v>0.34077278916830134</v>
      </c>
      <c r="AA342" s="1611"/>
      <c r="AB342" s="1611"/>
      <c r="AC342" s="1611"/>
      <c r="AD342" s="1611"/>
      <c r="AE342" s="1611"/>
      <c r="AF342" s="1611"/>
      <c r="AG342" s="1611"/>
      <c r="AH342" s="1611"/>
      <c r="AI342" s="1611"/>
      <c r="AJ342" s="1611"/>
      <c r="AK342" s="1611"/>
      <c r="AL342" s="1611"/>
      <c r="AM342" s="1611"/>
      <c r="AN342" s="1611"/>
      <c r="AO342" s="1611"/>
      <c r="AP342" s="1611"/>
      <c r="AQ342" s="1611"/>
    </row>
    <row r="343" spans="1:43" outlineLevel="2">
      <c r="A343" s="1638" t="s">
        <v>312</v>
      </c>
      <c r="B343" s="1637" t="s">
        <v>120</v>
      </c>
      <c r="C343" s="1636"/>
      <c r="D343" s="1635">
        <v>2</v>
      </c>
      <c r="E343" s="1634" t="s">
        <v>947</v>
      </c>
      <c r="F343" s="1633" t="s">
        <v>1069</v>
      </c>
      <c r="G343" s="1632">
        <v>4159.8999416173692</v>
      </c>
      <c r="H343" s="1632">
        <v>4702.3100000000004</v>
      </c>
      <c r="I343" s="1630">
        <f t="shared" si="204"/>
        <v>8862.2099416173696</v>
      </c>
      <c r="J343" s="1630">
        <f t="shared" si="205"/>
        <v>17724.419883234739</v>
      </c>
      <c r="K343" s="1631">
        <v>4050</v>
      </c>
      <c r="L343" s="1630">
        <f t="shared" si="206"/>
        <v>4050</v>
      </c>
      <c r="M343" s="1630">
        <f t="shared" si="207"/>
        <v>8100</v>
      </c>
      <c r="N343" s="1625">
        <f t="shared" si="208"/>
        <v>9624.4198832347392</v>
      </c>
      <c r="O343" s="1629">
        <v>0.48699999999999999</v>
      </c>
      <c r="P343" s="1629">
        <v>0.51300000000000001</v>
      </c>
      <c r="Q343" s="1625">
        <f t="shared" si="209"/>
        <v>4687.0924831353177</v>
      </c>
      <c r="R343" s="1628">
        <f t="shared" si="210"/>
        <v>4937.3274000994215</v>
      </c>
      <c r="S343" s="1627">
        <f t="shared" si="211"/>
        <v>3632.7074000994207</v>
      </c>
      <c r="T343" s="1627">
        <f t="shared" si="212"/>
        <v>4467.2925999005793</v>
      </c>
      <c r="U343" s="1626">
        <f t="shared" si="213"/>
        <v>908.17685002485518</v>
      </c>
      <c r="V343" s="1626">
        <f t="shared" si="214"/>
        <v>1116.8231499751448</v>
      </c>
      <c r="W343" s="1625">
        <f t="shared" si="215"/>
        <v>2025</v>
      </c>
      <c r="X343" s="1614"/>
      <c r="Y343" s="1613"/>
      <c r="Z343" s="1612">
        <f t="shared" si="216"/>
        <v>0.45699662123563589</v>
      </c>
      <c r="AA343" s="1611"/>
      <c r="AB343" s="1611"/>
      <c r="AC343" s="1611"/>
      <c r="AD343" s="1611"/>
      <c r="AE343" s="1611"/>
      <c r="AF343" s="1611"/>
      <c r="AG343" s="1611"/>
      <c r="AH343" s="1611"/>
      <c r="AI343" s="1611"/>
      <c r="AJ343" s="1611"/>
      <c r="AK343" s="1611"/>
      <c r="AL343" s="1611"/>
      <c r="AM343" s="1611"/>
      <c r="AN343" s="1611"/>
      <c r="AO343" s="1611"/>
      <c r="AP343" s="1611"/>
      <c r="AQ343" s="1611"/>
    </row>
    <row r="344" spans="1:43" outlineLevel="2">
      <c r="A344" s="1638" t="s">
        <v>312</v>
      </c>
      <c r="B344" s="1637" t="s">
        <v>120</v>
      </c>
      <c r="C344" s="1636"/>
      <c r="D344" s="1635">
        <v>4</v>
      </c>
      <c r="E344" s="1634" t="s">
        <v>947</v>
      </c>
      <c r="F344" s="1633" t="s">
        <v>1071</v>
      </c>
      <c r="G344" s="1632">
        <v>4159.8999416173692</v>
      </c>
      <c r="H344" s="1632">
        <v>4702.3100000000004</v>
      </c>
      <c r="I344" s="1630">
        <f t="shared" si="204"/>
        <v>8862.2099416173696</v>
      </c>
      <c r="J344" s="1630">
        <f t="shared" si="205"/>
        <v>35448.839766469478</v>
      </c>
      <c r="K344" s="1631">
        <v>4050</v>
      </c>
      <c r="L344" s="1630">
        <f t="shared" si="206"/>
        <v>4050</v>
      </c>
      <c r="M344" s="1630">
        <f t="shared" si="207"/>
        <v>16200</v>
      </c>
      <c r="N344" s="1625">
        <f t="shared" si="208"/>
        <v>19248.839766469478</v>
      </c>
      <c r="O344" s="1629">
        <v>0.48699999999999999</v>
      </c>
      <c r="P344" s="1629">
        <v>0.51300000000000001</v>
      </c>
      <c r="Q344" s="1625">
        <f t="shared" si="209"/>
        <v>9374.1849662706354</v>
      </c>
      <c r="R344" s="1628">
        <f t="shared" si="210"/>
        <v>9874.6548001988431</v>
      </c>
      <c r="S344" s="1627">
        <f t="shared" si="211"/>
        <v>7265.4148001988415</v>
      </c>
      <c r="T344" s="1627">
        <f t="shared" si="212"/>
        <v>8934.5851998011585</v>
      </c>
      <c r="U344" s="1626">
        <f t="shared" si="213"/>
        <v>1816.3537000497104</v>
      </c>
      <c r="V344" s="1626">
        <f t="shared" si="214"/>
        <v>2233.6462999502896</v>
      </c>
      <c r="W344" s="1625">
        <f t="shared" si="215"/>
        <v>4050</v>
      </c>
      <c r="X344" s="1614"/>
      <c r="Y344" s="1613"/>
      <c r="Z344" s="1612">
        <f t="shared" si="216"/>
        <v>0.45699662123563589</v>
      </c>
      <c r="AA344" s="1611"/>
      <c r="AB344" s="1611"/>
      <c r="AC344" s="1611"/>
      <c r="AD344" s="1611"/>
      <c r="AE344" s="1611"/>
      <c r="AF344" s="1611"/>
      <c r="AG344" s="1611"/>
      <c r="AH344" s="1611"/>
      <c r="AI344" s="1611"/>
      <c r="AJ344" s="1611"/>
      <c r="AK344" s="1611"/>
      <c r="AL344" s="1611"/>
      <c r="AM344" s="1611"/>
      <c r="AN344" s="1611"/>
      <c r="AO344" s="1611"/>
      <c r="AP344" s="1611"/>
      <c r="AQ344" s="1611"/>
    </row>
    <row r="345" spans="1:43" outlineLevel="2">
      <c r="A345" s="1638" t="s">
        <v>312</v>
      </c>
      <c r="B345" s="1637" t="s">
        <v>120</v>
      </c>
      <c r="C345" s="1636"/>
      <c r="D345" s="1635">
        <v>1</v>
      </c>
      <c r="E345" s="1634" t="s">
        <v>947</v>
      </c>
      <c r="F345" s="1633" t="s">
        <v>1065</v>
      </c>
      <c r="G345" s="1632">
        <v>4159.8999416173692</v>
      </c>
      <c r="H345" s="1632">
        <v>4702.3100000000004</v>
      </c>
      <c r="I345" s="1630">
        <f t="shared" si="204"/>
        <v>8862.2099416173696</v>
      </c>
      <c r="J345" s="1630">
        <f t="shared" si="205"/>
        <v>8862.2099416173696</v>
      </c>
      <c r="K345" s="1631">
        <v>4250</v>
      </c>
      <c r="L345" s="1630">
        <f t="shared" si="206"/>
        <v>4250</v>
      </c>
      <c r="M345" s="1630">
        <f t="shared" si="207"/>
        <v>4250</v>
      </c>
      <c r="N345" s="1625">
        <f t="shared" si="208"/>
        <v>4612.2099416173696</v>
      </c>
      <c r="O345" s="1629">
        <v>0.48699999999999999</v>
      </c>
      <c r="P345" s="1629">
        <v>0.51300000000000001</v>
      </c>
      <c r="Q345" s="1625">
        <f t="shared" si="209"/>
        <v>2246.1462415676588</v>
      </c>
      <c r="R345" s="1628">
        <f t="shared" si="210"/>
        <v>2366.0637000497109</v>
      </c>
      <c r="S345" s="1627">
        <f t="shared" si="211"/>
        <v>1913.7537000497105</v>
      </c>
      <c r="T345" s="1627">
        <f t="shared" si="212"/>
        <v>2336.2462999502895</v>
      </c>
      <c r="U345" s="1626">
        <f t="shared" si="213"/>
        <v>478.43842501242762</v>
      </c>
      <c r="V345" s="1626">
        <f t="shared" si="214"/>
        <v>584.06157498757238</v>
      </c>
      <c r="W345" s="1625">
        <f t="shared" si="215"/>
        <v>1062.5</v>
      </c>
      <c r="X345" s="1614"/>
      <c r="Y345" s="1613"/>
      <c r="Z345" s="1612">
        <f t="shared" si="216"/>
        <v>0.4795643556176426</v>
      </c>
      <c r="AA345" s="1611"/>
      <c r="AB345" s="1611"/>
      <c r="AC345" s="1611"/>
      <c r="AD345" s="1611"/>
      <c r="AE345" s="1611"/>
      <c r="AF345" s="1611"/>
      <c r="AG345" s="1611"/>
      <c r="AH345" s="1611"/>
      <c r="AI345" s="1611"/>
      <c r="AJ345" s="1611"/>
      <c r="AK345" s="1611"/>
      <c r="AL345" s="1611"/>
      <c r="AM345" s="1611"/>
      <c r="AN345" s="1611"/>
      <c r="AO345" s="1611"/>
      <c r="AP345" s="1611"/>
      <c r="AQ345" s="1611"/>
    </row>
    <row r="346" spans="1:43" outlineLevel="2">
      <c r="A346" s="1638" t="s">
        <v>312</v>
      </c>
      <c r="B346" s="1637" t="s">
        <v>120</v>
      </c>
      <c r="C346" s="1636"/>
      <c r="D346" s="1635">
        <v>2</v>
      </c>
      <c r="E346" s="1634" t="s">
        <v>947</v>
      </c>
      <c r="F346" s="1633" t="s">
        <v>1064</v>
      </c>
      <c r="G346" s="1632">
        <v>4159.8999416173692</v>
      </c>
      <c r="H346" s="1632">
        <v>4702.3100000000004</v>
      </c>
      <c r="I346" s="1630">
        <f t="shared" si="204"/>
        <v>8862.2099416173696</v>
      </c>
      <c r="J346" s="1630">
        <f t="shared" si="205"/>
        <v>17724.419883234739</v>
      </c>
      <c r="K346" s="1631">
        <v>4250</v>
      </c>
      <c r="L346" s="1630">
        <f t="shared" si="206"/>
        <v>4250</v>
      </c>
      <c r="M346" s="1630">
        <f t="shared" si="207"/>
        <v>8500</v>
      </c>
      <c r="N346" s="1625">
        <f t="shared" si="208"/>
        <v>9224.4198832347392</v>
      </c>
      <c r="O346" s="1629">
        <v>0.48699999999999999</v>
      </c>
      <c r="P346" s="1629">
        <v>0.51300000000000001</v>
      </c>
      <c r="Q346" s="1625">
        <f t="shared" si="209"/>
        <v>4492.2924831353175</v>
      </c>
      <c r="R346" s="1628">
        <f t="shared" si="210"/>
        <v>4732.1274000994217</v>
      </c>
      <c r="S346" s="1627">
        <f t="shared" si="211"/>
        <v>3827.5074000994209</v>
      </c>
      <c r="T346" s="1627">
        <f t="shared" si="212"/>
        <v>4672.4925999005791</v>
      </c>
      <c r="U346" s="1626">
        <f t="shared" si="213"/>
        <v>956.87685002485523</v>
      </c>
      <c r="V346" s="1626">
        <f t="shared" si="214"/>
        <v>1168.1231499751448</v>
      </c>
      <c r="W346" s="1625">
        <f t="shared" si="215"/>
        <v>2125</v>
      </c>
      <c r="X346" s="1614"/>
      <c r="Y346" s="1613"/>
      <c r="Z346" s="1612">
        <f t="shared" si="216"/>
        <v>0.4795643556176426</v>
      </c>
      <c r="AA346" s="1611"/>
      <c r="AB346" s="1611"/>
      <c r="AC346" s="1611"/>
      <c r="AD346" s="1611"/>
      <c r="AE346" s="1611"/>
      <c r="AF346" s="1611"/>
      <c r="AG346" s="1611"/>
      <c r="AH346" s="1611"/>
      <c r="AI346" s="1611"/>
      <c r="AJ346" s="1611"/>
      <c r="AK346" s="1611"/>
      <c r="AL346" s="1611"/>
      <c r="AM346" s="1611"/>
      <c r="AN346" s="1611"/>
      <c r="AO346" s="1611"/>
      <c r="AP346" s="1611"/>
      <c r="AQ346" s="1611"/>
    </row>
    <row r="347" spans="1:43" outlineLevel="2">
      <c r="A347" s="1638" t="s">
        <v>312</v>
      </c>
      <c r="B347" s="1637" t="s">
        <v>120</v>
      </c>
      <c r="C347" s="1636"/>
      <c r="D347" s="1635">
        <v>1</v>
      </c>
      <c r="E347" s="1634" t="s">
        <v>947</v>
      </c>
      <c r="F347" s="1633" t="s">
        <v>1063</v>
      </c>
      <c r="G347" s="1632">
        <v>4159.8999416173692</v>
      </c>
      <c r="H347" s="1632">
        <v>4702.3100000000004</v>
      </c>
      <c r="I347" s="1630">
        <f t="shared" si="204"/>
        <v>8862.2099416173696</v>
      </c>
      <c r="J347" s="1630">
        <f t="shared" si="205"/>
        <v>8862.2099416173696</v>
      </c>
      <c r="K347" s="1631">
        <v>4250</v>
      </c>
      <c r="L347" s="1630">
        <f t="shared" si="206"/>
        <v>4250</v>
      </c>
      <c r="M347" s="1630">
        <f t="shared" si="207"/>
        <v>4250</v>
      </c>
      <c r="N347" s="1625">
        <f t="shared" si="208"/>
        <v>4612.2099416173696</v>
      </c>
      <c r="O347" s="1629">
        <v>0.48699999999999999</v>
      </c>
      <c r="P347" s="1629">
        <v>0.51300000000000001</v>
      </c>
      <c r="Q347" s="1625">
        <f t="shared" si="209"/>
        <v>2246.1462415676588</v>
      </c>
      <c r="R347" s="1628">
        <f t="shared" si="210"/>
        <v>2366.0637000497109</v>
      </c>
      <c r="S347" s="1627">
        <f t="shared" si="211"/>
        <v>1913.7537000497105</v>
      </c>
      <c r="T347" s="1627">
        <f t="shared" si="212"/>
        <v>2336.2462999502895</v>
      </c>
      <c r="U347" s="1626">
        <f t="shared" si="213"/>
        <v>478.43842501242762</v>
      </c>
      <c r="V347" s="1626">
        <f t="shared" si="214"/>
        <v>584.06157498757238</v>
      </c>
      <c r="W347" s="1625">
        <f t="shared" si="215"/>
        <v>1062.5</v>
      </c>
      <c r="X347" s="1614"/>
      <c r="Y347" s="1613"/>
      <c r="Z347" s="1612">
        <f t="shared" si="216"/>
        <v>0.4795643556176426</v>
      </c>
      <c r="AA347" s="1611"/>
      <c r="AB347" s="1611"/>
      <c r="AC347" s="1611"/>
      <c r="AD347" s="1611"/>
      <c r="AE347" s="1611"/>
      <c r="AF347" s="1611"/>
      <c r="AG347" s="1611"/>
      <c r="AH347" s="1611"/>
      <c r="AI347" s="1611"/>
      <c r="AJ347" s="1611"/>
      <c r="AK347" s="1611"/>
      <c r="AL347" s="1611"/>
      <c r="AM347" s="1611"/>
      <c r="AN347" s="1611"/>
      <c r="AO347" s="1611"/>
      <c r="AP347" s="1611"/>
      <c r="AQ347" s="1611"/>
    </row>
    <row r="348" spans="1:43" outlineLevel="2">
      <c r="A348" s="1638" t="s">
        <v>312</v>
      </c>
      <c r="B348" s="1637" t="s">
        <v>120</v>
      </c>
      <c r="C348" s="1636"/>
      <c r="D348" s="1635">
        <v>11</v>
      </c>
      <c r="E348" s="1634" t="s">
        <v>947</v>
      </c>
      <c r="F348" s="1633" t="s">
        <v>979</v>
      </c>
      <c r="G348" s="1632">
        <v>4159.8999416173692</v>
      </c>
      <c r="H348" s="1632">
        <v>4702.3100000000004</v>
      </c>
      <c r="I348" s="1630">
        <f t="shared" si="204"/>
        <v>8862.2099416173696</v>
      </c>
      <c r="J348" s="1630">
        <f t="shared" si="205"/>
        <v>97484.309357791062</v>
      </c>
      <c r="K348" s="1631">
        <v>4050</v>
      </c>
      <c r="L348" s="1630">
        <f t="shared" si="206"/>
        <v>4050</v>
      </c>
      <c r="M348" s="1630">
        <f t="shared" si="207"/>
        <v>44550</v>
      </c>
      <c r="N348" s="1625">
        <f t="shared" si="208"/>
        <v>52934.309357791062</v>
      </c>
      <c r="O348" s="1629">
        <v>0.48699999999999999</v>
      </c>
      <c r="P348" s="1629">
        <v>0.51300000000000001</v>
      </c>
      <c r="Q348" s="1625">
        <f t="shared" si="209"/>
        <v>25779.008657244245</v>
      </c>
      <c r="R348" s="1628">
        <f t="shared" si="210"/>
        <v>27155.300700546817</v>
      </c>
      <c r="S348" s="1627">
        <f t="shared" si="211"/>
        <v>19979.890700546814</v>
      </c>
      <c r="T348" s="1627">
        <f t="shared" si="212"/>
        <v>24570.109299453186</v>
      </c>
      <c r="U348" s="1626">
        <f t="shared" si="213"/>
        <v>4994.9726751367034</v>
      </c>
      <c r="V348" s="1626">
        <f t="shared" si="214"/>
        <v>6142.5273248632966</v>
      </c>
      <c r="W348" s="1625">
        <f t="shared" si="215"/>
        <v>11137.5</v>
      </c>
      <c r="X348" s="1614"/>
      <c r="Y348" s="1613"/>
      <c r="Z348" s="1612">
        <f t="shared" si="216"/>
        <v>0.45699662123563589</v>
      </c>
      <c r="AA348" s="1611"/>
      <c r="AB348" s="1611"/>
      <c r="AC348" s="1611"/>
      <c r="AD348" s="1611"/>
      <c r="AE348" s="1611"/>
      <c r="AF348" s="1611"/>
      <c r="AG348" s="1611"/>
      <c r="AH348" s="1611"/>
      <c r="AI348" s="1611"/>
      <c r="AJ348" s="1611"/>
      <c r="AK348" s="1611"/>
      <c r="AL348" s="1611"/>
      <c r="AM348" s="1611"/>
      <c r="AN348" s="1611"/>
      <c r="AO348" s="1611"/>
      <c r="AP348" s="1611"/>
      <c r="AQ348" s="1611"/>
    </row>
    <row r="349" spans="1:43" outlineLevel="2">
      <c r="A349" s="1638" t="s">
        <v>312</v>
      </c>
      <c r="B349" s="1637" t="s">
        <v>120</v>
      </c>
      <c r="C349" s="1636"/>
      <c r="D349" s="1635">
        <v>1</v>
      </c>
      <c r="E349" s="1634" t="s">
        <v>1098</v>
      </c>
      <c r="F349" s="1633" t="s">
        <v>979</v>
      </c>
      <c r="G349" s="1632">
        <v>4159.8999416173692</v>
      </c>
      <c r="H349" s="1632">
        <v>4702.3100000000004</v>
      </c>
      <c r="I349" s="1630">
        <f t="shared" si="204"/>
        <v>8862.2099416173696</v>
      </c>
      <c r="J349" s="1630">
        <f t="shared" si="205"/>
        <v>8862.2099416173696</v>
      </c>
      <c r="K349" s="1631">
        <v>8827</v>
      </c>
      <c r="L349" s="1630">
        <f t="shared" si="206"/>
        <v>8827</v>
      </c>
      <c r="M349" s="1630">
        <f t="shared" si="207"/>
        <v>8827</v>
      </c>
      <c r="N349" s="1625">
        <f t="shared" si="208"/>
        <v>35.209941617369623</v>
      </c>
      <c r="O349" s="1629">
        <v>0.48699999999999999</v>
      </c>
      <c r="P349" s="1629">
        <v>0.51300000000000001</v>
      </c>
      <c r="Q349" s="1625">
        <f t="shared" si="209"/>
        <v>17.147241567659005</v>
      </c>
      <c r="R349" s="1628">
        <f t="shared" si="210"/>
        <v>18.062700049710617</v>
      </c>
      <c r="S349" s="1627">
        <f t="shared" si="211"/>
        <v>4142.7527000497103</v>
      </c>
      <c r="T349" s="1627">
        <f t="shared" si="212"/>
        <v>4684.2472999502897</v>
      </c>
      <c r="U349" s="1626">
        <f t="shared" si="213"/>
        <v>1035.6881750124276</v>
      </c>
      <c r="V349" s="1626">
        <f t="shared" si="214"/>
        <v>1171.0618249875724</v>
      </c>
      <c r="W349" s="1625">
        <f t="shared" si="215"/>
        <v>2206.75</v>
      </c>
      <c r="X349" s="1614"/>
      <c r="Y349" s="1613"/>
      <c r="Z349" s="1612">
        <f t="shared" si="216"/>
        <v>0.9960269569498662</v>
      </c>
      <c r="AA349" s="1611"/>
      <c r="AB349" s="1611"/>
      <c r="AC349" s="1611"/>
      <c r="AD349" s="1611"/>
      <c r="AE349" s="1611"/>
      <c r="AF349" s="1611"/>
      <c r="AG349" s="1611"/>
      <c r="AH349" s="1611"/>
      <c r="AI349" s="1611"/>
      <c r="AJ349" s="1611"/>
      <c r="AK349" s="1611"/>
      <c r="AL349" s="1611"/>
      <c r="AM349" s="1611"/>
      <c r="AN349" s="1611"/>
      <c r="AO349" s="1611"/>
      <c r="AP349" s="1611"/>
      <c r="AQ349" s="1611"/>
    </row>
    <row r="350" spans="1:43" outlineLevel="2">
      <c r="A350" s="1638" t="s">
        <v>312</v>
      </c>
      <c r="B350" s="1637" t="s">
        <v>120</v>
      </c>
      <c r="C350" s="1636"/>
      <c r="D350" s="1635">
        <v>0</v>
      </c>
      <c r="E350" s="1634" t="s">
        <v>963</v>
      </c>
      <c r="F350" s="1633" t="s">
        <v>1068</v>
      </c>
      <c r="G350" s="1632">
        <v>4159.8999416173692</v>
      </c>
      <c r="H350" s="1632">
        <v>4702.3100000000004</v>
      </c>
      <c r="I350" s="1630">
        <f t="shared" si="204"/>
        <v>8862.2099416173696</v>
      </c>
      <c r="J350" s="1630">
        <f t="shared" si="205"/>
        <v>0</v>
      </c>
      <c r="K350" s="1631">
        <v>3850</v>
      </c>
      <c r="L350" s="1630">
        <f t="shared" si="206"/>
        <v>3850</v>
      </c>
      <c r="M350" s="1630">
        <f t="shared" si="207"/>
        <v>0</v>
      </c>
      <c r="N350" s="1625">
        <f t="shared" si="208"/>
        <v>0</v>
      </c>
      <c r="O350" s="1629">
        <v>0.48699999999999999</v>
      </c>
      <c r="P350" s="1629">
        <v>0.51300000000000001</v>
      </c>
      <c r="Q350" s="1625">
        <f t="shared" si="209"/>
        <v>0</v>
      </c>
      <c r="R350" s="1628">
        <f t="shared" si="210"/>
        <v>0</v>
      </c>
      <c r="S350" s="1627">
        <f t="shared" si="211"/>
        <v>0</v>
      </c>
      <c r="T350" s="1627">
        <f t="shared" si="212"/>
        <v>0</v>
      </c>
      <c r="U350" s="1626">
        <f t="shared" si="213"/>
        <v>0</v>
      </c>
      <c r="V350" s="1626">
        <f t="shared" si="214"/>
        <v>0</v>
      </c>
      <c r="W350" s="1625">
        <f t="shared" si="215"/>
        <v>0</v>
      </c>
      <c r="X350" s="1614"/>
      <c r="Y350" s="1613"/>
      <c r="Z350" s="1612">
        <f t="shared" si="216"/>
        <v>0.43442888685362918</v>
      </c>
      <c r="AA350" s="1611"/>
      <c r="AB350" s="1611"/>
      <c r="AC350" s="1611"/>
      <c r="AD350" s="1611"/>
      <c r="AE350" s="1611"/>
      <c r="AF350" s="1611"/>
      <c r="AG350" s="1611"/>
      <c r="AH350" s="1611"/>
      <c r="AI350" s="1611"/>
      <c r="AJ350" s="1611"/>
      <c r="AK350" s="1611"/>
      <c r="AL350" s="1611"/>
      <c r="AM350" s="1611"/>
      <c r="AN350" s="1611"/>
      <c r="AO350" s="1611"/>
      <c r="AP350" s="1611"/>
      <c r="AQ350" s="1611"/>
    </row>
    <row r="351" spans="1:43" outlineLevel="2">
      <c r="A351" s="1638" t="s">
        <v>312</v>
      </c>
      <c r="B351" s="1637" t="s">
        <v>120</v>
      </c>
      <c r="C351" s="1636"/>
      <c r="D351" s="1635">
        <v>0</v>
      </c>
      <c r="E351" s="1634" t="s">
        <v>963</v>
      </c>
      <c r="F351" s="1633" t="s">
        <v>1065</v>
      </c>
      <c r="G351" s="1632">
        <v>4159.8999416173692</v>
      </c>
      <c r="H351" s="1632">
        <v>4702.3100000000004</v>
      </c>
      <c r="I351" s="1630">
        <f t="shared" si="204"/>
        <v>8862.2099416173696</v>
      </c>
      <c r="J351" s="1630">
        <f t="shared" si="205"/>
        <v>0</v>
      </c>
      <c r="K351" s="1631">
        <v>3850</v>
      </c>
      <c r="L351" s="1630">
        <f t="shared" si="206"/>
        <v>3850</v>
      </c>
      <c r="M351" s="1630">
        <f t="shared" si="207"/>
        <v>0</v>
      </c>
      <c r="N351" s="1625">
        <f t="shared" si="208"/>
        <v>0</v>
      </c>
      <c r="O351" s="1629">
        <v>0.48699999999999999</v>
      </c>
      <c r="P351" s="1629">
        <v>0.51300000000000001</v>
      </c>
      <c r="Q351" s="1625">
        <f t="shared" si="209"/>
        <v>0</v>
      </c>
      <c r="R351" s="1628">
        <f t="shared" si="210"/>
        <v>0</v>
      </c>
      <c r="S351" s="1627">
        <f t="shared" si="211"/>
        <v>0</v>
      </c>
      <c r="T351" s="1627">
        <f t="shared" si="212"/>
        <v>0</v>
      </c>
      <c r="U351" s="1626">
        <f t="shared" si="213"/>
        <v>0</v>
      </c>
      <c r="V351" s="1626">
        <f t="shared" si="214"/>
        <v>0</v>
      </c>
      <c r="W351" s="1625">
        <f t="shared" si="215"/>
        <v>0</v>
      </c>
      <c r="X351" s="1614"/>
      <c r="Y351" s="1613"/>
      <c r="Z351" s="1612">
        <f t="shared" si="216"/>
        <v>0.43442888685362918</v>
      </c>
      <c r="AA351" s="1611"/>
      <c r="AB351" s="1611"/>
      <c r="AC351" s="1611"/>
      <c r="AD351" s="1611"/>
      <c r="AE351" s="1611"/>
      <c r="AF351" s="1611"/>
      <c r="AG351" s="1611"/>
      <c r="AH351" s="1611"/>
      <c r="AI351" s="1611"/>
      <c r="AJ351" s="1611"/>
      <c r="AK351" s="1611"/>
      <c r="AL351" s="1611"/>
      <c r="AM351" s="1611"/>
      <c r="AN351" s="1611"/>
      <c r="AO351" s="1611"/>
      <c r="AP351" s="1611"/>
      <c r="AQ351" s="1611"/>
    </row>
    <row r="352" spans="1:43" outlineLevel="2">
      <c r="A352" s="1638" t="s">
        <v>312</v>
      </c>
      <c r="B352" s="1637" t="s">
        <v>120</v>
      </c>
      <c r="C352" s="1636"/>
      <c r="D352" s="1635">
        <v>0</v>
      </c>
      <c r="E352" s="1634" t="s">
        <v>963</v>
      </c>
      <c r="F352" s="1633" t="s">
        <v>979</v>
      </c>
      <c r="G352" s="1632">
        <v>4159.8999416173692</v>
      </c>
      <c r="H352" s="1632">
        <v>4702.3100000000004</v>
      </c>
      <c r="I352" s="1630">
        <f t="shared" si="204"/>
        <v>8862.2099416173696</v>
      </c>
      <c r="J352" s="1630">
        <f t="shared" si="205"/>
        <v>0</v>
      </c>
      <c r="K352" s="1631">
        <v>3850</v>
      </c>
      <c r="L352" s="1630">
        <f t="shared" si="206"/>
        <v>3850</v>
      </c>
      <c r="M352" s="1630">
        <f t="shared" si="207"/>
        <v>0</v>
      </c>
      <c r="N352" s="1625">
        <f t="shared" si="208"/>
        <v>0</v>
      </c>
      <c r="O352" s="1629">
        <v>0.48699999999999999</v>
      </c>
      <c r="P352" s="1629">
        <v>0.51300000000000001</v>
      </c>
      <c r="Q352" s="1625">
        <f t="shared" si="209"/>
        <v>0</v>
      </c>
      <c r="R352" s="1628">
        <f t="shared" si="210"/>
        <v>0</v>
      </c>
      <c r="S352" s="1627">
        <f t="shared" si="211"/>
        <v>0</v>
      </c>
      <c r="T352" s="1627">
        <f t="shared" si="212"/>
        <v>0</v>
      </c>
      <c r="U352" s="1626">
        <f t="shared" si="213"/>
        <v>0</v>
      </c>
      <c r="V352" s="1626">
        <f t="shared" si="214"/>
        <v>0</v>
      </c>
      <c r="W352" s="1625">
        <f t="shared" si="215"/>
        <v>0</v>
      </c>
      <c r="X352" s="1614"/>
      <c r="Y352" s="1613"/>
      <c r="Z352" s="1612">
        <f t="shared" si="216"/>
        <v>0.43442888685362918</v>
      </c>
      <c r="AA352" s="1611"/>
      <c r="AB352" s="1611"/>
      <c r="AC352" s="1611"/>
      <c r="AD352" s="1611"/>
      <c r="AE352" s="1611"/>
      <c r="AF352" s="1611"/>
      <c r="AG352" s="1611"/>
      <c r="AH352" s="1611"/>
      <c r="AI352" s="1611"/>
      <c r="AJ352" s="1611"/>
      <c r="AK352" s="1611"/>
      <c r="AL352" s="1611"/>
      <c r="AM352" s="1611"/>
      <c r="AN352" s="1611"/>
      <c r="AO352" s="1611"/>
      <c r="AP352" s="1611"/>
      <c r="AQ352" s="1611"/>
    </row>
    <row r="353" spans="1:43" outlineLevel="2">
      <c r="A353" s="1638" t="s">
        <v>312</v>
      </c>
      <c r="B353" s="1637" t="s">
        <v>120</v>
      </c>
      <c r="C353" s="1636"/>
      <c r="D353" s="1635">
        <v>1</v>
      </c>
      <c r="E353" s="1634" t="s">
        <v>966</v>
      </c>
      <c r="F353" s="1633" t="s">
        <v>1063</v>
      </c>
      <c r="G353" s="1632">
        <v>4159.8999416173692</v>
      </c>
      <c r="H353" s="1632">
        <v>4702.3100000000004</v>
      </c>
      <c r="I353" s="1630">
        <f t="shared" si="204"/>
        <v>8862.2099416173696</v>
      </c>
      <c r="J353" s="1630">
        <f t="shared" si="205"/>
        <v>8862.2099416173696</v>
      </c>
      <c r="K353" s="1631">
        <v>5880</v>
      </c>
      <c r="L353" s="1630">
        <f t="shared" si="206"/>
        <v>5880</v>
      </c>
      <c r="M353" s="1630">
        <f t="shared" si="207"/>
        <v>5880</v>
      </c>
      <c r="N353" s="1625">
        <f t="shared" si="208"/>
        <v>2982.2099416173696</v>
      </c>
      <c r="O353" s="1629">
        <v>0.48699999999999999</v>
      </c>
      <c r="P353" s="1629">
        <v>0.51300000000000001</v>
      </c>
      <c r="Q353" s="1625">
        <f t="shared" si="209"/>
        <v>1452.336241567659</v>
      </c>
      <c r="R353" s="1628">
        <f t="shared" si="210"/>
        <v>1529.8737000497106</v>
      </c>
      <c r="S353" s="1627">
        <f t="shared" si="211"/>
        <v>2707.56370004971</v>
      </c>
      <c r="T353" s="1627">
        <f t="shared" si="212"/>
        <v>3172.43629995029</v>
      </c>
      <c r="U353" s="1626">
        <f t="shared" si="213"/>
        <v>676.89092501242749</v>
      </c>
      <c r="V353" s="1626">
        <f t="shared" si="214"/>
        <v>793.10907498757251</v>
      </c>
      <c r="W353" s="1625">
        <f t="shared" si="215"/>
        <v>1470</v>
      </c>
      <c r="X353" s="1614"/>
      <c r="Y353" s="1613"/>
      <c r="Z353" s="1612">
        <f t="shared" si="216"/>
        <v>0.66349139083099729</v>
      </c>
      <c r="AA353" s="1611"/>
      <c r="AB353" s="1611"/>
      <c r="AC353" s="1611"/>
      <c r="AD353" s="1611"/>
      <c r="AE353" s="1611"/>
      <c r="AF353" s="1611"/>
      <c r="AG353" s="1611"/>
      <c r="AH353" s="1611"/>
      <c r="AI353" s="1611"/>
      <c r="AJ353" s="1611"/>
      <c r="AK353" s="1611"/>
      <c r="AL353" s="1611"/>
      <c r="AM353" s="1611"/>
      <c r="AN353" s="1611"/>
      <c r="AO353" s="1611"/>
      <c r="AP353" s="1611"/>
      <c r="AQ353" s="1611"/>
    </row>
    <row r="354" spans="1:43" outlineLevel="2">
      <c r="A354" s="1638" t="s">
        <v>312</v>
      </c>
      <c r="B354" s="1637" t="s">
        <v>120</v>
      </c>
      <c r="C354" s="1636"/>
      <c r="D354" s="1635">
        <v>2</v>
      </c>
      <c r="E354" s="1634" t="s">
        <v>966</v>
      </c>
      <c r="F354" s="1633" t="s">
        <v>1067</v>
      </c>
      <c r="G354" s="1632">
        <v>4159.8999416173692</v>
      </c>
      <c r="H354" s="1632">
        <v>4702.3100000000004</v>
      </c>
      <c r="I354" s="1630">
        <f t="shared" si="204"/>
        <v>8862.2099416173696</v>
      </c>
      <c r="J354" s="1630">
        <f t="shared" si="205"/>
        <v>17724.419883234739</v>
      </c>
      <c r="K354" s="1631">
        <v>5985</v>
      </c>
      <c r="L354" s="1630">
        <f t="shared" si="206"/>
        <v>5985</v>
      </c>
      <c r="M354" s="1630">
        <f t="shared" si="207"/>
        <v>11970</v>
      </c>
      <c r="N354" s="1625">
        <f t="shared" si="208"/>
        <v>5754.4198832347392</v>
      </c>
      <c r="O354" s="1629">
        <v>0.48699999999999999</v>
      </c>
      <c r="P354" s="1629">
        <v>0.51300000000000001</v>
      </c>
      <c r="Q354" s="1625">
        <f t="shared" si="209"/>
        <v>2802.4024831353181</v>
      </c>
      <c r="R354" s="1628">
        <f t="shared" si="210"/>
        <v>2952.0174000994211</v>
      </c>
      <c r="S354" s="1627">
        <f t="shared" si="211"/>
        <v>5517.3974000994203</v>
      </c>
      <c r="T354" s="1627">
        <f t="shared" si="212"/>
        <v>6452.6025999005797</v>
      </c>
      <c r="U354" s="1626">
        <f t="shared" si="213"/>
        <v>1379.3493500248551</v>
      </c>
      <c r="V354" s="1626">
        <f t="shared" si="214"/>
        <v>1613.1506499751449</v>
      </c>
      <c r="W354" s="1625">
        <f t="shared" si="215"/>
        <v>2992.5</v>
      </c>
      <c r="X354" s="1614"/>
      <c r="Y354" s="1613"/>
      <c r="Z354" s="1612">
        <f t="shared" si="216"/>
        <v>0.67533945138155083</v>
      </c>
      <c r="AA354" s="1611"/>
      <c r="AB354" s="1611"/>
      <c r="AC354" s="1611"/>
      <c r="AD354" s="1611"/>
      <c r="AE354" s="1611"/>
      <c r="AF354" s="1611"/>
      <c r="AG354" s="1611"/>
      <c r="AH354" s="1611"/>
      <c r="AI354" s="1611"/>
      <c r="AJ354" s="1611"/>
      <c r="AK354" s="1611"/>
      <c r="AL354" s="1611"/>
      <c r="AM354" s="1611"/>
      <c r="AN354" s="1611"/>
      <c r="AO354" s="1611"/>
      <c r="AP354" s="1611"/>
      <c r="AQ354" s="1611"/>
    </row>
    <row r="355" spans="1:43" outlineLevel="2">
      <c r="A355" s="1638" t="s">
        <v>312</v>
      </c>
      <c r="B355" s="1637" t="s">
        <v>120</v>
      </c>
      <c r="C355" s="1636"/>
      <c r="D355" s="1635">
        <v>1</v>
      </c>
      <c r="E355" s="1634" t="s">
        <v>966</v>
      </c>
      <c r="F355" s="1633" t="s">
        <v>1075</v>
      </c>
      <c r="G355" s="1632">
        <v>4159.8999416173692</v>
      </c>
      <c r="H355" s="1632">
        <v>4702.3100000000004</v>
      </c>
      <c r="I355" s="1630">
        <f t="shared" si="204"/>
        <v>8862.2099416173696</v>
      </c>
      <c r="J355" s="1630">
        <f t="shared" si="205"/>
        <v>8862.2099416173696</v>
      </c>
      <c r="K355" s="1631">
        <v>5985</v>
      </c>
      <c r="L355" s="1630">
        <f t="shared" si="206"/>
        <v>5985</v>
      </c>
      <c r="M355" s="1630">
        <f t="shared" si="207"/>
        <v>5985</v>
      </c>
      <c r="N355" s="1625">
        <f t="shared" si="208"/>
        <v>2877.2099416173696</v>
      </c>
      <c r="O355" s="1629">
        <v>0.48699999999999999</v>
      </c>
      <c r="P355" s="1629">
        <v>0.51300000000000001</v>
      </c>
      <c r="Q355" s="1625">
        <f t="shared" si="209"/>
        <v>1401.2012415676591</v>
      </c>
      <c r="R355" s="1628">
        <f t="shared" si="210"/>
        <v>1476.0087000497106</v>
      </c>
      <c r="S355" s="1627">
        <f t="shared" si="211"/>
        <v>2758.6987000497102</v>
      </c>
      <c r="T355" s="1627">
        <f t="shared" si="212"/>
        <v>3226.3012999502898</v>
      </c>
      <c r="U355" s="1626">
        <f t="shared" si="213"/>
        <v>689.67467501242754</v>
      </c>
      <c r="V355" s="1626">
        <f t="shared" si="214"/>
        <v>806.57532498757246</v>
      </c>
      <c r="W355" s="1625">
        <f t="shared" si="215"/>
        <v>1496.25</v>
      </c>
      <c r="X355" s="1614"/>
      <c r="Y355" s="1613"/>
      <c r="Z355" s="1612">
        <f t="shared" si="216"/>
        <v>0.67533945138155083</v>
      </c>
      <c r="AA355" s="1611"/>
      <c r="AB355" s="1611"/>
      <c r="AC355" s="1611"/>
      <c r="AD355" s="1611"/>
      <c r="AE355" s="1611"/>
      <c r="AF355" s="1611"/>
      <c r="AG355" s="1611"/>
      <c r="AH355" s="1611"/>
      <c r="AI355" s="1611"/>
      <c r="AJ355" s="1611"/>
      <c r="AK355" s="1611"/>
      <c r="AL355" s="1611"/>
      <c r="AM355" s="1611"/>
      <c r="AN355" s="1611"/>
      <c r="AO355" s="1611"/>
      <c r="AP355" s="1611"/>
      <c r="AQ355" s="1611"/>
    </row>
    <row r="356" spans="1:43" outlineLevel="2">
      <c r="A356" s="1638" t="s">
        <v>312</v>
      </c>
      <c r="B356" s="1637" t="s">
        <v>120</v>
      </c>
      <c r="C356" s="1636"/>
      <c r="D356" s="1635">
        <v>2</v>
      </c>
      <c r="E356" s="1634" t="s">
        <v>965</v>
      </c>
      <c r="F356" s="1633" t="s">
        <v>1068</v>
      </c>
      <c r="G356" s="1632">
        <v>4159.8999416173692</v>
      </c>
      <c r="H356" s="1632">
        <v>4702.3100000000004</v>
      </c>
      <c r="I356" s="1630">
        <f t="shared" si="204"/>
        <v>8862.2099416173696</v>
      </c>
      <c r="J356" s="1630">
        <f t="shared" si="205"/>
        <v>17724.419883234739</v>
      </c>
      <c r="K356" s="1631">
        <v>4555</v>
      </c>
      <c r="L356" s="1630">
        <f t="shared" si="206"/>
        <v>4555</v>
      </c>
      <c r="M356" s="1630">
        <f t="shared" si="207"/>
        <v>9110</v>
      </c>
      <c r="N356" s="1625">
        <f t="shared" si="208"/>
        <v>8614.4198832347392</v>
      </c>
      <c r="O356" s="1629">
        <v>0.48699999999999999</v>
      </c>
      <c r="P356" s="1629">
        <v>0.51300000000000001</v>
      </c>
      <c r="Q356" s="1625">
        <f t="shared" si="209"/>
        <v>4195.2224831353178</v>
      </c>
      <c r="R356" s="1628">
        <f t="shared" si="210"/>
        <v>4419.1974000994214</v>
      </c>
      <c r="S356" s="1627">
        <f t="shared" si="211"/>
        <v>4124.5774000994206</v>
      </c>
      <c r="T356" s="1627">
        <f t="shared" si="212"/>
        <v>4985.4225999005794</v>
      </c>
      <c r="U356" s="1626">
        <f t="shared" si="213"/>
        <v>1031.1443500248552</v>
      </c>
      <c r="V356" s="1626">
        <f t="shared" si="214"/>
        <v>1246.3556499751448</v>
      </c>
      <c r="W356" s="1625">
        <f t="shared" si="215"/>
        <v>2277.5</v>
      </c>
      <c r="X356" s="1614"/>
      <c r="Y356" s="1613"/>
      <c r="Z356" s="1612">
        <f t="shared" si="216"/>
        <v>0.51398015055020285</v>
      </c>
      <c r="AA356" s="1611"/>
      <c r="AB356" s="1611"/>
      <c r="AC356" s="1611"/>
      <c r="AD356" s="1611"/>
      <c r="AE356" s="1611"/>
      <c r="AF356" s="1611"/>
      <c r="AG356" s="1611"/>
      <c r="AH356" s="1611"/>
      <c r="AI356" s="1611"/>
      <c r="AJ356" s="1611"/>
      <c r="AK356" s="1611"/>
      <c r="AL356" s="1611"/>
      <c r="AM356" s="1611"/>
      <c r="AN356" s="1611"/>
      <c r="AO356" s="1611"/>
      <c r="AP356" s="1611"/>
      <c r="AQ356" s="1611"/>
    </row>
    <row r="357" spans="1:43" outlineLevel="2">
      <c r="A357" s="1638" t="s">
        <v>312</v>
      </c>
      <c r="B357" s="1637" t="s">
        <v>120</v>
      </c>
      <c r="C357" s="1636"/>
      <c r="D357" s="1635">
        <v>1</v>
      </c>
      <c r="E357" s="1634" t="s">
        <v>965</v>
      </c>
      <c r="F357" s="1633" t="s">
        <v>1071</v>
      </c>
      <c r="G357" s="1632">
        <v>4159.8999416173692</v>
      </c>
      <c r="H357" s="1632">
        <v>4702.3100000000004</v>
      </c>
      <c r="I357" s="1630">
        <f t="shared" si="204"/>
        <v>8862.2099416173696</v>
      </c>
      <c r="J357" s="1630">
        <f t="shared" si="205"/>
        <v>8862.2099416173696</v>
      </c>
      <c r="K357" s="1631">
        <v>4555</v>
      </c>
      <c r="L357" s="1630">
        <f t="shared" si="206"/>
        <v>4555</v>
      </c>
      <c r="M357" s="1630">
        <f t="shared" si="207"/>
        <v>4555</v>
      </c>
      <c r="N357" s="1625">
        <f t="shared" si="208"/>
        <v>4307.2099416173696</v>
      </c>
      <c r="O357" s="1629">
        <v>0.48699999999999999</v>
      </c>
      <c r="P357" s="1629">
        <v>0.51300000000000001</v>
      </c>
      <c r="Q357" s="1625">
        <f t="shared" si="209"/>
        <v>2097.6112415676589</v>
      </c>
      <c r="R357" s="1628">
        <f t="shared" si="210"/>
        <v>2209.5987000497107</v>
      </c>
      <c r="S357" s="1627">
        <f t="shared" si="211"/>
        <v>2062.2887000497103</v>
      </c>
      <c r="T357" s="1627">
        <f t="shared" si="212"/>
        <v>2492.7112999502897</v>
      </c>
      <c r="U357" s="1626">
        <f t="shared" si="213"/>
        <v>515.57217501242758</v>
      </c>
      <c r="V357" s="1626">
        <f t="shared" si="214"/>
        <v>623.17782498757242</v>
      </c>
      <c r="W357" s="1625">
        <f t="shared" si="215"/>
        <v>1138.75</v>
      </c>
      <c r="X357" s="1614"/>
      <c r="Y357" s="1613"/>
      <c r="Z357" s="1612">
        <f t="shared" si="216"/>
        <v>0.51398015055020285</v>
      </c>
      <c r="AA357" s="1611"/>
      <c r="AB357" s="1611"/>
      <c r="AC357" s="1611"/>
      <c r="AD357" s="1611"/>
      <c r="AE357" s="1611"/>
      <c r="AF357" s="1611"/>
      <c r="AG357" s="1611"/>
      <c r="AH357" s="1611"/>
      <c r="AI357" s="1611"/>
      <c r="AJ357" s="1611"/>
      <c r="AK357" s="1611"/>
      <c r="AL357" s="1611"/>
      <c r="AM357" s="1611"/>
      <c r="AN357" s="1611"/>
      <c r="AO357" s="1611"/>
      <c r="AP357" s="1611"/>
      <c r="AQ357" s="1611"/>
    </row>
    <row r="358" spans="1:43" outlineLevel="2">
      <c r="A358" s="1638" t="s">
        <v>312</v>
      </c>
      <c r="B358" s="1637" t="s">
        <v>120</v>
      </c>
      <c r="C358" s="1636"/>
      <c r="D358" s="1635">
        <v>1</v>
      </c>
      <c r="E358" s="1634" t="s">
        <v>965</v>
      </c>
      <c r="F358" s="1633" t="s">
        <v>1064</v>
      </c>
      <c r="G358" s="1632">
        <v>4159.8999416173692</v>
      </c>
      <c r="H358" s="1632">
        <v>4702.3100000000004</v>
      </c>
      <c r="I358" s="1630">
        <f t="shared" si="204"/>
        <v>8862.2099416173696</v>
      </c>
      <c r="J358" s="1630">
        <f t="shared" si="205"/>
        <v>8862.2099416173696</v>
      </c>
      <c r="K358" s="1631">
        <v>4555</v>
      </c>
      <c r="L358" s="1630">
        <f t="shared" si="206"/>
        <v>4555</v>
      </c>
      <c r="M358" s="1630">
        <f t="shared" si="207"/>
        <v>4555</v>
      </c>
      <c r="N358" s="1625">
        <f t="shared" si="208"/>
        <v>4307.2099416173696</v>
      </c>
      <c r="O358" s="1629">
        <v>0.48699999999999999</v>
      </c>
      <c r="P358" s="1629">
        <v>0.51300000000000001</v>
      </c>
      <c r="Q358" s="1625">
        <f t="shared" si="209"/>
        <v>2097.6112415676589</v>
      </c>
      <c r="R358" s="1628">
        <f t="shared" si="210"/>
        <v>2209.5987000497107</v>
      </c>
      <c r="S358" s="1627">
        <f t="shared" si="211"/>
        <v>2062.2887000497103</v>
      </c>
      <c r="T358" s="1627">
        <f t="shared" si="212"/>
        <v>2492.7112999502897</v>
      </c>
      <c r="U358" s="1626">
        <f t="shared" si="213"/>
        <v>515.57217501242758</v>
      </c>
      <c r="V358" s="1626">
        <f t="shared" si="214"/>
        <v>623.17782498757242</v>
      </c>
      <c r="W358" s="1625">
        <f t="shared" si="215"/>
        <v>1138.75</v>
      </c>
      <c r="X358" s="1614"/>
      <c r="Y358" s="1613"/>
      <c r="Z358" s="1612">
        <f t="shared" si="216"/>
        <v>0.51398015055020285</v>
      </c>
      <c r="AA358" s="1611"/>
      <c r="AB358" s="1611"/>
      <c r="AC358" s="1611"/>
      <c r="AD358" s="1611"/>
      <c r="AE358" s="1611"/>
      <c r="AF358" s="1611"/>
      <c r="AG358" s="1611"/>
      <c r="AH358" s="1611"/>
      <c r="AI358" s="1611"/>
      <c r="AJ358" s="1611"/>
      <c r="AK358" s="1611"/>
      <c r="AL358" s="1611"/>
      <c r="AM358" s="1611"/>
      <c r="AN358" s="1611"/>
      <c r="AO358" s="1611"/>
      <c r="AP358" s="1611"/>
      <c r="AQ358" s="1611"/>
    </row>
    <row r="359" spans="1:43" outlineLevel="2">
      <c r="A359" s="1638" t="s">
        <v>312</v>
      </c>
      <c r="B359" s="1637" t="s">
        <v>120</v>
      </c>
      <c r="C359" s="1636"/>
      <c r="D359" s="1635">
        <v>8</v>
      </c>
      <c r="E359" s="1634" t="s">
        <v>969</v>
      </c>
      <c r="F359" s="1633" t="s">
        <v>1070</v>
      </c>
      <c r="G359" s="1632">
        <v>4159.8999416173692</v>
      </c>
      <c r="H359" s="1632">
        <v>4702.3100000000004</v>
      </c>
      <c r="I359" s="1630">
        <f t="shared" si="204"/>
        <v>8862.2099416173696</v>
      </c>
      <c r="J359" s="1630">
        <f t="shared" si="205"/>
        <v>70897.679532938957</v>
      </c>
      <c r="K359" s="1631">
        <v>4010</v>
      </c>
      <c r="L359" s="1630">
        <f t="shared" si="206"/>
        <v>4010</v>
      </c>
      <c r="M359" s="1630">
        <f t="shared" si="207"/>
        <v>32080</v>
      </c>
      <c r="N359" s="1625">
        <f t="shared" si="208"/>
        <v>38817.679532938957</v>
      </c>
      <c r="O359" s="1629">
        <v>0.48699999999999999</v>
      </c>
      <c r="P359" s="1629">
        <v>0.51300000000000001</v>
      </c>
      <c r="Q359" s="1625">
        <f t="shared" si="209"/>
        <v>18904.209932541271</v>
      </c>
      <c r="R359" s="1628">
        <f t="shared" si="210"/>
        <v>19913.469600397686</v>
      </c>
      <c r="S359" s="1627">
        <f t="shared" si="211"/>
        <v>14374.989600397683</v>
      </c>
      <c r="T359" s="1627">
        <f t="shared" si="212"/>
        <v>17705.010399602317</v>
      </c>
      <c r="U359" s="1626">
        <f t="shared" si="213"/>
        <v>3593.7474000994207</v>
      </c>
      <c r="V359" s="1626">
        <f t="shared" si="214"/>
        <v>4426.2525999005793</v>
      </c>
      <c r="W359" s="1625">
        <f t="shared" si="215"/>
        <v>8020</v>
      </c>
      <c r="X359" s="1614"/>
      <c r="Y359" s="1613"/>
      <c r="Z359" s="1612">
        <f t="shared" si="216"/>
        <v>0.45248307435923457</v>
      </c>
      <c r="AA359" s="1611"/>
      <c r="AB359" s="1611"/>
      <c r="AC359" s="1611"/>
      <c r="AD359" s="1611"/>
      <c r="AE359" s="1611"/>
      <c r="AF359" s="1611"/>
      <c r="AG359" s="1611"/>
      <c r="AH359" s="1611"/>
      <c r="AI359" s="1611"/>
      <c r="AJ359" s="1611"/>
      <c r="AK359" s="1611"/>
      <c r="AL359" s="1611"/>
      <c r="AM359" s="1611"/>
      <c r="AN359" s="1611"/>
      <c r="AO359" s="1611"/>
      <c r="AP359" s="1611"/>
      <c r="AQ359" s="1611"/>
    </row>
    <row r="360" spans="1:43" outlineLevel="2">
      <c r="A360" s="1638" t="s">
        <v>312</v>
      </c>
      <c r="B360" s="1637" t="s">
        <v>120</v>
      </c>
      <c r="C360" s="1636"/>
      <c r="D360" s="1635">
        <v>6</v>
      </c>
      <c r="E360" s="1634" t="s">
        <v>969</v>
      </c>
      <c r="F360" s="1633" t="s">
        <v>1069</v>
      </c>
      <c r="G360" s="1632">
        <v>4159.8999416173692</v>
      </c>
      <c r="H360" s="1632">
        <v>4702.3100000000004</v>
      </c>
      <c r="I360" s="1630">
        <f t="shared" si="204"/>
        <v>8862.2099416173696</v>
      </c>
      <c r="J360" s="1630">
        <f t="shared" si="205"/>
        <v>53173.259649704218</v>
      </c>
      <c r="K360" s="1631">
        <v>4010</v>
      </c>
      <c r="L360" s="1630">
        <f t="shared" si="206"/>
        <v>4010</v>
      </c>
      <c r="M360" s="1630">
        <f t="shared" si="207"/>
        <v>24060</v>
      </c>
      <c r="N360" s="1625">
        <f t="shared" si="208"/>
        <v>29113.259649704218</v>
      </c>
      <c r="O360" s="1629">
        <v>0.48699999999999999</v>
      </c>
      <c r="P360" s="1629">
        <v>0.51300000000000001</v>
      </c>
      <c r="Q360" s="1625">
        <f t="shared" si="209"/>
        <v>14178.157449405953</v>
      </c>
      <c r="R360" s="1628">
        <f t="shared" si="210"/>
        <v>14935.102200298265</v>
      </c>
      <c r="S360" s="1627">
        <f t="shared" si="211"/>
        <v>10781.242200298264</v>
      </c>
      <c r="T360" s="1627">
        <f t="shared" si="212"/>
        <v>13278.757799701736</v>
      </c>
      <c r="U360" s="1626">
        <f t="shared" si="213"/>
        <v>2695.310550074566</v>
      </c>
      <c r="V360" s="1626">
        <f t="shared" si="214"/>
        <v>3319.689449925434</v>
      </c>
      <c r="W360" s="1625">
        <f t="shared" si="215"/>
        <v>6015</v>
      </c>
      <c r="X360" s="1614"/>
      <c r="Y360" s="1613"/>
      <c r="Z360" s="1612">
        <f t="shared" si="216"/>
        <v>0.45248307435923457</v>
      </c>
      <c r="AA360" s="1611"/>
      <c r="AB360" s="1611"/>
      <c r="AC360" s="1611"/>
      <c r="AD360" s="1611"/>
      <c r="AE360" s="1611"/>
      <c r="AF360" s="1611"/>
      <c r="AG360" s="1611"/>
      <c r="AH360" s="1611"/>
      <c r="AI360" s="1611"/>
      <c r="AJ360" s="1611"/>
      <c r="AK360" s="1611"/>
      <c r="AL360" s="1611"/>
      <c r="AM360" s="1611"/>
      <c r="AN360" s="1611"/>
      <c r="AO360" s="1611"/>
      <c r="AP360" s="1611"/>
      <c r="AQ360" s="1611"/>
    </row>
    <row r="361" spans="1:43" outlineLevel="2">
      <c r="A361" s="1638" t="s">
        <v>312</v>
      </c>
      <c r="B361" s="1637" t="s">
        <v>120</v>
      </c>
      <c r="C361" s="1636"/>
      <c r="D361" s="1635">
        <v>3</v>
      </c>
      <c r="E361" s="1634" t="s">
        <v>969</v>
      </c>
      <c r="F361" s="1633" t="s">
        <v>1068</v>
      </c>
      <c r="G361" s="1632">
        <v>4159.8999416173692</v>
      </c>
      <c r="H361" s="1632">
        <v>4702.3100000000004</v>
      </c>
      <c r="I361" s="1630">
        <f t="shared" si="204"/>
        <v>8862.2099416173696</v>
      </c>
      <c r="J361" s="1630">
        <f t="shared" si="205"/>
        <v>26586.629824852109</v>
      </c>
      <c r="K361" s="1631">
        <v>4010</v>
      </c>
      <c r="L361" s="1630">
        <f t="shared" si="206"/>
        <v>4010</v>
      </c>
      <c r="M361" s="1630">
        <f t="shared" si="207"/>
        <v>12030</v>
      </c>
      <c r="N361" s="1625">
        <f t="shared" si="208"/>
        <v>14556.629824852109</v>
      </c>
      <c r="O361" s="1629">
        <v>0.48699999999999999</v>
      </c>
      <c r="P361" s="1629">
        <v>0.51300000000000001</v>
      </c>
      <c r="Q361" s="1625">
        <f t="shared" si="209"/>
        <v>7089.0787247029766</v>
      </c>
      <c r="R361" s="1628">
        <f t="shared" si="210"/>
        <v>7467.5511001491323</v>
      </c>
      <c r="S361" s="1627">
        <f t="shared" si="211"/>
        <v>5390.621100149132</v>
      </c>
      <c r="T361" s="1627">
        <f t="shared" si="212"/>
        <v>6639.378899850868</v>
      </c>
      <c r="U361" s="1626">
        <f t="shared" si="213"/>
        <v>1347.655275037283</v>
      </c>
      <c r="V361" s="1626">
        <f t="shared" si="214"/>
        <v>1659.844724962717</v>
      </c>
      <c r="W361" s="1625">
        <f t="shared" si="215"/>
        <v>3007.5</v>
      </c>
      <c r="X361" s="1614"/>
      <c r="Y361" s="1613"/>
      <c r="Z361" s="1612">
        <f t="shared" si="216"/>
        <v>0.45248307435923457</v>
      </c>
      <c r="AA361" s="1611"/>
      <c r="AB361" s="1611"/>
      <c r="AC361" s="1611"/>
      <c r="AD361" s="1611"/>
      <c r="AE361" s="1611"/>
      <c r="AF361" s="1611"/>
      <c r="AG361" s="1611"/>
      <c r="AH361" s="1611"/>
      <c r="AI361" s="1611"/>
      <c r="AJ361" s="1611"/>
      <c r="AK361" s="1611"/>
      <c r="AL361" s="1611"/>
      <c r="AM361" s="1611"/>
      <c r="AN361" s="1611"/>
      <c r="AO361" s="1611"/>
      <c r="AP361" s="1611"/>
      <c r="AQ361" s="1611"/>
    </row>
    <row r="362" spans="1:43" outlineLevel="2">
      <c r="A362" s="1638" t="s">
        <v>312</v>
      </c>
      <c r="B362" s="1637" t="s">
        <v>120</v>
      </c>
      <c r="C362" s="1636"/>
      <c r="D362" s="1635">
        <v>4</v>
      </c>
      <c r="E362" s="1634" t="s">
        <v>969</v>
      </c>
      <c r="F362" s="1633" t="s">
        <v>1071</v>
      </c>
      <c r="G362" s="1632">
        <v>4159.8999416173692</v>
      </c>
      <c r="H362" s="1632">
        <v>4702.3100000000004</v>
      </c>
      <c r="I362" s="1630">
        <f t="shared" si="204"/>
        <v>8862.2099416173696</v>
      </c>
      <c r="J362" s="1630">
        <f t="shared" si="205"/>
        <v>35448.839766469478</v>
      </c>
      <c r="K362" s="1631">
        <v>4010</v>
      </c>
      <c r="L362" s="1630">
        <f t="shared" si="206"/>
        <v>4010</v>
      </c>
      <c r="M362" s="1630">
        <f t="shared" si="207"/>
        <v>16040</v>
      </c>
      <c r="N362" s="1625">
        <f t="shared" si="208"/>
        <v>19408.839766469478</v>
      </c>
      <c r="O362" s="1629">
        <v>0.48699999999999999</v>
      </c>
      <c r="P362" s="1629">
        <v>0.51300000000000001</v>
      </c>
      <c r="Q362" s="1625">
        <f t="shared" si="209"/>
        <v>9452.1049662706355</v>
      </c>
      <c r="R362" s="1628">
        <f t="shared" si="210"/>
        <v>9956.734800198843</v>
      </c>
      <c r="S362" s="1627">
        <f t="shared" si="211"/>
        <v>7187.4948001988414</v>
      </c>
      <c r="T362" s="1627">
        <f t="shared" si="212"/>
        <v>8852.5051998011586</v>
      </c>
      <c r="U362" s="1626">
        <f t="shared" si="213"/>
        <v>1796.8737000497104</v>
      </c>
      <c r="V362" s="1626">
        <f t="shared" si="214"/>
        <v>2213.1262999502896</v>
      </c>
      <c r="W362" s="1625">
        <f t="shared" si="215"/>
        <v>4010</v>
      </c>
      <c r="X362" s="1614"/>
      <c r="Y362" s="1613"/>
      <c r="Z362" s="1612">
        <f t="shared" si="216"/>
        <v>0.45248307435923457</v>
      </c>
      <c r="AA362" s="1611"/>
      <c r="AB362" s="1611"/>
      <c r="AC362" s="1611"/>
      <c r="AD362" s="1611"/>
      <c r="AE362" s="1611"/>
      <c r="AF362" s="1611"/>
      <c r="AG362" s="1611"/>
      <c r="AH362" s="1611"/>
      <c r="AI362" s="1611"/>
      <c r="AJ362" s="1611"/>
      <c r="AK362" s="1611"/>
      <c r="AL362" s="1611"/>
      <c r="AM362" s="1611"/>
      <c r="AN362" s="1611"/>
      <c r="AO362" s="1611"/>
      <c r="AP362" s="1611"/>
      <c r="AQ362" s="1611"/>
    </row>
    <row r="363" spans="1:43" outlineLevel="2">
      <c r="A363" s="1638" t="s">
        <v>312</v>
      </c>
      <c r="B363" s="1637" t="s">
        <v>120</v>
      </c>
      <c r="C363" s="1636"/>
      <c r="D363" s="1635">
        <v>4</v>
      </c>
      <c r="E363" s="1634" t="s">
        <v>969</v>
      </c>
      <c r="F363" s="1633" t="s">
        <v>1065</v>
      </c>
      <c r="G363" s="1632">
        <v>4159.8999416173692</v>
      </c>
      <c r="H363" s="1632">
        <v>4702.3100000000004</v>
      </c>
      <c r="I363" s="1630">
        <f t="shared" si="204"/>
        <v>8862.2099416173696</v>
      </c>
      <c r="J363" s="1630">
        <f t="shared" si="205"/>
        <v>35448.839766469478</v>
      </c>
      <c r="K363" s="1631">
        <v>4010</v>
      </c>
      <c r="L363" s="1630">
        <f t="shared" si="206"/>
        <v>4010</v>
      </c>
      <c r="M363" s="1630">
        <f t="shared" si="207"/>
        <v>16040</v>
      </c>
      <c r="N363" s="1625">
        <f t="shared" si="208"/>
        <v>19408.839766469478</v>
      </c>
      <c r="O363" s="1629">
        <v>0.48699999999999999</v>
      </c>
      <c r="P363" s="1629">
        <v>0.51300000000000001</v>
      </c>
      <c r="Q363" s="1625">
        <f t="shared" si="209"/>
        <v>9452.1049662706355</v>
      </c>
      <c r="R363" s="1628">
        <f t="shared" si="210"/>
        <v>9956.734800198843</v>
      </c>
      <c r="S363" s="1627">
        <f t="shared" si="211"/>
        <v>7187.4948001988414</v>
      </c>
      <c r="T363" s="1627">
        <f t="shared" si="212"/>
        <v>8852.5051998011586</v>
      </c>
      <c r="U363" s="1626">
        <f t="shared" si="213"/>
        <v>1796.8737000497104</v>
      </c>
      <c r="V363" s="1626">
        <f t="shared" si="214"/>
        <v>2213.1262999502896</v>
      </c>
      <c r="W363" s="1625">
        <f t="shared" si="215"/>
        <v>4010</v>
      </c>
      <c r="X363" s="1614"/>
      <c r="Y363" s="1613"/>
      <c r="Z363" s="1612">
        <f t="shared" si="216"/>
        <v>0.45248307435923457</v>
      </c>
      <c r="AA363" s="1611"/>
      <c r="AB363" s="1611"/>
      <c r="AC363" s="1611"/>
      <c r="AD363" s="1611"/>
      <c r="AE363" s="1611"/>
      <c r="AF363" s="1611"/>
      <c r="AG363" s="1611"/>
      <c r="AH363" s="1611"/>
      <c r="AI363" s="1611"/>
      <c r="AJ363" s="1611"/>
      <c r="AK363" s="1611"/>
      <c r="AL363" s="1611"/>
      <c r="AM363" s="1611"/>
      <c r="AN363" s="1611"/>
      <c r="AO363" s="1611"/>
      <c r="AP363" s="1611"/>
      <c r="AQ363" s="1611"/>
    </row>
    <row r="364" spans="1:43" outlineLevel="2">
      <c r="A364" s="1638" t="s">
        <v>312</v>
      </c>
      <c r="B364" s="1637" t="s">
        <v>120</v>
      </c>
      <c r="C364" s="1636"/>
      <c r="D364" s="1635">
        <v>3</v>
      </c>
      <c r="E364" s="1634" t="s">
        <v>969</v>
      </c>
      <c r="F364" s="1633" t="s">
        <v>1064</v>
      </c>
      <c r="G364" s="1632">
        <v>4159.8999416173692</v>
      </c>
      <c r="H364" s="1632">
        <v>4702.3100000000004</v>
      </c>
      <c r="I364" s="1630">
        <f t="shared" si="204"/>
        <v>8862.2099416173696</v>
      </c>
      <c r="J364" s="1630">
        <f t="shared" si="205"/>
        <v>26586.629824852109</v>
      </c>
      <c r="K364" s="1631">
        <v>4010</v>
      </c>
      <c r="L364" s="1630">
        <f t="shared" si="206"/>
        <v>4010</v>
      </c>
      <c r="M364" s="1630">
        <f t="shared" si="207"/>
        <v>12030</v>
      </c>
      <c r="N364" s="1625">
        <f t="shared" si="208"/>
        <v>14556.629824852109</v>
      </c>
      <c r="O364" s="1629">
        <v>0.48699999999999999</v>
      </c>
      <c r="P364" s="1629">
        <v>0.51300000000000001</v>
      </c>
      <c r="Q364" s="1625">
        <f t="shared" si="209"/>
        <v>7089.0787247029766</v>
      </c>
      <c r="R364" s="1628">
        <f t="shared" si="210"/>
        <v>7467.5511001491323</v>
      </c>
      <c r="S364" s="1627">
        <f t="shared" si="211"/>
        <v>5390.621100149132</v>
      </c>
      <c r="T364" s="1627">
        <f t="shared" si="212"/>
        <v>6639.378899850868</v>
      </c>
      <c r="U364" s="1626">
        <f t="shared" si="213"/>
        <v>1347.655275037283</v>
      </c>
      <c r="V364" s="1626">
        <f t="shared" si="214"/>
        <v>1659.844724962717</v>
      </c>
      <c r="W364" s="1625">
        <f t="shared" si="215"/>
        <v>3007.5</v>
      </c>
      <c r="X364" s="1614"/>
      <c r="Y364" s="1613"/>
      <c r="Z364" s="1612">
        <f t="shared" si="216"/>
        <v>0.45248307435923457</v>
      </c>
      <c r="AA364" s="1611"/>
      <c r="AB364" s="1611"/>
      <c r="AC364" s="1611"/>
      <c r="AD364" s="1611"/>
      <c r="AE364" s="1611"/>
      <c r="AF364" s="1611"/>
      <c r="AG364" s="1611"/>
      <c r="AH364" s="1611"/>
      <c r="AI364" s="1611"/>
      <c r="AJ364" s="1611"/>
      <c r="AK364" s="1611"/>
      <c r="AL364" s="1611"/>
      <c r="AM364" s="1611"/>
      <c r="AN364" s="1611"/>
      <c r="AO364" s="1611"/>
      <c r="AP364" s="1611"/>
      <c r="AQ364" s="1611"/>
    </row>
    <row r="365" spans="1:43" outlineLevel="2">
      <c r="A365" s="1638" t="s">
        <v>312</v>
      </c>
      <c r="B365" s="1637" t="s">
        <v>120</v>
      </c>
      <c r="C365" s="1636"/>
      <c r="D365" s="1635">
        <v>3</v>
      </c>
      <c r="E365" s="1634" t="s">
        <v>969</v>
      </c>
      <c r="F365" s="1633" t="s">
        <v>979</v>
      </c>
      <c r="G365" s="1632">
        <v>4159.8999416173692</v>
      </c>
      <c r="H365" s="1632">
        <v>4702.3100000000004</v>
      </c>
      <c r="I365" s="1630">
        <f t="shared" si="204"/>
        <v>8862.2099416173696</v>
      </c>
      <c r="J365" s="1630">
        <f t="shared" si="205"/>
        <v>26586.629824852109</v>
      </c>
      <c r="K365" s="1631">
        <v>3705</v>
      </c>
      <c r="L365" s="1630">
        <f t="shared" si="206"/>
        <v>3705</v>
      </c>
      <c r="M365" s="1630">
        <f t="shared" si="207"/>
        <v>11115</v>
      </c>
      <c r="N365" s="1625">
        <f t="shared" si="208"/>
        <v>15471.629824852109</v>
      </c>
      <c r="O365" s="1629">
        <v>0.48699999999999999</v>
      </c>
      <c r="P365" s="1629">
        <v>0.51300000000000001</v>
      </c>
      <c r="Q365" s="1625">
        <f t="shared" si="209"/>
        <v>7534.6837247029771</v>
      </c>
      <c r="R365" s="1628">
        <f t="shared" si="210"/>
        <v>7936.9461001491318</v>
      </c>
      <c r="S365" s="1627">
        <f t="shared" si="211"/>
        <v>4945.0161001491315</v>
      </c>
      <c r="T365" s="1627">
        <f t="shared" si="212"/>
        <v>6169.9838998508685</v>
      </c>
      <c r="U365" s="1626">
        <f t="shared" si="213"/>
        <v>1236.2540250372829</v>
      </c>
      <c r="V365" s="1626">
        <f t="shared" si="214"/>
        <v>1542.4959749627171</v>
      </c>
      <c r="W365" s="1625">
        <f t="shared" si="215"/>
        <v>2778.75</v>
      </c>
      <c r="X365" s="1614"/>
      <c r="Y365" s="1613"/>
      <c r="Z365" s="1612">
        <f t="shared" si="216"/>
        <v>0.41806727942667432</v>
      </c>
      <c r="AA365" s="1611"/>
      <c r="AB365" s="1611"/>
      <c r="AC365" s="1611"/>
      <c r="AD365" s="1611"/>
      <c r="AE365" s="1611"/>
      <c r="AF365" s="1611"/>
      <c r="AG365" s="1611"/>
      <c r="AH365" s="1611"/>
      <c r="AI365" s="1611"/>
      <c r="AJ365" s="1611"/>
      <c r="AK365" s="1611"/>
      <c r="AL365" s="1611"/>
      <c r="AM365" s="1611"/>
      <c r="AN365" s="1611"/>
      <c r="AO365" s="1611"/>
      <c r="AP365" s="1611"/>
      <c r="AQ365" s="1611"/>
    </row>
    <row r="366" spans="1:43" outlineLevel="1">
      <c r="A366" s="1624"/>
      <c r="B366" s="1623" t="s">
        <v>1109</v>
      </c>
      <c r="C366" s="1622"/>
      <c r="D366" s="1621">
        <f>SUBTOTAL(9,D238:D365)</f>
        <v>436</v>
      </c>
      <c r="E366" s="1620"/>
      <c r="F366" s="1639"/>
      <c r="G366" s="1639"/>
      <c r="H366" s="1639"/>
      <c r="I366" s="1616"/>
      <c r="J366" s="1616">
        <f>SUBTOTAL(9,J238:J365)</f>
        <v>3863923.5345451687</v>
      </c>
      <c r="K366" s="1615"/>
      <c r="L366" s="1616"/>
      <c r="M366" s="1616">
        <f>SUBTOTAL(9,M238:M365)</f>
        <v>2119685</v>
      </c>
      <c r="N366" s="1615">
        <f>SUBTOTAL(9,N238:N365)</f>
        <v>1744238.5345451748</v>
      </c>
      <c r="O366" s="1616"/>
      <c r="P366" s="1616"/>
      <c r="Q366" s="1615">
        <f t="shared" ref="Q366:W366" si="217">SUBTOTAL(9,Q238:Q365)</f>
        <v>849444.1663234994</v>
      </c>
      <c r="R366" s="1615">
        <f t="shared" si="217"/>
        <v>894794.36822167411</v>
      </c>
      <c r="S366" s="1616">
        <f t="shared" si="217"/>
        <v>964272.20822167362</v>
      </c>
      <c r="T366" s="1616">
        <f t="shared" si="217"/>
        <v>1155412.7917783265</v>
      </c>
      <c r="U366" s="1616">
        <f t="shared" si="217"/>
        <v>241068.0520554184</v>
      </c>
      <c r="V366" s="1616">
        <f t="shared" si="217"/>
        <v>288853.19794458163</v>
      </c>
      <c r="W366" s="1615">
        <f t="shared" si="217"/>
        <v>529921.25</v>
      </c>
      <c r="X366" s="1614"/>
      <c r="Y366" s="1613"/>
      <c r="Z366" s="1612"/>
      <c r="AA366" s="1611"/>
      <c r="AB366" s="1611"/>
      <c r="AC366" s="1611"/>
      <c r="AD366" s="1611"/>
      <c r="AE366" s="1611"/>
      <c r="AF366" s="1611"/>
      <c r="AG366" s="1611"/>
      <c r="AH366" s="1611"/>
      <c r="AI366" s="1611"/>
      <c r="AJ366" s="1611"/>
      <c r="AK366" s="1611"/>
      <c r="AL366" s="1611"/>
      <c r="AM366" s="1611"/>
      <c r="AN366" s="1611"/>
      <c r="AO366" s="1611"/>
      <c r="AP366" s="1611"/>
      <c r="AQ366" s="1611"/>
    </row>
    <row r="367" spans="1:43" s="1641" customFormat="1" outlineLevel="2">
      <c r="A367" s="1638" t="s">
        <v>313</v>
      </c>
      <c r="B367" s="1637" t="s">
        <v>122</v>
      </c>
      <c r="C367" s="1636"/>
      <c r="D367" s="1635">
        <v>-1</v>
      </c>
      <c r="E367" s="1640" t="s">
        <v>1108</v>
      </c>
      <c r="F367" s="1633" t="s">
        <v>1063</v>
      </c>
      <c r="G367" s="1632">
        <v>3787.145060211255</v>
      </c>
      <c r="H367" s="1632">
        <v>4198.6000000000004</v>
      </c>
      <c r="I367" s="1630">
        <f t="shared" ref="I367:I402" si="218">G367+H367</f>
        <v>7985.7450602112549</v>
      </c>
      <c r="J367" s="1630">
        <f t="shared" ref="J367:J402" si="219">D367*I367</f>
        <v>-7985.7450602112549</v>
      </c>
      <c r="K367" s="1631">
        <v>3656.7</v>
      </c>
      <c r="L367" s="1630">
        <f t="shared" ref="L367:L402" si="220">IF(I367&gt;K367,K367,I367)</f>
        <v>3656.7</v>
      </c>
      <c r="M367" s="1630">
        <f t="shared" ref="M367:M402" si="221">L367*D367</f>
        <v>-3656.7</v>
      </c>
      <c r="N367" s="1631">
        <f t="shared" ref="N367:N402" si="222">J367-M367</f>
        <v>-4329.0450602112551</v>
      </c>
      <c r="O367" s="1629">
        <v>0.51100000000000001</v>
      </c>
      <c r="P367" s="1629">
        <v>0.48899999999999999</v>
      </c>
      <c r="Q367" s="1631">
        <f t="shared" ref="Q367:Q402" si="223">N367*O367</f>
        <v>-2212.1420257679515</v>
      </c>
      <c r="R367" s="1631">
        <f t="shared" ref="R367:R402" si="224">N367*P367</f>
        <v>-2116.9030344433036</v>
      </c>
      <c r="S367" s="1627">
        <f t="shared" ref="S367:S402" si="225">(G367*D367)-Q367</f>
        <v>-1575.0030344433035</v>
      </c>
      <c r="T367" s="1627">
        <f t="shared" ref="T367:T402" si="226">(H367*D367)-R367</f>
        <v>-2081.6969655566968</v>
      </c>
      <c r="U367" s="1626">
        <f t="shared" ref="U367:U402" si="227">S367/4</f>
        <v>-393.75075861082587</v>
      </c>
      <c r="V367" s="1626">
        <f t="shared" ref="V367:V402" si="228">T367/4</f>
        <v>-520.4242413891742</v>
      </c>
      <c r="W367" s="1631">
        <f t="shared" ref="W367:W402" si="229">V367+U367</f>
        <v>-914.17500000000007</v>
      </c>
      <c r="X367" s="1614"/>
      <c r="Y367" s="1644"/>
      <c r="Z367" s="1643">
        <f t="shared" ref="Z367:Z402" si="230">K367/I367</f>
        <v>0.45790342321587529</v>
      </c>
      <c r="AA367" s="1642"/>
      <c r="AB367" s="1642"/>
      <c r="AC367" s="1642"/>
      <c r="AD367" s="1642"/>
      <c r="AE367" s="1642"/>
      <c r="AF367" s="1642"/>
      <c r="AG367" s="1642"/>
      <c r="AH367" s="1642"/>
      <c r="AI367" s="1642"/>
      <c r="AJ367" s="1642"/>
      <c r="AK367" s="1642"/>
      <c r="AL367" s="1642"/>
      <c r="AM367" s="1642"/>
      <c r="AN367" s="1642"/>
      <c r="AO367" s="1642"/>
      <c r="AP367" s="1642"/>
      <c r="AQ367" s="1642"/>
    </row>
    <row r="368" spans="1:43" outlineLevel="2">
      <c r="A368" s="1638" t="s">
        <v>313</v>
      </c>
      <c r="B368" s="1637" t="s">
        <v>122</v>
      </c>
      <c r="C368" s="1636"/>
      <c r="D368" s="1635">
        <v>12</v>
      </c>
      <c r="E368" s="1634" t="s">
        <v>926</v>
      </c>
      <c r="F368" s="1633" t="s">
        <v>1070</v>
      </c>
      <c r="G368" s="1632">
        <v>3787.145060211255</v>
      </c>
      <c r="H368" s="1632">
        <v>4198.6000000000004</v>
      </c>
      <c r="I368" s="1630">
        <f t="shared" si="218"/>
        <v>7985.7450602112549</v>
      </c>
      <c r="J368" s="1630">
        <f t="shared" si="219"/>
        <v>95828.940722535059</v>
      </c>
      <c r="K368" s="1631">
        <v>4745</v>
      </c>
      <c r="L368" s="1630">
        <f t="shared" si="220"/>
        <v>4745</v>
      </c>
      <c r="M368" s="1630">
        <f t="shared" si="221"/>
        <v>56940</v>
      </c>
      <c r="N368" s="1625">
        <f t="shared" si="222"/>
        <v>38888.940722535059</v>
      </c>
      <c r="O368" s="1629">
        <v>0.51100000000000001</v>
      </c>
      <c r="P368" s="1629">
        <v>0.48899999999999999</v>
      </c>
      <c r="Q368" s="1625">
        <f t="shared" si="223"/>
        <v>19872.248709215415</v>
      </c>
      <c r="R368" s="1628">
        <f t="shared" si="224"/>
        <v>19016.692013319644</v>
      </c>
      <c r="S368" s="1627">
        <f t="shared" si="225"/>
        <v>25573.492013319647</v>
      </c>
      <c r="T368" s="1627">
        <f t="shared" si="226"/>
        <v>31366.507986680361</v>
      </c>
      <c r="U368" s="1626">
        <f t="shared" si="227"/>
        <v>6393.3730033299116</v>
      </c>
      <c r="V368" s="1626">
        <f t="shared" si="228"/>
        <v>7841.6269966700902</v>
      </c>
      <c r="W368" s="1625">
        <f t="shared" si="229"/>
        <v>14235.000000000002</v>
      </c>
      <c r="X368" s="1614"/>
      <c r="Y368" s="1613"/>
      <c r="Z368" s="1612">
        <f t="shared" si="230"/>
        <v>0.59418375670941792</v>
      </c>
      <c r="AA368" s="1611"/>
      <c r="AB368" s="1611"/>
      <c r="AC368" s="1611"/>
      <c r="AD368" s="1611"/>
      <c r="AE368" s="1611"/>
      <c r="AF368" s="1611"/>
      <c r="AG368" s="1611"/>
      <c r="AH368" s="1611"/>
      <c r="AI368" s="1611"/>
      <c r="AJ368" s="1611"/>
      <c r="AK368" s="1611"/>
      <c r="AL368" s="1611"/>
      <c r="AM368" s="1611"/>
      <c r="AN368" s="1611"/>
      <c r="AO368" s="1611"/>
      <c r="AP368" s="1611"/>
      <c r="AQ368" s="1611"/>
    </row>
    <row r="369" spans="1:43" outlineLevel="2">
      <c r="A369" s="1638" t="s">
        <v>313</v>
      </c>
      <c r="B369" s="1637" t="s">
        <v>122</v>
      </c>
      <c r="C369" s="1636"/>
      <c r="D369" s="1635">
        <v>7</v>
      </c>
      <c r="E369" s="1634" t="s">
        <v>926</v>
      </c>
      <c r="F369" s="1633" t="s">
        <v>1069</v>
      </c>
      <c r="G369" s="1632">
        <v>3787.145060211255</v>
      </c>
      <c r="H369" s="1632">
        <v>4198.6000000000004</v>
      </c>
      <c r="I369" s="1630">
        <f t="shared" si="218"/>
        <v>7985.7450602112549</v>
      </c>
      <c r="J369" s="1630">
        <f t="shared" si="219"/>
        <v>55900.215421478788</v>
      </c>
      <c r="K369" s="1631">
        <v>4745</v>
      </c>
      <c r="L369" s="1630">
        <f t="shared" si="220"/>
        <v>4745</v>
      </c>
      <c r="M369" s="1630">
        <f t="shared" si="221"/>
        <v>33215</v>
      </c>
      <c r="N369" s="1625">
        <f t="shared" si="222"/>
        <v>22685.215421478788</v>
      </c>
      <c r="O369" s="1629">
        <v>0.51100000000000001</v>
      </c>
      <c r="P369" s="1629">
        <v>0.48899999999999999</v>
      </c>
      <c r="Q369" s="1625">
        <f t="shared" si="223"/>
        <v>11592.145080375662</v>
      </c>
      <c r="R369" s="1628">
        <f t="shared" si="224"/>
        <v>11093.070341103126</v>
      </c>
      <c r="S369" s="1627">
        <f t="shared" si="225"/>
        <v>14917.870341103122</v>
      </c>
      <c r="T369" s="1627">
        <f t="shared" si="226"/>
        <v>18297.129658896876</v>
      </c>
      <c r="U369" s="1626">
        <f t="shared" si="227"/>
        <v>3729.4675852757805</v>
      </c>
      <c r="V369" s="1626">
        <f t="shared" si="228"/>
        <v>4574.2824147242191</v>
      </c>
      <c r="W369" s="1625">
        <f t="shared" si="229"/>
        <v>8303.75</v>
      </c>
      <c r="X369" s="1614"/>
      <c r="Y369" s="1613"/>
      <c r="Z369" s="1612">
        <f t="shared" si="230"/>
        <v>0.59418375670941792</v>
      </c>
      <c r="AA369" s="1611"/>
      <c r="AB369" s="1611"/>
      <c r="AC369" s="1611"/>
      <c r="AD369" s="1611"/>
      <c r="AE369" s="1611"/>
      <c r="AF369" s="1611"/>
      <c r="AG369" s="1611"/>
      <c r="AH369" s="1611"/>
      <c r="AI369" s="1611"/>
      <c r="AJ369" s="1611"/>
      <c r="AK369" s="1611"/>
      <c r="AL369" s="1611"/>
      <c r="AM369" s="1611"/>
      <c r="AN369" s="1611"/>
      <c r="AO369" s="1611"/>
      <c r="AP369" s="1611"/>
      <c r="AQ369" s="1611"/>
    </row>
    <row r="370" spans="1:43" outlineLevel="2">
      <c r="A370" s="1638" t="s">
        <v>313</v>
      </c>
      <c r="B370" s="1637" t="s">
        <v>122</v>
      </c>
      <c r="C370" s="1636"/>
      <c r="D370" s="1635">
        <v>6</v>
      </c>
      <c r="E370" s="1634" t="s">
        <v>926</v>
      </c>
      <c r="F370" s="1633" t="s">
        <v>1068</v>
      </c>
      <c r="G370" s="1632">
        <v>3787.145060211255</v>
      </c>
      <c r="H370" s="1632">
        <v>4198.6000000000004</v>
      </c>
      <c r="I370" s="1630">
        <f t="shared" si="218"/>
        <v>7985.7450602112549</v>
      </c>
      <c r="J370" s="1630">
        <f t="shared" si="219"/>
        <v>47914.470361267529</v>
      </c>
      <c r="K370" s="1631">
        <v>4745</v>
      </c>
      <c r="L370" s="1630">
        <f t="shared" si="220"/>
        <v>4745</v>
      </c>
      <c r="M370" s="1630">
        <f t="shared" si="221"/>
        <v>28470</v>
      </c>
      <c r="N370" s="1625">
        <f t="shared" si="222"/>
        <v>19444.470361267529</v>
      </c>
      <c r="O370" s="1629">
        <v>0.51100000000000001</v>
      </c>
      <c r="P370" s="1629">
        <v>0.48899999999999999</v>
      </c>
      <c r="Q370" s="1625">
        <f t="shared" si="223"/>
        <v>9936.1243546077076</v>
      </c>
      <c r="R370" s="1628">
        <f t="shared" si="224"/>
        <v>9508.3460066598218</v>
      </c>
      <c r="S370" s="1627">
        <f t="shared" si="225"/>
        <v>12786.746006659823</v>
      </c>
      <c r="T370" s="1627">
        <f t="shared" si="226"/>
        <v>15683.25399334018</v>
      </c>
      <c r="U370" s="1626">
        <f t="shared" si="227"/>
        <v>3196.6865016649558</v>
      </c>
      <c r="V370" s="1626">
        <f t="shared" si="228"/>
        <v>3920.8134983350451</v>
      </c>
      <c r="W370" s="1625">
        <f t="shared" si="229"/>
        <v>7117.5000000000009</v>
      </c>
      <c r="X370" s="1614"/>
      <c r="Y370" s="1613"/>
      <c r="Z370" s="1612">
        <f t="shared" si="230"/>
        <v>0.59418375670941792</v>
      </c>
      <c r="AA370" s="1611"/>
      <c r="AB370" s="1611"/>
      <c r="AC370" s="1611"/>
      <c r="AD370" s="1611"/>
      <c r="AE370" s="1611"/>
      <c r="AF370" s="1611"/>
      <c r="AG370" s="1611"/>
      <c r="AH370" s="1611"/>
      <c r="AI370" s="1611"/>
      <c r="AJ370" s="1611"/>
      <c r="AK370" s="1611"/>
      <c r="AL370" s="1611"/>
      <c r="AM370" s="1611"/>
      <c r="AN370" s="1611"/>
      <c r="AO370" s="1611"/>
      <c r="AP370" s="1611"/>
      <c r="AQ370" s="1611"/>
    </row>
    <row r="371" spans="1:43" outlineLevel="2">
      <c r="A371" s="1638" t="s">
        <v>313</v>
      </c>
      <c r="B371" s="1637" t="s">
        <v>122</v>
      </c>
      <c r="C371" s="1636"/>
      <c r="D371" s="1635">
        <v>1</v>
      </c>
      <c r="E371" s="1634" t="s">
        <v>926</v>
      </c>
      <c r="F371" s="1633" t="s">
        <v>1071</v>
      </c>
      <c r="G371" s="1632">
        <v>3787.145060211255</v>
      </c>
      <c r="H371" s="1632">
        <v>4198.6000000000004</v>
      </c>
      <c r="I371" s="1630">
        <f t="shared" si="218"/>
        <v>7985.7450602112549</v>
      </c>
      <c r="J371" s="1630">
        <f t="shared" si="219"/>
        <v>7985.7450602112549</v>
      </c>
      <c r="K371" s="1631">
        <v>4745</v>
      </c>
      <c r="L371" s="1630">
        <f t="shared" si="220"/>
        <v>4745</v>
      </c>
      <c r="M371" s="1630">
        <f t="shared" si="221"/>
        <v>4745</v>
      </c>
      <c r="N371" s="1625">
        <f t="shared" si="222"/>
        <v>3240.7450602112549</v>
      </c>
      <c r="O371" s="1629">
        <v>0.51100000000000001</v>
      </c>
      <c r="P371" s="1629">
        <v>0.48899999999999999</v>
      </c>
      <c r="Q371" s="1625">
        <f t="shared" si="223"/>
        <v>1656.0207257679513</v>
      </c>
      <c r="R371" s="1628">
        <f t="shared" si="224"/>
        <v>1584.7243344433036</v>
      </c>
      <c r="S371" s="1627">
        <f t="shared" si="225"/>
        <v>2131.1243344433037</v>
      </c>
      <c r="T371" s="1627">
        <f t="shared" si="226"/>
        <v>2613.8756655566967</v>
      </c>
      <c r="U371" s="1626">
        <f t="shared" si="227"/>
        <v>532.78108361082593</v>
      </c>
      <c r="V371" s="1626">
        <f t="shared" si="228"/>
        <v>653.46891638917418</v>
      </c>
      <c r="W371" s="1625">
        <f t="shared" si="229"/>
        <v>1186.25</v>
      </c>
      <c r="X371" s="1614"/>
      <c r="Y371" s="1613"/>
      <c r="Z371" s="1612">
        <f t="shared" si="230"/>
        <v>0.59418375670941792</v>
      </c>
      <c r="AA371" s="1611"/>
      <c r="AB371" s="1611"/>
      <c r="AC371" s="1611"/>
      <c r="AD371" s="1611"/>
      <c r="AE371" s="1611"/>
      <c r="AF371" s="1611"/>
      <c r="AG371" s="1611"/>
      <c r="AH371" s="1611"/>
      <c r="AI371" s="1611"/>
      <c r="AJ371" s="1611"/>
      <c r="AK371" s="1611"/>
      <c r="AL371" s="1611"/>
      <c r="AM371" s="1611"/>
      <c r="AN371" s="1611"/>
      <c r="AO371" s="1611"/>
      <c r="AP371" s="1611"/>
      <c r="AQ371" s="1611"/>
    </row>
    <row r="372" spans="1:43" outlineLevel="2">
      <c r="A372" s="1638" t="s">
        <v>313</v>
      </c>
      <c r="B372" s="1637" t="s">
        <v>122</v>
      </c>
      <c r="C372" s="1636"/>
      <c r="D372" s="1635">
        <v>8</v>
      </c>
      <c r="E372" s="1634" t="s">
        <v>926</v>
      </c>
      <c r="F372" s="1633" t="s">
        <v>1065</v>
      </c>
      <c r="G372" s="1632">
        <v>3787.145060211255</v>
      </c>
      <c r="H372" s="1632">
        <v>4198.6000000000004</v>
      </c>
      <c r="I372" s="1630">
        <f t="shared" si="218"/>
        <v>7985.7450602112549</v>
      </c>
      <c r="J372" s="1630">
        <f t="shared" si="219"/>
        <v>63885.960481690039</v>
      </c>
      <c r="K372" s="1631">
        <v>4745</v>
      </c>
      <c r="L372" s="1630">
        <f t="shared" si="220"/>
        <v>4745</v>
      </c>
      <c r="M372" s="1630">
        <f t="shared" si="221"/>
        <v>37960</v>
      </c>
      <c r="N372" s="1625">
        <f t="shared" si="222"/>
        <v>25925.960481690039</v>
      </c>
      <c r="O372" s="1629">
        <v>0.51100000000000001</v>
      </c>
      <c r="P372" s="1629">
        <v>0.48899999999999999</v>
      </c>
      <c r="Q372" s="1625">
        <f t="shared" si="223"/>
        <v>13248.16580614361</v>
      </c>
      <c r="R372" s="1628">
        <f t="shared" si="224"/>
        <v>12677.794675546429</v>
      </c>
      <c r="S372" s="1627">
        <f t="shared" si="225"/>
        <v>17048.99467554643</v>
      </c>
      <c r="T372" s="1627">
        <f t="shared" si="226"/>
        <v>20911.005324453574</v>
      </c>
      <c r="U372" s="1626">
        <f t="shared" si="227"/>
        <v>4262.2486688866074</v>
      </c>
      <c r="V372" s="1626">
        <f t="shared" si="228"/>
        <v>5227.7513311133935</v>
      </c>
      <c r="W372" s="1625">
        <f t="shared" si="229"/>
        <v>9490</v>
      </c>
      <c r="X372" s="1614"/>
      <c r="Y372" s="1613"/>
      <c r="Z372" s="1612">
        <f t="shared" si="230"/>
        <v>0.59418375670941792</v>
      </c>
      <c r="AA372" s="1611"/>
      <c r="AB372" s="1611"/>
      <c r="AC372" s="1611"/>
      <c r="AD372" s="1611"/>
      <c r="AE372" s="1611"/>
      <c r="AF372" s="1611"/>
      <c r="AG372" s="1611"/>
      <c r="AH372" s="1611"/>
      <c r="AI372" s="1611"/>
      <c r="AJ372" s="1611"/>
      <c r="AK372" s="1611"/>
      <c r="AL372" s="1611"/>
      <c r="AM372" s="1611"/>
      <c r="AN372" s="1611"/>
      <c r="AO372" s="1611"/>
      <c r="AP372" s="1611"/>
      <c r="AQ372" s="1611"/>
    </row>
    <row r="373" spans="1:43" outlineLevel="2">
      <c r="A373" s="1638" t="s">
        <v>313</v>
      </c>
      <c r="B373" s="1637" t="s">
        <v>122</v>
      </c>
      <c r="C373" s="1636"/>
      <c r="D373" s="1635">
        <v>6</v>
      </c>
      <c r="E373" s="1634" t="s">
        <v>926</v>
      </c>
      <c r="F373" s="1633" t="s">
        <v>1064</v>
      </c>
      <c r="G373" s="1632">
        <v>3787.145060211255</v>
      </c>
      <c r="H373" s="1632">
        <v>4198.6000000000004</v>
      </c>
      <c r="I373" s="1630">
        <f t="shared" si="218"/>
        <v>7985.7450602112549</v>
      </c>
      <c r="J373" s="1630">
        <f t="shared" si="219"/>
        <v>47914.470361267529</v>
      </c>
      <c r="K373" s="1631">
        <v>4745</v>
      </c>
      <c r="L373" s="1630">
        <f t="shared" si="220"/>
        <v>4745</v>
      </c>
      <c r="M373" s="1630">
        <f t="shared" si="221"/>
        <v>28470</v>
      </c>
      <c r="N373" s="1625">
        <f t="shared" si="222"/>
        <v>19444.470361267529</v>
      </c>
      <c r="O373" s="1629">
        <v>0.51100000000000001</v>
      </c>
      <c r="P373" s="1629">
        <v>0.48899999999999999</v>
      </c>
      <c r="Q373" s="1625">
        <f t="shared" si="223"/>
        <v>9936.1243546077076</v>
      </c>
      <c r="R373" s="1628">
        <f t="shared" si="224"/>
        <v>9508.3460066598218</v>
      </c>
      <c r="S373" s="1627">
        <f t="shared" si="225"/>
        <v>12786.746006659823</v>
      </c>
      <c r="T373" s="1627">
        <f t="shared" si="226"/>
        <v>15683.25399334018</v>
      </c>
      <c r="U373" s="1626">
        <f t="shared" si="227"/>
        <v>3196.6865016649558</v>
      </c>
      <c r="V373" s="1626">
        <f t="shared" si="228"/>
        <v>3920.8134983350451</v>
      </c>
      <c r="W373" s="1625">
        <f t="shared" si="229"/>
        <v>7117.5000000000009</v>
      </c>
      <c r="X373" s="1614"/>
      <c r="Y373" s="1613"/>
      <c r="Z373" s="1612">
        <f t="shared" si="230"/>
        <v>0.59418375670941792</v>
      </c>
      <c r="AA373" s="1611"/>
      <c r="AB373" s="1611"/>
      <c r="AC373" s="1611"/>
      <c r="AD373" s="1611"/>
      <c r="AE373" s="1611"/>
      <c r="AF373" s="1611"/>
      <c r="AG373" s="1611"/>
      <c r="AH373" s="1611"/>
      <c r="AI373" s="1611"/>
      <c r="AJ373" s="1611"/>
      <c r="AK373" s="1611"/>
      <c r="AL373" s="1611"/>
      <c r="AM373" s="1611"/>
      <c r="AN373" s="1611"/>
      <c r="AO373" s="1611"/>
      <c r="AP373" s="1611"/>
      <c r="AQ373" s="1611"/>
    </row>
    <row r="374" spans="1:43" outlineLevel="2">
      <c r="A374" s="1638" t="s">
        <v>313</v>
      </c>
      <c r="B374" s="1637" t="s">
        <v>122</v>
      </c>
      <c r="C374" s="1636"/>
      <c r="D374" s="1635">
        <v>2</v>
      </c>
      <c r="E374" s="1634" t="s">
        <v>926</v>
      </c>
      <c r="F374" s="1633" t="s">
        <v>1063</v>
      </c>
      <c r="G374" s="1632">
        <v>3787.145060211255</v>
      </c>
      <c r="H374" s="1632">
        <v>4198.6000000000004</v>
      </c>
      <c r="I374" s="1630">
        <f t="shared" si="218"/>
        <v>7985.7450602112549</v>
      </c>
      <c r="J374" s="1630">
        <f t="shared" si="219"/>
        <v>15971.49012042251</v>
      </c>
      <c r="K374" s="1631">
        <v>4745</v>
      </c>
      <c r="L374" s="1630">
        <f t="shared" si="220"/>
        <v>4745</v>
      </c>
      <c r="M374" s="1630">
        <f t="shared" si="221"/>
        <v>9490</v>
      </c>
      <c r="N374" s="1625">
        <f t="shared" si="222"/>
        <v>6481.4901204225098</v>
      </c>
      <c r="O374" s="1629">
        <v>0.51100000000000001</v>
      </c>
      <c r="P374" s="1629">
        <v>0.48899999999999999</v>
      </c>
      <c r="Q374" s="1625">
        <f t="shared" si="223"/>
        <v>3312.0414515359025</v>
      </c>
      <c r="R374" s="1628">
        <f t="shared" si="224"/>
        <v>3169.4486688866073</v>
      </c>
      <c r="S374" s="1627">
        <f t="shared" si="225"/>
        <v>4262.2486688866074</v>
      </c>
      <c r="T374" s="1627">
        <f t="shared" si="226"/>
        <v>5227.7513311133935</v>
      </c>
      <c r="U374" s="1626">
        <f t="shared" si="227"/>
        <v>1065.5621672216519</v>
      </c>
      <c r="V374" s="1626">
        <f t="shared" si="228"/>
        <v>1306.9378327783484</v>
      </c>
      <c r="W374" s="1625">
        <f t="shared" si="229"/>
        <v>2372.5</v>
      </c>
      <c r="X374" s="1614"/>
      <c r="Y374" s="1613"/>
      <c r="Z374" s="1612">
        <f t="shared" si="230"/>
        <v>0.59418375670941792</v>
      </c>
      <c r="AA374" s="1611"/>
      <c r="AB374" s="1611"/>
      <c r="AC374" s="1611"/>
      <c r="AD374" s="1611"/>
      <c r="AE374" s="1611"/>
      <c r="AF374" s="1611"/>
      <c r="AG374" s="1611"/>
      <c r="AH374" s="1611"/>
      <c r="AI374" s="1611"/>
      <c r="AJ374" s="1611"/>
      <c r="AK374" s="1611"/>
      <c r="AL374" s="1611"/>
      <c r="AM374" s="1611"/>
      <c r="AN374" s="1611"/>
      <c r="AO374" s="1611"/>
      <c r="AP374" s="1611"/>
      <c r="AQ374" s="1611"/>
    </row>
    <row r="375" spans="1:43" outlineLevel="2">
      <c r="A375" s="1638" t="s">
        <v>313</v>
      </c>
      <c r="B375" s="1637" t="s">
        <v>122</v>
      </c>
      <c r="C375" s="1636"/>
      <c r="D375" s="1635">
        <v>0</v>
      </c>
      <c r="E375" s="1634" t="s">
        <v>926</v>
      </c>
      <c r="F375" s="1633" t="s">
        <v>1066</v>
      </c>
      <c r="G375" s="1632">
        <v>3787.145060211255</v>
      </c>
      <c r="H375" s="1632">
        <v>4198.6000000000004</v>
      </c>
      <c r="I375" s="1630">
        <f t="shared" si="218"/>
        <v>7985.7450602112549</v>
      </c>
      <c r="J375" s="1630">
        <f t="shared" si="219"/>
        <v>0</v>
      </c>
      <c r="K375" s="1631">
        <v>4745</v>
      </c>
      <c r="L375" s="1630">
        <f t="shared" si="220"/>
        <v>4745</v>
      </c>
      <c r="M375" s="1630">
        <f t="shared" si="221"/>
        <v>0</v>
      </c>
      <c r="N375" s="1625">
        <f t="shared" si="222"/>
        <v>0</v>
      </c>
      <c r="O375" s="1629">
        <v>0.51100000000000001</v>
      </c>
      <c r="P375" s="1629">
        <v>0.48899999999999999</v>
      </c>
      <c r="Q375" s="1625">
        <f t="shared" si="223"/>
        <v>0</v>
      </c>
      <c r="R375" s="1628">
        <f t="shared" si="224"/>
        <v>0</v>
      </c>
      <c r="S375" s="1627">
        <f t="shared" si="225"/>
        <v>0</v>
      </c>
      <c r="T375" s="1627">
        <f t="shared" si="226"/>
        <v>0</v>
      </c>
      <c r="U375" s="1626">
        <f t="shared" si="227"/>
        <v>0</v>
      </c>
      <c r="V375" s="1626">
        <f t="shared" si="228"/>
        <v>0</v>
      </c>
      <c r="W375" s="1625">
        <f t="shared" si="229"/>
        <v>0</v>
      </c>
      <c r="X375" s="1614"/>
      <c r="Y375" s="1613"/>
      <c r="Z375" s="1612">
        <f t="shared" si="230"/>
        <v>0.59418375670941792</v>
      </c>
      <c r="AA375" s="1611"/>
      <c r="AB375" s="1611"/>
      <c r="AC375" s="1611"/>
      <c r="AD375" s="1611"/>
      <c r="AE375" s="1611"/>
      <c r="AF375" s="1611"/>
      <c r="AG375" s="1611"/>
      <c r="AH375" s="1611"/>
      <c r="AI375" s="1611"/>
      <c r="AJ375" s="1611"/>
      <c r="AK375" s="1611"/>
      <c r="AL375" s="1611"/>
      <c r="AM375" s="1611"/>
      <c r="AN375" s="1611"/>
      <c r="AO375" s="1611"/>
      <c r="AP375" s="1611"/>
      <c r="AQ375" s="1611"/>
    </row>
    <row r="376" spans="1:43" outlineLevel="2">
      <c r="A376" s="1638" t="s">
        <v>313</v>
      </c>
      <c r="B376" s="1637" t="s">
        <v>122</v>
      </c>
      <c r="C376" s="1636"/>
      <c r="D376" s="1635">
        <v>20</v>
      </c>
      <c r="E376" s="1634" t="s">
        <v>926</v>
      </c>
      <c r="F376" s="1633" t="s">
        <v>979</v>
      </c>
      <c r="G376" s="1632">
        <v>3787.145060211255</v>
      </c>
      <c r="H376" s="1632">
        <v>4198.6000000000004</v>
      </c>
      <c r="I376" s="1630">
        <f t="shared" si="218"/>
        <v>7985.7450602112549</v>
      </c>
      <c r="J376" s="1630">
        <f t="shared" si="219"/>
        <v>159714.90120422508</v>
      </c>
      <c r="K376" s="1631">
        <v>4745</v>
      </c>
      <c r="L376" s="1630">
        <f t="shared" si="220"/>
        <v>4745</v>
      </c>
      <c r="M376" s="1630">
        <f t="shared" si="221"/>
        <v>94900</v>
      </c>
      <c r="N376" s="1625">
        <f t="shared" si="222"/>
        <v>64814.901204225083</v>
      </c>
      <c r="O376" s="1629">
        <v>0.51100000000000001</v>
      </c>
      <c r="P376" s="1629">
        <v>0.48899999999999999</v>
      </c>
      <c r="Q376" s="1625">
        <f t="shared" si="223"/>
        <v>33120.414515359022</v>
      </c>
      <c r="R376" s="1628">
        <f t="shared" si="224"/>
        <v>31694.486688866065</v>
      </c>
      <c r="S376" s="1627">
        <f t="shared" si="225"/>
        <v>42622.486688866076</v>
      </c>
      <c r="T376" s="1627">
        <f t="shared" si="226"/>
        <v>52277.513311133938</v>
      </c>
      <c r="U376" s="1626">
        <f t="shared" si="227"/>
        <v>10655.621672216519</v>
      </c>
      <c r="V376" s="1626">
        <f t="shared" si="228"/>
        <v>13069.378327783485</v>
      </c>
      <c r="W376" s="1625">
        <f t="shared" si="229"/>
        <v>23725.000000000004</v>
      </c>
      <c r="X376" s="1614"/>
      <c r="Y376" s="1613"/>
      <c r="Z376" s="1612">
        <f t="shared" si="230"/>
        <v>0.59418375670941792</v>
      </c>
      <c r="AA376" s="1611"/>
      <c r="AB376" s="1611"/>
      <c r="AC376" s="1611"/>
      <c r="AD376" s="1611"/>
      <c r="AE376" s="1611"/>
      <c r="AF376" s="1611"/>
      <c r="AG376" s="1611"/>
      <c r="AH376" s="1611"/>
      <c r="AI376" s="1611"/>
      <c r="AJ376" s="1611"/>
      <c r="AK376" s="1611"/>
      <c r="AL376" s="1611"/>
      <c r="AM376" s="1611"/>
      <c r="AN376" s="1611"/>
      <c r="AO376" s="1611"/>
      <c r="AP376" s="1611"/>
      <c r="AQ376" s="1611"/>
    </row>
    <row r="377" spans="1:43" outlineLevel="2">
      <c r="A377" s="1638" t="s">
        <v>313</v>
      </c>
      <c r="B377" s="1637" t="s">
        <v>122</v>
      </c>
      <c r="C377" s="1636"/>
      <c r="D377" s="1635">
        <v>4</v>
      </c>
      <c r="E377" s="1634" t="s">
        <v>925</v>
      </c>
      <c r="F377" s="1633" t="s">
        <v>1070</v>
      </c>
      <c r="G377" s="1632">
        <v>3787.145060211255</v>
      </c>
      <c r="H377" s="1632">
        <v>4198.6000000000004</v>
      </c>
      <c r="I377" s="1630">
        <f t="shared" si="218"/>
        <v>7985.7450602112549</v>
      </c>
      <c r="J377" s="1630">
        <f t="shared" si="219"/>
        <v>31942.98024084502</v>
      </c>
      <c r="K377" s="1631">
        <v>4430</v>
      </c>
      <c r="L377" s="1630">
        <f t="shared" si="220"/>
        <v>4430</v>
      </c>
      <c r="M377" s="1630">
        <f t="shared" si="221"/>
        <v>17720</v>
      </c>
      <c r="N377" s="1625">
        <f t="shared" si="222"/>
        <v>14222.98024084502</v>
      </c>
      <c r="O377" s="1629">
        <v>0.51100000000000001</v>
      </c>
      <c r="P377" s="1629">
        <v>0.48899999999999999</v>
      </c>
      <c r="Q377" s="1625">
        <f t="shared" si="223"/>
        <v>7267.9429030718047</v>
      </c>
      <c r="R377" s="1628">
        <f t="shared" si="224"/>
        <v>6955.0373377732149</v>
      </c>
      <c r="S377" s="1627">
        <f t="shared" si="225"/>
        <v>7880.6373377732152</v>
      </c>
      <c r="T377" s="1627">
        <f t="shared" si="226"/>
        <v>9839.3626622267875</v>
      </c>
      <c r="U377" s="1626">
        <f t="shared" si="227"/>
        <v>1970.1593344433038</v>
      </c>
      <c r="V377" s="1626">
        <f t="shared" si="228"/>
        <v>2459.8406655566969</v>
      </c>
      <c r="W377" s="1625">
        <f t="shared" si="229"/>
        <v>4430.0000000000009</v>
      </c>
      <c r="X377" s="1614"/>
      <c r="Y377" s="1613"/>
      <c r="Z377" s="1612">
        <f t="shared" si="230"/>
        <v>0.55473847043682223</v>
      </c>
      <c r="AA377" s="1611"/>
      <c r="AB377" s="1611"/>
      <c r="AC377" s="1611"/>
      <c r="AD377" s="1611"/>
      <c r="AE377" s="1611"/>
      <c r="AF377" s="1611"/>
      <c r="AG377" s="1611"/>
      <c r="AH377" s="1611"/>
      <c r="AI377" s="1611"/>
      <c r="AJ377" s="1611"/>
      <c r="AK377" s="1611"/>
      <c r="AL377" s="1611"/>
      <c r="AM377" s="1611"/>
      <c r="AN377" s="1611"/>
      <c r="AO377" s="1611"/>
      <c r="AP377" s="1611"/>
      <c r="AQ377" s="1611"/>
    </row>
    <row r="378" spans="1:43" outlineLevel="2">
      <c r="A378" s="1638" t="s">
        <v>313</v>
      </c>
      <c r="B378" s="1637" t="s">
        <v>122</v>
      </c>
      <c r="C378" s="1636"/>
      <c r="D378" s="1635">
        <v>3</v>
      </c>
      <c r="E378" s="1634" t="s">
        <v>925</v>
      </c>
      <c r="F378" s="1633" t="s">
        <v>1069</v>
      </c>
      <c r="G378" s="1632">
        <v>3787.145060211255</v>
      </c>
      <c r="H378" s="1632">
        <v>4198.6000000000004</v>
      </c>
      <c r="I378" s="1630">
        <f t="shared" si="218"/>
        <v>7985.7450602112549</v>
      </c>
      <c r="J378" s="1630">
        <f t="shared" si="219"/>
        <v>23957.235180633765</v>
      </c>
      <c r="K378" s="1631">
        <v>4430</v>
      </c>
      <c r="L378" s="1630">
        <f t="shared" si="220"/>
        <v>4430</v>
      </c>
      <c r="M378" s="1630">
        <f t="shared" si="221"/>
        <v>13290</v>
      </c>
      <c r="N378" s="1625">
        <f t="shared" si="222"/>
        <v>10667.235180633765</v>
      </c>
      <c r="O378" s="1629">
        <v>0.51100000000000001</v>
      </c>
      <c r="P378" s="1629">
        <v>0.48899999999999999</v>
      </c>
      <c r="Q378" s="1625">
        <f t="shared" si="223"/>
        <v>5450.9571773038542</v>
      </c>
      <c r="R378" s="1628">
        <f t="shared" si="224"/>
        <v>5216.2780033299105</v>
      </c>
      <c r="S378" s="1627">
        <f t="shared" si="225"/>
        <v>5910.4780033299112</v>
      </c>
      <c r="T378" s="1627">
        <f t="shared" si="226"/>
        <v>7379.5219966700906</v>
      </c>
      <c r="U378" s="1626">
        <f t="shared" si="227"/>
        <v>1477.6195008324778</v>
      </c>
      <c r="V378" s="1626">
        <f t="shared" si="228"/>
        <v>1844.8804991675227</v>
      </c>
      <c r="W378" s="1625">
        <f t="shared" si="229"/>
        <v>3322.5000000000005</v>
      </c>
      <c r="X378" s="1614"/>
      <c r="Y378" s="1613"/>
      <c r="Z378" s="1612">
        <f t="shared" si="230"/>
        <v>0.55473847043682223</v>
      </c>
      <c r="AA378" s="1611"/>
      <c r="AB378" s="1611"/>
      <c r="AC378" s="1611"/>
      <c r="AD378" s="1611"/>
      <c r="AE378" s="1611"/>
      <c r="AF378" s="1611"/>
      <c r="AG378" s="1611"/>
      <c r="AH378" s="1611"/>
      <c r="AI378" s="1611"/>
      <c r="AJ378" s="1611"/>
      <c r="AK378" s="1611"/>
      <c r="AL378" s="1611"/>
      <c r="AM378" s="1611"/>
      <c r="AN378" s="1611"/>
      <c r="AO378" s="1611"/>
      <c r="AP378" s="1611"/>
      <c r="AQ378" s="1611"/>
    </row>
    <row r="379" spans="1:43" outlineLevel="2">
      <c r="A379" s="1638" t="s">
        <v>313</v>
      </c>
      <c r="B379" s="1637" t="s">
        <v>122</v>
      </c>
      <c r="C379" s="1636"/>
      <c r="D379" s="1635">
        <v>2</v>
      </c>
      <c r="E379" s="1634" t="s">
        <v>925</v>
      </c>
      <c r="F379" s="1633" t="s">
        <v>1068</v>
      </c>
      <c r="G379" s="1632">
        <v>3787.145060211255</v>
      </c>
      <c r="H379" s="1632">
        <v>4198.6000000000004</v>
      </c>
      <c r="I379" s="1630">
        <f t="shared" si="218"/>
        <v>7985.7450602112549</v>
      </c>
      <c r="J379" s="1630">
        <f t="shared" si="219"/>
        <v>15971.49012042251</v>
      </c>
      <c r="K379" s="1631">
        <v>4430</v>
      </c>
      <c r="L379" s="1630">
        <f t="shared" si="220"/>
        <v>4430</v>
      </c>
      <c r="M379" s="1630">
        <f t="shared" si="221"/>
        <v>8860</v>
      </c>
      <c r="N379" s="1625">
        <f t="shared" si="222"/>
        <v>7111.4901204225098</v>
      </c>
      <c r="O379" s="1629">
        <v>0.51100000000000001</v>
      </c>
      <c r="P379" s="1629">
        <v>0.48899999999999999</v>
      </c>
      <c r="Q379" s="1625">
        <f t="shared" si="223"/>
        <v>3633.9714515359024</v>
      </c>
      <c r="R379" s="1628">
        <f t="shared" si="224"/>
        <v>3477.5186688866074</v>
      </c>
      <c r="S379" s="1627">
        <f t="shared" si="225"/>
        <v>3940.3186688866076</v>
      </c>
      <c r="T379" s="1627">
        <f t="shared" si="226"/>
        <v>4919.6813311133938</v>
      </c>
      <c r="U379" s="1626">
        <f t="shared" si="227"/>
        <v>985.0796672216519</v>
      </c>
      <c r="V379" s="1626">
        <f t="shared" si="228"/>
        <v>1229.9203327783484</v>
      </c>
      <c r="W379" s="1625">
        <f t="shared" si="229"/>
        <v>2215.0000000000005</v>
      </c>
      <c r="X379" s="1614"/>
      <c r="Y379" s="1613"/>
      <c r="Z379" s="1612">
        <f t="shared" si="230"/>
        <v>0.55473847043682223</v>
      </c>
      <c r="AA379" s="1611"/>
      <c r="AB379" s="1611"/>
      <c r="AC379" s="1611"/>
      <c r="AD379" s="1611"/>
      <c r="AE379" s="1611"/>
      <c r="AF379" s="1611"/>
      <c r="AG379" s="1611"/>
      <c r="AH379" s="1611"/>
      <c r="AI379" s="1611"/>
      <c r="AJ379" s="1611"/>
      <c r="AK379" s="1611"/>
      <c r="AL379" s="1611"/>
      <c r="AM379" s="1611"/>
      <c r="AN379" s="1611"/>
      <c r="AO379" s="1611"/>
      <c r="AP379" s="1611"/>
      <c r="AQ379" s="1611"/>
    </row>
    <row r="380" spans="1:43" outlineLevel="2">
      <c r="A380" s="1638" t="s">
        <v>313</v>
      </c>
      <c r="B380" s="1637" t="s">
        <v>122</v>
      </c>
      <c r="C380" s="1636"/>
      <c r="D380" s="1635">
        <v>3</v>
      </c>
      <c r="E380" s="1634" t="s">
        <v>925</v>
      </c>
      <c r="F380" s="1633" t="s">
        <v>1071</v>
      </c>
      <c r="G380" s="1632">
        <v>3787.145060211255</v>
      </c>
      <c r="H380" s="1632">
        <v>4198.6000000000004</v>
      </c>
      <c r="I380" s="1630">
        <f t="shared" si="218"/>
        <v>7985.7450602112549</v>
      </c>
      <c r="J380" s="1630">
        <f t="shared" si="219"/>
        <v>23957.235180633765</v>
      </c>
      <c r="K380" s="1631">
        <v>4430</v>
      </c>
      <c r="L380" s="1630">
        <f t="shared" si="220"/>
        <v>4430</v>
      </c>
      <c r="M380" s="1630">
        <f t="shared" si="221"/>
        <v>13290</v>
      </c>
      <c r="N380" s="1625">
        <f t="shared" si="222"/>
        <v>10667.235180633765</v>
      </c>
      <c r="O380" s="1629">
        <v>0.51100000000000001</v>
      </c>
      <c r="P380" s="1629">
        <v>0.48899999999999999</v>
      </c>
      <c r="Q380" s="1625">
        <f t="shared" si="223"/>
        <v>5450.9571773038542</v>
      </c>
      <c r="R380" s="1628">
        <f t="shared" si="224"/>
        <v>5216.2780033299105</v>
      </c>
      <c r="S380" s="1627">
        <f t="shared" si="225"/>
        <v>5910.4780033299112</v>
      </c>
      <c r="T380" s="1627">
        <f t="shared" si="226"/>
        <v>7379.5219966700906</v>
      </c>
      <c r="U380" s="1626">
        <f t="shared" si="227"/>
        <v>1477.6195008324778</v>
      </c>
      <c r="V380" s="1626">
        <f t="shared" si="228"/>
        <v>1844.8804991675227</v>
      </c>
      <c r="W380" s="1625">
        <f t="shared" si="229"/>
        <v>3322.5000000000005</v>
      </c>
      <c r="X380" s="1614"/>
      <c r="Y380" s="1613"/>
      <c r="Z380" s="1612">
        <f t="shared" si="230"/>
        <v>0.55473847043682223</v>
      </c>
      <c r="AA380" s="1611"/>
      <c r="AB380" s="1611"/>
      <c r="AC380" s="1611"/>
      <c r="AD380" s="1611"/>
      <c r="AE380" s="1611"/>
      <c r="AF380" s="1611"/>
      <c r="AG380" s="1611"/>
      <c r="AH380" s="1611"/>
      <c r="AI380" s="1611"/>
      <c r="AJ380" s="1611"/>
      <c r="AK380" s="1611"/>
      <c r="AL380" s="1611"/>
      <c r="AM380" s="1611"/>
      <c r="AN380" s="1611"/>
      <c r="AO380" s="1611"/>
      <c r="AP380" s="1611"/>
      <c r="AQ380" s="1611"/>
    </row>
    <row r="381" spans="1:43" outlineLevel="2">
      <c r="A381" s="1638" t="s">
        <v>313</v>
      </c>
      <c r="B381" s="1637" t="s">
        <v>122</v>
      </c>
      <c r="C381" s="1636"/>
      <c r="D381" s="1635">
        <v>1</v>
      </c>
      <c r="E381" s="1634" t="s">
        <v>925</v>
      </c>
      <c r="F381" s="1633" t="s">
        <v>1065</v>
      </c>
      <c r="G381" s="1632">
        <v>3787.145060211255</v>
      </c>
      <c r="H381" s="1632">
        <v>4198.6000000000004</v>
      </c>
      <c r="I381" s="1630">
        <f t="shared" si="218"/>
        <v>7985.7450602112549</v>
      </c>
      <c r="J381" s="1630">
        <f t="shared" si="219"/>
        <v>7985.7450602112549</v>
      </c>
      <c r="K381" s="1631">
        <v>4430</v>
      </c>
      <c r="L381" s="1630">
        <f t="shared" si="220"/>
        <v>4430</v>
      </c>
      <c r="M381" s="1630">
        <f t="shared" si="221"/>
        <v>4430</v>
      </c>
      <c r="N381" s="1625">
        <f t="shared" si="222"/>
        <v>3555.7450602112549</v>
      </c>
      <c r="O381" s="1629">
        <v>0.51100000000000001</v>
      </c>
      <c r="P381" s="1629">
        <v>0.48899999999999999</v>
      </c>
      <c r="Q381" s="1625">
        <f t="shared" si="223"/>
        <v>1816.9857257679512</v>
      </c>
      <c r="R381" s="1628">
        <f t="shared" si="224"/>
        <v>1738.7593344433037</v>
      </c>
      <c r="S381" s="1627">
        <f t="shared" si="225"/>
        <v>1970.1593344433038</v>
      </c>
      <c r="T381" s="1627">
        <f t="shared" si="226"/>
        <v>2459.8406655566969</v>
      </c>
      <c r="U381" s="1626">
        <f t="shared" si="227"/>
        <v>492.53983361082595</v>
      </c>
      <c r="V381" s="1626">
        <f t="shared" si="228"/>
        <v>614.96016638917422</v>
      </c>
      <c r="W381" s="1625">
        <f t="shared" si="229"/>
        <v>1107.5000000000002</v>
      </c>
      <c r="X381" s="1614"/>
      <c r="Y381" s="1613"/>
      <c r="Z381" s="1612">
        <f t="shared" si="230"/>
        <v>0.55473847043682223</v>
      </c>
      <c r="AA381" s="1611"/>
      <c r="AB381" s="1611"/>
      <c r="AC381" s="1611"/>
      <c r="AD381" s="1611"/>
      <c r="AE381" s="1611"/>
      <c r="AF381" s="1611"/>
      <c r="AG381" s="1611"/>
      <c r="AH381" s="1611"/>
      <c r="AI381" s="1611"/>
      <c r="AJ381" s="1611"/>
      <c r="AK381" s="1611"/>
      <c r="AL381" s="1611"/>
      <c r="AM381" s="1611"/>
      <c r="AN381" s="1611"/>
      <c r="AO381" s="1611"/>
      <c r="AP381" s="1611"/>
      <c r="AQ381" s="1611"/>
    </row>
    <row r="382" spans="1:43" outlineLevel="2">
      <c r="A382" s="1638" t="s">
        <v>313</v>
      </c>
      <c r="B382" s="1637" t="s">
        <v>122</v>
      </c>
      <c r="C382" s="1636"/>
      <c r="D382" s="1635">
        <v>1</v>
      </c>
      <c r="E382" s="1634" t="s">
        <v>925</v>
      </c>
      <c r="F382" s="1633" t="s">
        <v>1064</v>
      </c>
      <c r="G382" s="1632">
        <v>3787.145060211255</v>
      </c>
      <c r="H382" s="1632">
        <v>4198.6000000000004</v>
      </c>
      <c r="I382" s="1630">
        <f t="shared" si="218"/>
        <v>7985.7450602112549</v>
      </c>
      <c r="J382" s="1630">
        <f t="shared" si="219"/>
        <v>7985.7450602112549</v>
      </c>
      <c r="K382" s="1631">
        <v>4430</v>
      </c>
      <c r="L382" s="1630">
        <f t="shared" si="220"/>
        <v>4430</v>
      </c>
      <c r="M382" s="1630">
        <f t="shared" si="221"/>
        <v>4430</v>
      </c>
      <c r="N382" s="1625">
        <f t="shared" si="222"/>
        <v>3555.7450602112549</v>
      </c>
      <c r="O382" s="1629">
        <v>0.51100000000000001</v>
      </c>
      <c r="P382" s="1629">
        <v>0.48899999999999999</v>
      </c>
      <c r="Q382" s="1625">
        <f t="shared" si="223"/>
        <v>1816.9857257679512</v>
      </c>
      <c r="R382" s="1628">
        <f t="shared" si="224"/>
        <v>1738.7593344433037</v>
      </c>
      <c r="S382" s="1627">
        <f t="shared" si="225"/>
        <v>1970.1593344433038</v>
      </c>
      <c r="T382" s="1627">
        <f t="shared" si="226"/>
        <v>2459.8406655566969</v>
      </c>
      <c r="U382" s="1626">
        <f t="shared" si="227"/>
        <v>492.53983361082595</v>
      </c>
      <c r="V382" s="1626">
        <f t="shared" si="228"/>
        <v>614.96016638917422</v>
      </c>
      <c r="W382" s="1625">
        <f t="shared" si="229"/>
        <v>1107.5000000000002</v>
      </c>
      <c r="X382" s="1614"/>
      <c r="Y382" s="1613"/>
      <c r="Z382" s="1612">
        <f t="shared" si="230"/>
        <v>0.55473847043682223</v>
      </c>
      <c r="AA382" s="1611"/>
      <c r="AB382" s="1611"/>
      <c r="AC382" s="1611"/>
      <c r="AD382" s="1611"/>
      <c r="AE382" s="1611"/>
      <c r="AF382" s="1611"/>
      <c r="AG382" s="1611"/>
      <c r="AH382" s="1611"/>
      <c r="AI382" s="1611"/>
      <c r="AJ382" s="1611"/>
      <c r="AK382" s="1611"/>
      <c r="AL382" s="1611"/>
      <c r="AM382" s="1611"/>
      <c r="AN382" s="1611"/>
      <c r="AO382" s="1611"/>
      <c r="AP382" s="1611"/>
      <c r="AQ382" s="1611"/>
    </row>
    <row r="383" spans="1:43" outlineLevel="2">
      <c r="A383" s="1638" t="s">
        <v>313</v>
      </c>
      <c r="B383" s="1637" t="s">
        <v>122</v>
      </c>
      <c r="C383" s="1636"/>
      <c r="D383" s="1635">
        <v>1</v>
      </c>
      <c r="E383" s="1634" t="s">
        <v>925</v>
      </c>
      <c r="F383" s="1633" t="s">
        <v>1063</v>
      </c>
      <c r="G383" s="1632">
        <v>3787.145060211255</v>
      </c>
      <c r="H383" s="1632">
        <v>4198.6000000000004</v>
      </c>
      <c r="I383" s="1630">
        <f t="shared" si="218"/>
        <v>7985.7450602112549</v>
      </c>
      <c r="J383" s="1630">
        <f t="shared" si="219"/>
        <v>7985.7450602112549</v>
      </c>
      <c r="K383" s="1631">
        <v>4430</v>
      </c>
      <c r="L383" s="1630">
        <f t="shared" si="220"/>
        <v>4430</v>
      </c>
      <c r="M383" s="1630">
        <f t="shared" si="221"/>
        <v>4430</v>
      </c>
      <c r="N383" s="1625">
        <f t="shared" si="222"/>
        <v>3555.7450602112549</v>
      </c>
      <c r="O383" s="1629">
        <v>0.51100000000000001</v>
      </c>
      <c r="P383" s="1629">
        <v>0.48899999999999999</v>
      </c>
      <c r="Q383" s="1625">
        <f t="shared" si="223"/>
        <v>1816.9857257679512</v>
      </c>
      <c r="R383" s="1628">
        <f t="shared" si="224"/>
        <v>1738.7593344433037</v>
      </c>
      <c r="S383" s="1627">
        <f t="shared" si="225"/>
        <v>1970.1593344433038</v>
      </c>
      <c r="T383" s="1627">
        <f t="shared" si="226"/>
        <v>2459.8406655566969</v>
      </c>
      <c r="U383" s="1626">
        <f t="shared" si="227"/>
        <v>492.53983361082595</v>
      </c>
      <c r="V383" s="1626">
        <f t="shared" si="228"/>
        <v>614.96016638917422</v>
      </c>
      <c r="W383" s="1625">
        <f t="shared" si="229"/>
        <v>1107.5000000000002</v>
      </c>
      <c r="X383" s="1614"/>
      <c r="Y383" s="1613"/>
      <c r="Z383" s="1612">
        <f t="shared" si="230"/>
        <v>0.55473847043682223</v>
      </c>
      <c r="AA383" s="1611"/>
      <c r="AB383" s="1611"/>
      <c r="AC383" s="1611"/>
      <c r="AD383" s="1611"/>
      <c r="AE383" s="1611"/>
      <c r="AF383" s="1611"/>
      <c r="AG383" s="1611"/>
      <c r="AH383" s="1611"/>
      <c r="AI383" s="1611"/>
      <c r="AJ383" s="1611"/>
      <c r="AK383" s="1611"/>
      <c r="AL383" s="1611"/>
      <c r="AM383" s="1611"/>
      <c r="AN383" s="1611"/>
      <c r="AO383" s="1611"/>
      <c r="AP383" s="1611"/>
      <c r="AQ383" s="1611"/>
    </row>
    <row r="384" spans="1:43" outlineLevel="2">
      <c r="A384" s="1638" t="s">
        <v>313</v>
      </c>
      <c r="B384" s="1637" t="s">
        <v>122</v>
      </c>
      <c r="C384" s="1636"/>
      <c r="D384" s="1635">
        <v>11</v>
      </c>
      <c r="E384" s="1634" t="s">
        <v>925</v>
      </c>
      <c r="F384" s="1633" t="s">
        <v>979</v>
      </c>
      <c r="G384" s="1632">
        <v>3787.145060211255</v>
      </c>
      <c r="H384" s="1632">
        <v>4198.6000000000004</v>
      </c>
      <c r="I384" s="1630">
        <f t="shared" si="218"/>
        <v>7985.7450602112549</v>
      </c>
      <c r="J384" s="1630">
        <f t="shared" si="219"/>
        <v>87843.195662323807</v>
      </c>
      <c r="K384" s="1631">
        <v>4430</v>
      </c>
      <c r="L384" s="1630">
        <f t="shared" si="220"/>
        <v>4430</v>
      </c>
      <c r="M384" s="1630">
        <f t="shared" si="221"/>
        <v>48730</v>
      </c>
      <c r="N384" s="1625">
        <f t="shared" si="222"/>
        <v>39113.195662323807</v>
      </c>
      <c r="O384" s="1629">
        <v>0.51100000000000001</v>
      </c>
      <c r="P384" s="1629">
        <v>0.48899999999999999</v>
      </c>
      <c r="Q384" s="1625">
        <f t="shared" si="223"/>
        <v>19986.842983447466</v>
      </c>
      <c r="R384" s="1628">
        <f t="shared" si="224"/>
        <v>19126.352678876341</v>
      </c>
      <c r="S384" s="1627">
        <f t="shared" si="225"/>
        <v>21671.752678876335</v>
      </c>
      <c r="T384" s="1627">
        <f t="shared" si="226"/>
        <v>27058.247321123665</v>
      </c>
      <c r="U384" s="1626">
        <f t="shared" si="227"/>
        <v>5417.9381697190838</v>
      </c>
      <c r="V384" s="1626">
        <f t="shared" si="228"/>
        <v>6764.5618302809162</v>
      </c>
      <c r="W384" s="1625">
        <f t="shared" si="229"/>
        <v>12182.5</v>
      </c>
      <c r="X384" s="1614"/>
      <c r="Y384" s="1613"/>
      <c r="Z384" s="1612">
        <f t="shared" si="230"/>
        <v>0.55473847043682223</v>
      </c>
      <c r="AA384" s="1611"/>
      <c r="AB384" s="1611"/>
      <c r="AC384" s="1611"/>
      <c r="AD384" s="1611"/>
      <c r="AE384" s="1611"/>
      <c r="AF384" s="1611"/>
      <c r="AG384" s="1611"/>
      <c r="AH384" s="1611"/>
      <c r="AI384" s="1611"/>
      <c r="AJ384" s="1611"/>
      <c r="AK384" s="1611"/>
      <c r="AL384" s="1611"/>
      <c r="AM384" s="1611"/>
      <c r="AN384" s="1611"/>
      <c r="AO384" s="1611"/>
      <c r="AP384" s="1611"/>
      <c r="AQ384" s="1611"/>
    </row>
    <row r="385" spans="1:43" outlineLevel="2">
      <c r="A385" s="1638" t="s">
        <v>313</v>
      </c>
      <c r="B385" s="1637" t="s">
        <v>122</v>
      </c>
      <c r="C385" s="1636"/>
      <c r="D385" s="1635">
        <v>4</v>
      </c>
      <c r="E385" s="1634" t="s">
        <v>903</v>
      </c>
      <c r="F385" s="1633" t="s">
        <v>1070</v>
      </c>
      <c r="G385" s="1632">
        <v>3787.145060211255</v>
      </c>
      <c r="H385" s="1632">
        <v>4198.6000000000004</v>
      </c>
      <c r="I385" s="1630">
        <f t="shared" si="218"/>
        <v>7985.7450602112549</v>
      </c>
      <c r="J385" s="1630">
        <f t="shared" si="219"/>
        <v>31942.98024084502</v>
      </c>
      <c r="K385" s="1631">
        <v>3762.45</v>
      </c>
      <c r="L385" s="1630">
        <f t="shared" si="220"/>
        <v>3762.45</v>
      </c>
      <c r="M385" s="1630">
        <f t="shared" si="221"/>
        <v>15049.8</v>
      </c>
      <c r="N385" s="1625">
        <f t="shared" si="222"/>
        <v>16893.18024084502</v>
      </c>
      <c r="O385" s="1629">
        <v>0.51100000000000001</v>
      </c>
      <c r="P385" s="1629">
        <v>0.48899999999999999</v>
      </c>
      <c r="Q385" s="1625">
        <f t="shared" si="223"/>
        <v>8632.4151030718058</v>
      </c>
      <c r="R385" s="1628">
        <f t="shared" si="224"/>
        <v>8260.7651377732145</v>
      </c>
      <c r="S385" s="1627">
        <f t="shared" si="225"/>
        <v>6516.1651377732142</v>
      </c>
      <c r="T385" s="1627">
        <f t="shared" si="226"/>
        <v>8533.6348622267869</v>
      </c>
      <c r="U385" s="1626">
        <f t="shared" si="227"/>
        <v>1629.0412844433035</v>
      </c>
      <c r="V385" s="1626">
        <f t="shared" si="228"/>
        <v>2133.4087155566967</v>
      </c>
      <c r="W385" s="1625">
        <f t="shared" si="229"/>
        <v>3762.4500000000003</v>
      </c>
      <c r="X385" s="1614"/>
      <c r="Y385" s="1613"/>
      <c r="Z385" s="1612">
        <f t="shared" si="230"/>
        <v>0.47114576932167529</v>
      </c>
      <c r="AA385" s="1611"/>
      <c r="AB385" s="1611"/>
      <c r="AC385" s="1611"/>
      <c r="AD385" s="1611"/>
      <c r="AE385" s="1611"/>
      <c r="AF385" s="1611"/>
      <c r="AG385" s="1611"/>
      <c r="AH385" s="1611"/>
      <c r="AI385" s="1611"/>
      <c r="AJ385" s="1611"/>
      <c r="AK385" s="1611"/>
      <c r="AL385" s="1611"/>
      <c r="AM385" s="1611"/>
      <c r="AN385" s="1611"/>
      <c r="AO385" s="1611"/>
      <c r="AP385" s="1611"/>
      <c r="AQ385" s="1611"/>
    </row>
    <row r="386" spans="1:43" outlineLevel="2">
      <c r="A386" s="1638" t="s">
        <v>313</v>
      </c>
      <c r="B386" s="1637" t="s">
        <v>122</v>
      </c>
      <c r="C386" s="1636"/>
      <c r="D386" s="1635">
        <v>3</v>
      </c>
      <c r="E386" s="1634" t="s">
        <v>903</v>
      </c>
      <c r="F386" s="1633" t="s">
        <v>1069</v>
      </c>
      <c r="G386" s="1632">
        <v>3787.145060211255</v>
      </c>
      <c r="H386" s="1632">
        <v>4198.6000000000004</v>
      </c>
      <c r="I386" s="1630">
        <f t="shared" si="218"/>
        <v>7985.7450602112549</v>
      </c>
      <c r="J386" s="1630">
        <f t="shared" si="219"/>
        <v>23957.235180633765</v>
      </c>
      <c r="K386" s="1631">
        <v>3736.3</v>
      </c>
      <c r="L386" s="1630">
        <f t="shared" si="220"/>
        <v>3736.3</v>
      </c>
      <c r="M386" s="1630">
        <f t="shared" si="221"/>
        <v>11208.900000000001</v>
      </c>
      <c r="N386" s="1625">
        <f t="shared" si="222"/>
        <v>12748.335180633763</v>
      </c>
      <c r="O386" s="1629">
        <v>0.51100000000000001</v>
      </c>
      <c r="P386" s="1629">
        <v>0.48899999999999999</v>
      </c>
      <c r="Q386" s="1625">
        <f t="shared" si="223"/>
        <v>6514.3992773038535</v>
      </c>
      <c r="R386" s="1628">
        <f t="shared" si="224"/>
        <v>6233.9359033299097</v>
      </c>
      <c r="S386" s="1627">
        <f t="shared" si="225"/>
        <v>4847.0359033299119</v>
      </c>
      <c r="T386" s="1627">
        <f t="shared" si="226"/>
        <v>6361.8640966700914</v>
      </c>
      <c r="U386" s="1626">
        <f t="shared" si="227"/>
        <v>1211.758975832478</v>
      </c>
      <c r="V386" s="1626">
        <f t="shared" si="228"/>
        <v>1590.4660241675228</v>
      </c>
      <c r="W386" s="1625">
        <f t="shared" si="229"/>
        <v>2802.2250000000008</v>
      </c>
      <c r="X386" s="1614"/>
      <c r="Y386" s="1613"/>
      <c r="Z386" s="1612">
        <f t="shared" si="230"/>
        <v>0.46787118444539477</v>
      </c>
      <c r="AA386" s="1611"/>
      <c r="AB386" s="1611"/>
      <c r="AC386" s="1611"/>
      <c r="AD386" s="1611"/>
      <c r="AE386" s="1611"/>
      <c r="AF386" s="1611"/>
      <c r="AG386" s="1611"/>
      <c r="AH386" s="1611"/>
      <c r="AI386" s="1611"/>
      <c r="AJ386" s="1611"/>
      <c r="AK386" s="1611"/>
      <c r="AL386" s="1611"/>
      <c r="AM386" s="1611"/>
      <c r="AN386" s="1611"/>
      <c r="AO386" s="1611"/>
      <c r="AP386" s="1611"/>
      <c r="AQ386" s="1611"/>
    </row>
    <row r="387" spans="1:43" outlineLevel="2">
      <c r="A387" s="1638" t="s">
        <v>313</v>
      </c>
      <c r="B387" s="1637" t="s">
        <v>122</v>
      </c>
      <c r="C387" s="1636"/>
      <c r="D387" s="1635">
        <v>1</v>
      </c>
      <c r="E387" s="1634" t="s">
        <v>903</v>
      </c>
      <c r="F387" s="1633" t="s">
        <v>1068</v>
      </c>
      <c r="G387" s="1632">
        <v>3787.145060211255</v>
      </c>
      <c r="H387" s="1632">
        <v>4198.6000000000004</v>
      </c>
      <c r="I387" s="1630">
        <f t="shared" si="218"/>
        <v>7985.7450602112549</v>
      </c>
      <c r="J387" s="1630">
        <f t="shared" si="219"/>
        <v>7985.7450602112549</v>
      </c>
      <c r="K387" s="1631">
        <v>3719.15</v>
      </c>
      <c r="L387" s="1630">
        <f t="shared" si="220"/>
        <v>3719.15</v>
      </c>
      <c r="M387" s="1630">
        <f t="shared" si="221"/>
        <v>3719.15</v>
      </c>
      <c r="N387" s="1625">
        <f t="shared" si="222"/>
        <v>4266.5950602112553</v>
      </c>
      <c r="O387" s="1629">
        <v>0.51100000000000001</v>
      </c>
      <c r="P387" s="1629">
        <v>0.48899999999999999</v>
      </c>
      <c r="Q387" s="1625">
        <f t="shared" si="223"/>
        <v>2180.2300757679513</v>
      </c>
      <c r="R387" s="1628">
        <f t="shared" si="224"/>
        <v>2086.3649844433039</v>
      </c>
      <c r="S387" s="1627">
        <f t="shared" si="225"/>
        <v>1606.9149844433036</v>
      </c>
      <c r="T387" s="1627">
        <f t="shared" si="226"/>
        <v>2112.2350155566965</v>
      </c>
      <c r="U387" s="1626">
        <f t="shared" si="227"/>
        <v>401.72874611082591</v>
      </c>
      <c r="V387" s="1626">
        <f t="shared" si="228"/>
        <v>528.05875388917411</v>
      </c>
      <c r="W387" s="1625">
        <f t="shared" si="229"/>
        <v>929.78750000000002</v>
      </c>
      <c r="X387" s="1614"/>
      <c r="Y387" s="1613"/>
      <c r="Z387" s="1612">
        <f t="shared" si="230"/>
        <v>0.46572360774833121</v>
      </c>
      <c r="AA387" s="1611"/>
      <c r="AB387" s="1611"/>
      <c r="AC387" s="1611"/>
      <c r="AD387" s="1611"/>
      <c r="AE387" s="1611"/>
      <c r="AF387" s="1611"/>
      <c r="AG387" s="1611"/>
      <c r="AH387" s="1611"/>
      <c r="AI387" s="1611"/>
      <c r="AJ387" s="1611"/>
      <c r="AK387" s="1611"/>
      <c r="AL387" s="1611"/>
      <c r="AM387" s="1611"/>
      <c r="AN387" s="1611"/>
      <c r="AO387" s="1611"/>
      <c r="AP387" s="1611"/>
      <c r="AQ387" s="1611"/>
    </row>
    <row r="388" spans="1:43" outlineLevel="2">
      <c r="A388" s="1638" t="s">
        <v>313</v>
      </c>
      <c r="B388" s="1637" t="s">
        <v>122</v>
      </c>
      <c r="C388" s="1636"/>
      <c r="D388" s="1635">
        <v>5</v>
      </c>
      <c r="E388" s="1634" t="s">
        <v>903</v>
      </c>
      <c r="F388" s="1633" t="s">
        <v>1071</v>
      </c>
      <c r="G388" s="1632">
        <v>3787.145060211255</v>
      </c>
      <c r="H388" s="1632">
        <v>4198.6000000000004</v>
      </c>
      <c r="I388" s="1630">
        <f t="shared" si="218"/>
        <v>7985.7450602112549</v>
      </c>
      <c r="J388" s="1630">
        <f t="shared" si="219"/>
        <v>39928.725301056271</v>
      </c>
      <c r="K388" s="1631">
        <v>3722.75</v>
      </c>
      <c r="L388" s="1630">
        <f t="shared" si="220"/>
        <v>3722.75</v>
      </c>
      <c r="M388" s="1630">
        <f t="shared" si="221"/>
        <v>18613.75</v>
      </c>
      <c r="N388" s="1625">
        <f t="shared" si="222"/>
        <v>21314.975301056271</v>
      </c>
      <c r="O388" s="1629">
        <v>0.51100000000000001</v>
      </c>
      <c r="P388" s="1629">
        <v>0.48899999999999999</v>
      </c>
      <c r="Q388" s="1625">
        <f t="shared" si="223"/>
        <v>10891.952378839755</v>
      </c>
      <c r="R388" s="1628">
        <f t="shared" si="224"/>
        <v>10423.022922216516</v>
      </c>
      <c r="S388" s="1627">
        <f t="shared" si="225"/>
        <v>8043.7729222165199</v>
      </c>
      <c r="T388" s="1627">
        <f t="shared" si="226"/>
        <v>10569.977077783484</v>
      </c>
      <c r="U388" s="1626">
        <f t="shared" si="227"/>
        <v>2010.94323055413</v>
      </c>
      <c r="V388" s="1626">
        <f t="shared" si="228"/>
        <v>2642.4942694458709</v>
      </c>
      <c r="W388" s="1625">
        <f t="shared" si="229"/>
        <v>4653.4375000000009</v>
      </c>
      <c r="X388" s="1614"/>
      <c r="Y388" s="1613"/>
      <c r="Z388" s="1612">
        <f t="shared" si="230"/>
        <v>0.466174411020018</v>
      </c>
      <c r="AA388" s="1611"/>
      <c r="AB388" s="1611"/>
      <c r="AC388" s="1611"/>
      <c r="AD388" s="1611"/>
      <c r="AE388" s="1611"/>
      <c r="AF388" s="1611"/>
      <c r="AG388" s="1611"/>
      <c r="AH388" s="1611"/>
      <c r="AI388" s="1611"/>
      <c r="AJ388" s="1611"/>
      <c r="AK388" s="1611"/>
      <c r="AL388" s="1611"/>
      <c r="AM388" s="1611"/>
      <c r="AN388" s="1611"/>
      <c r="AO388" s="1611"/>
      <c r="AP388" s="1611"/>
      <c r="AQ388" s="1611"/>
    </row>
    <row r="389" spans="1:43" outlineLevel="2">
      <c r="A389" s="1638" t="s">
        <v>313</v>
      </c>
      <c r="B389" s="1637" t="s">
        <v>122</v>
      </c>
      <c r="C389" s="1636"/>
      <c r="D389" s="1635">
        <v>2</v>
      </c>
      <c r="E389" s="1634" t="s">
        <v>903</v>
      </c>
      <c r="F389" s="1633" t="s">
        <v>1065</v>
      </c>
      <c r="G389" s="1632">
        <v>3787.145060211255</v>
      </c>
      <c r="H389" s="1632">
        <v>4198.6000000000004</v>
      </c>
      <c r="I389" s="1630">
        <f t="shared" si="218"/>
        <v>7985.7450602112549</v>
      </c>
      <c r="J389" s="1630">
        <f t="shared" si="219"/>
        <v>15971.49012042251</v>
      </c>
      <c r="K389" s="1631">
        <v>3706.85</v>
      </c>
      <c r="L389" s="1630">
        <f t="shared" si="220"/>
        <v>3706.85</v>
      </c>
      <c r="M389" s="1630">
        <f t="shared" si="221"/>
        <v>7413.7</v>
      </c>
      <c r="N389" s="1625">
        <f t="shared" si="222"/>
        <v>8557.7901204225091</v>
      </c>
      <c r="O389" s="1629">
        <v>0.51100000000000001</v>
      </c>
      <c r="P389" s="1629">
        <v>0.48899999999999999</v>
      </c>
      <c r="Q389" s="1625">
        <f t="shared" si="223"/>
        <v>4373.0307515359018</v>
      </c>
      <c r="R389" s="1628">
        <f t="shared" si="224"/>
        <v>4184.7593688866073</v>
      </c>
      <c r="S389" s="1627">
        <f t="shared" si="225"/>
        <v>3201.2593688866082</v>
      </c>
      <c r="T389" s="1627">
        <f t="shared" si="226"/>
        <v>4212.4406311133935</v>
      </c>
      <c r="U389" s="1626">
        <f t="shared" si="227"/>
        <v>800.31484222165204</v>
      </c>
      <c r="V389" s="1626">
        <f t="shared" si="228"/>
        <v>1053.1101577783484</v>
      </c>
      <c r="W389" s="1625">
        <f t="shared" si="229"/>
        <v>1853.4250000000004</v>
      </c>
      <c r="X389" s="1614"/>
      <c r="Y389" s="1613"/>
      <c r="Z389" s="1612">
        <f t="shared" si="230"/>
        <v>0.46418336323673459</v>
      </c>
      <c r="AA389" s="1611"/>
      <c r="AB389" s="1611"/>
      <c r="AC389" s="1611"/>
      <c r="AD389" s="1611"/>
      <c r="AE389" s="1611"/>
      <c r="AF389" s="1611"/>
      <c r="AG389" s="1611"/>
      <c r="AH389" s="1611"/>
      <c r="AI389" s="1611"/>
      <c r="AJ389" s="1611"/>
      <c r="AK389" s="1611"/>
      <c r="AL389" s="1611"/>
      <c r="AM389" s="1611"/>
      <c r="AN389" s="1611"/>
      <c r="AO389" s="1611"/>
      <c r="AP389" s="1611"/>
      <c r="AQ389" s="1611"/>
    </row>
    <row r="390" spans="1:43" outlineLevel="2">
      <c r="A390" s="1638" t="s">
        <v>313</v>
      </c>
      <c r="B390" s="1637" t="s">
        <v>122</v>
      </c>
      <c r="C390" s="1636"/>
      <c r="D390" s="1635">
        <v>2</v>
      </c>
      <c r="E390" s="1634" t="s">
        <v>903</v>
      </c>
      <c r="F390" s="1633" t="s">
        <v>1064</v>
      </c>
      <c r="G390" s="1632">
        <v>3787.145060211255</v>
      </c>
      <c r="H390" s="1632">
        <v>4198.6000000000004</v>
      </c>
      <c r="I390" s="1630">
        <f t="shared" si="218"/>
        <v>7985.7450602112549</v>
      </c>
      <c r="J390" s="1630">
        <f t="shared" si="219"/>
        <v>15971.49012042251</v>
      </c>
      <c r="K390" s="1631">
        <v>3711.7</v>
      </c>
      <c r="L390" s="1630">
        <f t="shared" si="220"/>
        <v>3711.7</v>
      </c>
      <c r="M390" s="1630">
        <f t="shared" si="221"/>
        <v>7423.4</v>
      </c>
      <c r="N390" s="1625">
        <f t="shared" si="222"/>
        <v>8548.0901204225102</v>
      </c>
      <c r="O390" s="1629">
        <v>0.51100000000000001</v>
      </c>
      <c r="P390" s="1629">
        <v>0.48899999999999999</v>
      </c>
      <c r="Q390" s="1625">
        <f t="shared" si="223"/>
        <v>4368.074051535903</v>
      </c>
      <c r="R390" s="1628">
        <f t="shared" si="224"/>
        <v>4180.0160688866072</v>
      </c>
      <c r="S390" s="1627">
        <f t="shared" si="225"/>
        <v>3206.216068886607</v>
      </c>
      <c r="T390" s="1627">
        <f t="shared" si="226"/>
        <v>4217.1839311133936</v>
      </c>
      <c r="U390" s="1626">
        <f t="shared" si="227"/>
        <v>801.55401722165175</v>
      </c>
      <c r="V390" s="1626">
        <f t="shared" si="228"/>
        <v>1054.2959827783484</v>
      </c>
      <c r="W390" s="1625">
        <f t="shared" si="229"/>
        <v>1855.8500000000001</v>
      </c>
      <c r="X390" s="1614"/>
      <c r="Y390" s="1613"/>
      <c r="Z390" s="1612">
        <f t="shared" si="230"/>
        <v>0.46479069542220153</v>
      </c>
      <c r="AA390" s="1611"/>
      <c r="AB390" s="1611"/>
      <c r="AC390" s="1611"/>
      <c r="AD390" s="1611"/>
      <c r="AE390" s="1611"/>
      <c r="AF390" s="1611"/>
      <c r="AG390" s="1611"/>
      <c r="AH390" s="1611"/>
      <c r="AI390" s="1611"/>
      <c r="AJ390" s="1611"/>
      <c r="AK390" s="1611"/>
      <c r="AL390" s="1611"/>
      <c r="AM390" s="1611"/>
      <c r="AN390" s="1611"/>
      <c r="AO390" s="1611"/>
      <c r="AP390" s="1611"/>
      <c r="AQ390" s="1611"/>
    </row>
    <row r="391" spans="1:43" outlineLevel="2">
      <c r="A391" s="1638" t="s">
        <v>313</v>
      </c>
      <c r="B391" s="1637" t="s">
        <v>122</v>
      </c>
      <c r="C391" s="1636"/>
      <c r="D391" s="1635">
        <v>2</v>
      </c>
      <c r="E391" s="1634" t="s">
        <v>903</v>
      </c>
      <c r="F391" s="1633" t="s">
        <v>1063</v>
      </c>
      <c r="G391" s="1632">
        <v>3787.145060211255</v>
      </c>
      <c r="H391" s="1632">
        <v>4198.6000000000004</v>
      </c>
      <c r="I391" s="1630">
        <f t="shared" si="218"/>
        <v>7985.7450602112549</v>
      </c>
      <c r="J391" s="1630">
        <f t="shared" si="219"/>
        <v>15971.49012042251</v>
      </c>
      <c r="K391" s="1631">
        <v>3656.7</v>
      </c>
      <c r="L391" s="1630">
        <f t="shared" si="220"/>
        <v>3656.7</v>
      </c>
      <c r="M391" s="1630">
        <f t="shared" si="221"/>
        <v>7313.4</v>
      </c>
      <c r="N391" s="1625">
        <f t="shared" si="222"/>
        <v>8658.0901204225102</v>
      </c>
      <c r="O391" s="1629">
        <v>0.51100000000000001</v>
      </c>
      <c r="P391" s="1629">
        <v>0.48899999999999999</v>
      </c>
      <c r="Q391" s="1625">
        <f t="shared" si="223"/>
        <v>4424.284051535903</v>
      </c>
      <c r="R391" s="1628">
        <f t="shared" si="224"/>
        <v>4233.8060688866071</v>
      </c>
      <c r="S391" s="1627">
        <f t="shared" si="225"/>
        <v>3150.006068886607</v>
      </c>
      <c r="T391" s="1627">
        <f t="shared" si="226"/>
        <v>4163.3939311133936</v>
      </c>
      <c r="U391" s="1626">
        <f t="shared" si="227"/>
        <v>787.50151722165174</v>
      </c>
      <c r="V391" s="1626">
        <f t="shared" si="228"/>
        <v>1040.8484827783484</v>
      </c>
      <c r="W391" s="1625">
        <f t="shared" si="229"/>
        <v>1828.3500000000001</v>
      </c>
      <c r="X391" s="1614"/>
      <c r="Y391" s="1613"/>
      <c r="Z391" s="1612">
        <f t="shared" si="230"/>
        <v>0.45790342321587529</v>
      </c>
      <c r="AA391" s="1611"/>
      <c r="AB391" s="1611"/>
      <c r="AC391" s="1611"/>
      <c r="AD391" s="1611"/>
      <c r="AE391" s="1611"/>
      <c r="AF391" s="1611"/>
      <c r="AG391" s="1611"/>
      <c r="AH391" s="1611"/>
      <c r="AI391" s="1611"/>
      <c r="AJ391" s="1611"/>
      <c r="AK391" s="1611"/>
      <c r="AL391" s="1611"/>
      <c r="AM391" s="1611"/>
      <c r="AN391" s="1611"/>
      <c r="AO391" s="1611"/>
      <c r="AP391" s="1611"/>
      <c r="AQ391" s="1611"/>
    </row>
    <row r="392" spans="1:43" outlineLevel="2">
      <c r="A392" s="1638" t="s">
        <v>313</v>
      </c>
      <c r="B392" s="1637" t="s">
        <v>122</v>
      </c>
      <c r="C392" s="1636"/>
      <c r="D392" s="1635">
        <v>1</v>
      </c>
      <c r="E392" s="1634" t="s">
        <v>903</v>
      </c>
      <c r="F392" s="1633" t="s">
        <v>1066</v>
      </c>
      <c r="G392" s="1632">
        <v>3787.145060211255</v>
      </c>
      <c r="H392" s="1632">
        <v>4198.6000000000004</v>
      </c>
      <c r="I392" s="1630">
        <f t="shared" si="218"/>
        <v>7985.7450602112549</v>
      </c>
      <c r="J392" s="1630">
        <f t="shared" si="219"/>
        <v>7985.7450602112549</v>
      </c>
      <c r="K392" s="1631">
        <v>3681.85</v>
      </c>
      <c r="L392" s="1630">
        <f t="shared" si="220"/>
        <v>3681.85</v>
      </c>
      <c r="M392" s="1630">
        <f t="shared" si="221"/>
        <v>3681.85</v>
      </c>
      <c r="N392" s="1625">
        <f t="shared" si="222"/>
        <v>4303.8950602112545</v>
      </c>
      <c r="O392" s="1629">
        <v>0.51100000000000001</v>
      </c>
      <c r="P392" s="1629">
        <v>0.48899999999999999</v>
      </c>
      <c r="Q392" s="1625">
        <f t="shared" si="223"/>
        <v>2199.290375767951</v>
      </c>
      <c r="R392" s="1628">
        <f t="shared" si="224"/>
        <v>2104.6046844433035</v>
      </c>
      <c r="S392" s="1627">
        <f t="shared" si="225"/>
        <v>1587.854684443304</v>
      </c>
      <c r="T392" s="1627">
        <f t="shared" si="226"/>
        <v>2093.9953155566968</v>
      </c>
      <c r="U392" s="1626">
        <f t="shared" si="227"/>
        <v>396.963671110826</v>
      </c>
      <c r="V392" s="1626">
        <f t="shared" si="228"/>
        <v>523.49882888917421</v>
      </c>
      <c r="W392" s="1625">
        <f t="shared" si="229"/>
        <v>920.4625000000002</v>
      </c>
      <c r="X392" s="1614"/>
      <c r="Y392" s="1613"/>
      <c r="Z392" s="1612">
        <f t="shared" si="230"/>
        <v>0.46105278496113178</v>
      </c>
      <c r="AA392" s="1611"/>
      <c r="AB392" s="1611"/>
      <c r="AC392" s="1611"/>
      <c r="AD392" s="1611"/>
      <c r="AE392" s="1611"/>
      <c r="AF392" s="1611"/>
      <c r="AG392" s="1611"/>
      <c r="AH392" s="1611"/>
      <c r="AI392" s="1611"/>
      <c r="AJ392" s="1611"/>
      <c r="AK392" s="1611"/>
      <c r="AL392" s="1611"/>
      <c r="AM392" s="1611"/>
      <c r="AN392" s="1611"/>
      <c r="AO392" s="1611"/>
      <c r="AP392" s="1611"/>
      <c r="AQ392" s="1611"/>
    </row>
    <row r="393" spans="1:43" outlineLevel="2">
      <c r="A393" s="1638" t="s">
        <v>313</v>
      </c>
      <c r="B393" s="1637" t="s">
        <v>122</v>
      </c>
      <c r="C393" s="1636"/>
      <c r="D393" s="1635">
        <v>16</v>
      </c>
      <c r="E393" s="1634" t="s">
        <v>903</v>
      </c>
      <c r="F393" s="1633" t="s">
        <v>979</v>
      </c>
      <c r="G393" s="1632">
        <v>3787.145060211255</v>
      </c>
      <c r="H393" s="1632">
        <v>4198.6000000000004</v>
      </c>
      <c r="I393" s="1630">
        <f t="shared" si="218"/>
        <v>7985.7450602112549</v>
      </c>
      <c r="J393" s="1630">
        <f t="shared" si="219"/>
        <v>127771.92096338008</v>
      </c>
      <c r="K393" s="1631">
        <v>3579.95</v>
      </c>
      <c r="L393" s="1630">
        <f t="shared" si="220"/>
        <v>3579.95</v>
      </c>
      <c r="M393" s="1630">
        <f t="shared" si="221"/>
        <v>57279.199999999997</v>
      </c>
      <c r="N393" s="1625">
        <f t="shared" si="222"/>
        <v>70492.720963380081</v>
      </c>
      <c r="O393" s="1629">
        <v>0.51100000000000001</v>
      </c>
      <c r="P393" s="1629">
        <v>0.48899999999999999</v>
      </c>
      <c r="Q393" s="1625">
        <f t="shared" si="223"/>
        <v>36021.780412287226</v>
      </c>
      <c r="R393" s="1628">
        <f t="shared" si="224"/>
        <v>34470.940551092855</v>
      </c>
      <c r="S393" s="1627">
        <f t="shared" si="225"/>
        <v>24572.540551092854</v>
      </c>
      <c r="T393" s="1627">
        <f t="shared" si="226"/>
        <v>32706.65944890715</v>
      </c>
      <c r="U393" s="1626">
        <f t="shared" si="227"/>
        <v>6143.1351377732135</v>
      </c>
      <c r="V393" s="1626">
        <f t="shared" si="228"/>
        <v>8176.6648622267876</v>
      </c>
      <c r="W393" s="1625">
        <f t="shared" si="229"/>
        <v>14319.800000000001</v>
      </c>
      <c r="X393" s="1614"/>
      <c r="Y393" s="1613"/>
      <c r="Z393" s="1612">
        <f t="shared" si="230"/>
        <v>0.44829254790977457</v>
      </c>
      <c r="AA393" s="1611"/>
      <c r="AB393" s="1611"/>
      <c r="AC393" s="1611"/>
      <c r="AD393" s="1611"/>
      <c r="AE393" s="1611"/>
      <c r="AF393" s="1611"/>
      <c r="AG393" s="1611"/>
      <c r="AH393" s="1611"/>
      <c r="AI393" s="1611"/>
      <c r="AJ393" s="1611"/>
      <c r="AK393" s="1611"/>
      <c r="AL393" s="1611"/>
      <c r="AM393" s="1611"/>
      <c r="AN393" s="1611"/>
      <c r="AO393" s="1611"/>
      <c r="AP393" s="1611"/>
      <c r="AQ393" s="1611"/>
    </row>
    <row r="394" spans="1:43" outlineLevel="2">
      <c r="A394" s="1638" t="s">
        <v>313</v>
      </c>
      <c r="B394" s="1637" t="s">
        <v>122</v>
      </c>
      <c r="C394" s="1636"/>
      <c r="D394" s="1635">
        <v>2</v>
      </c>
      <c r="E394" s="1634" t="s">
        <v>924</v>
      </c>
      <c r="F394" s="1633" t="s">
        <v>1070</v>
      </c>
      <c r="G394" s="1632">
        <v>3787.145060211255</v>
      </c>
      <c r="H394" s="1632">
        <v>4198.6000000000004</v>
      </c>
      <c r="I394" s="1630">
        <f t="shared" si="218"/>
        <v>7985.7450602112549</v>
      </c>
      <c r="J394" s="1630">
        <f t="shared" si="219"/>
        <v>15971.49012042251</v>
      </c>
      <c r="K394" s="1631">
        <v>6700</v>
      </c>
      <c r="L394" s="1630">
        <f t="shared" si="220"/>
        <v>6700</v>
      </c>
      <c r="M394" s="1630">
        <f t="shared" si="221"/>
        <v>13400</v>
      </c>
      <c r="N394" s="1625">
        <f t="shared" si="222"/>
        <v>2571.4901204225098</v>
      </c>
      <c r="O394" s="1629">
        <v>0.51100000000000001</v>
      </c>
      <c r="P394" s="1629">
        <v>0.48899999999999999</v>
      </c>
      <c r="Q394" s="1625">
        <f t="shared" si="223"/>
        <v>1314.0314515359025</v>
      </c>
      <c r="R394" s="1628">
        <f t="shared" si="224"/>
        <v>1257.4586688866073</v>
      </c>
      <c r="S394" s="1627">
        <f t="shared" si="225"/>
        <v>6260.2586688866077</v>
      </c>
      <c r="T394" s="1627">
        <f t="shared" si="226"/>
        <v>7139.7413311133932</v>
      </c>
      <c r="U394" s="1626">
        <f t="shared" si="227"/>
        <v>1565.0646672216519</v>
      </c>
      <c r="V394" s="1626">
        <f t="shared" si="228"/>
        <v>1784.9353327783483</v>
      </c>
      <c r="W394" s="1625">
        <f t="shared" si="229"/>
        <v>3350</v>
      </c>
      <c r="X394" s="1614"/>
      <c r="Y394" s="1613"/>
      <c r="Z394" s="1612">
        <f t="shared" si="230"/>
        <v>0.83899497786155952</v>
      </c>
      <c r="AA394" s="1611"/>
      <c r="AB394" s="1611"/>
      <c r="AC394" s="1611"/>
      <c r="AD394" s="1611"/>
      <c r="AE394" s="1611"/>
      <c r="AF394" s="1611"/>
      <c r="AG394" s="1611"/>
      <c r="AH394" s="1611"/>
      <c r="AI394" s="1611"/>
      <c r="AJ394" s="1611"/>
      <c r="AK394" s="1611"/>
      <c r="AL394" s="1611"/>
      <c r="AM394" s="1611"/>
      <c r="AN394" s="1611"/>
      <c r="AO394" s="1611"/>
      <c r="AP394" s="1611"/>
      <c r="AQ394" s="1611"/>
    </row>
    <row r="395" spans="1:43" outlineLevel="2">
      <c r="A395" s="1638" t="s">
        <v>313</v>
      </c>
      <c r="B395" s="1637" t="s">
        <v>122</v>
      </c>
      <c r="C395" s="1636"/>
      <c r="D395" s="1635">
        <v>1</v>
      </c>
      <c r="E395" s="1634" t="s">
        <v>924</v>
      </c>
      <c r="F395" s="1633" t="s">
        <v>1069</v>
      </c>
      <c r="G395" s="1632">
        <v>3787.145060211255</v>
      </c>
      <c r="H395" s="1632">
        <v>4198.6000000000004</v>
      </c>
      <c r="I395" s="1630">
        <f t="shared" si="218"/>
        <v>7985.7450602112549</v>
      </c>
      <c r="J395" s="1630">
        <f t="shared" si="219"/>
        <v>7985.7450602112549</v>
      </c>
      <c r="K395" s="1631">
        <v>6700</v>
      </c>
      <c r="L395" s="1630">
        <f t="shared" si="220"/>
        <v>6700</v>
      </c>
      <c r="M395" s="1630">
        <f t="shared" si="221"/>
        <v>6700</v>
      </c>
      <c r="N395" s="1625">
        <f t="shared" si="222"/>
        <v>1285.7450602112549</v>
      </c>
      <c r="O395" s="1629">
        <v>0.51100000000000001</v>
      </c>
      <c r="P395" s="1629">
        <v>0.48899999999999999</v>
      </c>
      <c r="Q395" s="1625">
        <f t="shared" si="223"/>
        <v>657.01572576795127</v>
      </c>
      <c r="R395" s="1628">
        <f t="shared" si="224"/>
        <v>628.72933444330363</v>
      </c>
      <c r="S395" s="1627">
        <f t="shared" si="225"/>
        <v>3130.1293344433038</v>
      </c>
      <c r="T395" s="1627">
        <f t="shared" si="226"/>
        <v>3569.8706655566966</v>
      </c>
      <c r="U395" s="1626">
        <f t="shared" si="227"/>
        <v>782.53233361082596</v>
      </c>
      <c r="V395" s="1626">
        <f t="shared" si="228"/>
        <v>892.46766638917416</v>
      </c>
      <c r="W395" s="1625">
        <f t="shared" si="229"/>
        <v>1675</v>
      </c>
      <c r="X395" s="1614"/>
      <c r="Y395" s="1613"/>
      <c r="Z395" s="1612">
        <f t="shared" si="230"/>
        <v>0.83899497786155952</v>
      </c>
      <c r="AA395" s="1611"/>
      <c r="AB395" s="1611"/>
      <c r="AC395" s="1611"/>
      <c r="AD395" s="1611"/>
      <c r="AE395" s="1611"/>
      <c r="AF395" s="1611"/>
      <c r="AG395" s="1611"/>
      <c r="AH395" s="1611"/>
      <c r="AI395" s="1611"/>
      <c r="AJ395" s="1611"/>
      <c r="AK395" s="1611"/>
      <c r="AL395" s="1611"/>
      <c r="AM395" s="1611"/>
      <c r="AN395" s="1611"/>
      <c r="AO395" s="1611"/>
      <c r="AP395" s="1611"/>
      <c r="AQ395" s="1611"/>
    </row>
    <row r="396" spans="1:43" outlineLevel="2">
      <c r="A396" s="1638" t="s">
        <v>313</v>
      </c>
      <c r="B396" s="1637" t="s">
        <v>122</v>
      </c>
      <c r="C396" s="1636"/>
      <c r="D396" s="1635">
        <v>1</v>
      </c>
      <c r="E396" s="1634" t="s">
        <v>924</v>
      </c>
      <c r="F396" s="1633" t="s">
        <v>1071</v>
      </c>
      <c r="G396" s="1632">
        <v>3787.145060211255</v>
      </c>
      <c r="H396" s="1632">
        <v>4198.6000000000004</v>
      </c>
      <c r="I396" s="1630">
        <f t="shared" si="218"/>
        <v>7985.7450602112549</v>
      </c>
      <c r="J396" s="1630">
        <f t="shared" si="219"/>
        <v>7985.7450602112549</v>
      </c>
      <c r="K396" s="1631">
        <v>6700</v>
      </c>
      <c r="L396" s="1630">
        <f t="shared" si="220"/>
        <v>6700</v>
      </c>
      <c r="M396" s="1630">
        <f t="shared" si="221"/>
        <v>6700</v>
      </c>
      <c r="N396" s="1625">
        <f t="shared" si="222"/>
        <v>1285.7450602112549</v>
      </c>
      <c r="O396" s="1629">
        <v>0.51100000000000001</v>
      </c>
      <c r="P396" s="1629">
        <v>0.48899999999999999</v>
      </c>
      <c r="Q396" s="1625">
        <f t="shared" si="223"/>
        <v>657.01572576795127</v>
      </c>
      <c r="R396" s="1628">
        <f t="shared" si="224"/>
        <v>628.72933444330363</v>
      </c>
      <c r="S396" s="1627">
        <f t="shared" si="225"/>
        <v>3130.1293344433038</v>
      </c>
      <c r="T396" s="1627">
        <f t="shared" si="226"/>
        <v>3569.8706655566966</v>
      </c>
      <c r="U396" s="1626">
        <f t="shared" si="227"/>
        <v>782.53233361082596</v>
      </c>
      <c r="V396" s="1626">
        <f t="shared" si="228"/>
        <v>892.46766638917416</v>
      </c>
      <c r="W396" s="1625">
        <f t="shared" si="229"/>
        <v>1675</v>
      </c>
      <c r="X396" s="1614"/>
      <c r="Y396" s="1613"/>
      <c r="Z396" s="1612">
        <f t="shared" si="230"/>
        <v>0.83899497786155952</v>
      </c>
      <c r="AA396" s="1611"/>
      <c r="AB396" s="1611"/>
      <c r="AC396" s="1611"/>
      <c r="AD396" s="1611"/>
      <c r="AE396" s="1611"/>
      <c r="AF396" s="1611"/>
      <c r="AG396" s="1611"/>
      <c r="AH396" s="1611"/>
      <c r="AI396" s="1611"/>
      <c r="AJ396" s="1611"/>
      <c r="AK396" s="1611"/>
      <c r="AL396" s="1611"/>
      <c r="AM396" s="1611"/>
      <c r="AN396" s="1611"/>
      <c r="AO396" s="1611"/>
      <c r="AP396" s="1611"/>
      <c r="AQ396" s="1611"/>
    </row>
    <row r="397" spans="1:43" outlineLevel="2">
      <c r="A397" s="1638" t="s">
        <v>313</v>
      </c>
      <c r="B397" s="1637" t="s">
        <v>122</v>
      </c>
      <c r="C397" s="1636"/>
      <c r="D397" s="1635">
        <v>1</v>
      </c>
      <c r="E397" s="1634" t="s">
        <v>924</v>
      </c>
      <c r="F397" s="1633" t="s">
        <v>1065</v>
      </c>
      <c r="G397" s="1632">
        <v>3787.145060211255</v>
      </c>
      <c r="H397" s="1632">
        <v>4198.6000000000004</v>
      </c>
      <c r="I397" s="1630">
        <f t="shared" si="218"/>
        <v>7985.7450602112549</v>
      </c>
      <c r="J397" s="1630">
        <f t="shared" si="219"/>
        <v>7985.7450602112549</v>
      </c>
      <c r="K397" s="1631">
        <v>7175</v>
      </c>
      <c r="L397" s="1630">
        <f t="shared" si="220"/>
        <v>7175</v>
      </c>
      <c r="M397" s="1630">
        <f t="shared" si="221"/>
        <v>7175</v>
      </c>
      <c r="N397" s="1625">
        <f t="shared" si="222"/>
        <v>810.74506021125489</v>
      </c>
      <c r="O397" s="1629">
        <v>0.51100000000000001</v>
      </c>
      <c r="P397" s="1629">
        <v>0.48899999999999999</v>
      </c>
      <c r="Q397" s="1625">
        <f t="shared" si="223"/>
        <v>414.29072576795124</v>
      </c>
      <c r="R397" s="1628">
        <f t="shared" si="224"/>
        <v>396.45433444330365</v>
      </c>
      <c r="S397" s="1627">
        <f t="shared" si="225"/>
        <v>3372.8543344433037</v>
      </c>
      <c r="T397" s="1627">
        <f t="shared" si="226"/>
        <v>3802.1456655566967</v>
      </c>
      <c r="U397" s="1626">
        <f t="shared" si="227"/>
        <v>843.21358361082594</v>
      </c>
      <c r="V397" s="1626">
        <f t="shared" si="228"/>
        <v>950.53641638917418</v>
      </c>
      <c r="W397" s="1625">
        <f t="shared" si="229"/>
        <v>1793.75</v>
      </c>
      <c r="X397" s="1614"/>
      <c r="Y397" s="1613"/>
      <c r="Z397" s="1612">
        <f t="shared" si="230"/>
        <v>0.89847596509801331</v>
      </c>
      <c r="AA397" s="1611"/>
      <c r="AB397" s="1611"/>
      <c r="AC397" s="1611"/>
      <c r="AD397" s="1611"/>
      <c r="AE397" s="1611"/>
      <c r="AF397" s="1611"/>
      <c r="AG397" s="1611"/>
      <c r="AH397" s="1611"/>
      <c r="AI397" s="1611"/>
      <c r="AJ397" s="1611"/>
      <c r="AK397" s="1611"/>
      <c r="AL397" s="1611"/>
      <c r="AM397" s="1611"/>
      <c r="AN397" s="1611"/>
      <c r="AO397" s="1611"/>
      <c r="AP397" s="1611"/>
      <c r="AQ397" s="1611"/>
    </row>
    <row r="398" spans="1:43" outlineLevel="2">
      <c r="A398" s="1638" t="s">
        <v>313</v>
      </c>
      <c r="B398" s="1637" t="s">
        <v>122</v>
      </c>
      <c r="C398" s="1636"/>
      <c r="D398" s="1635">
        <v>2</v>
      </c>
      <c r="E398" s="1634" t="s">
        <v>924</v>
      </c>
      <c r="F398" s="1633" t="s">
        <v>1064</v>
      </c>
      <c r="G398" s="1632">
        <v>3787.145060211255</v>
      </c>
      <c r="H398" s="1632">
        <v>4198.6000000000004</v>
      </c>
      <c r="I398" s="1630">
        <f t="shared" si="218"/>
        <v>7985.7450602112549</v>
      </c>
      <c r="J398" s="1630">
        <f t="shared" si="219"/>
        <v>15971.49012042251</v>
      </c>
      <c r="K398" s="1631">
        <v>7175</v>
      </c>
      <c r="L398" s="1630">
        <f t="shared" si="220"/>
        <v>7175</v>
      </c>
      <c r="M398" s="1630">
        <f t="shared" si="221"/>
        <v>14350</v>
      </c>
      <c r="N398" s="1625">
        <f t="shared" si="222"/>
        <v>1621.4901204225098</v>
      </c>
      <c r="O398" s="1629">
        <v>0.51100000000000001</v>
      </c>
      <c r="P398" s="1629">
        <v>0.48899999999999999</v>
      </c>
      <c r="Q398" s="1625">
        <f t="shared" si="223"/>
        <v>828.58145153590249</v>
      </c>
      <c r="R398" s="1628">
        <f t="shared" si="224"/>
        <v>792.9086688866073</v>
      </c>
      <c r="S398" s="1627">
        <f t="shared" si="225"/>
        <v>6745.7086688866075</v>
      </c>
      <c r="T398" s="1627">
        <f t="shared" si="226"/>
        <v>7604.2913311133934</v>
      </c>
      <c r="U398" s="1626">
        <f t="shared" si="227"/>
        <v>1686.4271672216519</v>
      </c>
      <c r="V398" s="1626">
        <f t="shared" si="228"/>
        <v>1901.0728327783484</v>
      </c>
      <c r="W398" s="1625">
        <f t="shared" si="229"/>
        <v>3587.5</v>
      </c>
      <c r="X398" s="1614"/>
      <c r="Y398" s="1613"/>
      <c r="Z398" s="1612">
        <f t="shared" si="230"/>
        <v>0.89847596509801331</v>
      </c>
      <c r="AA398" s="1611"/>
      <c r="AB398" s="1611"/>
      <c r="AC398" s="1611"/>
      <c r="AD398" s="1611"/>
      <c r="AE398" s="1611"/>
      <c r="AF398" s="1611"/>
      <c r="AG398" s="1611"/>
      <c r="AH398" s="1611"/>
      <c r="AI398" s="1611"/>
      <c r="AJ398" s="1611"/>
      <c r="AK398" s="1611"/>
      <c r="AL398" s="1611"/>
      <c r="AM398" s="1611"/>
      <c r="AN398" s="1611"/>
      <c r="AO398" s="1611"/>
      <c r="AP398" s="1611"/>
      <c r="AQ398" s="1611"/>
    </row>
    <row r="399" spans="1:43" outlineLevel="2">
      <c r="A399" s="1638" t="s">
        <v>313</v>
      </c>
      <c r="B399" s="1637" t="s">
        <v>122</v>
      </c>
      <c r="C399" s="1636"/>
      <c r="D399" s="1635">
        <v>2</v>
      </c>
      <c r="E399" s="1634" t="s">
        <v>924</v>
      </c>
      <c r="F399" s="1633" t="s">
        <v>1063</v>
      </c>
      <c r="G399" s="1632">
        <v>3787.145060211255</v>
      </c>
      <c r="H399" s="1632">
        <v>4198.6000000000004</v>
      </c>
      <c r="I399" s="1630">
        <f t="shared" si="218"/>
        <v>7985.7450602112549</v>
      </c>
      <c r="J399" s="1630">
        <f t="shared" si="219"/>
        <v>15971.49012042251</v>
      </c>
      <c r="K399" s="1631">
        <v>7175</v>
      </c>
      <c r="L399" s="1630">
        <f t="shared" si="220"/>
        <v>7175</v>
      </c>
      <c r="M399" s="1630">
        <f t="shared" si="221"/>
        <v>14350</v>
      </c>
      <c r="N399" s="1625">
        <f t="shared" si="222"/>
        <v>1621.4901204225098</v>
      </c>
      <c r="O399" s="1629">
        <v>0.51100000000000001</v>
      </c>
      <c r="P399" s="1629">
        <v>0.48899999999999999</v>
      </c>
      <c r="Q399" s="1625">
        <f t="shared" si="223"/>
        <v>828.58145153590249</v>
      </c>
      <c r="R399" s="1628">
        <f t="shared" si="224"/>
        <v>792.9086688866073</v>
      </c>
      <c r="S399" s="1627">
        <f t="shared" si="225"/>
        <v>6745.7086688866075</v>
      </c>
      <c r="T399" s="1627">
        <f t="shared" si="226"/>
        <v>7604.2913311133934</v>
      </c>
      <c r="U399" s="1626">
        <f t="shared" si="227"/>
        <v>1686.4271672216519</v>
      </c>
      <c r="V399" s="1626">
        <f t="shared" si="228"/>
        <v>1901.0728327783484</v>
      </c>
      <c r="W399" s="1625">
        <f t="shared" si="229"/>
        <v>3587.5</v>
      </c>
      <c r="X399" s="1614"/>
      <c r="Y399" s="1613"/>
      <c r="Z399" s="1612">
        <f t="shared" si="230"/>
        <v>0.89847596509801331</v>
      </c>
      <c r="AA399" s="1611"/>
      <c r="AB399" s="1611"/>
      <c r="AC399" s="1611"/>
      <c r="AD399" s="1611"/>
      <c r="AE399" s="1611"/>
      <c r="AF399" s="1611"/>
      <c r="AG399" s="1611"/>
      <c r="AH399" s="1611"/>
      <c r="AI399" s="1611"/>
      <c r="AJ399" s="1611"/>
      <c r="AK399" s="1611"/>
      <c r="AL399" s="1611"/>
      <c r="AM399" s="1611"/>
      <c r="AN399" s="1611"/>
      <c r="AO399" s="1611"/>
      <c r="AP399" s="1611"/>
      <c r="AQ399" s="1611"/>
    </row>
    <row r="400" spans="1:43" outlineLevel="2">
      <c r="A400" s="1638" t="s">
        <v>313</v>
      </c>
      <c r="B400" s="1637" t="s">
        <v>122</v>
      </c>
      <c r="C400" s="1636"/>
      <c r="D400" s="1635">
        <v>1</v>
      </c>
      <c r="E400" s="1634" t="s">
        <v>924</v>
      </c>
      <c r="F400" s="1633" t="s">
        <v>1067</v>
      </c>
      <c r="G400" s="1632">
        <v>3787.145060211255</v>
      </c>
      <c r="H400" s="1632">
        <v>4198.6000000000004</v>
      </c>
      <c r="I400" s="1630">
        <f t="shared" si="218"/>
        <v>7985.7450602112549</v>
      </c>
      <c r="J400" s="1630">
        <f t="shared" si="219"/>
        <v>7985.7450602112549</v>
      </c>
      <c r="K400" s="1631">
        <v>7700</v>
      </c>
      <c r="L400" s="1630">
        <f t="shared" si="220"/>
        <v>7700</v>
      </c>
      <c r="M400" s="1630">
        <f t="shared" si="221"/>
        <v>7700</v>
      </c>
      <c r="N400" s="1625">
        <f t="shared" si="222"/>
        <v>285.74506021125489</v>
      </c>
      <c r="O400" s="1629">
        <v>0.51100000000000001</v>
      </c>
      <c r="P400" s="1629">
        <v>0.48899999999999999</v>
      </c>
      <c r="Q400" s="1625">
        <f t="shared" si="223"/>
        <v>146.01572576795127</v>
      </c>
      <c r="R400" s="1628">
        <f t="shared" si="224"/>
        <v>139.72933444330363</v>
      </c>
      <c r="S400" s="1627">
        <f t="shared" si="225"/>
        <v>3641.1293344433038</v>
      </c>
      <c r="T400" s="1627">
        <f t="shared" si="226"/>
        <v>4058.8706655566966</v>
      </c>
      <c r="U400" s="1626">
        <f t="shared" si="227"/>
        <v>910.28233361082596</v>
      </c>
      <c r="V400" s="1626">
        <f t="shared" si="228"/>
        <v>1014.7176663891742</v>
      </c>
      <c r="W400" s="1625">
        <f t="shared" si="229"/>
        <v>1925</v>
      </c>
      <c r="X400" s="1614"/>
      <c r="Y400" s="1613"/>
      <c r="Z400" s="1612">
        <f t="shared" si="230"/>
        <v>0.96421810888567283</v>
      </c>
      <c r="AA400" s="1611"/>
      <c r="AB400" s="1611"/>
      <c r="AC400" s="1611"/>
      <c r="AD400" s="1611"/>
      <c r="AE400" s="1611"/>
      <c r="AF400" s="1611"/>
      <c r="AG400" s="1611"/>
      <c r="AH400" s="1611"/>
      <c r="AI400" s="1611"/>
      <c r="AJ400" s="1611"/>
      <c r="AK400" s="1611"/>
      <c r="AL400" s="1611"/>
      <c r="AM400" s="1611"/>
      <c r="AN400" s="1611"/>
      <c r="AO400" s="1611"/>
      <c r="AP400" s="1611"/>
      <c r="AQ400" s="1611"/>
    </row>
    <row r="401" spans="1:43" outlineLevel="2">
      <c r="A401" s="1638" t="s">
        <v>313</v>
      </c>
      <c r="B401" s="1637" t="s">
        <v>122</v>
      </c>
      <c r="C401" s="1636"/>
      <c r="D401" s="1635">
        <v>3</v>
      </c>
      <c r="E401" s="1634" t="s">
        <v>924</v>
      </c>
      <c r="F401" s="1633" t="s">
        <v>979</v>
      </c>
      <c r="G401" s="1632">
        <v>3787.145060211255</v>
      </c>
      <c r="H401" s="1632">
        <v>4198.6000000000004</v>
      </c>
      <c r="I401" s="1630">
        <f t="shared" si="218"/>
        <v>7985.7450602112549</v>
      </c>
      <c r="J401" s="1630">
        <f t="shared" si="219"/>
        <v>23957.235180633765</v>
      </c>
      <c r="K401" s="1631">
        <v>6700</v>
      </c>
      <c r="L401" s="1630">
        <f t="shared" si="220"/>
        <v>6700</v>
      </c>
      <c r="M401" s="1630">
        <f t="shared" si="221"/>
        <v>20100</v>
      </c>
      <c r="N401" s="1625">
        <f t="shared" si="222"/>
        <v>3857.2351806337647</v>
      </c>
      <c r="O401" s="1629">
        <v>0.51100000000000001</v>
      </c>
      <c r="P401" s="1629">
        <v>0.48899999999999999</v>
      </c>
      <c r="Q401" s="1625">
        <f t="shared" si="223"/>
        <v>1971.0471773038537</v>
      </c>
      <c r="R401" s="1628">
        <f t="shared" si="224"/>
        <v>1886.188003329911</v>
      </c>
      <c r="S401" s="1627">
        <f t="shared" si="225"/>
        <v>9390.388003329912</v>
      </c>
      <c r="T401" s="1627">
        <f t="shared" si="226"/>
        <v>10709.61199667009</v>
      </c>
      <c r="U401" s="1626">
        <f t="shared" si="227"/>
        <v>2347.597000832478</v>
      </c>
      <c r="V401" s="1626">
        <f t="shared" si="228"/>
        <v>2677.4029991675225</v>
      </c>
      <c r="W401" s="1625">
        <f t="shared" si="229"/>
        <v>5025</v>
      </c>
      <c r="X401" s="1614"/>
      <c r="Y401" s="1613"/>
      <c r="Z401" s="1612">
        <f t="shared" si="230"/>
        <v>0.83899497786155952</v>
      </c>
      <c r="AA401" s="1611"/>
      <c r="AB401" s="1611"/>
      <c r="AC401" s="1611"/>
      <c r="AD401" s="1611"/>
      <c r="AE401" s="1611"/>
      <c r="AF401" s="1611"/>
      <c r="AG401" s="1611"/>
      <c r="AH401" s="1611"/>
      <c r="AI401" s="1611"/>
      <c r="AJ401" s="1611"/>
      <c r="AK401" s="1611"/>
      <c r="AL401" s="1611"/>
      <c r="AM401" s="1611"/>
      <c r="AN401" s="1611"/>
      <c r="AO401" s="1611"/>
      <c r="AP401" s="1611"/>
      <c r="AQ401" s="1611"/>
    </row>
    <row r="402" spans="1:43" outlineLevel="2">
      <c r="A402" s="1638" t="s">
        <v>313</v>
      </c>
      <c r="B402" s="1637" t="s">
        <v>122</v>
      </c>
      <c r="C402" s="1636"/>
      <c r="D402" s="1635">
        <v>1</v>
      </c>
      <c r="E402" s="1634" t="s">
        <v>977</v>
      </c>
      <c r="F402" s="1633" t="s">
        <v>1079</v>
      </c>
      <c r="G402" s="1632">
        <v>3787.145060211255</v>
      </c>
      <c r="H402" s="1632">
        <v>4198.6000000000004</v>
      </c>
      <c r="I402" s="1630">
        <f t="shared" si="218"/>
        <v>7985.7450602112549</v>
      </c>
      <c r="J402" s="1630">
        <f t="shared" si="219"/>
        <v>7985.7450602112549</v>
      </c>
      <c r="K402" s="1631">
        <v>3648</v>
      </c>
      <c r="L402" s="1630">
        <f t="shared" si="220"/>
        <v>3648</v>
      </c>
      <c r="M402" s="1630">
        <f t="shared" si="221"/>
        <v>3648</v>
      </c>
      <c r="N402" s="1625">
        <f t="shared" si="222"/>
        <v>4337.7450602112549</v>
      </c>
      <c r="O402" s="1629">
        <v>0.51100000000000001</v>
      </c>
      <c r="P402" s="1629">
        <v>0.48899999999999999</v>
      </c>
      <c r="Q402" s="1625">
        <f t="shared" si="223"/>
        <v>2216.5877257679513</v>
      </c>
      <c r="R402" s="1628">
        <f t="shared" si="224"/>
        <v>2121.1573344433036</v>
      </c>
      <c r="S402" s="1627">
        <f t="shared" si="225"/>
        <v>1570.5573344433037</v>
      </c>
      <c r="T402" s="1627">
        <f t="shared" si="226"/>
        <v>2077.4426655566967</v>
      </c>
      <c r="U402" s="1626">
        <f t="shared" si="227"/>
        <v>392.63933361082593</v>
      </c>
      <c r="V402" s="1626">
        <f t="shared" si="228"/>
        <v>519.36066638917418</v>
      </c>
      <c r="W402" s="1625">
        <f t="shared" si="229"/>
        <v>912.00000000000011</v>
      </c>
      <c r="X402" s="1614"/>
      <c r="Y402" s="1613"/>
      <c r="Z402" s="1612">
        <f t="shared" si="230"/>
        <v>0.45681398197596551</v>
      </c>
      <c r="AA402" s="1611"/>
      <c r="AB402" s="1611"/>
      <c r="AC402" s="1611"/>
      <c r="AD402" s="1611"/>
      <c r="AE402" s="1611"/>
      <c r="AF402" s="1611"/>
      <c r="AG402" s="1611"/>
      <c r="AH402" s="1611"/>
      <c r="AI402" s="1611"/>
      <c r="AJ402" s="1611"/>
      <c r="AK402" s="1611"/>
      <c r="AL402" s="1611"/>
      <c r="AM402" s="1611"/>
      <c r="AN402" s="1611"/>
      <c r="AO402" s="1611"/>
      <c r="AP402" s="1611"/>
      <c r="AQ402" s="1611"/>
    </row>
    <row r="403" spans="1:43" outlineLevel="1">
      <c r="A403" s="1624"/>
      <c r="B403" s="1623" t="s">
        <v>1107</v>
      </c>
      <c r="C403" s="1622"/>
      <c r="D403" s="1621">
        <f>SUBTOTAL(9,D367:D402)</f>
        <v>137</v>
      </c>
      <c r="E403" s="1620"/>
      <c r="F403" s="1639"/>
      <c r="G403" s="1639"/>
      <c r="H403" s="1639"/>
      <c r="I403" s="1616"/>
      <c r="J403" s="1616">
        <f>SUBTOTAL(9,J367:J402)</f>
        <v>1094047.0732489426</v>
      </c>
      <c r="K403" s="1615"/>
      <c r="L403" s="1616"/>
      <c r="M403" s="1616">
        <f>SUBTOTAL(9,M367:M402)</f>
        <v>631539.45000000007</v>
      </c>
      <c r="N403" s="1615">
        <f>SUBTOTAL(9,N367:N402)</f>
        <v>462507.62324894202</v>
      </c>
      <c r="O403" s="1616"/>
      <c r="P403" s="1616"/>
      <c r="Q403" s="1615">
        <f t="shared" ref="Q403:W403" si="231">SUBTOTAL(9,Q367:Q402)</f>
        <v>236341.39548020929</v>
      </c>
      <c r="R403" s="1615">
        <f t="shared" si="231"/>
        <v>226166.2277687325</v>
      </c>
      <c r="S403" s="1616">
        <f t="shared" si="231"/>
        <v>282497.47776873264</v>
      </c>
      <c r="T403" s="1616">
        <f t="shared" si="231"/>
        <v>349041.97223126731</v>
      </c>
      <c r="U403" s="1616">
        <f t="shared" si="231"/>
        <v>70624.369442183161</v>
      </c>
      <c r="V403" s="1616">
        <f t="shared" si="231"/>
        <v>87260.493057816828</v>
      </c>
      <c r="W403" s="1615">
        <f t="shared" si="231"/>
        <v>157884.86250000002</v>
      </c>
      <c r="X403" s="1614"/>
      <c r="Y403" s="1613"/>
      <c r="Z403" s="1612"/>
      <c r="AA403" s="1611"/>
      <c r="AB403" s="1611"/>
      <c r="AC403" s="1611"/>
      <c r="AD403" s="1611"/>
      <c r="AE403" s="1611"/>
      <c r="AF403" s="1611"/>
      <c r="AG403" s="1611"/>
      <c r="AH403" s="1611"/>
      <c r="AI403" s="1611"/>
      <c r="AJ403" s="1611"/>
      <c r="AK403" s="1611"/>
      <c r="AL403" s="1611"/>
      <c r="AM403" s="1611"/>
      <c r="AN403" s="1611"/>
      <c r="AO403" s="1611"/>
      <c r="AP403" s="1611"/>
      <c r="AQ403" s="1611"/>
    </row>
    <row r="404" spans="1:43" outlineLevel="2">
      <c r="A404" s="1638" t="s">
        <v>314</v>
      </c>
      <c r="B404" s="1637" t="s">
        <v>123</v>
      </c>
      <c r="C404" s="1636"/>
      <c r="D404" s="1635">
        <v>1</v>
      </c>
      <c r="E404" s="1634" t="s">
        <v>976</v>
      </c>
      <c r="F404" s="1633" t="s">
        <v>1064</v>
      </c>
      <c r="G404" s="1632">
        <v>4708.6291610292174</v>
      </c>
      <c r="H404" s="1632">
        <v>3537.79</v>
      </c>
      <c r="I404" s="1630">
        <f t="shared" ref="I404:I421" si="232">G404+H404</f>
        <v>8246.4191610292182</v>
      </c>
      <c r="J404" s="1630">
        <f t="shared" ref="J404:J421" si="233">D404*I404</f>
        <v>8246.4191610292182</v>
      </c>
      <c r="K404" s="1631">
        <v>4050</v>
      </c>
      <c r="L404" s="1630">
        <f t="shared" ref="L404:L421" si="234">IF(I404&gt;K404,K404,I404)</f>
        <v>4050</v>
      </c>
      <c r="M404" s="1630">
        <f t="shared" ref="M404:M421" si="235">L404*D404</f>
        <v>4050</v>
      </c>
      <c r="N404" s="1625">
        <f t="shared" ref="N404:N421" si="236">J404-M404</f>
        <v>4196.4191610292182</v>
      </c>
      <c r="O404" s="1629">
        <v>0.63419999999999999</v>
      </c>
      <c r="P404" s="1629">
        <v>0.36580000000000001</v>
      </c>
      <c r="Q404" s="1625">
        <f t="shared" ref="Q404:Q421" si="237">N404*O404</f>
        <v>2661.3690319247303</v>
      </c>
      <c r="R404" s="1628">
        <f t="shared" ref="R404:R421" si="238">N404*P404</f>
        <v>1535.0501291044882</v>
      </c>
      <c r="S404" s="1627">
        <f t="shared" ref="S404:S421" si="239">(G404*D404)-Q404</f>
        <v>2047.2601291044871</v>
      </c>
      <c r="T404" s="1627">
        <f t="shared" ref="T404:T421" si="240">(H404*D404)-R404</f>
        <v>2002.7398708955118</v>
      </c>
      <c r="U404" s="1626">
        <f t="shared" ref="U404:U421" si="241">S404/4</f>
        <v>511.81503227612177</v>
      </c>
      <c r="V404" s="1626">
        <f t="shared" ref="V404:V421" si="242">T404/4</f>
        <v>500.68496772387795</v>
      </c>
      <c r="W404" s="1625">
        <f t="shared" ref="W404:W421" si="243">V404+U404</f>
        <v>1012.4999999999998</v>
      </c>
      <c r="X404" s="1614"/>
      <c r="Y404" s="1613"/>
      <c r="Z404" s="1612">
        <f t="shared" ref="Z404:Z421" si="244">K404/I404</f>
        <v>0.49112225814804789</v>
      </c>
      <c r="AA404" s="1611"/>
      <c r="AB404" s="1611"/>
      <c r="AC404" s="1611"/>
      <c r="AD404" s="1611"/>
      <c r="AE404" s="1611"/>
      <c r="AF404" s="1611"/>
      <c r="AG404" s="1611"/>
      <c r="AH404" s="1611"/>
      <c r="AI404" s="1611"/>
      <c r="AJ404" s="1611"/>
      <c r="AK404" s="1611"/>
      <c r="AL404" s="1611"/>
      <c r="AM404" s="1611"/>
      <c r="AN404" s="1611"/>
      <c r="AO404" s="1611"/>
      <c r="AP404" s="1611"/>
      <c r="AQ404" s="1611"/>
    </row>
    <row r="405" spans="1:43" outlineLevel="2">
      <c r="A405" s="1638" t="s">
        <v>314</v>
      </c>
      <c r="B405" s="1637" t="s">
        <v>123</v>
      </c>
      <c r="C405" s="1636"/>
      <c r="D405" s="1635">
        <v>10</v>
      </c>
      <c r="E405" s="1634" t="s">
        <v>976</v>
      </c>
      <c r="F405" s="1633" t="s">
        <v>979</v>
      </c>
      <c r="G405" s="1632">
        <v>4708.6291610292174</v>
      </c>
      <c r="H405" s="1632">
        <v>3537.79</v>
      </c>
      <c r="I405" s="1630">
        <f t="shared" si="232"/>
        <v>8246.4191610292182</v>
      </c>
      <c r="J405" s="1630">
        <f t="shared" si="233"/>
        <v>82464.191610292182</v>
      </c>
      <c r="K405" s="1631">
        <v>3940</v>
      </c>
      <c r="L405" s="1630">
        <f t="shared" si="234"/>
        <v>3940</v>
      </c>
      <c r="M405" s="1630">
        <f t="shared" si="235"/>
        <v>39400</v>
      </c>
      <c r="N405" s="1625">
        <f t="shared" si="236"/>
        <v>43064.191610292182</v>
      </c>
      <c r="O405" s="1629">
        <v>0.63419999999999999</v>
      </c>
      <c r="P405" s="1629">
        <v>0.36580000000000001</v>
      </c>
      <c r="Q405" s="1625">
        <f t="shared" si="237"/>
        <v>27311.310319247303</v>
      </c>
      <c r="R405" s="1628">
        <f t="shared" si="238"/>
        <v>15752.881291044881</v>
      </c>
      <c r="S405" s="1627">
        <f t="shared" si="239"/>
        <v>19774.981291044871</v>
      </c>
      <c r="T405" s="1627">
        <f t="shared" si="240"/>
        <v>19625.018708955118</v>
      </c>
      <c r="U405" s="1626">
        <f t="shared" si="241"/>
        <v>4943.7453227612177</v>
      </c>
      <c r="V405" s="1626">
        <f t="shared" si="242"/>
        <v>4906.2546772387795</v>
      </c>
      <c r="W405" s="1625">
        <f t="shared" si="243"/>
        <v>9849.9999999999964</v>
      </c>
      <c r="X405" s="1614"/>
      <c r="Y405" s="1613"/>
      <c r="Z405" s="1612">
        <f t="shared" si="244"/>
        <v>0.47778313508723669</v>
      </c>
      <c r="AA405" s="1611"/>
      <c r="AB405" s="1611"/>
      <c r="AC405" s="1611"/>
      <c r="AD405" s="1611"/>
      <c r="AE405" s="1611"/>
      <c r="AF405" s="1611"/>
      <c r="AG405" s="1611"/>
      <c r="AH405" s="1611"/>
      <c r="AI405" s="1611"/>
      <c r="AJ405" s="1611"/>
      <c r="AK405" s="1611"/>
      <c r="AL405" s="1611"/>
      <c r="AM405" s="1611"/>
      <c r="AN405" s="1611"/>
      <c r="AO405" s="1611"/>
      <c r="AP405" s="1611"/>
      <c r="AQ405" s="1611"/>
    </row>
    <row r="406" spans="1:43" outlineLevel="2">
      <c r="A406" s="1638" t="s">
        <v>314</v>
      </c>
      <c r="B406" s="1637" t="s">
        <v>123</v>
      </c>
      <c r="C406" s="1636"/>
      <c r="D406" s="1635">
        <v>1</v>
      </c>
      <c r="E406" s="1634" t="s">
        <v>975</v>
      </c>
      <c r="F406" s="1633" t="s">
        <v>1070</v>
      </c>
      <c r="G406" s="1632">
        <v>4708.6291610292174</v>
      </c>
      <c r="H406" s="1632">
        <v>3537.79</v>
      </c>
      <c r="I406" s="1630">
        <f t="shared" si="232"/>
        <v>8246.4191610292182</v>
      </c>
      <c r="J406" s="1630">
        <f t="shared" si="233"/>
        <v>8246.4191610292182</v>
      </c>
      <c r="K406" s="1631">
        <v>5083.7</v>
      </c>
      <c r="L406" s="1630">
        <f t="shared" si="234"/>
        <v>5083.7</v>
      </c>
      <c r="M406" s="1630">
        <f t="shared" si="235"/>
        <v>5083.7</v>
      </c>
      <c r="N406" s="1625">
        <f t="shared" si="236"/>
        <v>3162.7191610292184</v>
      </c>
      <c r="O406" s="1629">
        <v>0.63419999999999999</v>
      </c>
      <c r="P406" s="1629">
        <v>0.36580000000000001</v>
      </c>
      <c r="Q406" s="1625">
        <f t="shared" si="237"/>
        <v>2005.7964919247302</v>
      </c>
      <c r="R406" s="1628">
        <f t="shared" si="238"/>
        <v>1156.9226691044883</v>
      </c>
      <c r="S406" s="1627">
        <f t="shared" si="239"/>
        <v>2702.8326691044872</v>
      </c>
      <c r="T406" s="1627">
        <f t="shared" si="240"/>
        <v>2380.8673308955117</v>
      </c>
      <c r="U406" s="1626">
        <f t="shared" si="241"/>
        <v>675.7081672761218</v>
      </c>
      <c r="V406" s="1626">
        <f t="shared" si="242"/>
        <v>595.21683272387793</v>
      </c>
      <c r="W406" s="1625">
        <f t="shared" si="243"/>
        <v>1270.9249999999997</v>
      </c>
      <c r="X406" s="1614"/>
      <c r="Y406" s="1613"/>
      <c r="Z406" s="1612">
        <f t="shared" si="244"/>
        <v>0.61647363549314338</v>
      </c>
      <c r="AA406" s="1611"/>
      <c r="AB406" s="1611"/>
      <c r="AC406" s="1611"/>
      <c r="AD406" s="1611"/>
      <c r="AE406" s="1611"/>
      <c r="AF406" s="1611"/>
      <c r="AG406" s="1611"/>
      <c r="AH406" s="1611"/>
      <c r="AI406" s="1611"/>
      <c r="AJ406" s="1611"/>
      <c r="AK406" s="1611"/>
      <c r="AL406" s="1611"/>
      <c r="AM406" s="1611"/>
      <c r="AN406" s="1611"/>
      <c r="AO406" s="1611"/>
      <c r="AP406" s="1611"/>
      <c r="AQ406" s="1611"/>
    </row>
    <row r="407" spans="1:43" outlineLevel="2">
      <c r="A407" s="1638" t="s">
        <v>314</v>
      </c>
      <c r="B407" s="1637" t="s">
        <v>123</v>
      </c>
      <c r="C407" s="1636"/>
      <c r="D407" s="1635">
        <v>1</v>
      </c>
      <c r="E407" s="1634" t="s">
        <v>975</v>
      </c>
      <c r="F407" s="1633" t="s">
        <v>1071</v>
      </c>
      <c r="G407" s="1632">
        <v>4708.6291610292174</v>
      </c>
      <c r="H407" s="1632">
        <v>3537.79</v>
      </c>
      <c r="I407" s="1630">
        <f t="shared" si="232"/>
        <v>8246.4191610292182</v>
      </c>
      <c r="J407" s="1630">
        <f t="shared" si="233"/>
        <v>8246.4191610292182</v>
      </c>
      <c r="K407" s="1631">
        <v>5109</v>
      </c>
      <c r="L407" s="1630">
        <f t="shared" si="234"/>
        <v>5109</v>
      </c>
      <c r="M407" s="1630">
        <f t="shared" si="235"/>
        <v>5109</v>
      </c>
      <c r="N407" s="1625">
        <f t="shared" si="236"/>
        <v>3137.4191610292182</v>
      </c>
      <c r="O407" s="1629">
        <v>0.63419999999999999</v>
      </c>
      <c r="P407" s="1629">
        <v>0.36580000000000001</v>
      </c>
      <c r="Q407" s="1625">
        <f t="shared" si="237"/>
        <v>1989.7512319247301</v>
      </c>
      <c r="R407" s="1628">
        <f t="shared" si="238"/>
        <v>1147.6679291044882</v>
      </c>
      <c r="S407" s="1627">
        <f t="shared" si="239"/>
        <v>2718.8779291044875</v>
      </c>
      <c r="T407" s="1627">
        <f t="shared" si="240"/>
        <v>2390.1220708955116</v>
      </c>
      <c r="U407" s="1626">
        <f t="shared" si="241"/>
        <v>679.71948227612188</v>
      </c>
      <c r="V407" s="1626">
        <f t="shared" si="242"/>
        <v>597.53051772387789</v>
      </c>
      <c r="W407" s="1625">
        <f t="shared" si="243"/>
        <v>1277.2499999999998</v>
      </c>
      <c r="X407" s="1614"/>
      <c r="Y407" s="1613"/>
      <c r="Z407" s="1612">
        <f t="shared" si="244"/>
        <v>0.61954163379713001</v>
      </c>
      <c r="AA407" s="1611"/>
      <c r="AB407" s="1611"/>
      <c r="AC407" s="1611"/>
      <c r="AD407" s="1611"/>
      <c r="AE407" s="1611"/>
      <c r="AF407" s="1611"/>
      <c r="AG407" s="1611"/>
      <c r="AH407" s="1611"/>
      <c r="AI407" s="1611"/>
      <c r="AJ407" s="1611"/>
      <c r="AK407" s="1611"/>
      <c r="AL407" s="1611"/>
      <c r="AM407" s="1611"/>
      <c r="AN407" s="1611"/>
      <c r="AO407" s="1611"/>
      <c r="AP407" s="1611"/>
      <c r="AQ407" s="1611"/>
    </row>
    <row r="408" spans="1:43" outlineLevel="2">
      <c r="A408" s="1638" t="s">
        <v>314</v>
      </c>
      <c r="B408" s="1637" t="s">
        <v>123</v>
      </c>
      <c r="C408" s="1636"/>
      <c r="D408" s="1635">
        <v>2</v>
      </c>
      <c r="E408" s="1634" t="s">
        <v>975</v>
      </c>
      <c r="F408" s="1633" t="s">
        <v>979</v>
      </c>
      <c r="G408" s="1632">
        <v>4708.6291610292174</v>
      </c>
      <c r="H408" s="1632">
        <v>3537.79</v>
      </c>
      <c r="I408" s="1630">
        <f t="shared" si="232"/>
        <v>8246.4191610292182</v>
      </c>
      <c r="J408" s="1630">
        <f t="shared" si="233"/>
        <v>16492.838322058436</v>
      </c>
      <c r="K408" s="1631">
        <v>5114.1400000000003</v>
      </c>
      <c r="L408" s="1630">
        <f t="shared" si="234"/>
        <v>5114.1400000000003</v>
      </c>
      <c r="M408" s="1630">
        <f t="shared" si="235"/>
        <v>10228.280000000001</v>
      </c>
      <c r="N408" s="1625">
        <f t="shared" si="236"/>
        <v>6264.5583220584358</v>
      </c>
      <c r="O408" s="1629">
        <v>0.63419999999999999</v>
      </c>
      <c r="P408" s="1629">
        <v>0.36580000000000001</v>
      </c>
      <c r="Q408" s="1625">
        <f t="shared" si="237"/>
        <v>3972.98288784946</v>
      </c>
      <c r="R408" s="1628">
        <f t="shared" si="238"/>
        <v>2291.5754342089758</v>
      </c>
      <c r="S408" s="1627">
        <f t="shared" si="239"/>
        <v>5444.2754342089747</v>
      </c>
      <c r="T408" s="1627">
        <f t="shared" si="240"/>
        <v>4784.0045657910241</v>
      </c>
      <c r="U408" s="1626">
        <f t="shared" si="241"/>
        <v>1361.0688585522437</v>
      </c>
      <c r="V408" s="1626">
        <f t="shared" si="242"/>
        <v>1196.001141447756</v>
      </c>
      <c r="W408" s="1625">
        <f t="shared" si="243"/>
        <v>2557.0699999999997</v>
      </c>
      <c r="X408" s="1614"/>
      <c r="Y408" s="1613"/>
      <c r="Z408" s="1612">
        <f t="shared" si="244"/>
        <v>0.62016493463833522</v>
      </c>
      <c r="AA408" s="1611"/>
      <c r="AB408" s="1611"/>
      <c r="AC408" s="1611"/>
      <c r="AD408" s="1611"/>
      <c r="AE408" s="1611"/>
      <c r="AF408" s="1611"/>
      <c r="AG408" s="1611"/>
      <c r="AH408" s="1611"/>
      <c r="AI408" s="1611"/>
      <c r="AJ408" s="1611"/>
      <c r="AK408" s="1611"/>
      <c r="AL408" s="1611"/>
      <c r="AM408" s="1611"/>
      <c r="AN408" s="1611"/>
      <c r="AO408" s="1611"/>
      <c r="AP408" s="1611"/>
      <c r="AQ408" s="1611"/>
    </row>
    <row r="409" spans="1:43" outlineLevel="2">
      <c r="A409" s="1638" t="s">
        <v>314</v>
      </c>
      <c r="B409" s="1637" t="s">
        <v>123</v>
      </c>
      <c r="C409" s="1636"/>
      <c r="D409" s="1635">
        <v>1</v>
      </c>
      <c r="E409" s="1634" t="s">
        <v>910</v>
      </c>
      <c r="F409" s="1633" t="s">
        <v>1069</v>
      </c>
      <c r="G409" s="1632">
        <v>4708.6291610292174</v>
      </c>
      <c r="H409" s="1632">
        <v>3537.79</v>
      </c>
      <c r="I409" s="1630">
        <f t="shared" si="232"/>
        <v>8246.4191610292182</v>
      </c>
      <c r="J409" s="1630">
        <f t="shared" si="233"/>
        <v>8246.4191610292182</v>
      </c>
      <c r="K409" s="1631">
        <v>4000</v>
      </c>
      <c r="L409" s="1630">
        <f t="shared" si="234"/>
        <v>4000</v>
      </c>
      <c r="M409" s="1630">
        <f t="shared" si="235"/>
        <v>4000</v>
      </c>
      <c r="N409" s="1625">
        <f t="shared" si="236"/>
        <v>4246.4191610292182</v>
      </c>
      <c r="O409" s="1629">
        <v>0.63419999999999999</v>
      </c>
      <c r="P409" s="1629">
        <v>0.36580000000000001</v>
      </c>
      <c r="Q409" s="1625">
        <f t="shared" si="237"/>
        <v>2693.0790319247303</v>
      </c>
      <c r="R409" s="1628">
        <f t="shared" si="238"/>
        <v>1553.3401291044881</v>
      </c>
      <c r="S409" s="1627">
        <f t="shared" si="239"/>
        <v>2015.550129104487</v>
      </c>
      <c r="T409" s="1627">
        <f t="shared" si="240"/>
        <v>1984.4498708955118</v>
      </c>
      <c r="U409" s="1626">
        <f t="shared" si="241"/>
        <v>503.88753227612176</v>
      </c>
      <c r="V409" s="1626">
        <f t="shared" si="242"/>
        <v>496.11246772387796</v>
      </c>
      <c r="W409" s="1625">
        <f t="shared" si="243"/>
        <v>999.99999999999977</v>
      </c>
      <c r="X409" s="1614"/>
      <c r="Y409" s="1613"/>
      <c r="Z409" s="1612">
        <f t="shared" si="244"/>
        <v>0.4850590203931337</v>
      </c>
      <c r="AA409" s="1611"/>
      <c r="AB409" s="1611"/>
      <c r="AC409" s="1611"/>
      <c r="AD409" s="1611"/>
      <c r="AE409" s="1611"/>
      <c r="AF409" s="1611"/>
      <c r="AG409" s="1611"/>
      <c r="AH409" s="1611"/>
      <c r="AI409" s="1611"/>
      <c r="AJ409" s="1611"/>
      <c r="AK409" s="1611"/>
      <c r="AL409" s="1611"/>
      <c r="AM409" s="1611"/>
      <c r="AN409" s="1611"/>
      <c r="AO409" s="1611"/>
      <c r="AP409" s="1611"/>
      <c r="AQ409" s="1611"/>
    </row>
    <row r="410" spans="1:43" outlineLevel="2">
      <c r="A410" s="1638" t="s">
        <v>314</v>
      </c>
      <c r="B410" s="1637" t="s">
        <v>123</v>
      </c>
      <c r="C410" s="1636"/>
      <c r="D410" s="1635">
        <v>1</v>
      </c>
      <c r="E410" s="1634" t="s">
        <v>974</v>
      </c>
      <c r="F410" s="1633" t="s">
        <v>979</v>
      </c>
      <c r="G410" s="1632">
        <v>4708.6291610292174</v>
      </c>
      <c r="H410" s="1632">
        <v>3537.79</v>
      </c>
      <c r="I410" s="1630">
        <f t="shared" si="232"/>
        <v>8246.4191610292182</v>
      </c>
      <c r="J410" s="1630">
        <f t="shared" si="233"/>
        <v>8246.4191610292182</v>
      </c>
      <c r="K410" s="1631">
        <v>3839</v>
      </c>
      <c r="L410" s="1630">
        <f t="shared" si="234"/>
        <v>3839</v>
      </c>
      <c r="M410" s="1630">
        <f t="shared" si="235"/>
        <v>3839</v>
      </c>
      <c r="N410" s="1625">
        <f t="shared" si="236"/>
        <v>4407.4191610292182</v>
      </c>
      <c r="O410" s="1629">
        <v>0.63419999999999999</v>
      </c>
      <c r="P410" s="1629">
        <v>0.36580000000000001</v>
      </c>
      <c r="Q410" s="1625">
        <f t="shared" si="237"/>
        <v>2795.18523192473</v>
      </c>
      <c r="R410" s="1628">
        <f t="shared" si="238"/>
        <v>1612.2339291044882</v>
      </c>
      <c r="S410" s="1627">
        <f t="shared" si="239"/>
        <v>1913.4439291044873</v>
      </c>
      <c r="T410" s="1627">
        <f t="shared" si="240"/>
        <v>1925.5560708955118</v>
      </c>
      <c r="U410" s="1626">
        <f t="shared" si="241"/>
        <v>478.36098227612183</v>
      </c>
      <c r="V410" s="1626">
        <f t="shared" si="242"/>
        <v>481.38901772387794</v>
      </c>
      <c r="W410" s="1625">
        <f t="shared" si="243"/>
        <v>959.74999999999977</v>
      </c>
      <c r="X410" s="1614"/>
      <c r="Y410" s="1613"/>
      <c r="Z410" s="1612">
        <f t="shared" si="244"/>
        <v>0.46553539482231004</v>
      </c>
      <c r="AA410" s="1611"/>
      <c r="AB410" s="1611"/>
      <c r="AC410" s="1611"/>
      <c r="AD410" s="1611"/>
      <c r="AE410" s="1611"/>
      <c r="AF410" s="1611"/>
      <c r="AG410" s="1611"/>
      <c r="AH410" s="1611"/>
      <c r="AI410" s="1611"/>
      <c r="AJ410" s="1611"/>
      <c r="AK410" s="1611"/>
      <c r="AL410" s="1611"/>
      <c r="AM410" s="1611"/>
      <c r="AN410" s="1611"/>
      <c r="AO410" s="1611"/>
      <c r="AP410" s="1611"/>
      <c r="AQ410" s="1611"/>
    </row>
    <row r="411" spans="1:43" outlineLevel="2">
      <c r="A411" s="1638" t="s">
        <v>314</v>
      </c>
      <c r="B411" s="1637" t="s">
        <v>123</v>
      </c>
      <c r="C411" s="1636"/>
      <c r="D411" s="1635">
        <v>1</v>
      </c>
      <c r="E411" s="1634" t="s">
        <v>906</v>
      </c>
      <c r="F411" s="1633" t="s">
        <v>1070</v>
      </c>
      <c r="G411" s="1632">
        <v>4708.6291610292174</v>
      </c>
      <c r="H411" s="1632">
        <v>3537.79</v>
      </c>
      <c r="I411" s="1630">
        <f t="shared" si="232"/>
        <v>8246.4191610292182</v>
      </c>
      <c r="J411" s="1630">
        <f t="shared" si="233"/>
        <v>8246.4191610292182</v>
      </c>
      <c r="K411" s="1631">
        <v>4190</v>
      </c>
      <c r="L411" s="1630">
        <f t="shared" si="234"/>
        <v>4190</v>
      </c>
      <c r="M411" s="1630">
        <f t="shared" si="235"/>
        <v>4190</v>
      </c>
      <c r="N411" s="1625">
        <f t="shared" si="236"/>
        <v>4056.4191610292182</v>
      </c>
      <c r="O411" s="1629">
        <v>0.63419999999999999</v>
      </c>
      <c r="P411" s="1629">
        <v>0.36580000000000001</v>
      </c>
      <c r="Q411" s="1625">
        <f t="shared" si="237"/>
        <v>2572.5810319247303</v>
      </c>
      <c r="R411" s="1628">
        <f t="shared" si="238"/>
        <v>1483.8381291044882</v>
      </c>
      <c r="S411" s="1627">
        <f t="shared" si="239"/>
        <v>2136.0481291044871</v>
      </c>
      <c r="T411" s="1627">
        <f t="shared" si="240"/>
        <v>2053.951870895512</v>
      </c>
      <c r="U411" s="1626">
        <f t="shared" si="241"/>
        <v>534.01203227612177</v>
      </c>
      <c r="V411" s="1626">
        <f t="shared" si="242"/>
        <v>513.487967723878</v>
      </c>
      <c r="W411" s="1625">
        <f t="shared" si="243"/>
        <v>1047.4999999999998</v>
      </c>
      <c r="X411" s="1614"/>
      <c r="Y411" s="1613"/>
      <c r="Z411" s="1612">
        <f t="shared" si="244"/>
        <v>0.50809932386180756</v>
      </c>
      <c r="AA411" s="1611"/>
      <c r="AB411" s="1611"/>
      <c r="AC411" s="1611"/>
      <c r="AD411" s="1611"/>
      <c r="AE411" s="1611"/>
      <c r="AF411" s="1611"/>
      <c r="AG411" s="1611"/>
      <c r="AH411" s="1611"/>
      <c r="AI411" s="1611"/>
      <c r="AJ411" s="1611"/>
      <c r="AK411" s="1611"/>
      <c r="AL411" s="1611"/>
      <c r="AM411" s="1611"/>
      <c r="AN411" s="1611"/>
      <c r="AO411" s="1611"/>
      <c r="AP411" s="1611"/>
      <c r="AQ411" s="1611"/>
    </row>
    <row r="412" spans="1:43" outlineLevel="2">
      <c r="A412" s="1638" t="s">
        <v>314</v>
      </c>
      <c r="B412" s="1637" t="s">
        <v>123</v>
      </c>
      <c r="C412" s="1636"/>
      <c r="D412" s="1635">
        <v>1</v>
      </c>
      <c r="E412" s="1634" t="s">
        <v>906</v>
      </c>
      <c r="F412" s="1633" t="s">
        <v>1069</v>
      </c>
      <c r="G412" s="1632">
        <v>4708.6291610292174</v>
      </c>
      <c r="H412" s="1632">
        <v>3537.79</v>
      </c>
      <c r="I412" s="1630">
        <f t="shared" si="232"/>
        <v>8246.4191610292182</v>
      </c>
      <c r="J412" s="1630">
        <f t="shared" si="233"/>
        <v>8246.4191610292182</v>
      </c>
      <c r="K412" s="1631">
        <v>4190</v>
      </c>
      <c r="L412" s="1630">
        <f t="shared" si="234"/>
        <v>4190</v>
      </c>
      <c r="M412" s="1630">
        <f t="shared" si="235"/>
        <v>4190</v>
      </c>
      <c r="N412" s="1625">
        <f t="shared" si="236"/>
        <v>4056.4191610292182</v>
      </c>
      <c r="O412" s="1629">
        <v>0.63419999999999999</v>
      </c>
      <c r="P412" s="1629">
        <v>0.36580000000000001</v>
      </c>
      <c r="Q412" s="1625">
        <f t="shared" si="237"/>
        <v>2572.5810319247303</v>
      </c>
      <c r="R412" s="1628">
        <f t="shared" si="238"/>
        <v>1483.8381291044882</v>
      </c>
      <c r="S412" s="1627">
        <f t="shared" si="239"/>
        <v>2136.0481291044871</v>
      </c>
      <c r="T412" s="1627">
        <f t="shared" si="240"/>
        <v>2053.951870895512</v>
      </c>
      <c r="U412" s="1626">
        <f t="shared" si="241"/>
        <v>534.01203227612177</v>
      </c>
      <c r="V412" s="1626">
        <f t="shared" si="242"/>
        <v>513.487967723878</v>
      </c>
      <c r="W412" s="1625">
        <f t="shared" si="243"/>
        <v>1047.4999999999998</v>
      </c>
      <c r="X412" s="1614"/>
      <c r="Y412" s="1613"/>
      <c r="Z412" s="1612">
        <f t="shared" si="244"/>
        <v>0.50809932386180756</v>
      </c>
      <c r="AA412" s="1611"/>
      <c r="AB412" s="1611"/>
      <c r="AC412" s="1611"/>
      <c r="AD412" s="1611"/>
      <c r="AE412" s="1611"/>
      <c r="AF412" s="1611"/>
      <c r="AG412" s="1611"/>
      <c r="AH412" s="1611"/>
      <c r="AI412" s="1611"/>
      <c r="AJ412" s="1611"/>
      <c r="AK412" s="1611"/>
      <c r="AL412" s="1611"/>
      <c r="AM412" s="1611"/>
      <c r="AN412" s="1611"/>
      <c r="AO412" s="1611"/>
      <c r="AP412" s="1611"/>
      <c r="AQ412" s="1611"/>
    </row>
    <row r="413" spans="1:43" outlineLevel="2">
      <c r="A413" s="1638" t="s">
        <v>314</v>
      </c>
      <c r="B413" s="1637" t="s">
        <v>123</v>
      </c>
      <c r="C413" s="1636"/>
      <c r="D413" s="1635">
        <v>2</v>
      </c>
      <c r="E413" s="1634" t="s">
        <v>906</v>
      </c>
      <c r="F413" s="1633" t="s">
        <v>979</v>
      </c>
      <c r="G413" s="1632">
        <v>4708.6291610292174</v>
      </c>
      <c r="H413" s="1632">
        <v>3537.79</v>
      </c>
      <c r="I413" s="1630">
        <f t="shared" si="232"/>
        <v>8246.4191610292182</v>
      </c>
      <c r="J413" s="1630">
        <f t="shared" si="233"/>
        <v>16492.838322058436</v>
      </c>
      <c r="K413" s="1631">
        <v>4190</v>
      </c>
      <c r="L413" s="1630">
        <f t="shared" si="234"/>
        <v>4190</v>
      </c>
      <c r="M413" s="1630">
        <f t="shared" si="235"/>
        <v>8380</v>
      </c>
      <c r="N413" s="1625">
        <f t="shared" si="236"/>
        <v>8112.8383220584365</v>
      </c>
      <c r="O413" s="1629">
        <v>0.63419999999999999</v>
      </c>
      <c r="P413" s="1629">
        <v>0.36580000000000001</v>
      </c>
      <c r="Q413" s="1625">
        <f t="shared" si="237"/>
        <v>5145.1620638494605</v>
      </c>
      <c r="R413" s="1628">
        <f t="shared" si="238"/>
        <v>2967.6762582089764</v>
      </c>
      <c r="S413" s="1627">
        <f t="shared" si="239"/>
        <v>4272.0962582089742</v>
      </c>
      <c r="T413" s="1627">
        <f t="shared" si="240"/>
        <v>4107.903741791024</v>
      </c>
      <c r="U413" s="1626">
        <f t="shared" si="241"/>
        <v>1068.0240645522435</v>
      </c>
      <c r="V413" s="1626">
        <f t="shared" si="242"/>
        <v>1026.975935447756</v>
      </c>
      <c r="W413" s="1625">
        <f t="shared" si="243"/>
        <v>2094.9999999999995</v>
      </c>
      <c r="X413" s="1614"/>
      <c r="Y413" s="1613"/>
      <c r="Z413" s="1612">
        <f t="shared" si="244"/>
        <v>0.50809932386180756</v>
      </c>
      <c r="AA413" s="1611"/>
      <c r="AB413" s="1611"/>
      <c r="AC413" s="1611"/>
      <c r="AD413" s="1611"/>
      <c r="AE413" s="1611"/>
      <c r="AF413" s="1611"/>
      <c r="AG413" s="1611"/>
      <c r="AH413" s="1611"/>
      <c r="AI413" s="1611"/>
      <c r="AJ413" s="1611"/>
      <c r="AK413" s="1611"/>
      <c r="AL413" s="1611"/>
      <c r="AM413" s="1611"/>
      <c r="AN413" s="1611"/>
      <c r="AO413" s="1611"/>
      <c r="AP413" s="1611"/>
      <c r="AQ413" s="1611"/>
    </row>
    <row r="414" spans="1:43" outlineLevel="2">
      <c r="A414" s="1638" t="s">
        <v>314</v>
      </c>
      <c r="B414" s="1637" t="s">
        <v>123</v>
      </c>
      <c r="C414" s="1636"/>
      <c r="D414" s="1635">
        <v>3</v>
      </c>
      <c r="E414" s="1634" t="s">
        <v>905</v>
      </c>
      <c r="F414" s="1633" t="s">
        <v>1070</v>
      </c>
      <c r="G414" s="1632">
        <v>4708.6291610292174</v>
      </c>
      <c r="H414" s="1632">
        <v>3537.79</v>
      </c>
      <c r="I414" s="1630">
        <f t="shared" si="232"/>
        <v>8246.4191610292182</v>
      </c>
      <c r="J414" s="1630">
        <f t="shared" si="233"/>
        <v>24739.257483087655</v>
      </c>
      <c r="K414" s="1631">
        <v>3513</v>
      </c>
      <c r="L414" s="1630">
        <f t="shared" si="234"/>
        <v>3513</v>
      </c>
      <c r="M414" s="1630">
        <f t="shared" si="235"/>
        <v>10539</v>
      </c>
      <c r="N414" s="1625">
        <f t="shared" si="236"/>
        <v>14200.257483087655</v>
      </c>
      <c r="O414" s="1629">
        <v>0.63419999999999999</v>
      </c>
      <c r="P414" s="1629">
        <v>0.36580000000000001</v>
      </c>
      <c r="Q414" s="1625">
        <f t="shared" si="237"/>
        <v>9005.8032957741907</v>
      </c>
      <c r="R414" s="1628">
        <f t="shared" si="238"/>
        <v>5194.454187313464</v>
      </c>
      <c r="S414" s="1627">
        <f t="shared" si="239"/>
        <v>5120.0841873134614</v>
      </c>
      <c r="T414" s="1627">
        <f t="shared" si="240"/>
        <v>5418.915812686535</v>
      </c>
      <c r="U414" s="1626">
        <f t="shared" si="241"/>
        <v>1280.0210468283653</v>
      </c>
      <c r="V414" s="1626">
        <f t="shared" si="242"/>
        <v>1354.7289531716337</v>
      </c>
      <c r="W414" s="1625">
        <f t="shared" si="243"/>
        <v>2634.7499999999991</v>
      </c>
      <c r="X414" s="1614"/>
      <c r="Y414" s="1613"/>
      <c r="Z414" s="1612">
        <f t="shared" si="244"/>
        <v>0.42600308466026965</v>
      </c>
      <c r="AA414" s="1611"/>
      <c r="AB414" s="1611"/>
      <c r="AC414" s="1611"/>
      <c r="AD414" s="1611"/>
      <c r="AE414" s="1611"/>
      <c r="AF414" s="1611"/>
      <c r="AG414" s="1611"/>
      <c r="AH414" s="1611"/>
      <c r="AI414" s="1611"/>
      <c r="AJ414" s="1611"/>
      <c r="AK414" s="1611"/>
      <c r="AL414" s="1611"/>
      <c r="AM414" s="1611"/>
      <c r="AN414" s="1611"/>
      <c r="AO414" s="1611"/>
      <c r="AP414" s="1611"/>
      <c r="AQ414" s="1611"/>
    </row>
    <row r="415" spans="1:43" outlineLevel="2">
      <c r="A415" s="1638" t="s">
        <v>314</v>
      </c>
      <c r="B415" s="1637" t="s">
        <v>123</v>
      </c>
      <c r="C415" s="1636"/>
      <c r="D415" s="1635">
        <v>3</v>
      </c>
      <c r="E415" s="1634" t="s">
        <v>905</v>
      </c>
      <c r="F415" s="1633" t="s">
        <v>1069</v>
      </c>
      <c r="G415" s="1632">
        <v>4708.6291610292174</v>
      </c>
      <c r="H415" s="1632">
        <v>3537.79</v>
      </c>
      <c r="I415" s="1630">
        <f t="shared" si="232"/>
        <v>8246.4191610292182</v>
      </c>
      <c r="J415" s="1630">
        <f t="shared" si="233"/>
        <v>24739.257483087655</v>
      </c>
      <c r="K415" s="1631">
        <v>3505</v>
      </c>
      <c r="L415" s="1630">
        <f t="shared" si="234"/>
        <v>3505</v>
      </c>
      <c r="M415" s="1630">
        <f t="shared" si="235"/>
        <v>10515</v>
      </c>
      <c r="N415" s="1625">
        <f t="shared" si="236"/>
        <v>14224.257483087655</v>
      </c>
      <c r="O415" s="1629">
        <v>0.63419999999999999</v>
      </c>
      <c r="P415" s="1629">
        <v>0.36580000000000001</v>
      </c>
      <c r="Q415" s="1625">
        <f t="shared" si="237"/>
        <v>9021.0240957741898</v>
      </c>
      <c r="R415" s="1628">
        <f t="shared" si="238"/>
        <v>5203.2333873134639</v>
      </c>
      <c r="S415" s="1627">
        <f t="shared" si="239"/>
        <v>5104.8633873134622</v>
      </c>
      <c r="T415" s="1627">
        <f t="shared" si="240"/>
        <v>5410.136612686535</v>
      </c>
      <c r="U415" s="1626">
        <f t="shared" si="241"/>
        <v>1276.2158468283656</v>
      </c>
      <c r="V415" s="1626">
        <f t="shared" si="242"/>
        <v>1352.5341531716338</v>
      </c>
      <c r="W415" s="1625">
        <f t="shared" si="243"/>
        <v>2628.7499999999991</v>
      </c>
      <c r="X415" s="1614"/>
      <c r="Y415" s="1613"/>
      <c r="Z415" s="1612">
        <f t="shared" si="244"/>
        <v>0.42503296661948342</v>
      </c>
      <c r="AA415" s="1611"/>
      <c r="AB415" s="1611"/>
      <c r="AC415" s="1611"/>
      <c r="AD415" s="1611"/>
      <c r="AE415" s="1611"/>
      <c r="AF415" s="1611"/>
      <c r="AG415" s="1611"/>
      <c r="AH415" s="1611"/>
      <c r="AI415" s="1611"/>
      <c r="AJ415" s="1611"/>
      <c r="AK415" s="1611"/>
      <c r="AL415" s="1611"/>
      <c r="AM415" s="1611"/>
      <c r="AN415" s="1611"/>
      <c r="AO415" s="1611"/>
      <c r="AP415" s="1611"/>
      <c r="AQ415" s="1611"/>
    </row>
    <row r="416" spans="1:43" outlineLevel="2">
      <c r="A416" s="1638" t="s">
        <v>314</v>
      </c>
      <c r="B416" s="1637" t="s">
        <v>123</v>
      </c>
      <c r="C416" s="1636"/>
      <c r="D416" s="1635">
        <v>1</v>
      </c>
      <c r="E416" s="1634" t="s">
        <v>905</v>
      </c>
      <c r="F416" s="1633" t="s">
        <v>1068</v>
      </c>
      <c r="G416" s="1632">
        <v>4708.6291610292174</v>
      </c>
      <c r="H416" s="1632">
        <v>3537.79</v>
      </c>
      <c r="I416" s="1630">
        <f t="shared" si="232"/>
        <v>8246.4191610292182</v>
      </c>
      <c r="J416" s="1630">
        <f t="shared" si="233"/>
        <v>8246.4191610292182</v>
      </c>
      <c r="K416" s="1631">
        <v>3505</v>
      </c>
      <c r="L416" s="1630">
        <f t="shared" si="234"/>
        <v>3505</v>
      </c>
      <c r="M416" s="1630">
        <f t="shared" si="235"/>
        <v>3505</v>
      </c>
      <c r="N416" s="1625">
        <f t="shared" si="236"/>
        <v>4741.4191610292182</v>
      </c>
      <c r="O416" s="1629">
        <v>0.63419999999999999</v>
      </c>
      <c r="P416" s="1629">
        <v>0.36580000000000001</v>
      </c>
      <c r="Q416" s="1625">
        <f t="shared" si="237"/>
        <v>3007.0080319247299</v>
      </c>
      <c r="R416" s="1628">
        <f t="shared" si="238"/>
        <v>1734.4111291044881</v>
      </c>
      <c r="S416" s="1627">
        <f t="shared" si="239"/>
        <v>1701.6211291044874</v>
      </c>
      <c r="T416" s="1627">
        <f t="shared" si="240"/>
        <v>1803.3788708955119</v>
      </c>
      <c r="U416" s="1626">
        <f t="shared" si="241"/>
        <v>425.40528227612185</v>
      </c>
      <c r="V416" s="1626">
        <f t="shared" si="242"/>
        <v>450.84471772387798</v>
      </c>
      <c r="W416" s="1625">
        <f t="shared" si="243"/>
        <v>876.24999999999977</v>
      </c>
      <c r="X416" s="1614"/>
      <c r="Y416" s="1613"/>
      <c r="Z416" s="1612">
        <f t="shared" si="244"/>
        <v>0.42503296661948342</v>
      </c>
      <c r="AA416" s="1611"/>
      <c r="AB416" s="1611"/>
      <c r="AC416" s="1611"/>
      <c r="AD416" s="1611"/>
      <c r="AE416" s="1611"/>
      <c r="AF416" s="1611"/>
      <c r="AG416" s="1611"/>
      <c r="AH416" s="1611"/>
      <c r="AI416" s="1611"/>
      <c r="AJ416" s="1611"/>
      <c r="AK416" s="1611"/>
      <c r="AL416" s="1611"/>
      <c r="AM416" s="1611"/>
      <c r="AN416" s="1611"/>
      <c r="AO416" s="1611"/>
      <c r="AP416" s="1611"/>
      <c r="AQ416" s="1611"/>
    </row>
    <row r="417" spans="1:43" outlineLevel="2">
      <c r="A417" s="1638" t="s">
        <v>314</v>
      </c>
      <c r="B417" s="1637" t="s">
        <v>123</v>
      </c>
      <c r="C417" s="1636"/>
      <c r="D417" s="1635">
        <v>3</v>
      </c>
      <c r="E417" s="1634" t="s">
        <v>905</v>
      </c>
      <c r="F417" s="1633" t="s">
        <v>1071</v>
      </c>
      <c r="G417" s="1632">
        <v>4708.6291610292174</v>
      </c>
      <c r="H417" s="1632">
        <v>3537.79</v>
      </c>
      <c r="I417" s="1630">
        <f t="shared" si="232"/>
        <v>8246.4191610292182</v>
      </c>
      <c r="J417" s="1630">
        <f t="shared" si="233"/>
        <v>24739.257483087655</v>
      </c>
      <c r="K417" s="1631">
        <v>3505</v>
      </c>
      <c r="L417" s="1630">
        <f t="shared" si="234"/>
        <v>3505</v>
      </c>
      <c r="M417" s="1630">
        <f t="shared" si="235"/>
        <v>10515</v>
      </c>
      <c r="N417" s="1625">
        <f t="shared" si="236"/>
        <v>14224.257483087655</v>
      </c>
      <c r="O417" s="1629">
        <v>0.63419999999999999</v>
      </c>
      <c r="P417" s="1629">
        <v>0.36580000000000001</v>
      </c>
      <c r="Q417" s="1625">
        <f t="shared" si="237"/>
        <v>9021.0240957741898</v>
      </c>
      <c r="R417" s="1628">
        <f t="shared" si="238"/>
        <v>5203.2333873134639</v>
      </c>
      <c r="S417" s="1627">
        <f t="shared" si="239"/>
        <v>5104.8633873134622</v>
      </c>
      <c r="T417" s="1627">
        <f t="shared" si="240"/>
        <v>5410.136612686535</v>
      </c>
      <c r="U417" s="1626">
        <f t="shared" si="241"/>
        <v>1276.2158468283656</v>
      </c>
      <c r="V417" s="1626">
        <f t="shared" si="242"/>
        <v>1352.5341531716338</v>
      </c>
      <c r="W417" s="1625">
        <f t="shared" si="243"/>
        <v>2628.7499999999991</v>
      </c>
      <c r="X417" s="1614"/>
      <c r="Y417" s="1613"/>
      <c r="Z417" s="1612">
        <f t="shared" si="244"/>
        <v>0.42503296661948342</v>
      </c>
      <c r="AA417" s="1611"/>
      <c r="AB417" s="1611"/>
      <c r="AC417" s="1611"/>
      <c r="AD417" s="1611"/>
      <c r="AE417" s="1611"/>
      <c r="AF417" s="1611"/>
      <c r="AG417" s="1611"/>
      <c r="AH417" s="1611"/>
      <c r="AI417" s="1611"/>
      <c r="AJ417" s="1611"/>
      <c r="AK417" s="1611"/>
      <c r="AL417" s="1611"/>
      <c r="AM417" s="1611"/>
      <c r="AN417" s="1611"/>
      <c r="AO417" s="1611"/>
      <c r="AP417" s="1611"/>
      <c r="AQ417" s="1611"/>
    </row>
    <row r="418" spans="1:43" outlineLevel="2">
      <c r="A418" s="1638" t="s">
        <v>314</v>
      </c>
      <c r="B418" s="1637" t="s">
        <v>123</v>
      </c>
      <c r="C418" s="1636"/>
      <c r="D418" s="1635">
        <v>2</v>
      </c>
      <c r="E418" s="1634" t="s">
        <v>905</v>
      </c>
      <c r="F418" s="1633" t="s">
        <v>1065</v>
      </c>
      <c r="G418" s="1632">
        <v>4708.6291610292174</v>
      </c>
      <c r="H418" s="1632">
        <v>3537.79</v>
      </c>
      <c r="I418" s="1630">
        <f t="shared" si="232"/>
        <v>8246.4191610292182</v>
      </c>
      <c r="J418" s="1630">
        <f t="shared" si="233"/>
        <v>16492.838322058436</v>
      </c>
      <c r="K418" s="1631">
        <v>3505</v>
      </c>
      <c r="L418" s="1630">
        <f t="shared" si="234"/>
        <v>3505</v>
      </c>
      <c r="M418" s="1630">
        <f t="shared" si="235"/>
        <v>7010</v>
      </c>
      <c r="N418" s="1625">
        <f t="shared" si="236"/>
        <v>9482.8383220584365</v>
      </c>
      <c r="O418" s="1629">
        <v>0.63419999999999999</v>
      </c>
      <c r="P418" s="1629">
        <v>0.36580000000000001</v>
      </c>
      <c r="Q418" s="1625">
        <f t="shared" si="237"/>
        <v>6014.0160638494599</v>
      </c>
      <c r="R418" s="1628">
        <f t="shared" si="238"/>
        <v>3468.8222582089761</v>
      </c>
      <c r="S418" s="1627">
        <f t="shared" si="239"/>
        <v>3403.2422582089748</v>
      </c>
      <c r="T418" s="1627">
        <f t="shared" si="240"/>
        <v>3606.7577417910238</v>
      </c>
      <c r="U418" s="1626">
        <f t="shared" si="241"/>
        <v>850.8105645522437</v>
      </c>
      <c r="V418" s="1626">
        <f t="shared" si="242"/>
        <v>901.68943544775595</v>
      </c>
      <c r="W418" s="1625">
        <f t="shared" si="243"/>
        <v>1752.4999999999995</v>
      </c>
      <c r="X418" s="1614"/>
      <c r="Y418" s="1613"/>
      <c r="Z418" s="1612">
        <f t="shared" si="244"/>
        <v>0.42503296661948342</v>
      </c>
      <c r="AA418" s="1611"/>
      <c r="AB418" s="1611"/>
      <c r="AC418" s="1611"/>
      <c r="AD418" s="1611"/>
      <c r="AE418" s="1611"/>
      <c r="AF418" s="1611"/>
      <c r="AG418" s="1611"/>
      <c r="AH418" s="1611"/>
      <c r="AI418" s="1611"/>
      <c r="AJ418" s="1611"/>
      <c r="AK418" s="1611"/>
      <c r="AL418" s="1611"/>
      <c r="AM418" s="1611"/>
      <c r="AN418" s="1611"/>
      <c r="AO418" s="1611"/>
      <c r="AP418" s="1611"/>
      <c r="AQ418" s="1611"/>
    </row>
    <row r="419" spans="1:43" outlineLevel="2">
      <c r="A419" s="1638" t="s">
        <v>314</v>
      </c>
      <c r="B419" s="1637" t="s">
        <v>123</v>
      </c>
      <c r="C419" s="1636"/>
      <c r="D419" s="1635">
        <v>1</v>
      </c>
      <c r="E419" s="1634" t="s">
        <v>905</v>
      </c>
      <c r="F419" s="1633" t="s">
        <v>1064</v>
      </c>
      <c r="G419" s="1632">
        <v>4708.6291610292174</v>
      </c>
      <c r="H419" s="1632">
        <v>3537.79</v>
      </c>
      <c r="I419" s="1630">
        <f t="shared" si="232"/>
        <v>8246.4191610292182</v>
      </c>
      <c r="J419" s="1630">
        <f t="shared" si="233"/>
        <v>8246.4191610292182</v>
      </c>
      <c r="K419" s="1631">
        <v>3505</v>
      </c>
      <c r="L419" s="1630">
        <f t="shared" si="234"/>
        <v>3505</v>
      </c>
      <c r="M419" s="1630">
        <f t="shared" si="235"/>
        <v>3505</v>
      </c>
      <c r="N419" s="1625">
        <f t="shared" si="236"/>
        <v>4741.4191610292182</v>
      </c>
      <c r="O419" s="1629">
        <v>0.63419999999999999</v>
      </c>
      <c r="P419" s="1629">
        <v>0.36580000000000001</v>
      </c>
      <c r="Q419" s="1625">
        <f t="shared" si="237"/>
        <v>3007.0080319247299</v>
      </c>
      <c r="R419" s="1628">
        <f t="shared" si="238"/>
        <v>1734.4111291044881</v>
      </c>
      <c r="S419" s="1627">
        <f t="shared" si="239"/>
        <v>1701.6211291044874</v>
      </c>
      <c r="T419" s="1627">
        <f t="shared" si="240"/>
        <v>1803.3788708955119</v>
      </c>
      <c r="U419" s="1626">
        <f t="shared" si="241"/>
        <v>425.40528227612185</v>
      </c>
      <c r="V419" s="1626">
        <f t="shared" si="242"/>
        <v>450.84471772387798</v>
      </c>
      <c r="W419" s="1625">
        <f t="shared" si="243"/>
        <v>876.24999999999977</v>
      </c>
      <c r="X419" s="1614"/>
      <c r="Y419" s="1613"/>
      <c r="Z419" s="1612">
        <f t="shared" si="244"/>
        <v>0.42503296661948342</v>
      </c>
      <c r="AA419" s="1611"/>
      <c r="AB419" s="1611"/>
      <c r="AC419" s="1611"/>
      <c r="AD419" s="1611"/>
      <c r="AE419" s="1611"/>
      <c r="AF419" s="1611"/>
      <c r="AG419" s="1611"/>
      <c r="AH419" s="1611"/>
      <c r="AI419" s="1611"/>
      <c r="AJ419" s="1611"/>
      <c r="AK419" s="1611"/>
      <c r="AL419" s="1611"/>
      <c r="AM419" s="1611"/>
      <c r="AN419" s="1611"/>
      <c r="AO419" s="1611"/>
      <c r="AP419" s="1611"/>
      <c r="AQ419" s="1611"/>
    </row>
    <row r="420" spans="1:43" outlineLevel="2">
      <c r="A420" s="1638" t="s">
        <v>314</v>
      </c>
      <c r="B420" s="1637" t="s">
        <v>123</v>
      </c>
      <c r="C420" s="1636"/>
      <c r="D420" s="1635">
        <v>2</v>
      </c>
      <c r="E420" s="1634" t="s">
        <v>905</v>
      </c>
      <c r="F420" s="1633" t="s">
        <v>1063</v>
      </c>
      <c r="G420" s="1632">
        <v>4708.6291610292174</v>
      </c>
      <c r="H420" s="1632">
        <v>3537.79</v>
      </c>
      <c r="I420" s="1630">
        <f t="shared" si="232"/>
        <v>8246.4191610292182</v>
      </c>
      <c r="J420" s="1630">
        <f t="shared" si="233"/>
        <v>16492.838322058436</v>
      </c>
      <c r="K420" s="1631">
        <v>3505</v>
      </c>
      <c r="L420" s="1630">
        <f t="shared" si="234"/>
        <v>3505</v>
      </c>
      <c r="M420" s="1630">
        <f t="shared" si="235"/>
        <v>7010</v>
      </c>
      <c r="N420" s="1625">
        <f t="shared" si="236"/>
        <v>9482.8383220584365</v>
      </c>
      <c r="O420" s="1629">
        <v>0.63419999999999999</v>
      </c>
      <c r="P420" s="1629">
        <v>0.36580000000000001</v>
      </c>
      <c r="Q420" s="1625">
        <f t="shared" si="237"/>
        <v>6014.0160638494599</v>
      </c>
      <c r="R420" s="1628">
        <f t="shared" si="238"/>
        <v>3468.8222582089761</v>
      </c>
      <c r="S420" s="1627">
        <f t="shared" si="239"/>
        <v>3403.2422582089748</v>
      </c>
      <c r="T420" s="1627">
        <f t="shared" si="240"/>
        <v>3606.7577417910238</v>
      </c>
      <c r="U420" s="1626">
        <f t="shared" si="241"/>
        <v>850.8105645522437</v>
      </c>
      <c r="V420" s="1626">
        <f t="shared" si="242"/>
        <v>901.68943544775595</v>
      </c>
      <c r="W420" s="1625">
        <f t="shared" si="243"/>
        <v>1752.4999999999995</v>
      </c>
      <c r="X420" s="1614"/>
      <c r="Y420" s="1613"/>
      <c r="Z420" s="1612">
        <f t="shared" si="244"/>
        <v>0.42503296661948342</v>
      </c>
      <c r="AA420" s="1611"/>
      <c r="AB420" s="1611"/>
      <c r="AC420" s="1611"/>
      <c r="AD420" s="1611"/>
      <c r="AE420" s="1611"/>
      <c r="AF420" s="1611"/>
      <c r="AG420" s="1611"/>
      <c r="AH420" s="1611"/>
      <c r="AI420" s="1611"/>
      <c r="AJ420" s="1611"/>
      <c r="AK420" s="1611"/>
      <c r="AL420" s="1611"/>
      <c r="AM420" s="1611"/>
      <c r="AN420" s="1611"/>
      <c r="AO420" s="1611"/>
      <c r="AP420" s="1611"/>
      <c r="AQ420" s="1611"/>
    </row>
    <row r="421" spans="1:43" outlineLevel="2">
      <c r="A421" s="1638" t="s">
        <v>314</v>
      </c>
      <c r="B421" s="1637" t="s">
        <v>123</v>
      </c>
      <c r="C421" s="1636"/>
      <c r="D421" s="1635">
        <v>6</v>
      </c>
      <c r="E421" s="1634" t="s">
        <v>905</v>
      </c>
      <c r="F421" s="1633" t="s">
        <v>979</v>
      </c>
      <c r="G421" s="1632">
        <v>4708.6291610292174</v>
      </c>
      <c r="H421" s="1632">
        <v>3537.79</v>
      </c>
      <c r="I421" s="1630">
        <f t="shared" si="232"/>
        <v>8246.4191610292182</v>
      </c>
      <c r="J421" s="1630">
        <f t="shared" si="233"/>
        <v>49478.514966175309</v>
      </c>
      <c r="K421" s="1631">
        <v>3510</v>
      </c>
      <c r="L421" s="1630">
        <f t="shared" si="234"/>
        <v>3510</v>
      </c>
      <c r="M421" s="1630">
        <f t="shared" si="235"/>
        <v>21060</v>
      </c>
      <c r="N421" s="1625">
        <f t="shared" si="236"/>
        <v>28418.514966175309</v>
      </c>
      <c r="O421" s="1629">
        <v>0.63419999999999999</v>
      </c>
      <c r="P421" s="1629">
        <v>0.36580000000000001</v>
      </c>
      <c r="Q421" s="1625">
        <f t="shared" si="237"/>
        <v>18023.022191548382</v>
      </c>
      <c r="R421" s="1628">
        <f t="shared" si="238"/>
        <v>10395.492774626928</v>
      </c>
      <c r="S421" s="1627">
        <f t="shared" si="239"/>
        <v>10228.752774626922</v>
      </c>
      <c r="T421" s="1627">
        <f t="shared" si="240"/>
        <v>10831.24722537307</v>
      </c>
      <c r="U421" s="1626">
        <f t="shared" si="241"/>
        <v>2557.1881936567306</v>
      </c>
      <c r="V421" s="1626">
        <f t="shared" si="242"/>
        <v>2707.8118063432676</v>
      </c>
      <c r="W421" s="1625">
        <f t="shared" si="243"/>
        <v>5264.9999999999982</v>
      </c>
      <c r="X421" s="1614"/>
      <c r="Y421" s="1613"/>
      <c r="Z421" s="1612">
        <f t="shared" si="244"/>
        <v>0.42563929039497483</v>
      </c>
      <c r="AA421" s="1611"/>
      <c r="AB421" s="1611"/>
      <c r="AC421" s="1611"/>
      <c r="AD421" s="1611"/>
      <c r="AE421" s="1611"/>
      <c r="AF421" s="1611"/>
      <c r="AG421" s="1611"/>
      <c r="AH421" s="1611"/>
      <c r="AI421" s="1611"/>
      <c r="AJ421" s="1611"/>
      <c r="AK421" s="1611"/>
      <c r="AL421" s="1611"/>
      <c r="AM421" s="1611"/>
      <c r="AN421" s="1611"/>
      <c r="AO421" s="1611"/>
      <c r="AP421" s="1611"/>
      <c r="AQ421" s="1611"/>
    </row>
    <row r="422" spans="1:43" outlineLevel="1">
      <c r="A422" s="1624"/>
      <c r="B422" s="1623" t="s">
        <v>1106</v>
      </c>
      <c r="C422" s="1622"/>
      <c r="D422" s="1621">
        <f>SUBTOTAL(9,D404:D421)</f>
        <v>42</v>
      </c>
      <c r="E422" s="1620"/>
      <c r="F422" s="1639"/>
      <c r="G422" s="1639"/>
      <c r="H422" s="1639"/>
      <c r="I422" s="1616"/>
      <c r="J422" s="1616">
        <f>SUBTOTAL(9,J404:J421)</f>
        <v>346349.60476322717</v>
      </c>
      <c r="K422" s="1615"/>
      <c r="L422" s="1616"/>
      <c r="M422" s="1616">
        <f>SUBTOTAL(9,M404:M421)</f>
        <v>162128.97999999998</v>
      </c>
      <c r="N422" s="1615">
        <f>SUBTOTAL(9,N404:N421)</f>
        <v>184220.62476322718</v>
      </c>
      <c r="O422" s="1616"/>
      <c r="P422" s="1616"/>
      <c r="Q422" s="1615">
        <f t="shared" ref="Q422:W422" si="245">SUBTOTAL(9,Q404:Q421)</f>
        <v>116832.72022483867</v>
      </c>
      <c r="R422" s="1615">
        <f t="shared" si="245"/>
        <v>67387.904538388495</v>
      </c>
      <c r="S422" s="1616">
        <f t="shared" si="245"/>
        <v>80929.704538388469</v>
      </c>
      <c r="T422" s="1616">
        <f t="shared" si="245"/>
        <v>81199.275461611483</v>
      </c>
      <c r="U422" s="1616">
        <f t="shared" si="245"/>
        <v>20232.426134597117</v>
      </c>
      <c r="V422" s="1616">
        <f t="shared" si="245"/>
        <v>20299.818865402871</v>
      </c>
      <c r="W422" s="1615">
        <f t="shared" si="245"/>
        <v>40532.244999999995</v>
      </c>
      <c r="X422" s="1614"/>
      <c r="Y422" s="1613"/>
      <c r="Z422" s="1612"/>
      <c r="AA422" s="1611"/>
      <c r="AB422" s="1611"/>
      <c r="AC422" s="1611"/>
      <c r="AD422" s="1611"/>
      <c r="AE422" s="1611"/>
      <c r="AF422" s="1611"/>
      <c r="AG422" s="1611"/>
      <c r="AH422" s="1611"/>
      <c r="AI422" s="1611"/>
      <c r="AJ422" s="1611"/>
      <c r="AK422" s="1611"/>
      <c r="AL422" s="1611"/>
      <c r="AM422" s="1611"/>
      <c r="AN422" s="1611"/>
      <c r="AO422" s="1611"/>
      <c r="AP422" s="1611"/>
      <c r="AQ422" s="1611"/>
    </row>
    <row r="423" spans="1:43" outlineLevel="2">
      <c r="A423" s="1638" t="s">
        <v>315</v>
      </c>
      <c r="B423" s="1637" t="s">
        <v>125</v>
      </c>
      <c r="C423" s="1636"/>
      <c r="D423" s="1635">
        <v>1</v>
      </c>
      <c r="E423" s="1634" t="s">
        <v>894</v>
      </c>
      <c r="F423" s="1633" t="s">
        <v>979</v>
      </c>
      <c r="G423" s="1632">
        <v>4890.4183709788849</v>
      </c>
      <c r="H423" s="1632">
        <v>3705.76</v>
      </c>
      <c r="I423" s="1630">
        <f t="shared" ref="I423:I429" si="246">G423+H423</f>
        <v>8596.1783709788851</v>
      </c>
      <c r="J423" s="1630">
        <f t="shared" ref="J423:J429" si="247">D423*I423</f>
        <v>8596.1783709788851</v>
      </c>
      <c r="K423" s="1631">
        <v>4550</v>
      </c>
      <c r="L423" s="1630">
        <f t="shared" ref="L423:L429" si="248">IF(I423&gt;K423,K423,I423)</f>
        <v>4550</v>
      </c>
      <c r="M423" s="1630">
        <f t="shared" ref="M423:M429" si="249">L423*D423</f>
        <v>4550</v>
      </c>
      <c r="N423" s="1625">
        <f t="shared" ref="N423:N429" si="250">J423-M423</f>
        <v>4046.1783709788851</v>
      </c>
      <c r="O423" s="1629">
        <v>0.65280000000000005</v>
      </c>
      <c r="P423" s="1629">
        <v>0.34720000000000001</v>
      </c>
      <c r="Q423" s="1625">
        <f t="shared" ref="Q423:Q429" si="251">N423*O423</f>
        <v>2641.3452405750163</v>
      </c>
      <c r="R423" s="1628">
        <f t="shared" ref="R423:R429" si="252">N423*P423</f>
        <v>1404.8331304038691</v>
      </c>
      <c r="S423" s="1627">
        <f t="shared" ref="S423:S429" si="253">(G423*D423)-Q423</f>
        <v>2249.0731304038686</v>
      </c>
      <c r="T423" s="1627">
        <f t="shared" ref="T423:T429" si="254">(H423*D423)-R423</f>
        <v>2300.9268695961309</v>
      </c>
      <c r="U423" s="1626">
        <f t="shared" ref="U423:V429" si="255">S423/4</f>
        <v>562.26828260096715</v>
      </c>
      <c r="V423" s="1626">
        <f t="shared" si="255"/>
        <v>575.23171739903273</v>
      </c>
      <c r="W423" s="1625">
        <f t="shared" ref="W423:W429" si="256">V423+U423</f>
        <v>1137.5</v>
      </c>
      <c r="X423" s="1614"/>
      <c r="Y423" s="1613"/>
      <c r="Z423" s="1612">
        <f t="shared" ref="Z423:Z429" si="257">K423/I423</f>
        <v>0.52930497758876438</v>
      </c>
      <c r="AA423" s="1611"/>
      <c r="AB423" s="1611"/>
      <c r="AC423" s="1611"/>
      <c r="AD423" s="1611"/>
      <c r="AE423" s="1611"/>
      <c r="AF423" s="1611"/>
      <c r="AG423" s="1611"/>
      <c r="AH423" s="1611"/>
      <c r="AI423" s="1611"/>
      <c r="AJ423" s="1611"/>
      <c r="AK423" s="1611"/>
      <c r="AL423" s="1611"/>
      <c r="AM423" s="1611"/>
      <c r="AN423" s="1611"/>
      <c r="AO423" s="1611"/>
      <c r="AP423" s="1611"/>
      <c r="AQ423" s="1611"/>
    </row>
    <row r="424" spans="1:43" outlineLevel="2">
      <c r="A424" s="1638" t="s">
        <v>315</v>
      </c>
      <c r="B424" s="1637" t="s">
        <v>125</v>
      </c>
      <c r="C424" s="1636"/>
      <c r="D424" s="1635">
        <v>10</v>
      </c>
      <c r="E424" s="1634" t="s">
        <v>904</v>
      </c>
      <c r="F424" s="1633" t="s">
        <v>1070</v>
      </c>
      <c r="G424" s="1632">
        <v>4890.4183709788849</v>
      </c>
      <c r="H424" s="1632">
        <v>3705.76</v>
      </c>
      <c r="I424" s="1630">
        <f t="shared" si="246"/>
        <v>8596.1783709788851</v>
      </c>
      <c r="J424" s="1630">
        <f t="shared" si="247"/>
        <v>85961.783709788855</v>
      </c>
      <c r="K424" s="1631">
        <v>6300</v>
      </c>
      <c r="L424" s="1630">
        <f t="shared" si="248"/>
        <v>6300</v>
      </c>
      <c r="M424" s="1630">
        <f t="shared" si="249"/>
        <v>63000</v>
      </c>
      <c r="N424" s="1625">
        <f t="shared" si="250"/>
        <v>22961.783709788855</v>
      </c>
      <c r="O424" s="1629">
        <v>0.65280000000000005</v>
      </c>
      <c r="P424" s="1629">
        <v>0.34720000000000001</v>
      </c>
      <c r="Q424" s="1625">
        <f t="shared" si="251"/>
        <v>14989.452405750166</v>
      </c>
      <c r="R424" s="1628">
        <f t="shared" si="252"/>
        <v>7972.3313040386911</v>
      </c>
      <c r="S424" s="1627">
        <f t="shared" si="253"/>
        <v>33914.73130403868</v>
      </c>
      <c r="T424" s="1627">
        <f t="shared" si="254"/>
        <v>29085.268695961313</v>
      </c>
      <c r="U424" s="1626">
        <f t="shared" si="255"/>
        <v>8478.68282600967</v>
      </c>
      <c r="V424" s="1626">
        <f t="shared" si="255"/>
        <v>7271.3171739903282</v>
      </c>
      <c r="W424" s="1625">
        <f t="shared" si="256"/>
        <v>15749.999999999998</v>
      </c>
      <c r="X424" s="1614"/>
      <c r="Y424" s="1613"/>
      <c r="Z424" s="1612">
        <f t="shared" si="257"/>
        <v>0.73288381512290457</v>
      </c>
      <c r="AA424" s="1611"/>
      <c r="AB424" s="1611"/>
      <c r="AC424" s="1611"/>
      <c r="AD424" s="1611"/>
      <c r="AE424" s="1611"/>
      <c r="AF424" s="1611"/>
      <c r="AG424" s="1611"/>
      <c r="AH424" s="1611"/>
      <c r="AI424" s="1611"/>
      <c r="AJ424" s="1611"/>
      <c r="AK424" s="1611"/>
      <c r="AL424" s="1611"/>
      <c r="AM424" s="1611"/>
      <c r="AN424" s="1611"/>
      <c r="AO424" s="1611"/>
      <c r="AP424" s="1611"/>
      <c r="AQ424" s="1611"/>
    </row>
    <row r="425" spans="1:43" outlineLevel="2">
      <c r="A425" s="1638" t="s">
        <v>315</v>
      </c>
      <c r="B425" s="1637" t="s">
        <v>125</v>
      </c>
      <c r="C425" s="1636"/>
      <c r="D425" s="1635">
        <v>7</v>
      </c>
      <c r="E425" s="1634" t="s">
        <v>904</v>
      </c>
      <c r="F425" s="1633" t="s">
        <v>1069</v>
      </c>
      <c r="G425" s="1632">
        <v>4890.4183709788849</v>
      </c>
      <c r="H425" s="1632">
        <v>3705.76</v>
      </c>
      <c r="I425" s="1630">
        <f t="shared" si="246"/>
        <v>8596.1783709788851</v>
      </c>
      <c r="J425" s="1630">
        <f t="shared" si="247"/>
        <v>60173.248596852194</v>
      </c>
      <c r="K425" s="1631">
        <v>6300</v>
      </c>
      <c r="L425" s="1630">
        <f t="shared" si="248"/>
        <v>6300</v>
      </c>
      <c r="M425" s="1630">
        <f t="shared" si="249"/>
        <v>44100</v>
      </c>
      <c r="N425" s="1625">
        <f t="shared" si="250"/>
        <v>16073.248596852194</v>
      </c>
      <c r="O425" s="1629">
        <v>0.65280000000000005</v>
      </c>
      <c r="P425" s="1629">
        <v>0.34720000000000001</v>
      </c>
      <c r="Q425" s="1625">
        <f t="shared" si="251"/>
        <v>10492.616684025113</v>
      </c>
      <c r="R425" s="1628">
        <f t="shared" si="252"/>
        <v>5580.6319128270816</v>
      </c>
      <c r="S425" s="1627">
        <f t="shared" si="253"/>
        <v>23740.311912827081</v>
      </c>
      <c r="T425" s="1627">
        <f t="shared" si="254"/>
        <v>20359.688087172919</v>
      </c>
      <c r="U425" s="1626">
        <f t="shared" si="255"/>
        <v>5935.0779782067702</v>
      </c>
      <c r="V425" s="1626">
        <f t="shared" si="255"/>
        <v>5089.9220217932298</v>
      </c>
      <c r="W425" s="1625">
        <f t="shared" si="256"/>
        <v>11025</v>
      </c>
      <c r="X425" s="1614"/>
      <c r="Y425" s="1613"/>
      <c r="Z425" s="1612">
        <f t="shared" si="257"/>
        <v>0.73288381512290457</v>
      </c>
      <c r="AA425" s="1611"/>
      <c r="AB425" s="1611"/>
      <c r="AC425" s="1611"/>
      <c r="AD425" s="1611"/>
      <c r="AE425" s="1611"/>
      <c r="AF425" s="1611"/>
      <c r="AG425" s="1611"/>
      <c r="AH425" s="1611"/>
      <c r="AI425" s="1611"/>
      <c r="AJ425" s="1611"/>
      <c r="AK425" s="1611"/>
      <c r="AL425" s="1611"/>
      <c r="AM425" s="1611"/>
      <c r="AN425" s="1611"/>
      <c r="AO425" s="1611"/>
      <c r="AP425" s="1611"/>
      <c r="AQ425" s="1611"/>
    </row>
    <row r="426" spans="1:43" outlineLevel="2">
      <c r="A426" s="1638" t="s">
        <v>315</v>
      </c>
      <c r="B426" s="1637" t="s">
        <v>125</v>
      </c>
      <c r="C426" s="1636"/>
      <c r="D426" s="1635">
        <v>15</v>
      </c>
      <c r="E426" s="1634" t="s">
        <v>904</v>
      </c>
      <c r="F426" s="1633" t="s">
        <v>1068</v>
      </c>
      <c r="G426" s="1632">
        <v>4890.4183709788849</v>
      </c>
      <c r="H426" s="1632">
        <v>3705.76</v>
      </c>
      <c r="I426" s="1630">
        <f t="shared" si="246"/>
        <v>8596.1783709788851</v>
      </c>
      <c r="J426" s="1630">
        <f t="shared" si="247"/>
        <v>128942.67556468328</v>
      </c>
      <c r="K426" s="1631">
        <v>6300</v>
      </c>
      <c r="L426" s="1630">
        <f t="shared" si="248"/>
        <v>6300</v>
      </c>
      <c r="M426" s="1630">
        <f t="shared" si="249"/>
        <v>94500</v>
      </c>
      <c r="N426" s="1625">
        <f t="shared" si="250"/>
        <v>34442.675564683275</v>
      </c>
      <c r="O426" s="1629">
        <v>0.65280000000000005</v>
      </c>
      <c r="P426" s="1629">
        <v>0.34720000000000001</v>
      </c>
      <c r="Q426" s="1625">
        <f t="shared" si="251"/>
        <v>22484.178608625243</v>
      </c>
      <c r="R426" s="1628">
        <f t="shared" si="252"/>
        <v>11958.496956058034</v>
      </c>
      <c r="S426" s="1627">
        <f t="shared" si="253"/>
        <v>50872.096956058042</v>
      </c>
      <c r="T426" s="1627">
        <f t="shared" si="254"/>
        <v>43627.903043941966</v>
      </c>
      <c r="U426" s="1626">
        <f t="shared" si="255"/>
        <v>12718.02423901451</v>
      </c>
      <c r="V426" s="1626">
        <f t="shared" si="255"/>
        <v>10906.975760985491</v>
      </c>
      <c r="W426" s="1625">
        <f t="shared" si="256"/>
        <v>23625</v>
      </c>
      <c r="X426" s="1614"/>
      <c r="Y426" s="1613"/>
      <c r="Z426" s="1612">
        <f t="shared" si="257"/>
        <v>0.73288381512290457</v>
      </c>
      <c r="AA426" s="1611"/>
      <c r="AB426" s="1611"/>
      <c r="AC426" s="1611"/>
      <c r="AD426" s="1611"/>
      <c r="AE426" s="1611"/>
      <c r="AF426" s="1611"/>
      <c r="AG426" s="1611"/>
      <c r="AH426" s="1611"/>
      <c r="AI426" s="1611"/>
      <c r="AJ426" s="1611"/>
      <c r="AK426" s="1611"/>
      <c r="AL426" s="1611"/>
      <c r="AM426" s="1611"/>
      <c r="AN426" s="1611"/>
      <c r="AO426" s="1611"/>
      <c r="AP426" s="1611"/>
      <c r="AQ426" s="1611"/>
    </row>
    <row r="427" spans="1:43" outlineLevel="2">
      <c r="A427" s="1638" t="s">
        <v>315</v>
      </c>
      <c r="B427" s="1637" t="s">
        <v>125</v>
      </c>
      <c r="C427" s="1636"/>
      <c r="D427" s="1635">
        <v>12</v>
      </c>
      <c r="E427" s="1634" t="s">
        <v>904</v>
      </c>
      <c r="F427" s="1633" t="s">
        <v>1065</v>
      </c>
      <c r="G427" s="1632">
        <v>4890.4183709788849</v>
      </c>
      <c r="H427" s="1632">
        <v>3705.76</v>
      </c>
      <c r="I427" s="1630">
        <f t="shared" si="246"/>
        <v>8596.1783709788851</v>
      </c>
      <c r="J427" s="1630">
        <f t="shared" si="247"/>
        <v>103154.14045174661</v>
      </c>
      <c r="K427" s="1631">
        <v>6300</v>
      </c>
      <c r="L427" s="1630">
        <f t="shared" si="248"/>
        <v>6300</v>
      </c>
      <c r="M427" s="1630">
        <f t="shared" si="249"/>
        <v>75600</v>
      </c>
      <c r="N427" s="1625">
        <f t="shared" si="250"/>
        <v>27554.140451746614</v>
      </c>
      <c r="O427" s="1629">
        <v>0.65280000000000005</v>
      </c>
      <c r="P427" s="1629">
        <v>0.34720000000000001</v>
      </c>
      <c r="Q427" s="1625">
        <f t="shared" si="251"/>
        <v>17987.342886900191</v>
      </c>
      <c r="R427" s="1628">
        <f t="shared" si="252"/>
        <v>9566.7975648464253</v>
      </c>
      <c r="S427" s="1627">
        <f t="shared" si="253"/>
        <v>40697.677564846425</v>
      </c>
      <c r="T427" s="1627">
        <f t="shared" si="254"/>
        <v>34902.322435153575</v>
      </c>
      <c r="U427" s="1626">
        <f t="shared" si="255"/>
        <v>10174.419391211606</v>
      </c>
      <c r="V427" s="1626">
        <f t="shared" si="255"/>
        <v>8725.5806087883939</v>
      </c>
      <c r="W427" s="1625">
        <f t="shared" si="256"/>
        <v>18900</v>
      </c>
      <c r="X427" s="1614"/>
      <c r="Y427" s="1613"/>
      <c r="Z427" s="1612">
        <f t="shared" si="257"/>
        <v>0.73288381512290457</v>
      </c>
      <c r="AA427" s="1611"/>
      <c r="AB427" s="1611"/>
      <c r="AC427" s="1611"/>
      <c r="AD427" s="1611"/>
      <c r="AE427" s="1611"/>
      <c r="AF427" s="1611"/>
      <c r="AG427" s="1611"/>
      <c r="AH427" s="1611"/>
      <c r="AI427" s="1611"/>
      <c r="AJ427" s="1611"/>
      <c r="AK427" s="1611"/>
      <c r="AL427" s="1611"/>
      <c r="AM427" s="1611"/>
      <c r="AN427" s="1611"/>
      <c r="AO427" s="1611"/>
      <c r="AP427" s="1611"/>
      <c r="AQ427" s="1611"/>
    </row>
    <row r="428" spans="1:43" outlineLevel="2">
      <c r="A428" s="1638" t="s">
        <v>315</v>
      </c>
      <c r="B428" s="1637" t="s">
        <v>125</v>
      </c>
      <c r="C428" s="1636"/>
      <c r="D428" s="1635">
        <v>12</v>
      </c>
      <c r="E428" s="1634" t="s">
        <v>904</v>
      </c>
      <c r="F428" s="1633" t="s">
        <v>1064</v>
      </c>
      <c r="G428" s="1632">
        <v>4890.4183709788849</v>
      </c>
      <c r="H428" s="1632">
        <v>3705.76</v>
      </c>
      <c r="I428" s="1630">
        <f t="shared" si="246"/>
        <v>8596.1783709788851</v>
      </c>
      <c r="J428" s="1630">
        <f t="shared" si="247"/>
        <v>103154.14045174661</v>
      </c>
      <c r="K428" s="1631">
        <v>6300</v>
      </c>
      <c r="L428" s="1630">
        <f t="shared" si="248"/>
        <v>6300</v>
      </c>
      <c r="M428" s="1630">
        <f t="shared" si="249"/>
        <v>75600</v>
      </c>
      <c r="N428" s="1625">
        <f t="shared" si="250"/>
        <v>27554.140451746614</v>
      </c>
      <c r="O428" s="1629">
        <v>0.65280000000000005</v>
      </c>
      <c r="P428" s="1629">
        <v>0.34720000000000001</v>
      </c>
      <c r="Q428" s="1625">
        <f t="shared" si="251"/>
        <v>17987.342886900191</v>
      </c>
      <c r="R428" s="1628">
        <f t="shared" si="252"/>
        <v>9566.7975648464253</v>
      </c>
      <c r="S428" s="1627">
        <f t="shared" si="253"/>
        <v>40697.677564846425</v>
      </c>
      <c r="T428" s="1627">
        <f t="shared" si="254"/>
        <v>34902.322435153575</v>
      </c>
      <c r="U428" s="1626">
        <f t="shared" si="255"/>
        <v>10174.419391211606</v>
      </c>
      <c r="V428" s="1626">
        <f t="shared" si="255"/>
        <v>8725.5806087883939</v>
      </c>
      <c r="W428" s="1625">
        <f t="shared" si="256"/>
        <v>18900</v>
      </c>
      <c r="X428" s="1614"/>
      <c r="Y428" s="1613"/>
      <c r="Z428" s="1612">
        <f t="shared" si="257"/>
        <v>0.73288381512290457</v>
      </c>
      <c r="AA428" s="1611"/>
      <c r="AB428" s="1611"/>
      <c r="AC428" s="1611"/>
      <c r="AD428" s="1611"/>
      <c r="AE428" s="1611"/>
      <c r="AF428" s="1611"/>
      <c r="AG428" s="1611"/>
      <c r="AH428" s="1611"/>
      <c r="AI428" s="1611"/>
      <c r="AJ428" s="1611"/>
      <c r="AK428" s="1611"/>
      <c r="AL428" s="1611"/>
      <c r="AM428" s="1611"/>
      <c r="AN428" s="1611"/>
      <c r="AO428" s="1611"/>
      <c r="AP428" s="1611"/>
      <c r="AQ428" s="1611"/>
    </row>
    <row r="429" spans="1:43" outlineLevel="2">
      <c r="A429" s="1638" t="s">
        <v>315</v>
      </c>
      <c r="B429" s="1637" t="s">
        <v>125</v>
      </c>
      <c r="C429" s="1636"/>
      <c r="D429" s="1635">
        <v>20</v>
      </c>
      <c r="E429" s="1634" t="s">
        <v>904</v>
      </c>
      <c r="F429" s="1633" t="s">
        <v>979</v>
      </c>
      <c r="G429" s="1632">
        <v>4890.4183709788849</v>
      </c>
      <c r="H429" s="1632">
        <v>3705.76</v>
      </c>
      <c r="I429" s="1630">
        <f t="shared" si="246"/>
        <v>8596.1783709788851</v>
      </c>
      <c r="J429" s="1630">
        <f t="shared" si="247"/>
        <v>171923.56741957771</v>
      </c>
      <c r="K429" s="1631">
        <v>6300</v>
      </c>
      <c r="L429" s="1630">
        <f t="shared" si="248"/>
        <v>6300</v>
      </c>
      <c r="M429" s="1630">
        <f t="shared" si="249"/>
        <v>126000</v>
      </c>
      <c r="N429" s="1625">
        <f t="shared" si="250"/>
        <v>45923.56741957771</v>
      </c>
      <c r="O429" s="1629">
        <v>0.65280000000000005</v>
      </c>
      <c r="P429" s="1629">
        <v>0.34720000000000001</v>
      </c>
      <c r="Q429" s="1625">
        <f t="shared" si="251"/>
        <v>29978.904811500332</v>
      </c>
      <c r="R429" s="1628">
        <f t="shared" si="252"/>
        <v>15944.662608077382</v>
      </c>
      <c r="S429" s="1627">
        <f t="shared" si="253"/>
        <v>67829.46260807736</v>
      </c>
      <c r="T429" s="1627">
        <f t="shared" si="254"/>
        <v>58170.537391922626</v>
      </c>
      <c r="U429" s="1626">
        <f t="shared" si="255"/>
        <v>16957.36565201934</v>
      </c>
      <c r="V429" s="1626">
        <f t="shared" si="255"/>
        <v>14542.634347980656</v>
      </c>
      <c r="W429" s="1625">
        <f t="shared" si="256"/>
        <v>31499.999999999996</v>
      </c>
      <c r="X429" s="1614"/>
      <c r="Y429" s="1613"/>
      <c r="Z429" s="1612">
        <f t="shared" si="257"/>
        <v>0.73288381512290457</v>
      </c>
      <c r="AA429" s="1611"/>
      <c r="AB429" s="1611"/>
      <c r="AC429" s="1611"/>
      <c r="AD429" s="1611"/>
      <c r="AE429" s="1611"/>
      <c r="AF429" s="1611"/>
      <c r="AG429" s="1611"/>
      <c r="AH429" s="1611"/>
      <c r="AI429" s="1611"/>
      <c r="AJ429" s="1611"/>
      <c r="AK429" s="1611"/>
      <c r="AL429" s="1611"/>
      <c r="AM429" s="1611"/>
      <c r="AN429" s="1611"/>
      <c r="AO429" s="1611"/>
      <c r="AP429" s="1611"/>
      <c r="AQ429" s="1611"/>
    </row>
    <row r="430" spans="1:43" outlineLevel="1">
      <c r="A430" s="1624"/>
      <c r="B430" s="1623" t="s">
        <v>1105</v>
      </c>
      <c r="C430" s="1622"/>
      <c r="D430" s="1621">
        <f>SUBTOTAL(9,D423:D429)</f>
        <v>77</v>
      </c>
      <c r="E430" s="1620"/>
      <c r="F430" s="1639"/>
      <c r="G430" s="1639"/>
      <c r="H430" s="1639"/>
      <c r="I430" s="1616"/>
      <c r="J430" s="1616">
        <f>SUBTOTAL(9,J423:J429)</f>
        <v>661905.73456537421</v>
      </c>
      <c r="K430" s="1615"/>
      <c r="L430" s="1616"/>
      <c r="M430" s="1616">
        <f>SUBTOTAL(9,M423:M429)</f>
        <v>483350</v>
      </c>
      <c r="N430" s="1615">
        <f>SUBTOTAL(9,N423:N429)</f>
        <v>178555.73456537415</v>
      </c>
      <c r="O430" s="1616"/>
      <c r="P430" s="1616"/>
      <c r="Q430" s="1615">
        <f t="shared" ref="Q430:W430" si="258">SUBTOTAL(9,Q423:Q429)</f>
        <v>116561.18352427625</v>
      </c>
      <c r="R430" s="1615">
        <f t="shared" si="258"/>
        <v>61994.551041097919</v>
      </c>
      <c r="S430" s="1616">
        <f t="shared" si="258"/>
        <v>260001.03104109786</v>
      </c>
      <c r="T430" s="1616">
        <f t="shared" si="258"/>
        <v>223348.96895890211</v>
      </c>
      <c r="U430" s="1616">
        <f t="shared" si="258"/>
        <v>65000.257760274464</v>
      </c>
      <c r="V430" s="1616">
        <f t="shared" si="258"/>
        <v>55837.242239725529</v>
      </c>
      <c r="W430" s="1615">
        <f t="shared" si="258"/>
        <v>120837.5</v>
      </c>
      <c r="X430" s="1614"/>
      <c r="Y430" s="1613"/>
      <c r="Z430" s="1612"/>
      <c r="AA430" s="1611"/>
      <c r="AB430" s="1611"/>
      <c r="AC430" s="1611"/>
      <c r="AD430" s="1611"/>
      <c r="AE430" s="1611"/>
      <c r="AF430" s="1611"/>
      <c r="AG430" s="1611"/>
      <c r="AH430" s="1611"/>
      <c r="AI430" s="1611"/>
      <c r="AJ430" s="1611"/>
      <c r="AK430" s="1611"/>
      <c r="AL430" s="1611"/>
      <c r="AM430" s="1611"/>
      <c r="AN430" s="1611"/>
      <c r="AO430" s="1611"/>
      <c r="AP430" s="1611"/>
      <c r="AQ430" s="1611"/>
    </row>
    <row r="431" spans="1:43" outlineLevel="2">
      <c r="A431" s="1638" t="s">
        <v>316</v>
      </c>
      <c r="B431" s="1637" t="s">
        <v>126</v>
      </c>
      <c r="C431" s="1636"/>
      <c r="D431" s="1635">
        <v>1</v>
      </c>
      <c r="E431" s="1634" t="s">
        <v>880</v>
      </c>
      <c r="F431" s="1633" t="s">
        <v>979</v>
      </c>
      <c r="G431" s="1632">
        <v>6028.3820556151404</v>
      </c>
      <c r="H431" s="1632">
        <v>1990</v>
      </c>
      <c r="I431" s="1630">
        <f>G431+H431</f>
        <v>8018.3820556151404</v>
      </c>
      <c r="J431" s="1630">
        <f>D431*I431</f>
        <v>8018.3820556151404</v>
      </c>
      <c r="K431" s="1631">
        <v>4130</v>
      </c>
      <c r="L431" s="1630">
        <f>IF(I431&gt;K431,K431,I431)</f>
        <v>4130</v>
      </c>
      <c r="M431" s="1630">
        <f>L431*D431</f>
        <v>4130</v>
      </c>
      <c r="N431" s="1625">
        <f>J431-M431</f>
        <v>3888.3820556151404</v>
      </c>
      <c r="O431" s="1629">
        <v>0.85140000000000005</v>
      </c>
      <c r="P431" s="1629">
        <v>0.14860000000000001</v>
      </c>
      <c r="Q431" s="1625">
        <f>N431*O431</f>
        <v>3310.5684821507307</v>
      </c>
      <c r="R431" s="1628">
        <f>N431*P431</f>
        <v>577.81357346440996</v>
      </c>
      <c r="S431" s="1627">
        <f>(G431*D431)-Q431</f>
        <v>2717.8135734644097</v>
      </c>
      <c r="T431" s="1627">
        <f>(H431*D431)-R431</f>
        <v>1412.18642653559</v>
      </c>
      <c r="U431" s="1626">
        <f>S431/4</f>
        <v>679.45339336610243</v>
      </c>
      <c r="V431" s="1626">
        <f>T431/4</f>
        <v>353.04660663389751</v>
      </c>
      <c r="W431" s="1625">
        <f>V431+U431</f>
        <v>1032.5</v>
      </c>
      <c r="X431" s="1614"/>
      <c r="Y431" s="1613"/>
      <c r="Z431" s="1612">
        <f>K431/I431</f>
        <v>0.51506650236350726</v>
      </c>
      <c r="AA431" s="1611"/>
      <c r="AB431" s="1611"/>
      <c r="AC431" s="1611"/>
      <c r="AD431" s="1611"/>
      <c r="AE431" s="1611"/>
      <c r="AF431" s="1611"/>
      <c r="AG431" s="1611"/>
      <c r="AH431" s="1611"/>
      <c r="AI431" s="1611"/>
      <c r="AJ431" s="1611"/>
      <c r="AK431" s="1611"/>
      <c r="AL431" s="1611"/>
      <c r="AM431" s="1611"/>
      <c r="AN431" s="1611"/>
      <c r="AO431" s="1611"/>
      <c r="AP431" s="1611"/>
      <c r="AQ431" s="1611"/>
    </row>
    <row r="432" spans="1:43" outlineLevel="2">
      <c r="A432" s="1638" t="s">
        <v>316</v>
      </c>
      <c r="B432" s="1637" t="s">
        <v>126</v>
      </c>
      <c r="C432" s="1636"/>
      <c r="D432" s="1635">
        <v>1</v>
      </c>
      <c r="E432" s="1634" t="s">
        <v>885</v>
      </c>
      <c r="F432" s="1633" t="s">
        <v>1069</v>
      </c>
      <c r="G432" s="1632">
        <v>6028.3820556151404</v>
      </c>
      <c r="H432" s="1632">
        <v>1990</v>
      </c>
      <c r="I432" s="1630">
        <f>G432+H432</f>
        <v>8018.3820556151404</v>
      </c>
      <c r="J432" s="1630">
        <f>D432*I432</f>
        <v>8018.3820556151404</v>
      </c>
      <c r="K432" s="1631">
        <v>5022</v>
      </c>
      <c r="L432" s="1630">
        <f>IF(I432&gt;K432,K432,I432)</f>
        <v>5022</v>
      </c>
      <c r="M432" s="1630">
        <f>L432*D432</f>
        <v>5022</v>
      </c>
      <c r="N432" s="1625">
        <f>J432-M432</f>
        <v>2996.3820556151404</v>
      </c>
      <c r="O432" s="1629">
        <v>0.85140000000000005</v>
      </c>
      <c r="P432" s="1629">
        <v>0.14860000000000001</v>
      </c>
      <c r="Q432" s="1625">
        <f>N432*O432</f>
        <v>2551.1196821507306</v>
      </c>
      <c r="R432" s="1628">
        <f>N432*P432</f>
        <v>445.2623734644099</v>
      </c>
      <c r="S432" s="1627">
        <f>(G432*D432)-Q432</f>
        <v>3477.2623734644098</v>
      </c>
      <c r="T432" s="1627">
        <f>(H432*D432)-R432</f>
        <v>1544.7376265355902</v>
      </c>
      <c r="U432" s="1626">
        <f>S432/4</f>
        <v>869.31559336610246</v>
      </c>
      <c r="V432" s="1626">
        <f>T432/4</f>
        <v>386.18440663389754</v>
      </c>
      <c r="W432" s="1625">
        <f>V432+U432</f>
        <v>1255.5</v>
      </c>
      <c r="X432" s="1614"/>
      <c r="Y432" s="1613"/>
      <c r="Z432" s="1612">
        <f>K432/I432</f>
        <v>0.62631088979891858</v>
      </c>
      <c r="AA432" s="1611"/>
      <c r="AB432" s="1611"/>
      <c r="AC432" s="1611"/>
      <c r="AD432" s="1611"/>
      <c r="AE432" s="1611"/>
      <c r="AF432" s="1611"/>
      <c r="AG432" s="1611"/>
      <c r="AH432" s="1611"/>
      <c r="AI432" s="1611"/>
      <c r="AJ432" s="1611"/>
      <c r="AK432" s="1611"/>
      <c r="AL432" s="1611"/>
      <c r="AM432" s="1611"/>
      <c r="AN432" s="1611"/>
      <c r="AO432" s="1611"/>
      <c r="AP432" s="1611"/>
      <c r="AQ432" s="1611"/>
    </row>
    <row r="433" spans="1:43" outlineLevel="1">
      <c r="A433" s="1624"/>
      <c r="B433" s="1623" t="s">
        <v>1104</v>
      </c>
      <c r="C433" s="1622"/>
      <c r="D433" s="1621">
        <f>SUBTOTAL(9,D431:D432)</f>
        <v>2</v>
      </c>
      <c r="E433" s="1620"/>
      <c r="F433" s="1639"/>
      <c r="G433" s="1639"/>
      <c r="H433" s="1639"/>
      <c r="I433" s="1616"/>
      <c r="J433" s="1616">
        <f>SUBTOTAL(9,J431:J432)</f>
        <v>16036.764111230281</v>
      </c>
      <c r="K433" s="1615"/>
      <c r="L433" s="1616"/>
      <c r="M433" s="1616">
        <f>SUBTOTAL(9,M431:M432)</f>
        <v>9152</v>
      </c>
      <c r="N433" s="1615">
        <f>SUBTOTAL(9,N431:N432)</f>
        <v>6884.7641112302808</v>
      </c>
      <c r="O433" s="1616"/>
      <c r="P433" s="1616"/>
      <c r="Q433" s="1615">
        <f t="shared" ref="Q433:W433" si="259">SUBTOTAL(9,Q431:Q432)</f>
        <v>5861.6881643014613</v>
      </c>
      <c r="R433" s="1615">
        <f t="shared" si="259"/>
        <v>1023.0759469288198</v>
      </c>
      <c r="S433" s="1616">
        <f t="shared" si="259"/>
        <v>6195.0759469288196</v>
      </c>
      <c r="T433" s="1616">
        <f t="shared" si="259"/>
        <v>2956.9240530711804</v>
      </c>
      <c r="U433" s="1616">
        <f t="shared" si="259"/>
        <v>1548.7689867322049</v>
      </c>
      <c r="V433" s="1616">
        <f t="shared" si="259"/>
        <v>739.23101326779511</v>
      </c>
      <c r="W433" s="1615">
        <f t="shared" si="259"/>
        <v>2288</v>
      </c>
      <c r="X433" s="1614"/>
      <c r="Y433" s="1613"/>
      <c r="Z433" s="1612"/>
      <c r="AA433" s="1611"/>
      <c r="AB433" s="1611"/>
      <c r="AC433" s="1611"/>
      <c r="AD433" s="1611"/>
      <c r="AE433" s="1611"/>
      <c r="AF433" s="1611"/>
      <c r="AG433" s="1611"/>
      <c r="AH433" s="1611"/>
      <c r="AI433" s="1611"/>
      <c r="AJ433" s="1611"/>
      <c r="AK433" s="1611"/>
      <c r="AL433" s="1611"/>
      <c r="AM433" s="1611"/>
      <c r="AN433" s="1611"/>
      <c r="AO433" s="1611"/>
      <c r="AP433" s="1611"/>
      <c r="AQ433" s="1611"/>
    </row>
    <row r="434" spans="1:43" outlineLevel="2">
      <c r="A434" s="1638" t="s">
        <v>317</v>
      </c>
      <c r="B434" s="1637" t="s">
        <v>128</v>
      </c>
      <c r="C434" s="1636"/>
      <c r="D434" s="1635">
        <v>1</v>
      </c>
      <c r="E434" s="1634" t="s">
        <v>891</v>
      </c>
      <c r="F434" s="1633" t="s">
        <v>1063</v>
      </c>
      <c r="G434" s="1632">
        <v>6573.855031284259</v>
      </c>
      <c r="H434" s="1632">
        <v>2861.12</v>
      </c>
      <c r="I434" s="1630">
        <f>G434+H434</f>
        <v>9434.9750312842589</v>
      </c>
      <c r="J434" s="1630">
        <f>D434*I434</f>
        <v>9434.9750312842589</v>
      </c>
      <c r="K434" s="1631">
        <v>5496</v>
      </c>
      <c r="L434" s="1630">
        <f>IF(I434&gt;K434,K434,I434)</f>
        <v>5496</v>
      </c>
      <c r="M434" s="1630">
        <f>L434*D434</f>
        <v>5496</v>
      </c>
      <c r="N434" s="1625">
        <f>J434-M434</f>
        <v>3938.9750312842589</v>
      </c>
      <c r="O434" s="1629">
        <v>0.79310000000000003</v>
      </c>
      <c r="P434" s="1629">
        <v>0.2069</v>
      </c>
      <c r="Q434" s="1625">
        <f>N434*O434</f>
        <v>3124.0010973115459</v>
      </c>
      <c r="R434" s="1628">
        <f>N434*P434</f>
        <v>814.97393397271321</v>
      </c>
      <c r="S434" s="1627">
        <f>(G434*D434)-Q434</f>
        <v>3449.8539339727131</v>
      </c>
      <c r="T434" s="1627">
        <f>(H434*D434)-R434</f>
        <v>2046.1460660272867</v>
      </c>
      <c r="U434" s="1626">
        <f t="shared" ref="U434:V437" si="260">S434/4</f>
        <v>862.46348349317827</v>
      </c>
      <c r="V434" s="1626">
        <f t="shared" si="260"/>
        <v>511.53651650682167</v>
      </c>
      <c r="W434" s="1625">
        <f>V434+U434</f>
        <v>1374</v>
      </c>
      <c r="X434" s="1614"/>
      <c r="Y434" s="1613"/>
      <c r="Z434" s="1612">
        <f>K434/I434</f>
        <v>0.58251346524781444</v>
      </c>
      <c r="AA434" s="1611"/>
      <c r="AB434" s="1611"/>
      <c r="AC434" s="1611"/>
      <c r="AD434" s="1611"/>
      <c r="AE434" s="1611"/>
      <c r="AF434" s="1611"/>
      <c r="AG434" s="1611"/>
      <c r="AH434" s="1611"/>
      <c r="AI434" s="1611"/>
      <c r="AJ434" s="1611"/>
      <c r="AK434" s="1611"/>
      <c r="AL434" s="1611"/>
      <c r="AM434" s="1611"/>
      <c r="AN434" s="1611"/>
      <c r="AO434" s="1611"/>
      <c r="AP434" s="1611"/>
      <c r="AQ434" s="1611"/>
    </row>
    <row r="435" spans="1:43" outlineLevel="2">
      <c r="A435" s="1638" t="s">
        <v>317</v>
      </c>
      <c r="B435" s="1637" t="s">
        <v>128</v>
      </c>
      <c r="C435" s="1636"/>
      <c r="D435" s="1635">
        <v>1</v>
      </c>
      <c r="E435" s="1634" t="s">
        <v>943</v>
      </c>
      <c r="F435" s="1633" t="s">
        <v>979</v>
      </c>
      <c r="G435" s="1632">
        <v>6573.855031284259</v>
      </c>
      <c r="H435" s="1632">
        <v>2861.12</v>
      </c>
      <c r="I435" s="1630">
        <f>G435+H435</f>
        <v>9434.9750312842589</v>
      </c>
      <c r="J435" s="1630">
        <f>D435*I435</f>
        <v>9434.9750312842589</v>
      </c>
      <c r="K435" s="1631">
        <v>2966</v>
      </c>
      <c r="L435" s="1630">
        <f>IF(I435&gt;K435,K435,I435)</f>
        <v>2966</v>
      </c>
      <c r="M435" s="1630">
        <f>L435*D435</f>
        <v>2966</v>
      </c>
      <c r="N435" s="1625">
        <f>J435-M435</f>
        <v>6468.9750312842589</v>
      </c>
      <c r="O435" s="1629">
        <v>0.79310000000000003</v>
      </c>
      <c r="P435" s="1629">
        <v>0.2069</v>
      </c>
      <c r="Q435" s="1625">
        <f>N435*O435</f>
        <v>5130.5440973115456</v>
      </c>
      <c r="R435" s="1628">
        <f>N435*P435</f>
        <v>1338.4309339727131</v>
      </c>
      <c r="S435" s="1627">
        <f>(G435*D435)-Q435</f>
        <v>1443.3109339727134</v>
      </c>
      <c r="T435" s="1627">
        <f>(H435*D435)-R435</f>
        <v>1522.6890660272868</v>
      </c>
      <c r="U435" s="1626">
        <f t="shared" si="260"/>
        <v>360.82773349317836</v>
      </c>
      <c r="V435" s="1626">
        <f t="shared" si="260"/>
        <v>380.6722665068217</v>
      </c>
      <c r="W435" s="1625">
        <f>V435+U435</f>
        <v>741.5</v>
      </c>
      <c r="X435" s="1614"/>
      <c r="Y435" s="1613"/>
      <c r="Z435" s="1612">
        <f>K435/I435</f>
        <v>0.31436225216976305</v>
      </c>
      <c r="AA435" s="1611"/>
      <c r="AB435" s="1611"/>
      <c r="AC435" s="1611"/>
      <c r="AD435" s="1611"/>
      <c r="AE435" s="1611"/>
      <c r="AF435" s="1611"/>
      <c r="AG435" s="1611"/>
      <c r="AH435" s="1611"/>
      <c r="AI435" s="1611"/>
      <c r="AJ435" s="1611"/>
      <c r="AK435" s="1611"/>
      <c r="AL435" s="1611"/>
      <c r="AM435" s="1611"/>
      <c r="AN435" s="1611"/>
      <c r="AO435" s="1611"/>
      <c r="AP435" s="1611"/>
      <c r="AQ435" s="1611"/>
    </row>
    <row r="436" spans="1:43" outlineLevel="2">
      <c r="A436" s="1638" t="s">
        <v>317</v>
      </c>
      <c r="B436" s="1637" t="s">
        <v>128</v>
      </c>
      <c r="C436" s="1636"/>
      <c r="D436" s="1635">
        <v>1</v>
      </c>
      <c r="E436" s="1634" t="s">
        <v>892</v>
      </c>
      <c r="F436" s="1633" t="s">
        <v>1071</v>
      </c>
      <c r="G436" s="1632">
        <v>6573.855031284259</v>
      </c>
      <c r="H436" s="1632">
        <v>2861.12</v>
      </c>
      <c r="I436" s="1630">
        <f>G436+H436</f>
        <v>9434.9750312842589</v>
      </c>
      <c r="J436" s="1630">
        <f>D436*I436</f>
        <v>9434.9750312842589</v>
      </c>
      <c r="K436" s="1631">
        <v>7250</v>
      </c>
      <c r="L436" s="1630">
        <f>IF(I436&gt;K436,K436,I436)</f>
        <v>7250</v>
      </c>
      <c r="M436" s="1630">
        <f>L436*D436</f>
        <v>7250</v>
      </c>
      <c r="N436" s="1625">
        <f>J436-M436</f>
        <v>2184.9750312842589</v>
      </c>
      <c r="O436" s="1629">
        <v>0.79310000000000003</v>
      </c>
      <c r="P436" s="1629">
        <v>0.2069</v>
      </c>
      <c r="Q436" s="1625">
        <f>N436*O436</f>
        <v>1732.9036973115458</v>
      </c>
      <c r="R436" s="1628">
        <f>N436*P436</f>
        <v>452.07133397271315</v>
      </c>
      <c r="S436" s="1627">
        <f>(G436*D436)-Q436</f>
        <v>4840.9513339727127</v>
      </c>
      <c r="T436" s="1627">
        <f>(H436*D436)-R436</f>
        <v>2409.0486660272868</v>
      </c>
      <c r="U436" s="1626">
        <f t="shared" si="260"/>
        <v>1210.2378334931782</v>
      </c>
      <c r="V436" s="1626">
        <f t="shared" si="260"/>
        <v>602.2621665068217</v>
      </c>
      <c r="W436" s="1625">
        <f>V436+U436</f>
        <v>1812.5</v>
      </c>
      <c r="X436" s="1614"/>
      <c r="Y436" s="1613"/>
      <c r="Z436" s="1612">
        <f>K436/I436</f>
        <v>0.76841750783236074</v>
      </c>
      <c r="AA436" s="1611"/>
      <c r="AB436" s="1611"/>
      <c r="AC436" s="1611"/>
      <c r="AD436" s="1611"/>
      <c r="AE436" s="1611"/>
      <c r="AF436" s="1611"/>
      <c r="AG436" s="1611"/>
      <c r="AH436" s="1611"/>
      <c r="AI436" s="1611"/>
      <c r="AJ436" s="1611"/>
      <c r="AK436" s="1611"/>
      <c r="AL436" s="1611"/>
      <c r="AM436" s="1611"/>
      <c r="AN436" s="1611"/>
      <c r="AO436" s="1611"/>
      <c r="AP436" s="1611"/>
      <c r="AQ436" s="1611"/>
    </row>
    <row r="437" spans="1:43" outlineLevel="2">
      <c r="A437" s="1638" t="s">
        <v>317</v>
      </c>
      <c r="B437" s="1637" t="s">
        <v>128</v>
      </c>
      <c r="C437" s="1636"/>
      <c r="D437" s="1635">
        <v>1</v>
      </c>
      <c r="E437" s="1634" t="s">
        <v>892</v>
      </c>
      <c r="F437" s="1633" t="s">
        <v>1064</v>
      </c>
      <c r="G437" s="1632">
        <v>6573.855031284259</v>
      </c>
      <c r="H437" s="1632">
        <v>2861.12</v>
      </c>
      <c r="I437" s="1630">
        <f>G437+H437</f>
        <v>9434.9750312842589</v>
      </c>
      <c r="J437" s="1630">
        <f>D437*I437</f>
        <v>9434.9750312842589</v>
      </c>
      <c r="K437" s="1631">
        <v>7250</v>
      </c>
      <c r="L437" s="1630">
        <f>IF(I437&gt;K437,K437,I437)</f>
        <v>7250</v>
      </c>
      <c r="M437" s="1630">
        <f>L437*D437</f>
        <v>7250</v>
      </c>
      <c r="N437" s="1625">
        <f>J437-M437</f>
        <v>2184.9750312842589</v>
      </c>
      <c r="O437" s="1629">
        <v>0.79310000000000003</v>
      </c>
      <c r="P437" s="1629">
        <v>0.2069</v>
      </c>
      <c r="Q437" s="1625">
        <f>N437*O437</f>
        <v>1732.9036973115458</v>
      </c>
      <c r="R437" s="1628">
        <f>N437*P437</f>
        <v>452.07133397271315</v>
      </c>
      <c r="S437" s="1627">
        <f>(G437*D437)-Q437</f>
        <v>4840.9513339727127</v>
      </c>
      <c r="T437" s="1627">
        <f>(H437*D437)-R437</f>
        <v>2409.0486660272868</v>
      </c>
      <c r="U437" s="1626">
        <f t="shared" si="260"/>
        <v>1210.2378334931782</v>
      </c>
      <c r="V437" s="1626">
        <f t="shared" si="260"/>
        <v>602.2621665068217</v>
      </c>
      <c r="W437" s="1625">
        <f>V437+U437</f>
        <v>1812.5</v>
      </c>
      <c r="X437" s="1614"/>
      <c r="Y437" s="1613"/>
      <c r="Z437" s="1612">
        <f>K437/I437</f>
        <v>0.76841750783236074</v>
      </c>
      <c r="AA437" s="1611"/>
      <c r="AB437" s="1611"/>
      <c r="AC437" s="1611"/>
      <c r="AD437" s="1611"/>
      <c r="AE437" s="1611"/>
      <c r="AF437" s="1611"/>
      <c r="AG437" s="1611"/>
      <c r="AH437" s="1611"/>
      <c r="AI437" s="1611"/>
      <c r="AJ437" s="1611"/>
      <c r="AK437" s="1611"/>
      <c r="AL437" s="1611"/>
      <c r="AM437" s="1611"/>
      <c r="AN437" s="1611"/>
      <c r="AO437" s="1611"/>
      <c r="AP437" s="1611"/>
      <c r="AQ437" s="1611"/>
    </row>
    <row r="438" spans="1:43" outlineLevel="1">
      <c r="A438" s="1624"/>
      <c r="B438" s="1623" t="s">
        <v>1103</v>
      </c>
      <c r="C438" s="1622"/>
      <c r="D438" s="1621">
        <f>SUBTOTAL(9,D434:D437)</f>
        <v>4</v>
      </c>
      <c r="E438" s="1620"/>
      <c r="F438" s="1639"/>
      <c r="G438" s="1639"/>
      <c r="H438" s="1639"/>
      <c r="I438" s="1616"/>
      <c r="J438" s="1616">
        <f>SUBTOTAL(9,J434:J437)</f>
        <v>37739.900125137036</v>
      </c>
      <c r="K438" s="1615"/>
      <c r="L438" s="1616"/>
      <c r="M438" s="1616">
        <f>SUBTOTAL(9,M434:M437)</f>
        <v>22962</v>
      </c>
      <c r="N438" s="1615">
        <f>SUBTOTAL(9,N434:N437)</f>
        <v>14777.900125137036</v>
      </c>
      <c r="O438" s="1616"/>
      <c r="P438" s="1616"/>
      <c r="Q438" s="1615">
        <f t="shared" ref="Q438:W438" si="261">SUBTOTAL(9,Q434:Q437)</f>
        <v>11720.352589246182</v>
      </c>
      <c r="R438" s="1615">
        <f t="shared" si="261"/>
        <v>3057.5475358908525</v>
      </c>
      <c r="S438" s="1616">
        <f t="shared" si="261"/>
        <v>14575.067535890852</v>
      </c>
      <c r="T438" s="1616">
        <f t="shared" si="261"/>
        <v>8386.932464109148</v>
      </c>
      <c r="U438" s="1616">
        <f t="shared" si="261"/>
        <v>3643.766883972713</v>
      </c>
      <c r="V438" s="1616">
        <f t="shared" si="261"/>
        <v>2096.733116027287</v>
      </c>
      <c r="W438" s="1615">
        <f t="shared" si="261"/>
        <v>5740.5</v>
      </c>
      <c r="X438" s="1614"/>
      <c r="Y438" s="1613"/>
      <c r="Z438" s="1612"/>
      <c r="AA438" s="1611"/>
      <c r="AB438" s="1611"/>
      <c r="AC438" s="1611"/>
      <c r="AD438" s="1611"/>
      <c r="AE438" s="1611"/>
      <c r="AF438" s="1611"/>
      <c r="AG438" s="1611"/>
      <c r="AH438" s="1611"/>
      <c r="AI438" s="1611"/>
      <c r="AJ438" s="1611"/>
      <c r="AK438" s="1611"/>
      <c r="AL438" s="1611"/>
      <c r="AM438" s="1611"/>
      <c r="AN438" s="1611"/>
      <c r="AO438" s="1611"/>
      <c r="AP438" s="1611"/>
      <c r="AQ438" s="1611"/>
    </row>
    <row r="439" spans="1:43" outlineLevel="2">
      <c r="A439" s="1638" t="s">
        <v>318</v>
      </c>
      <c r="B439" s="1637" t="s">
        <v>129</v>
      </c>
      <c r="C439" s="1636"/>
      <c r="D439" s="1635">
        <v>1</v>
      </c>
      <c r="E439" s="1634" t="s">
        <v>944</v>
      </c>
      <c r="F439" s="1633" t="s">
        <v>1069</v>
      </c>
      <c r="G439" s="1632">
        <v>5134.8397629025958</v>
      </c>
      <c r="H439" s="1632">
        <v>3610.96</v>
      </c>
      <c r="I439" s="1630">
        <f>G439+H439</f>
        <v>8745.7997629025958</v>
      </c>
      <c r="J439" s="1630">
        <f>D439*I439</f>
        <v>8745.7997629025958</v>
      </c>
      <c r="K439" s="1631">
        <v>4448</v>
      </c>
      <c r="L439" s="1630">
        <f>IF(I439&gt;K439,K439,I439)</f>
        <v>4448</v>
      </c>
      <c r="M439" s="1630">
        <f>L439*D439</f>
        <v>4448</v>
      </c>
      <c r="N439" s="1625">
        <f>J439-M439</f>
        <v>4297.7997629025958</v>
      </c>
      <c r="O439" s="1629">
        <v>0.67259999999999998</v>
      </c>
      <c r="P439" s="1629">
        <v>0.32740000000000002</v>
      </c>
      <c r="Q439" s="1625">
        <f>N439*O439</f>
        <v>2890.7001205282859</v>
      </c>
      <c r="R439" s="1628">
        <f>N439*P439</f>
        <v>1407.09964237431</v>
      </c>
      <c r="S439" s="1627">
        <f>(G439*D439)-Q439</f>
        <v>2244.1396423743099</v>
      </c>
      <c r="T439" s="1627">
        <f>(H439*D439)-R439</f>
        <v>2203.8603576256901</v>
      </c>
      <c r="U439" s="1626">
        <f>S439/4</f>
        <v>561.03491059357748</v>
      </c>
      <c r="V439" s="1626">
        <f>T439/4</f>
        <v>550.96508940642252</v>
      </c>
      <c r="W439" s="1625">
        <f>V439+U439</f>
        <v>1112</v>
      </c>
      <c r="X439" s="1614"/>
      <c r="Y439" s="1613"/>
      <c r="Z439" s="1612">
        <f>K439/I439</f>
        <v>0.50858699268044727</v>
      </c>
      <c r="AA439" s="1611"/>
      <c r="AB439" s="1611"/>
      <c r="AC439" s="1611"/>
      <c r="AD439" s="1611"/>
      <c r="AE439" s="1611"/>
      <c r="AF439" s="1611"/>
      <c r="AG439" s="1611"/>
      <c r="AH439" s="1611"/>
      <c r="AI439" s="1611"/>
      <c r="AJ439" s="1611"/>
      <c r="AK439" s="1611"/>
      <c r="AL439" s="1611"/>
      <c r="AM439" s="1611"/>
      <c r="AN439" s="1611"/>
      <c r="AO439" s="1611"/>
      <c r="AP439" s="1611"/>
      <c r="AQ439" s="1611"/>
    </row>
    <row r="440" spans="1:43" outlineLevel="2">
      <c r="A440" s="1638" t="s">
        <v>318</v>
      </c>
      <c r="B440" s="1637" t="s">
        <v>129</v>
      </c>
      <c r="C440" s="1636"/>
      <c r="D440" s="1635">
        <v>1</v>
      </c>
      <c r="E440" s="1634" t="s">
        <v>944</v>
      </c>
      <c r="F440" s="1633" t="s">
        <v>1071</v>
      </c>
      <c r="G440" s="1632">
        <v>5134.8397629025958</v>
      </c>
      <c r="H440" s="1632">
        <v>3610.96</v>
      </c>
      <c r="I440" s="1630">
        <f>G440+H440</f>
        <v>8745.7997629025958</v>
      </c>
      <c r="J440" s="1630">
        <f>D440*I440</f>
        <v>8745.7997629025958</v>
      </c>
      <c r="K440" s="1631">
        <v>4433</v>
      </c>
      <c r="L440" s="1630">
        <f>IF(I440&gt;K440,K440,I440)</f>
        <v>4433</v>
      </c>
      <c r="M440" s="1630">
        <f>L440*D440</f>
        <v>4433</v>
      </c>
      <c r="N440" s="1625">
        <f>J440-M440</f>
        <v>4312.7997629025958</v>
      </c>
      <c r="O440" s="1629">
        <v>0.67259999999999998</v>
      </c>
      <c r="P440" s="1629">
        <v>0.32740000000000002</v>
      </c>
      <c r="Q440" s="1625">
        <f>N440*O440</f>
        <v>2900.7891205282858</v>
      </c>
      <c r="R440" s="1628">
        <f>N440*P440</f>
        <v>1412.01064237431</v>
      </c>
      <c r="S440" s="1627">
        <f>(G440*D440)-Q440</f>
        <v>2234.05064237431</v>
      </c>
      <c r="T440" s="1627">
        <f>(H440*D440)-R440</f>
        <v>2198.94935762569</v>
      </c>
      <c r="U440" s="1626">
        <f>S440/4</f>
        <v>558.51266059357749</v>
      </c>
      <c r="V440" s="1626">
        <f>T440/4</f>
        <v>549.73733940642251</v>
      </c>
      <c r="W440" s="1625">
        <f>V440+U440</f>
        <v>1108.25</v>
      </c>
      <c r="X440" s="1614"/>
      <c r="Y440" s="1613"/>
      <c r="Z440" s="1612">
        <f>K440/I440</f>
        <v>0.50687188366736124</v>
      </c>
      <c r="AA440" s="1611"/>
      <c r="AB440" s="1611"/>
      <c r="AC440" s="1611"/>
      <c r="AD440" s="1611"/>
      <c r="AE440" s="1611"/>
      <c r="AF440" s="1611"/>
      <c r="AG440" s="1611"/>
      <c r="AH440" s="1611"/>
      <c r="AI440" s="1611"/>
      <c r="AJ440" s="1611"/>
      <c r="AK440" s="1611"/>
      <c r="AL440" s="1611"/>
      <c r="AM440" s="1611"/>
      <c r="AN440" s="1611"/>
      <c r="AO440" s="1611"/>
      <c r="AP440" s="1611"/>
      <c r="AQ440" s="1611"/>
    </row>
    <row r="441" spans="1:43" outlineLevel="1">
      <c r="A441" s="1624"/>
      <c r="B441" s="1623" t="s">
        <v>1102</v>
      </c>
      <c r="C441" s="1622"/>
      <c r="D441" s="1621">
        <f>SUBTOTAL(9,D439:D440)</f>
        <v>2</v>
      </c>
      <c r="E441" s="1620"/>
      <c r="F441" s="1639"/>
      <c r="G441" s="1639"/>
      <c r="H441" s="1639"/>
      <c r="I441" s="1616"/>
      <c r="J441" s="1616">
        <f>SUBTOTAL(9,J439:J440)</f>
        <v>17491.599525805192</v>
      </c>
      <c r="K441" s="1615"/>
      <c r="L441" s="1616"/>
      <c r="M441" s="1616">
        <f>SUBTOTAL(9,M439:M440)</f>
        <v>8881</v>
      </c>
      <c r="N441" s="1615">
        <f>SUBTOTAL(9,N439:N440)</f>
        <v>8610.5995258051917</v>
      </c>
      <c r="O441" s="1616"/>
      <c r="P441" s="1616"/>
      <c r="Q441" s="1615">
        <f t="shared" ref="Q441:W441" si="262">SUBTOTAL(9,Q439:Q440)</f>
        <v>5791.4892410565717</v>
      </c>
      <c r="R441" s="1615">
        <f t="shared" si="262"/>
        <v>2819.11028474862</v>
      </c>
      <c r="S441" s="1616">
        <f t="shared" si="262"/>
        <v>4478.1902847486199</v>
      </c>
      <c r="T441" s="1616">
        <f t="shared" si="262"/>
        <v>4402.8097152513801</v>
      </c>
      <c r="U441" s="1616">
        <f t="shared" si="262"/>
        <v>1119.547571187155</v>
      </c>
      <c r="V441" s="1616">
        <f t="shared" si="262"/>
        <v>1100.702428812845</v>
      </c>
      <c r="W441" s="1615">
        <f t="shared" si="262"/>
        <v>2220.25</v>
      </c>
      <c r="X441" s="1614"/>
      <c r="Y441" s="1613"/>
      <c r="Z441" s="1612"/>
      <c r="AA441" s="1611"/>
      <c r="AB441" s="1611"/>
      <c r="AC441" s="1611"/>
      <c r="AD441" s="1611"/>
      <c r="AE441" s="1611"/>
      <c r="AF441" s="1611"/>
      <c r="AG441" s="1611"/>
      <c r="AH441" s="1611"/>
      <c r="AI441" s="1611"/>
      <c r="AJ441" s="1611"/>
      <c r="AK441" s="1611"/>
      <c r="AL441" s="1611"/>
      <c r="AM441" s="1611"/>
      <c r="AN441" s="1611"/>
      <c r="AO441" s="1611"/>
      <c r="AP441" s="1611"/>
      <c r="AQ441" s="1611"/>
    </row>
    <row r="442" spans="1:43" outlineLevel="2">
      <c r="A442" s="1638" t="s">
        <v>319</v>
      </c>
      <c r="B442" s="1637" t="s">
        <v>130</v>
      </c>
      <c r="C442" s="1636"/>
      <c r="D442" s="1635">
        <v>1</v>
      </c>
      <c r="E442" s="1640" t="s">
        <v>1101</v>
      </c>
      <c r="F442" s="1633" t="s">
        <v>1063</v>
      </c>
      <c r="G442" s="1632">
        <v>4374.0443941676149</v>
      </c>
      <c r="H442" s="1632">
        <v>4151.91</v>
      </c>
      <c r="I442" s="1630">
        <f t="shared" ref="I442:I505" si="263">G442+H442</f>
        <v>8525.9543941676147</v>
      </c>
      <c r="J442" s="1630">
        <f t="shared" ref="J442:J505" si="264">D442*I442</f>
        <v>8525.9543941676147</v>
      </c>
      <c r="K442" s="1631">
        <v>4075</v>
      </c>
      <c r="L442" s="1630">
        <f t="shared" ref="L442:L505" si="265">IF(I442&gt;K442,K442,I442)</f>
        <v>4075</v>
      </c>
      <c r="M442" s="1630">
        <f t="shared" ref="M442:M505" si="266">L442*D442</f>
        <v>4075</v>
      </c>
      <c r="N442" s="1625">
        <f t="shared" ref="N442:N505" si="267">J442-M442</f>
        <v>4450.9543941676147</v>
      </c>
      <c r="O442" s="1629">
        <v>0.57030000000000003</v>
      </c>
      <c r="P442" s="1629">
        <v>0.42970000000000003</v>
      </c>
      <c r="Q442" s="1625">
        <f t="shared" ref="Q442:Q505" si="268">N442*O442</f>
        <v>2538.3792909937906</v>
      </c>
      <c r="R442" s="1628">
        <f t="shared" ref="R442:R505" si="269">N442*P442</f>
        <v>1912.5751031738241</v>
      </c>
      <c r="S442" s="1627">
        <f t="shared" ref="S442:S505" si="270">(G442*D442)-Q442</f>
        <v>1835.6651031738243</v>
      </c>
      <c r="T442" s="1627">
        <f t="shared" ref="T442:T505" si="271">(H442*D442)-R442</f>
        <v>2239.3348968261757</v>
      </c>
      <c r="U442" s="1626">
        <f t="shared" ref="U442:U505" si="272">S442/4</f>
        <v>458.91627579345607</v>
      </c>
      <c r="V442" s="1626">
        <f t="shared" ref="V442:V505" si="273">T442/4</f>
        <v>559.83372420654393</v>
      </c>
      <c r="W442" s="1625">
        <f t="shared" ref="W442:W505" si="274">V442+U442</f>
        <v>1018.75</v>
      </c>
      <c r="X442" s="1614"/>
      <c r="Y442" s="1613"/>
      <c r="Z442" s="1612">
        <f t="shared" ref="Z442:Z505" si="275">K442/I442</f>
        <v>0.47795235719154239</v>
      </c>
      <c r="AA442" s="1611"/>
      <c r="AB442" s="1611"/>
      <c r="AC442" s="1611"/>
      <c r="AD442" s="1611"/>
      <c r="AE442" s="1611"/>
      <c r="AF442" s="1611"/>
      <c r="AG442" s="1611"/>
      <c r="AH442" s="1611"/>
      <c r="AI442" s="1611"/>
      <c r="AJ442" s="1611"/>
      <c r="AK442" s="1611"/>
      <c r="AL442" s="1611"/>
      <c r="AM442" s="1611"/>
      <c r="AN442" s="1611"/>
      <c r="AO442" s="1611"/>
      <c r="AP442" s="1611"/>
      <c r="AQ442" s="1611"/>
    </row>
    <row r="443" spans="1:43" outlineLevel="2">
      <c r="A443" s="1638" t="s">
        <v>319</v>
      </c>
      <c r="B443" s="1637" t="s">
        <v>130</v>
      </c>
      <c r="C443" s="1636"/>
      <c r="D443" s="1635">
        <v>2</v>
      </c>
      <c r="E443" s="1640" t="s">
        <v>1101</v>
      </c>
      <c r="F443" s="1633" t="s">
        <v>979</v>
      </c>
      <c r="G443" s="1632">
        <v>4374.0443941676149</v>
      </c>
      <c r="H443" s="1632">
        <v>4151.91</v>
      </c>
      <c r="I443" s="1630">
        <f t="shared" si="263"/>
        <v>8525.9543941676147</v>
      </c>
      <c r="J443" s="1630">
        <f t="shared" si="264"/>
        <v>17051.908788335229</v>
      </c>
      <c r="K443" s="1631">
        <v>4075</v>
      </c>
      <c r="L443" s="1630">
        <f t="shared" si="265"/>
        <v>4075</v>
      </c>
      <c r="M443" s="1630">
        <f t="shared" si="266"/>
        <v>8150</v>
      </c>
      <c r="N443" s="1625">
        <f t="shared" si="267"/>
        <v>8901.9087883352295</v>
      </c>
      <c r="O443" s="1629">
        <v>0.57030000000000003</v>
      </c>
      <c r="P443" s="1629">
        <v>0.42970000000000003</v>
      </c>
      <c r="Q443" s="1625">
        <f t="shared" si="268"/>
        <v>5076.7585819875812</v>
      </c>
      <c r="R443" s="1628">
        <f t="shared" si="269"/>
        <v>3825.1502063476482</v>
      </c>
      <c r="S443" s="1627">
        <f t="shared" si="270"/>
        <v>3671.3302063476485</v>
      </c>
      <c r="T443" s="1627">
        <f t="shared" si="271"/>
        <v>4478.6697936523515</v>
      </c>
      <c r="U443" s="1626">
        <f t="shared" si="272"/>
        <v>917.83255158691213</v>
      </c>
      <c r="V443" s="1626">
        <f t="shared" si="273"/>
        <v>1119.6674484130879</v>
      </c>
      <c r="W443" s="1625">
        <f t="shared" si="274"/>
        <v>2037.5</v>
      </c>
      <c r="X443" s="1614"/>
      <c r="Y443" s="1613"/>
      <c r="Z443" s="1612">
        <f t="shared" si="275"/>
        <v>0.47795235719154239</v>
      </c>
      <c r="AA443" s="1611"/>
      <c r="AB443" s="1611"/>
      <c r="AC443" s="1611"/>
      <c r="AD443" s="1611"/>
      <c r="AE443" s="1611"/>
      <c r="AF443" s="1611"/>
      <c r="AG443" s="1611"/>
      <c r="AH443" s="1611"/>
      <c r="AI443" s="1611"/>
      <c r="AJ443" s="1611"/>
      <c r="AK443" s="1611"/>
      <c r="AL443" s="1611"/>
      <c r="AM443" s="1611"/>
      <c r="AN443" s="1611"/>
      <c r="AO443" s="1611"/>
      <c r="AP443" s="1611"/>
      <c r="AQ443" s="1611"/>
    </row>
    <row r="444" spans="1:43" outlineLevel="2">
      <c r="A444" s="1638" t="s">
        <v>319</v>
      </c>
      <c r="B444" s="1637" t="s">
        <v>130</v>
      </c>
      <c r="C444" s="1636"/>
      <c r="D444" s="1635">
        <v>-1</v>
      </c>
      <c r="E444" s="1640" t="s">
        <v>1101</v>
      </c>
      <c r="F444" s="1633" t="s">
        <v>979</v>
      </c>
      <c r="G444" s="1632">
        <v>4374.0443941676149</v>
      </c>
      <c r="H444" s="1632">
        <v>4151.91</v>
      </c>
      <c r="I444" s="1630">
        <f t="shared" si="263"/>
        <v>8525.9543941676147</v>
      </c>
      <c r="J444" s="1630">
        <f t="shared" si="264"/>
        <v>-8525.9543941676147</v>
      </c>
      <c r="K444" s="1631">
        <v>4075</v>
      </c>
      <c r="L444" s="1630">
        <f t="shared" si="265"/>
        <v>4075</v>
      </c>
      <c r="M444" s="1630">
        <f t="shared" si="266"/>
        <v>-4075</v>
      </c>
      <c r="N444" s="1625">
        <f t="shared" si="267"/>
        <v>-4450.9543941676147</v>
      </c>
      <c r="O444" s="1629">
        <v>0.57030000000000003</v>
      </c>
      <c r="P444" s="1629">
        <v>0.42970000000000003</v>
      </c>
      <c r="Q444" s="1625">
        <f t="shared" si="268"/>
        <v>-2538.3792909937906</v>
      </c>
      <c r="R444" s="1628">
        <f t="shared" si="269"/>
        <v>-1912.5751031738241</v>
      </c>
      <c r="S444" s="1627">
        <f t="shared" si="270"/>
        <v>-1835.6651031738243</v>
      </c>
      <c r="T444" s="1627">
        <f t="shared" si="271"/>
        <v>-2239.3348968261757</v>
      </c>
      <c r="U444" s="1626">
        <f t="shared" si="272"/>
        <v>-458.91627579345607</v>
      </c>
      <c r="V444" s="1626">
        <f t="shared" si="273"/>
        <v>-559.83372420654393</v>
      </c>
      <c r="W444" s="1625">
        <f t="shared" si="274"/>
        <v>-1018.75</v>
      </c>
      <c r="X444" s="1614"/>
      <c r="Y444" s="1613"/>
      <c r="Z444" s="1612">
        <f t="shared" si="275"/>
        <v>0.47795235719154239</v>
      </c>
      <c r="AA444" s="1611"/>
      <c r="AB444" s="1611"/>
      <c r="AC444" s="1611"/>
      <c r="AD444" s="1611"/>
      <c r="AE444" s="1611"/>
      <c r="AF444" s="1611"/>
      <c r="AG444" s="1611"/>
      <c r="AH444" s="1611"/>
      <c r="AI444" s="1611"/>
      <c r="AJ444" s="1611"/>
      <c r="AK444" s="1611"/>
      <c r="AL444" s="1611"/>
      <c r="AM444" s="1611"/>
      <c r="AN444" s="1611"/>
      <c r="AO444" s="1611"/>
      <c r="AP444" s="1611"/>
      <c r="AQ444" s="1611"/>
    </row>
    <row r="445" spans="1:43" outlineLevel="2">
      <c r="A445" s="1638" t="s">
        <v>319</v>
      </c>
      <c r="B445" s="1637" t="s">
        <v>130</v>
      </c>
      <c r="C445" s="1636"/>
      <c r="D445" s="1635">
        <v>1</v>
      </c>
      <c r="E445" s="1640" t="s">
        <v>1100</v>
      </c>
      <c r="F445" s="1633" t="s">
        <v>1070</v>
      </c>
      <c r="G445" s="1632">
        <v>4374.0443941676149</v>
      </c>
      <c r="H445" s="1632">
        <v>4151.91</v>
      </c>
      <c r="I445" s="1630">
        <f t="shared" si="263"/>
        <v>8525.9543941676147</v>
      </c>
      <c r="J445" s="1630">
        <f t="shared" si="264"/>
        <v>8525.9543941676147</v>
      </c>
      <c r="K445" s="1631">
        <v>4765</v>
      </c>
      <c r="L445" s="1630">
        <f t="shared" si="265"/>
        <v>4765</v>
      </c>
      <c r="M445" s="1630">
        <f t="shared" si="266"/>
        <v>4765</v>
      </c>
      <c r="N445" s="1625">
        <f t="shared" si="267"/>
        <v>3760.9543941676147</v>
      </c>
      <c r="O445" s="1629">
        <v>0.57030000000000003</v>
      </c>
      <c r="P445" s="1629">
        <v>0.42970000000000003</v>
      </c>
      <c r="Q445" s="1625">
        <f t="shared" si="268"/>
        <v>2144.872290993791</v>
      </c>
      <c r="R445" s="1628">
        <f t="shared" si="269"/>
        <v>1616.0821031738242</v>
      </c>
      <c r="S445" s="1627">
        <f t="shared" si="270"/>
        <v>2229.1721031738239</v>
      </c>
      <c r="T445" s="1627">
        <f t="shared" si="271"/>
        <v>2535.8278968261757</v>
      </c>
      <c r="U445" s="1626">
        <f t="shared" si="272"/>
        <v>557.29302579345597</v>
      </c>
      <c r="V445" s="1626">
        <f t="shared" si="273"/>
        <v>633.95697420654392</v>
      </c>
      <c r="W445" s="1625">
        <f t="shared" si="274"/>
        <v>1191.25</v>
      </c>
      <c r="X445" s="1614"/>
      <c r="Y445" s="1613"/>
      <c r="Z445" s="1612">
        <f t="shared" si="275"/>
        <v>0.55888171337857651</v>
      </c>
      <c r="AA445" s="1611"/>
      <c r="AB445" s="1611"/>
      <c r="AC445" s="1611"/>
      <c r="AD445" s="1611"/>
      <c r="AE445" s="1611"/>
      <c r="AF445" s="1611"/>
      <c r="AG445" s="1611"/>
      <c r="AH445" s="1611"/>
      <c r="AI445" s="1611"/>
      <c r="AJ445" s="1611"/>
      <c r="AK445" s="1611"/>
      <c r="AL445" s="1611"/>
      <c r="AM445" s="1611"/>
      <c r="AN445" s="1611"/>
      <c r="AO445" s="1611"/>
      <c r="AP445" s="1611"/>
      <c r="AQ445" s="1611"/>
    </row>
    <row r="446" spans="1:43" outlineLevel="2">
      <c r="A446" s="1638" t="s">
        <v>319</v>
      </c>
      <c r="B446" s="1637" t="s">
        <v>130</v>
      </c>
      <c r="C446" s="1636"/>
      <c r="D446" s="1635">
        <v>1</v>
      </c>
      <c r="E446" s="1640" t="s">
        <v>1100</v>
      </c>
      <c r="F446" s="1633" t="s">
        <v>1069</v>
      </c>
      <c r="G446" s="1632">
        <v>4374.0443941676149</v>
      </c>
      <c r="H446" s="1632">
        <v>4151.91</v>
      </c>
      <c r="I446" s="1630">
        <f t="shared" si="263"/>
        <v>8525.9543941676147</v>
      </c>
      <c r="J446" s="1630">
        <f t="shared" si="264"/>
        <v>8525.9543941676147</v>
      </c>
      <c r="K446" s="1631">
        <v>4765</v>
      </c>
      <c r="L446" s="1630">
        <f t="shared" si="265"/>
        <v>4765</v>
      </c>
      <c r="M446" s="1630">
        <f t="shared" si="266"/>
        <v>4765</v>
      </c>
      <c r="N446" s="1625">
        <f t="shared" si="267"/>
        <v>3760.9543941676147</v>
      </c>
      <c r="O446" s="1629">
        <v>0.57030000000000003</v>
      </c>
      <c r="P446" s="1629">
        <v>0.42970000000000003</v>
      </c>
      <c r="Q446" s="1625">
        <f t="shared" si="268"/>
        <v>2144.872290993791</v>
      </c>
      <c r="R446" s="1628">
        <f t="shared" si="269"/>
        <v>1616.0821031738242</v>
      </c>
      <c r="S446" s="1627">
        <f t="shared" si="270"/>
        <v>2229.1721031738239</v>
      </c>
      <c r="T446" s="1627">
        <f t="shared" si="271"/>
        <v>2535.8278968261757</v>
      </c>
      <c r="U446" s="1626">
        <f t="shared" si="272"/>
        <v>557.29302579345597</v>
      </c>
      <c r="V446" s="1626">
        <f t="shared" si="273"/>
        <v>633.95697420654392</v>
      </c>
      <c r="W446" s="1625">
        <f t="shared" si="274"/>
        <v>1191.25</v>
      </c>
      <c r="X446" s="1614"/>
      <c r="Y446" s="1613"/>
      <c r="Z446" s="1612">
        <f t="shared" si="275"/>
        <v>0.55888171337857651</v>
      </c>
      <c r="AA446" s="1611"/>
      <c r="AB446" s="1611"/>
      <c r="AC446" s="1611"/>
      <c r="AD446" s="1611"/>
      <c r="AE446" s="1611"/>
      <c r="AF446" s="1611"/>
      <c r="AG446" s="1611"/>
      <c r="AH446" s="1611"/>
      <c r="AI446" s="1611"/>
      <c r="AJ446" s="1611"/>
      <c r="AK446" s="1611"/>
      <c r="AL446" s="1611"/>
      <c r="AM446" s="1611"/>
      <c r="AN446" s="1611"/>
      <c r="AO446" s="1611"/>
      <c r="AP446" s="1611"/>
      <c r="AQ446" s="1611"/>
    </row>
    <row r="447" spans="1:43" outlineLevel="2">
      <c r="A447" s="1638" t="s">
        <v>319</v>
      </c>
      <c r="B447" s="1637" t="s">
        <v>130</v>
      </c>
      <c r="C447" s="1636"/>
      <c r="D447" s="1635">
        <v>1</v>
      </c>
      <c r="E447" s="1640" t="s">
        <v>1099</v>
      </c>
      <c r="F447" s="1633" t="s">
        <v>1064</v>
      </c>
      <c r="G447" s="1632">
        <v>4374.0443941676149</v>
      </c>
      <c r="H447" s="1632">
        <v>4151.91</v>
      </c>
      <c r="I447" s="1630">
        <f t="shared" si="263"/>
        <v>8525.9543941676147</v>
      </c>
      <c r="J447" s="1630">
        <f t="shared" si="264"/>
        <v>8525.9543941676147</v>
      </c>
      <c r="K447" s="1631">
        <v>4580</v>
      </c>
      <c r="L447" s="1630">
        <f t="shared" si="265"/>
        <v>4580</v>
      </c>
      <c r="M447" s="1630">
        <f t="shared" si="266"/>
        <v>4580</v>
      </c>
      <c r="N447" s="1625">
        <f t="shared" si="267"/>
        <v>3945.9543941676147</v>
      </c>
      <c r="O447" s="1629">
        <v>0.57030000000000003</v>
      </c>
      <c r="P447" s="1629">
        <v>0.42970000000000003</v>
      </c>
      <c r="Q447" s="1625">
        <f t="shared" si="268"/>
        <v>2250.3777909937908</v>
      </c>
      <c r="R447" s="1628">
        <f t="shared" si="269"/>
        <v>1695.5766031738242</v>
      </c>
      <c r="S447" s="1627">
        <f t="shared" si="270"/>
        <v>2123.6666031738241</v>
      </c>
      <c r="T447" s="1627">
        <f t="shared" si="271"/>
        <v>2456.3333968261759</v>
      </c>
      <c r="U447" s="1626">
        <f t="shared" si="272"/>
        <v>530.91665079345603</v>
      </c>
      <c r="V447" s="1626">
        <f t="shared" si="273"/>
        <v>614.08334920654397</v>
      </c>
      <c r="W447" s="1625">
        <f t="shared" si="274"/>
        <v>1145</v>
      </c>
      <c r="X447" s="1614"/>
      <c r="Y447" s="1613"/>
      <c r="Z447" s="1612">
        <f t="shared" si="275"/>
        <v>0.5371832628066906</v>
      </c>
      <c r="AA447" s="1611"/>
      <c r="AB447" s="1611"/>
      <c r="AC447" s="1611"/>
      <c r="AD447" s="1611"/>
      <c r="AE447" s="1611"/>
      <c r="AF447" s="1611"/>
      <c r="AG447" s="1611"/>
      <c r="AH447" s="1611"/>
      <c r="AI447" s="1611"/>
      <c r="AJ447" s="1611"/>
      <c r="AK447" s="1611"/>
      <c r="AL447" s="1611"/>
      <c r="AM447" s="1611"/>
      <c r="AN447" s="1611"/>
      <c r="AO447" s="1611"/>
      <c r="AP447" s="1611"/>
      <c r="AQ447" s="1611"/>
    </row>
    <row r="448" spans="1:43" outlineLevel="2">
      <c r="A448" s="1638" t="s">
        <v>319</v>
      </c>
      <c r="B448" s="1637" t="s">
        <v>130</v>
      </c>
      <c r="C448" s="1636"/>
      <c r="D448" s="1635">
        <v>5</v>
      </c>
      <c r="E448" s="1634" t="s">
        <v>942</v>
      </c>
      <c r="F448" s="1633" t="s">
        <v>1070</v>
      </c>
      <c r="G448" s="1632">
        <v>4374.0443941676149</v>
      </c>
      <c r="H448" s="1632">
        <v>4151.91</v>
      </c>
      <c r="I448" s="1630">
        <f t="shared" si="263"/>
        <v>8525.9543941676147</v>
      </c>
      <c r="J448" s="1630">
        <f t="shared" si="264"/>
        <v>42629.771970838076</v>
      </c>
      <c r="K448" s="1631">
        <v>8520</v>
      </c>
      <c r="L448" s="1630">
        <f t="shared" si="265"/>
        <v>8520</v>
      </c>
      <c r="M448" s="1630">
        <f t="shared" si="266"/>
        <v>42600</v>
      </c>
      <c r="N448" s="1625">
        <f t="shared" si="267"/>
        <v>29.771970838075504</v>
      </c>
      <c r="O448" s="1629">
        <v>0.57030000000000003</v>
      </c>
      <c r="P448" s="1629">
        <v>0.42970000000000003</v>
      </c>
      <c r="Q448" s="1625">
        <f t="shared" si="268"/>
        <v>16.978954968954461</v>
      </c>
      <c r="R448" s="1628">
        <f t="shared" si="269"/>
        <v>12.793015869121044</v>
      </c>
      <c r="S448" s="1627">
        <f t="shared" si="270"/>
        <v>21853.243015869117</v>
      </c>
      <c r="T448" s="1627">
        <f t="shared" si="271"/>
        <v>20746.75698413088</v>
      </c>
      <c r="U448" s="1626">
        <f t="shared" si="272"/>
        <v>5463.3107539672792</v>
      </c>
      <c r="V448" s="1626">
        <f t="shared" si="273"/>
        <v>5186.6892460327199</v>
      </c>
      <c r="W448" s="1625">
        <f t="shared" si="274"/>
        <v>10650</v>
      </c>
      <c r="X448" s="1614"/>
      <c r="Y448" s="1613"/>
      <c r="Z448" s="1612">
        <f t="shared" si="275"/>
        <v>0.9993016155268567</v>
      </c>
      <c r="AA448" s="1611"/>
      <c r="AB448" s="1611"/>
      <c r="AC448" s="1611"/>
      <c r="AD448" s="1611"/>
      <c r="AE448" s="1611"/>
      <c r="AF448" s="1611"/>
      <c r="AG448" s="1611"/>
      <c r="AH448" s="1611"/>
      <c r="AI448" s="1611"/>
      <c r="AJ448" s="1611"/>
      <c r="AK448" s="1611"/>
      <c r="AL448" s="1611"/>
      <c r="AM448" s="1611"/>
      <c r="AN448" s="1611"/>
      <c r="AO448" s="1611"/>
      <c r="AP448" s="1611"/>
      <c r="AQ448" s="1611"/>
    </row>
    <row r="449" spans="1:43" outlineLevel="2">
      <c r="A449" s="1638" t="s">
        <v>319</v>
      </c>
      <c r="B449" s="1637" t="s">
        <v>130</v>
      </c>
      <c r="C449" s="1636"/>
      <c r="D449" s="1635">
        <v>4</v>
      </c>
      <c r="E449" s="1634" t="s">
        <v>942</v>
      </c>
      <c r="F449" s="1633" t="s">
        <v>1069</v>
      </c>
      <c r="G449" s="1632">
        <v>4374.0443941676149</v>
      </c>
      <c r="H449" s="1632">
        <v>4151.91</v>
      </c>
      <c r="I449" s="1630">
        <f t="shared" si="263"/>
        <v>8525.9543941676147</v>
      </c>
      <c r="J449" s="1630">
        <f t="shared" si="264"/>
        <v>34103.817576670459</v>
      </c>
      <c r="K449" s="1631">
        <v>8520</v>
      </c>
      <c r="L449" s="1630">
        <f t="shared" si="265"/>
        <v>8520</v>
      </c>
      <c r="M449" s="1630">
        <f t="shared" si="266"/>
        <v>34080</v>
      </c>
      <c r="N449" s="1625">
        <f t="shared" si="267"/>
        <v>23.817576670458948</v>
      </c>
      <c r="O449" s="1629">
        <v>0.57030000000000003</v>
      </c>
      <c r="P449" s="1629">
        <v>0.42970000000000003</v>
      </c>
      <c r="Q449" s="1625">
        <f t="shared" si="268"/>
        <v>13.583163975162739</v>
      </c>
      <c r="R449" s="1628">
        <f t="shared" si="269"/>
        <v>10.234412695296211</v>
      </c>
      <c r="S449" s="1627">
        <f t="shared" si="270"/>
        <v>17482.594412695296</v>
      </c>
      <c r="T449" s="1627">
        <f t="shared" si="271"/>
        <v>16597.405587304704</v>
      </c>
      <c r="U449" s="1626">
        <f t="shared" si="272"/>
        <v>4370.6486031738241</v>
      </c>
      <c r="V449" s="1626">
        <f t="shared" si="273"/>
        <v>4149.3513968261759</v>
      </c>
      <c r="W449" s="1625">
        <f t="shared" si="274"/>
        <v>8520</v>
      </c>
      <c r="X449" s="1614"/>
      <c r="Y449" s="1613"/>
      <c r="Z449" s="1612">
        <f t="shared" si="275"/>
        <v>0.9993016155268567</v>
      </c>
      <c r="AA449" s="1611"/>
      <c r="AB449" s="1611"/>
      <c r="AC449" s="1611"/>
      <c r="AD449" s="1611"/>
      <c r="AE449" s="1611"/>
      <c r="AF449" s="1611"/>
      <c r="AG449" s="1611"/>
      <c r="AH449" s="1611"/>
      <c r="AI449" s="1611"/>
      <c r="AJ449" s="1611"/>
      <c r="AK449" s="1611"/>
      <c r="AL449" s="1611"/>
      <c r="AM449" s="1611"/>
      <c r="AN449" s="1611"/>
      <c r="AO449" s="1611"/>
      <c r="AP449" s="1611"/>
      <c r="AQ449" s="1611"/>
    </row>
    <row r="450" spans="1:43" outlineLevel="2">
      <c r="A450" s="1638" t="s">
        <v>319</v>
      </c>
      <c r="B450" s="1637" t="s">
        <v>130</v>
      </c>
      <c r="C450" s="1636"/>
      <c r="D450" s="1635">
        <v>5</v>
      </c>
      <c r="E450" s="1634" t="s">
        <v>942</v>
      </c>
      <c r="F450" s="1633" t="s">
        <v>1068</v>
      </c>
      <c r="G450" s="1632">
        <v>4374.0443941676149</v>
      </c>
      <c r="H450" s="1632">
        <v>4151.91</v>
      </c>
      <c r="I450" s="1630">
        <f t="shared" si="263"/>
        <v>8525.9543941676147</v>
      </c>
      <c r="J450" s="1630">
        <f t="shared" si="264"/>
        <v>42629.771970838076</v>
      </c>
      <c r="K450" s="1631">
        <v>8520</v>
      </c>
      <c r="L450" s="1630">
        <f t="shared" si="265"/>
        <v>8520</v>
      </c>
      <c r="M450" s="1630">
        <f t="shared" si="266"/>
        <v>42600</v>
      </c>
      <c r="N450" s="1625">
        <f t="shared" si="267"/>
        <v>29.771970838075504</v>
      </c>
      <c r="O450" s="1629">
        <v>0.57030000000000003</v>
      </c>
      <c r="P450" s="1629">
        <v>0.42970000000000003</v>
      </c>
      <c r="Q450" s="1625">
        <f t="shared" si="268"/>
        <v>16.978954968954461</v>
      </c>
      <c r="R450" s="1628">
        <f t="shared" si="269"/>
        <v>12.793015869121044</v>
      </c>
      <c r="S450" s="1627">
        <f t="shared" si="270"/>
        <v>21853.243015869117</v>
      </c>
      <c r="T450" s="1627">
        <f t="shared" si="271"/>
        <v>20746.75698413088</v>
      </c>
      <c r="U450" s="1626">
        <f t="shared" si="272"/>
        <v>5463.3107539672792</v>
      </c>
      <c r="V450" s="1626">
        <f t="shared" si="273"/>
        <v>5186.6892460327199</v>
      </c>
      <c r="W450" s="1625">
        <f t="shared" si="274"/>
        <v>10650</v>
      </c>
      <c r="X450" s="1614"/>
      <c r="Y450" s="1613"/>
      <c r="Z450" s="1612">
        <f t="shared" si="275"/>
        <v>0.9993016155268567</v>
      </c>
      <c r="AA450" s="1611"/>
      <c r="AB450" s="1611"/>
      <c r="AC450" s="1611"/>
      <c r="AD450" s="1611"/>
      <c r="AE450" s="1611"/>
      <c r="AF450" s="1611"/>
      <c r="AG450" s="1611"/>
      <c r="AH450" s="1611"/>
      <c r="AI450" s="1611"/>
      <c r="AJ450" s="1611"/>
      <c r="AK450" s="1611"/>
      <c r="AL450" s="1611"/>
      <c r="AM450" s="1611"/>
      <c r="AN450" s="1611"/>
      <c r="AO450" s="1611"/>
      <c r="AP450" s="1611"/>
      <c r="AQ450" s="1611"/>
    </row>
    <row r="451" spans="1:43" outlineLevel="2">
      <c r="A451" s="1638" t="s">
        <v>319</v>
      </c>
      <c r="B451" s="1637" t="s">
        <v>130</v>
      </c>
      <c r="C451" s="1636"/>
      <c r="D451" s="1635">
        <v>5</v>
      </c>
      <c r="E451" s="1634" t="s">
        <v>942</v>
      </c>
      <c r="F451" s="1633" t="s">
        <v>1071</v>
      </c>
      <c r="G451" s="1632">
        <v>4374.0443941676149</v>
      </c>
      <c r="H451" s="1632">
        <v>4151.91</v>
      </c>
      <c r="I451" s="1630">
        <f t="shared" si="263"/>
        <v>8525.9543941676147</v>
      </c>
      <c r="J451" s="1630">
        <f t="shared" si="264"/>
        <v>42629.771970838076</v>
      </c>
      <c r="K451" s="1631">
        <v>8520</v>
      </c>
      <c r="L451" s="1630">
        <f t="shared" si="265"/>
        <v>8520</v>
      </c>
      <c r="M451" s="1630">
        <f t="shared" si="266"/>
        <v>42600</v>
      </c>
      <c r="N451" s="1625">
        <f t="shared" si="267"/>
        <v>29.771970838075504</v>
      </c>
      <c r="O451" s="1629">
        <v>0.57030000000000003</v>
      </c>
      <c r="P451" s="1629">
        <v>0.42970000000000003</v>
      </c>
      <c r="Q451" s="1625">
        <f t="shared" si="268"/>
        <v>16.978954968954461</v>
      </c>
      <c r="R451" s="1628">
        <f t="shared" si="269"/>
        <v>12.793015869121044</v>
      </c>
      <c r="S451" s="1627">
        <f t="shared" si="270"/>
        <v>21853.243015869117</v>
      </c>
      <c r="T451" s="1627">
        <f t="shared" si="271"/>
        <v>20746.75698413088</v>
      </c>
      <c r="U451" s="1626">
        <f t="shared" si="272"/>
        <v>5463.3107539672792</v>
      </c>
      <c r="V451" s="1626">
        <f t="shared" si="273"/>
        <v>5186.6892460327199</v>
      </c>
      <c r="W451" s="1625">
        <f t="shared" si="274"/>
        <v>10650</v>
      </c>
      <c r="X451" s="1614"/>
      <c r="Y451" s="1613"/>
      <c r="Z451" s="1612">
        <f t="shared" si="275"/>
        <v>0.9993016155268567</v>
      </c>
      <c r="AA451" s="1611"/>
      <c r="AB451" s="1611"/>
      <c r="AC451" s="1611"/>
      <c r="AD451" s="1611"/>
      <c r="AE451" s="1611"/>
      <c r="AF451" s="1611"/>
      <c r="AG451" s="1611"/>
      <c r="AH451" s="1611"/>
      <c r="AI451" s="1611"/>
      <c r="AJ451" s="1611"/>
      <c r="AK451" s="1611"/>
      <c r="AL451" s="1611"/>
      <c r="AM451" s="1611"/>
      <c r="AN451" s="1611"/>
      <c r="AO451" s="1611"/>
      <c r="AP451" s="1611"/>
      <c r="AQ451" s="1611"/>
    </row>
    <row r="452" spans="1:43" outlineLevel="2">
      <c r="A452" s="1638" t="s">
        <v>319</v>
      </c>
      <c r="B452" s="1637" t="s">
        <v>130</v>
      </c>
      <c r="C452" s="1636"/>
      <c r="D452" s="1635">
        <v>4</v>
      </c>
      <c r="E452" s="1634" t="s">
        <v>942</v>
      </c>
      <c r="F452" s="1633" t="s">
        <v>1065</v>
      </c>
      <c r="G452" s="1632">
        <v>4374.0443941676149</v>
      </c>
      <c r="H452" s="1632">
        <v>4151.91</v>
      </c>
      <c r="I452" s="1630">
        <f t="shared" si="263"/>
        <v>8525.9543941676147</v>
      </c>
      <c r="J452" s="1630">
        <f t="shared" si="264"/>
        <v>34103.817576670459</v>
      </c>
      <c r="K452" s="1631">
        <v>8520</v>
      </c>
      <c r="L452" s="1630">
        <f t="shared" si="265"/>
        <v>8520</v>
      </c>
      <c r="M452" s="1630">
        <f t="shared" si="266"/>
        <v>34080</v>
      </c>
      <c r="N452" s="1625">
        <f t="shared" si="267"/>
        <v>23.817576670458948</v>
      </c>
      <c r="O452" s="1629">
        <v>0.57030000000000003</v>
      </c>
      <c r="P452" s="1629">
        <v>0.42970000000000003</v>
      </c>
      <c r="Q452" s="1625">
        <f t="shared" si="268"/>
        <v>13.583163975162739</v>
      </c>
      <c r="R452" s="1628">
        <f t="shared" si="269"/>
        <v>10.234412695296211</v>
      </c>
      <c r="S452" s="1627">
        <f t="shared" si="270"/>
        <v>17482.594412695296</v>
      </c>
      <c r="T452" s="1627">
        <f t="shared" si="271"/>
        <v>16597.405587304704</v>
      </c>
      <c r="U452" s="1626">
        <f t="shared" si="272"/>
        <v>4370.6486031738241</v>
      </c>
      <c r="V452" s="1626">
        <f t="shared" si="273"/>
        <v>4149.3513968261759</v>
      </c>
      <c r="W452" s="1625">
        <f t="shared" si="274"/>
        <v>8520</v>
      </c>
      <c r="X452" s="1614"/>
      <c r="Y452" s="1613"/>
      <c r="Z452" s="1612">
        <f t="shared" si="275"/>
        <v>0.9993016155268567</v>
      </c>
      <c r="AA452" s="1611"/>
      <c r="AB452" s="1611"/>
      <c r="AC452" s="1611"/>
      <c r="AD452" s="1611"/>
      <c r="AE452" s="1611"/>
      <c r="AF452" s="1611"/>
      <c r="AG452" s="1611"/>
      <c r="AH452" s="1611"/>
      <c r="AI452" s="1611"/>
      <c r="AJ452" s="1611"/>
      <c r="AK452" s="1611"/>
      <c r="AL452" s="1611"/>
      <c r="AM452" s="1611"/>
      <c r="AN452" s="1611"/>
      <c r="AO452" s="1611"/>
      <c r="AP452" s="1611"/>
      <c r="AQ452" s="1611"/>
    </row>
    <row r="453" spans="1:43" outlineLevel="2">
      <c r="A453" s="1638" t="s">
        <v>319</v>
      </c>
      <c r="B453" s="1637" t="s">
        <v>130</v>
      </c>
      <c r="C453" s="1636"/>
      <c r="D453" s="1635">
        <v>4</v>
      </c>
      <c r="E453" s="1634" t="s">
        <v>942</v>
      </c>
      <c r="F453" s="1633" t="s">
        <v>1064</v>
      </c>
      <c r="G453" s="1632">
        <v>4374.0443941676149</v>
      </c>
      <c r="H453" s="1632">
        <v>4151.91</v>
      </c>
      <c r="I453" s="1630">
        <f t="shared" si="263"/>
        <v>8525.9543941676147</v>
      </c>
      <c r="J453" s="1630">
        <f t="shared" si="264"/>
        <v>34103.817576670459</v>
      </c>
      <c r="K453" s="1631">
        <v>8520</v>
      </c>
      <c r="L453" s="1630">
        <f t="shared" si="265"/>
        <v>8520</v>
      </c>
      <c r="M453" s="1630">
        <f t="shared" si="266"/>
        <v>34080</v>
      </c>
      <c r="N453" s="1625">
        <f t="shared" si="267"/>
        <v>23.817576670458948</v>
      </c>
      <c r="O453" s="1629">
        <v>0.57030000000000003</v>
      </c>
      <c r="P453" s="1629">
        <v>0.42970000000000003</v>
      </c>
      <c r="Q453" s="1625">
        <f t="shared" si="268"/>
        <v>13.583163975162739</v>
      </c>
      <c r="R453" s="1628">
        <f t="shared" si="269"/>
        <v>10.234412695296211</v>
      </c>
      <c r="S453" s="1627">
        <f t="shared" si="270"/>
        <v>17482.594412695296</v>
      </c>
      <c r="T453" s="1627">
        <f t="shared" si="271"/>
        <v>16597.405587304704</v>
      </c>
      <c r="U453" s="1626">
        <f t="shared" si="272"/>
        <v>4370.6486031738241</v>
      </c>
      <c r="V453" s="1626">
        <f t="shared" si="273"/>
        <v>4149.3513968261759</v>
      </c>
      <c r="W453" s="1625">
        <f t="shared" si="274"/>
        <v>8520</v>
      </c>
      <c r="X453" s="1614"/>
      <c r="Y453" s="1613"/>
      <c r="Z453" s="1612">
        <f t="shared" si="275"/>
        <v>0.9993016155268567</v>
      </c>
      <c r="AA453" s="1611"/>
      <c r="AB453" s="1611"/>
      <c r="AC453" s="1611"/>
      <c r="AD453" s="1611"/>
      <c r="AE453" s="1611"/>
      <c r="AF453" s="1611"/>
      <c r="AG453" s="1611"/>
      <c r="AH453" s="1611"/>
      <c r="AI453" s="1611"/>
      <c r="AJ453" s="1611"/>
      <c r="AK453" s="1611"/>
      <c r="AL453" s="1611"/>
      <c r="AM453" s="1611"/>
      <c r="AN453" s="1611"/>
      <c r="AO453" s="1611"/>
      <c r="AP453" s="1611"/>
      <c r="AQ453" s="1611"/>
    </row>
    <row r="454" spans="1:43" outlineLevel="2">
      <c r="A454" s="1638" t="s">
        <v>319</v>
      </c>
      <c r="B454" s="1637" t="s">
        <v>130</v>
      </c>
      <c r="C454" s="1636"/>
      <c r="D454" s="1635">
        <v>2</v>
      </c>
      <c r="E454" s="1634" t="s">
        <v>942</v>
      </c>
      <c r="F454" s="1633" t="s">
        <v>1063</v>
      </c>
      <c r="G454" s="1632">
        <v>4374.0443941676149</v>
      </c>
      <c r="H454" s="1632">
        <v>4151.91</v>
      </c>
      <c r="I454" s="1630">
        <f t="shared" si="263"/>
        <v>8525.9543941676147</v>
      </c>
      <c r="J454" s="1630">
        <f t="shared" si="264"/>
        <v>17051.908788335229</v>
      </c>
      <c r="K454" s="1631">
        <v>8520</v>
      </c>
      <c r="L454" s="1630">
        <f t="shared" si="265"/>
        <v>8520</v>
      </c>
      <c r="M454" s="1630">
        <f t="shared" si="266"/>
        <v>17040</v>
      </c>
      <c r="N454" s="1625">
        <f t="shared" si="267"/>
        <v>11.908788335229474</v>
      </c>
      <c r="O454" s="1629">
        <v>0.57030000000000003</v>
      </c>
      <c r="P454" s="1629">
        <v>0.42970000000000003</v>
      </c>
      <c r="Q454" s="1625">
        <f t="shared" si="268"/>
        <v>6.7915819875813694</v>
      </c>
      <c r="R454" s="1628">
        <f t="shared" si="269"/>
        <v>5.1172063476481053</v>
      </c>
      <c r="S454" s="1627">
        <f t="shared" si="270"/>
        <v>8741.2972063476482</v>
      </c>
      <c r="T454" s="1627">
        <f t="shared" si="271"/>
        <v>8298.7027936523518</v>
      </c>
      <c r="U454" s="1626">
        <f t="shared" si="272"/>
        <v>2185.324301586912</v>
      </c>
      <c r="V454" s="1626">
        <f t="shared" si="273"/>
        <v>2074.675698413088</v>
      </c>
      <c r="W454" s="1625">
        <f t="shared" si="274"/>
        <v>4260</v>
      </c>
      <c r="X454" s="1614"/>
      <c r="Y454" s="1613"/>
      <c r="Z454" s="1612">
        <f t="shared" si="275"/>
        <v>0.9993016155268567</v>
      </c>
      <c r="AA454" s="1611"/>
      <c r="AB454" s="1611"/>
      <c r="AC454" s="1611"/>
      <c r="AD454" s="1611"/>
      <c r="AE454" s="1611"/>
      <c r="AF454" s="1611"/>
      <c r="AG454" s="1611"/>
      <c r="AH454" s="1611"/>
      <c r="AI454" s="1611"/>
      <c r="AJ454" s="1611"/>
      <c r="AK454" s="1611"/>
      <c r="AL454" s="1611"/>
      <c r="AM454" s="1611"/>
      <c r="AN454" s="1611"/>
      <c r="AO454" s="1611"/>
      <c r="AP454" s="1611"/>
      <c r="AQ454" s="1611"/>
    </row>
    <row r="455" spans="1:43" outlineLevel="2">
      <c r="A455" s="1638" t="s">
        <v>319</v>
      </c>
      <c r="B455" s="1637" t="s">
        <v>130</v>
      </c>
      <c r="C455" s="1636"/>
      <c r="D455" s="1635">
        <v>3</v>
      </c>
      <c r="E455" s="1634" t="s">
        <v>942</v>
      </c>
      <c r="F455" s="1633" t="s">
        <v>979</v>
      </c>
      <c r="G455" s="1632">
        <v>4374.0443941676149</v>
      </c>
      <c r="H455" s="1632">
        <v>4151.91</v>
      </c>
      <c r="I455" s="1630">
        <f t="shared" si="263"/>
        <v>8525.9543941676147</v>
      </c>
      <c r="J455" s="1630">
        <f t="shared" si="264"/>
        <v>25577.863182502842</v>
      </c>
      <c r="K455" s="1631">
        <v>8520</v>
      </c>
      <c r="L455" s="1630">
        <f t="shared" si="265"/>
        <v>8520</v>
      </c>
      <c r="M455" s="1630">
        <f t="shared" si="266"/>
        <v>25560</v>
      </c>
      <c r="N455" s="1625">
        <f t="shared" si="267"/>
        <v>17.863182502842392</v>
      </c>
      <c r="O455" s="1629">
        <v>0.57030000000000003</v>
      </c>
      <c r="P455" s="1629">
        <v>0.42970000000000003</v>
      </c>
      <c r="Q455" s="1625">
        <f t="shared" si="268"/>
        <v>10.187372981371016</v>
      </c>
      <c r="R455" s="1628">
        <f t="shared" si="269"/>
        <v>7.6758095214713764</v>
      </c>
      <c r="S455" s="1627">
        <f t="shared" si="270"/>
        <v>13111.945809521474</v>
      </c>
      <c r="T455" s="1627">
        <f t="shared" si="271"/>
        <v>12448.054190478528</v>
      </c>
      <c r="U455" s="1626">
        <f t="shared" si="272"/>
        <v>3277.9864523803685</v>
      </c>
      <c r="V455" s="1626">
        <f t="shared" si="273"/>
        <v>3112.0135476196319</v>
      </c>
      <c r="W455" s="1625">
        <f t="shared" si="274"/>
        <v>6390</v>
      </c>
      <c r="X455" s="1614"/>
      <c r="Y455" s="1613"/>
      <c r="Z455" s="1612">
        <f t="shared" si="275"/>
        <v>0.9993016155268567</v>
      </c>
      <c r="AA455" s="1611"/>
      <c r="AB455" s="1611"/>
      <c r="AC455" s="1611"/>
      <c r="AD455" s="1611"/>
      <c r="AE455" s="1611"/>
      <c r="AF455" s="1611"/>
      <c r="AG455" s="1611"/>
      <c r="AH455" s="1611"/>
      <c r="AI455" s="1611"/>
      <c r="AJ455" s="1611"/>
      <c r="AK455" s="1611"/>
      <c r="AL455" s="1611"/>
      <c r="AM455" s="1611"/>
      <c r="AN455" s="1611"/>
      <c r="AO455" s="1611"/>
      <c r="AP455" s="1611"/>
      <c r="AQ455" s="1611"/>
    </row>
    <row r="456" spans="1:43" outlineLevel="2">
      <c r="A456" s="1638" t="s">
        <v>319</v>
      </c>
      <c r="B456" s="1637" t="s">
        <v>130</v>
      </c>
      <c r="C456" s="1636"/>
      <c r="D456" s="1635">
        <v>18</v>
      </c>
      <c r="E456" s="1634" t="s">
        <v>967</v>
      </c>
      <c r="F456" s="1633" t="s">
        <v>1070</v>
      </c>
      <c r="G456" s="1632">
        <v>4374.0443941676149</v>
      </c>
      <c r="H456" s="1632">
        <v>4151.91</v>
      </c>
      <c r="I456" s="1630">
        <f t="shared" si="263"/>
        <v>8525.9543941676147</v>
      </c>
      <c r="J456" s="1630">
        <f t="shared" si="264"/>
        <v>153467.17909501705</v>
      </c>
      <c r="K456" s="1631">
        <v>4000</v>
      </c>
      <c r="L456" s="1630">
        <f t="shared" si="265"/>
        <v>4000</v>
      </c>
      <c r="M456" s="1630">
        <f t="shared" si="266"/>
        <v>72000</v>
      </c>
      <c r="N456" s="1625">
        <f t="shared" si="267"/>
        <v>81467.179095017054</v>
      </c>
      <c r="O456" s="1629">
        <v>0.57030000000000003</v>
      </c>
      <c r="P456" s="1629">
        <v>0.42970000000000003</v>
      </c>
      <c r="Q456" s="1625">
        <f t="shared" si="268"/>
        <v>46460.732237888231</v>
      </c>
      <c r="R456" s="1628">
        <f t="shared" si="269"/>
        <v>35006.446857128831</v>
      </c>
      <c r="S456" s="1627">
        <f t="shared" si="270"/>
        <v>32272.066857128833</v>
      </c>
      <c r="T456" s="1627">
        <f t="shared" si="271"/>
        <v>39727.933142871174</v>
      </c>
      <c r="U456" s="1626">
        <f t="shared" si="272"/>
        <v>8068.0167142822083</v>
      </c>
      <c r="V456" s="1626">
        <f t="shared" si="273"/>
        <v>9931.9832857177935</v>
      </c>
      <c r="W456" s="1625">
        <f t="shared" si="274"/>
        <v>18000</v>
      </c>
      <c r="X456" s="1614"/>
      <c r="Y456" s="1613"/>
      <c r="Z456" s="1612">
        <f t="shared" si="275"/>
        <v>0.46915568804077779</v>
      </c>
      <c r="AA456" s="1611"/>
      <c r="AB456" s="1611"/>
      <c r="AC456" s="1611"/>
      <c r="AD456" s="1611"/>
      <c r="AE456" s="1611"/>
      <c r="AF456" s="1611"/>
      <c r="AG456" s="1611"/>
      <c r="AH456" s="1611"/>
      <c r="AI456" s="1611"/>
      <c r="AJ456" s="1611"/>
      <c r="AK456" s="1611"/>
      <c r="AL456" s="1611"/>
      <c r="AM456" s="1611"/>
      <c r="AN456" s="1611"/>
      <c r="AO456" s="1611"/>
      <c r="AP456" s="1611"/>
      <c r="AQ456" s="1611"/>
    </row>
    <row r="457" spans="1:43" outlineLevel="2">
      <c r="A457" s="1638" t="s">
        <v>319</v>
      </c>
      <c r="B457" s="1637" t="s">
        <v>130</v>
      </c>
      <c r="C457" s="1636"/>
      <c r="D457" s="1635">
        <v>22</v>
      </c>
      <c r="E457" s="1634" t="s">
        <v>967</v>
      </c>
      <c r="F457" s="1633" t="s">
        <v>1069</v>
      </c>
      <c r="G457" s="1632">
        <v>4374.0443941676149</v>
      </c>
      <c r="H457" s="1632">
        <v>4151.91</v>
      </c>
      <c r="I457" s="1630">
        <f t="shared" si="263"/>
        <v>8525.9543941676147</v>
      </c>
      <c r="J457" s="1630">
        <f t="shared" si="264"/>
        <v>187570.99667168752</v>
      </c>
      <c r="K457" s="1631">
        <v>4000</v>
      </c>
      <c r="L457" s="1630">
        <f t="shared" si="265"/>
        <v>4000</v>
      </c>
      <c r="M457" s="1630">
        <f t="shared" si="266"/>
        <v>88000</v>
      </c>
      <c r="N457" s="1625">
        <f t="shared" si="267"/>
        <v>99570.996671687521</v>
      </c>
      <c r="O457" s="1629">
        <v>0.57030000000000003</v>
      </c>
      <c r="P457" s="1629">
        <v>0.42970000000000003</v>
      </c>
      <c r="Q457" s="1625">
        <f t="shared" si="268"/>
        <v>56785.339401863399</v>
      </c>
      <c r="R457" s="1628">
        <f t="shared" si="269"/>
        <v>42785.657269824129</v>
      </c>
      <c r="S457" s="1627">
        <f t="shared" si="270"/>
        <v>39443.637269824132</v>
      </c>
      <c r="T457" s="1627">
        <f t="shared" si="271"/>
        <v>48556.362730175861</v>
      </c>
      <c r="U457" s="1626">
        <f t="shared" si="272"/>
        <v>9860.909317456033</v>
      </c>
      <c r="V457" s="1626">
        <f t="shared" si="273"/>
        <v>12139.090682543965</v>
      </c>
      <c r="W457" s="1625">
        <f t="shared" si="274"/>
        <v>22000</v>
      </c>
      <c r="X457" s="1614"/>
      <c r="Y457" s="1613"/>
      <c r="Z457" s="1612">
        <f t="shared" si="275"/>
        <v>0.46915568804077779</v>
      </c>
      <c r="AA457" s="1611"/>
      <c r="AB457" s="1611"/>
      <c r="AC457" s="1611"/>
      <c r="AD457" s="1611"/>
      <c r="AE457" s="1611"/>
      <c r="AF457" s="1611"/>
      <c r="AG457" s="1611"/>
      <c r="AH457" s="1611"/>
      <c r="AI457" s="1611"/>
      <c r="AJ457" s="1611"/>
      <c r="AK457" s="1611"/>
      <c r="AL457" s="1611"/>
      <c r="AM457" s="1611"/>
      <c r="AN457" s="1611"/>
      <c r="AO457" s="1611"/>
      <c r="AP457" s="1611"/>
      <c r="AQ457" s="1611"/>
    </row>
    <row r="458" spans="1:43" outlineLevel="2">
      <c r="A458" s="1638" t="s">
        <v>319</v>
      </c>
      <c r="B458" s="1637" t="s">
        <v>130</v>
      </c>
      <c r="C458" s="1636"/>
      <c r="D458" s="1635">
        <v>18</v>
      </c>
      <c r="E458" s="1634" t="s">
        <v>967</v>
      </c>
      <c r="F458" s="1633" t="s">
        <v>1068</v>
      </c>
      <c r="G458" s="1632">
        <v>4374.0443941676149</v>
      </c>
      <c r="H458" s="1632">
        <v>4151.91</v>
      </c>
      <c r="I458" s="1630">
        <f t="shared" si="263"/>
        <v>8525.9543941676147</v>
      </c>
      <c r="J458" s="1630">
        <f t="shared" si="264"/>
        <v>153467.17909501705</v>
      </c>
      <c r="K458" s="1631">
        <v>4000</v>
      </c>
      <c r="L458" s="1630">
        <f t="shared" si="265"/>
        <v>4000</v>
      </c>
      <c r="M458" s="1630">
        <f t="shared" si="266"/>
        <v>72000</v>
      </c>
      <c r="N458" s="1625">
        <f t="shared" si="267"/>
        <v>81467.179095017054</v>
      </c>
      <c r="O458" s="1629">
        <v>0.57030000000000003</v>
      </c>
      <c r="P458" s="1629">
        <v>0.42970000000000003</v>
      </c>
      <c r="Q458" s="1625">
        <f t="shared" si="268"/>
        <v>46460.732237888231</v>
      </c>
      <c r="R458" s="1628">
        <f t="shared" si="269"/>
        <v>35006.446857128831</v>
      </c>
      <c r="S458" s="1627">
        <f t="shared" si="270"/>
        <v>32272.066857128833</v>
      </c>
      <c r="T458" s="1627">
        <f t="shared" si="271"/>
        <v>39727.933142871174</v>
      </c>
      <c r="U458" s="1626">
        <f t="shared" si="272"/>
        <v>8068.0167142822083</v>
      </c>
      <c r="V458" s="1626">
        <f t="shared" si="273"/>
        <v>9931.9832857177935</v>
      </c>
      <c r="W458" s="1625">
        <f t="shared" si="274"/>
        <v>18000</v>
      </c>
      <c r="X458" s="1614"/>
      <c r="Y458" s="1613"/>
      <c r="Z458" s="1612">
        <f t="shared" si="275"/>
        <v>0.46915568804077779</v>
      </c>
      <c r="AA458" s="1611"/>
      <c r="AB458" s="1611"/>
      <c r="AC458" s="1611"/>
      <c r="AD458" s="1611"/>
      <c r="AE458" s="1611"/>
      <c r="AF458" s="1611"/>
      <c r="AG458" s="1611"/>
      <c r="AH458" s="1611"/>
      <c r="AI458" s="1611"/>
      <c r="AJ458" s="1611"/>
      <c r="AK458" s="1611"/>
      <c r="AL458" s="1611"/>
      <c r="AM458" s="1611"/>
      <c r="AN458" s="1611"/>
      <c r="AO458" s="1611"/>
      <c r="AP458" s="1611"/>
      <c r="AQ458" s="1611"/>
    </row>
    <row r="459" spans="1:43" outlineLevel="2">
      <c r="A459" s="1638" t="s">
        <v>319</v>
      </c>
      <c r="B459" s="1637" t="s">
        <v>130</v>
      </c>
      <c r="C459" s="1636"/>
      <c r="D459" s="1635">
        <v>9</v>
      </c>
      <c r="E459" s="1634" t="s">
        <v>967</v>
      </c>
      <c r="F459" s="1633" t="s">
        <v>1071</v>
      </c>
      <c r="G459" s="1632">
        <v>4374.0443941676149</v>
      </c>
      <c r="H459" s="1632">
        <v>4151.91</v>
      </c>
      <c r="I459" s="1630">
        <f t="shared" si="263"/>
        <v>8525.9543941676147</v>
      </c>
      <c r="J459" s="1630">
        <f t="shared" si="264"/>
        <v>76733.589547508527</v>
      </c>
      <c r="K459" s="1631">
        <v>4000</v>
      </c>
      <c r="L459" s="1630">
        <f t="shared" si="265"/>
        <v>4000</v>
      </c>
      <c r="M459" s="1630">
        <f t="shared" si="266"/>
        <v>36000</v>
      </c>
      <c r="N459" s="1625">
        <f t="shared" si="267"/>
        <v>40733.589547508527</v>
      </c>
      <c r="O459" s="1629">
        <v>0.57030000000000003</v>
      </c>
      <c r="P459" s="1629">
        <v>0.42970000000000003</v>
      </c>
      <c r="Q459" s="1625">
        <f t="shared" si="268"/>
        <v>23230.366118944115</v>
      </c>
      <c r="R459" s="1628">
        <f t="shared" si="269"/>
        <v>17503.223428564415</v>
      </c>
      <c r="S459" s="1627">
        <f t="shared" si="270"/>
        <v>16136.033428564417</v>
      </c>
      <c r="T459" s="1627">
        <f t="shared" si="271"/>
        <v>19863.966571435587</v>
      </c>
      <c r="U459" s="1626">
        <f t="shared" si="272"/>
        <v>4034.0083571411042</v>
      </c>
      <c r="V459" s="1626">
        <f t="shared" si="273"/>
        <v>4965.9916428588967</v>
      </c>
      <c r="W459" s="1625">
        <f t="shared" si="274"/>
        <v>9000</v>
      </c>
      <c r="X459" s="1614"/>
      <c r="Y459" s="1613"/>
      <c r="Z459" s="1612">
        <f t="shared" si="275"/>
        <v>0.46915568804077779</v>
      </c>
      <c r="AA459" s="1611"/>
      <c r="AB459" s="1611"/>
      <c r="AC459" s="1611"/>
      <c r="AD459" s="1611"/>
      <c r="AE459" s="1611"/>
      <c r="AF459" s="1611"/>
      <c r="AG459" s="1611"/>
      <c r="AH459" s="1611"/>
      <c r="AI459" s="1611"/>
      <c r="AJ459" s="1611"/>
      <c r="AK459" s="1611"/>
      <c r="AL459" s="1611"/>
      <c r="AM459" s="1611"/>
      <c r="AN459" s="1611"/>
      <c r="AO459" s="1611"/>
      <c r="AP459" s="1611"/>
      <c r="AQ459" s="1611"/>
    </row>
    <row r="460" spans="1:43" outlineLevel="2">
      <c r="A460" s="1638" t="s">
        <v>319</v>
      </c>
      <c r="B460" s="1637" t="s">
        <v>130</v>
      </c>
      <c r="C460" s="1636"/>
      <c r="D460" s="1635">
        <v>7</v>
      </c>
      <c r="E460" s="1634" t="s">
        <v>967</v>
      </c>
      <c r="F460" s="1633" t="s">
        <v>1065</v>
      </c>
      <c r="G460" s="1632">
        <v>4374.0443941676149</v>
      </c>
      <c r="H460" s="1632">
        <v>4151.91</v>
      </c>
      <c r="I460" s="1630">
        <f t="shared" si="263"/>
        <v>8525.9543941676147</v>
      </c>
      <c r="J460" s="1630">
        <f t="shared" si="264"/>
        <v>59681.680759173301</v>
      </c>
      <c r="K460" s="1631">
        <v>4000</v>
      </c>
      <c r="L460" s="1630">
        <f t="shared" si="265"/>
        <v>4000</v>
      </c>
      <c r="M460" s="1630">
        <f t="shared" si="266"/>
        <v>28000</v>
      </c>
      <c r="N460" s="1625">
        <f t="shared" si="267"/>
        <v>31681.680759173301</v>
      </c>
      <c r="O460" s="1629">
        <v>0.57030000000000003</v>
      </c>
      <c r="P460" s="1629">
        <v>0.42970000000000003</v>
      </c>
      <c r="Q460" s="1625">
        <f t="shared" si="268"/>
        <v>18068.062536956535</v>
      </c>
      <c r="R460" s="1628">
        <f t="shared" si="269"/>
        <v>13613.618222216768</v>
      </c>
      <c r="S460" s="1627">
        <f t="shared" si="270"/>
        <v>12550.248222216771</v>
      </c>
      <c r="T460" s="1627">
        <f t="shared" si="271"/>
        <v>15449.751777783231</v>
      </c>
      <c r="U460" s="1626">
        <f t="shared" si="272"/>
        <v>3137.5620555541927</v>
      </c>
      <c r="V460" s="1626">
        <f t="shared" si="273"/>
        <v>3862.4379444458077</v>
      </c>
      <c r="W460" s="1625">
        <f t="shared" si="274"/>
        <v>7000</v>
      </c>
      <c r="X460" s="1614"/>
      <c r="Y460" s="1613"/>
      <c r="Z460" s="1612">
        <f t="shared" si="275"/>
        <v>0.46915568804077779</v>
      </c>
      <c r="AA460" s="1611"/>
      <c r="AB460" s="1611"/>
      <c r="AC460" s="1611"/>
      <c r="AD460" s="1611"/>
      <c r="AE460" s="1611"/>
      <c r="AF460" s="1611"/>
      <c r="AG460" s="1611"/>
      <c r="AH460" s="1611"/>
      <c r="AI460" s="1611"/>
      <c r="AJ460" s="1611"/>
      <c r="AK460" s="1611"/>
      <c r="AL460" s="1611"/>
      <c r="AM460" s="1611"/>
      <c r="AN460" s="1611"/>
      <c r="AO460" s="1611"/>
      <c r="AP460" s="1611"/>
      <c r="AQ460" s="1611"/>
    </row>
    <row r="461" spans="1:43" outlineLevel="2">
      <c r="A461" s="1638" t="s">
        <v>319</v>
      </c>
      <c r="B461" s="1637" t="s">
        <v>130</v>
      </c>
      <c r="C461" s="1636"/>
      <c r="D461" s="1635">
        <v>10</v>
      </c>
      <c r="E461" s="1634" t="s">
        <v>967</v>
      </c>
      <c r="F461" s="1633" t="s">
        <v>1064</v>
      </c>
      <c r="G461" s="1632">
        <v>4374.0443941676149</v>
      </c>
      <c r="H461" s="1632">
        <v>4151.91</v>
      </c>
      <c r="I461" s="1630">
        <f t="shared" si="263"/>
        <v>8525.9543941676147</v>
      </c>
      <c r="J461" s="1630">
        <f t="shared" si="264"/>
        <v>85259.543941676151</v>
      </c>
      <c r="K461" s="1631">
        <v>4000</v>
      </c>
      <c r="L461" s="1630">
        <f t="shared" si="265"/>
        <v>4000</v>
      </c>
      <c r="M461" s="1630">
        <f t="shared" si="266"/>
        <v>40000</v>
      </c>
      <c r="N461" s="1625">
        <f t="shared" si="267"/>
        <v>45259.543941676151</v>
      </c>
      <c r="O461" s="1629">
        <v>0.57030000000000003</v>
      </c>
      <c r="P461" s="1629">
        <v>0.42970000000000003</v>
      </c>
      <c r="Q461" s="1625">
        <f t="shared" si="268"/>
        <v>25811.517909937909</v>
      </c>
      <c r="R461" s="1628">
        <f t="shared" si="269"/>
        <v>19448.026031738242</v>
      </c>
      <c r="S461" s="1627">
        <f t="shared" si="270"/>
        <v>17928.926031738236</v>
      </c>
      <c r="T461" s="1627">
        <f t="shared" si="271"/>
        <v>22071.073968261757</v>
      </c>
      <c r="U461" s="1626">
        <f t="shared" si="272"/>
        <v>4482.231507934559</v>
      </c>
      <c r="V461" s="1626">
        <f t="shared" si="273"/>
        <v>5517.7684920654392</v>
      </c>
      <c r="W461" s="1625">
        <f t="shared" si="274"/>
        <v>9999.9999999999982</v>
      </c>
      <c r="X461" s="1614"/>
      <c r="Y461" s="1613"/>
      <c r="Z461" s="1612">
        <f t="shared" si="275"/>
        <v>0.46915568804077779</v>
      </c>
      <c r="AA461" s="1611"/>
      <c r="AB461" s="1611"/>
      <c r="AC461" s="1611"/>
      <c r="AD461" s="1611"/>
      <c r="AE461" s="1611"/>
      <c r="AF461" s="1611"/>
      <c r="AG461" s="1611"/>
      <c r="AH461" s="1611"/>
      <c r="AI461" s="1611"/>
      <c r="AJ461" s="1611"/>
      <c r="AK461" s="1611"/>
      <c r="AL461" s="1611"/>
      <c r="AM461" s="1611"/>
      <c r="AN461" s="1611"/>
      <c r="AO461" s="1611"/>
      <c r="AP461" s="1611"/>
      <c r="AQ461" s="1611"/>
    </row>
    <row r="462" spans="1:43" outlineLevel="2">
      <c r="A462" s="1638" t="s">
        <v>319</v>
      </c>
      <c r="B462" s="1637" t="s">
        <v>130</v>
      </c>
      <c r="C462" s="1636"/>
      <c r="D462" s="1635">
        <v>11</v>
      </c>
      <c r="E462" s="1634" t="s">
        <v>967</v>
      </c>
      <c r="F462" s="1633" t="s">
        <v>1063</v>
      </c>
      <c r="G462" s="1632">
        <v>4374.0443941676149</v>
      </c>
      <c r="H462" s="1632">
        <v>4151.91</v>
      </c>
      <c r="I462" s="1630">
        <f t="shared" si="263"/>
        <v>8525.9543941676147</v>
      </c>
      <c r="J462" s="1630">
        <f t="shared" si="264"/>
        <v>93785.49833584376</v>
      </c>
      <c r="K462" s="1631">
        <v>4000</v>
      </c>
      <c r="L462" s="1630">
        <f t="shared" si="265"/>
        <v>4000</v>
      </c>
      <c r="M462" s="1630">
        <f t="shared" si="266"/>
        <v>44000</v>
      </c>
      <c r="N462" s="1625">
        <f t="shared" si="267"/>
        <v>49785.49833584376</v>
      </c>
      <c r="O462" s="1629">
        <v>0.57030000000000003</v>
      </c>
      <c r="P462" s="1629">
        <v>0.42970000000000003</v>
      </c>
      <c r="Q462" s="1625">
        <f t="shared" si="268"/>
        <v>28392.669700931699</v>
      </c>
      <c r="R462" s="1628">
        <f t="shared" si="269"/>
        <v>21392.828634912064</v>
      </c>
      <c r="S462" s="1627">
        <f t="shared" si="270"/>
        <v>19721.818634912066</v>
      </c>
      <c r="T462" s="1627">
        <f t="shared" si="271"/>
        <v>24278.18136508793</v>
      </c>
      <c r="U462" s="1626">
        <f t="shared" si="272"/>
        <v>4930.4546587280165</v>
      </c>
      <c r="V462" s="1626">
        <f t="shared" si="273"/>
        <v>6069.5453412719826</v>
      </c>
      <c r="W462" s="1625">
        <f t="shared" si="274"/>
        <v>11000</v>
      </c>
      <c r="X462" s="1614"/>
      <c r="Y462" s="1613"/>
      <c r="Z462" s="1612">
        <f t="shared" si="275"/>
        <v>0.46915568804077779</v>
      </c>
      <c r="AA462" s="1611"/>
      <c r="AB462" s="1611"/>
      <c r="AC462" s="1611"/>
      <c r="AD462" s="1611"/>
      <c r="AE462" s="1611"/>
      <c r="AF462" s="1611"/>
      <c r="AG462" s="1611"/>
      <c r="AH462" s="1611"/>
      <c r="AI462" s="1611"/>
      <c r="AJ462" s="1611"/>
      <c r="AK462" s="1611"/>
      <c r="AL462" s="1611"/>
      <c r="AM462" s="1611"/>
      <c r="AN462" s="1611"/>
      <c r="AO462" s="1611"/>
      <c r="AP462" s="1611"/>
      <c r="AQ462" s="1611"/>
    </row>
    <row r="463" spans="1:43" outlineLevel="2">
      <c r="A463" s="1638" t="s">
        <v>319</v>
      </c>
      <c r="B463" s="1637" t="s">
        <v>130</v>
      </c>
      <c r="C463" s="1636"/>
      <c r="D463" s="1635">
        <v>20</v>
      </c>
      <c r="E463" s="1634" t="s">
        <v>967</v>
      </c>
      <c r="F463" s="1633" t="s">
        <v>979</v>
      </c>
      <c r="G463" s="1632">
        <v>4374.0443941676149</v>
      </c>
      <c r="H463" s="1632">
        <v>4151.91</v>
      </c>
      <c r="I463" s="1630">
        <f t="shared" si="263"/>
        <v>8525.9543941676147</v>
      </c>
      <c r="J463" s="1630">
        <f t="shared" si="264"/>
        <v>170519.0878833523</v>
      </c>
      <c r="K463" s="1631">
        <v>4000</v>
      </c>
      <c r="L463" s="1630">
        <f t="shared" si="265"/>
        <v>4000</v>
      </c>
      <c r="M463" s="1630">
        <f t="shared" si="266"/>
        <v>80000</v>
      </c>
      <c r="N463" s="1625">
        <f t="shared" si="267"/>
        <v>90519.087883352302</v>
      </c>
      <c r="O463" s="1629">
        <v>0.57030000000000003</v>
      </c>
      <c r="P463" s="1629">
        <v>0.42970000000000003</v>
      </c>
      <c r="Q463" s="1625">
        <f t="shared" si="268"/>
        <v>51623.035819875819</v>
      </c>
      <c r="R463" s="1628">
        <f t="shared" si="269"/>
        <v>38896.052063476483</v>
      </c>
      <c r="S463" s="1627">
        <f t="shared" si="270"/>
        <v>35857.852063476472</v>
      </c>
      <c r="T463" s="1627">
        <f t="shared" si="271"/>
        <v>44142.147936523514</v>
      </c>
      <c r="U463" s="1626">
        <f t="shared" si="272"/>
        <v>8964.463015869118</v>
      </c>
      <c r="V463" s="1626">
        <f t="shared" si="273"/>
        <v>11035.536984130878</v>
      </c>
      <c r="W463" s="1625">
        <f t="shared" si="274"/>
        <v>19999.999999999996</v>
      </c>
      <c r="X463" s="1614"/>
      <c r="Y463" s="1613"/>
      <c r="Z463" s="1612">
        <f t="shared" si="275"/>
        <v>0.46915568804077779</v>
      </c>
      <c r="AA463" s="1611"/>
      <c r="AB463" s="1611"/>
      <c r="AC463" s="1611"/>
      <c r="AD463" s="1611"/>
      <c r="AE463" s="1611"/>
      <c r="AF463" s="1611"/>
      <c r="AG463" s="1611"/>
      <c r="AH463" s="1611"/>
      <c r="AI463" s="1611"/>
      <c r="AJ463" s="1611"/>
      <c r="AK463" s="1611"/>
      <c r="AL463" s="1611"/>
      <c r="AM463" s="1611"/>
      <c r="AN463" s="1611"/>
      <c r="AO463" s="1611"/>
      <c r="AP463" s="1611"/>
      <c r="AQ463" s="1611"/>
    </row>
    <row r="464" spans="1:43" outlineLevel="2">
      <c r="A464" s="1638" t="s">
        <v>319</v>
      </c>
      <c r="B464" s="1637" t="s">
        <v>130</v>
      </c>
      <c r="C464" s="1636"/>
      <c r="D464" s="1635">
        <v>2</v>
      </c>
      <c r="E464" s="1634" t="s">
        <v>934</v>
      </c>
      <c r="F464" s="1633" t="s">
        <v>1068</v>
      </c>
      <c r="G464" s="1632">
        <v>4374.0443941676149</v>
      </c>
      <c r="H464" s="1632">
        <v>4151.91</v>
      </c>
      <c r="I464" s="1630">
        <f t="shared" si="263"/>
        <v>8525.9543941676147</v>
      </c>
      <c r="J464" s="1630">
        <f t="shared" si="264"/>
        <v>17051.908788335229</v>
      </c>
      <c r="K464" s="1631">
        <v>4530</v>
      </c>
      <c r="L464" s="1630">
        <f t="shared" si="265"/>
        <v>4530</v>
      </c>
      <c r="M464" s="1630">
        <f t="shared" si="266"/>
        <v>9060</v>
      </c>
      <c r="N464" s="1625">
        <f t="shared" si="267"/>
        <v>7991.9087883352295</v>
      </c>
      <c r="O464" s="1629">
        <v>0.57030000000000003</v>
      </c>
      <c r="P464" s="1629">
        <v>0.42970000000000003</v>
      </c>
      <c r="Q464" s="1625">
        <f t="shared" si="268"/>
        <v>4557.7855819875813</v>
      </c>
      <c r="R464" s="1628">
        <f t="shared" si="269"/>
        <v>3434.1232063476482</v>
      </c>
      <c r="S464" s="1627">
        <f t="shared" si="270"/>
        <v>4190.3032063476485</v>
      </c>
      <c r="T464" s="1627">
        <f t="shared" si="271"/>
        <v>4869.6967936523515</v>
      </c>
      <c r="U464" s="1626">
        <f t="shared" si="272"/>
        <v>1047.5758015869121</v>
      </c>
      <c r="V464" s="1626">
        <f t="shared" si="273"/>
        <v>1217.4241984130879</v>
      </c>
      <c r="W464" s="1625">
        <f t="shared" si="274"/>
        <v>2265</v>
      </c>
      <c r="X464" s="1614"/>
      <c r="Y464" s="1613"/>
      <c r="Z464" s="1612">
        <f t="shared" si="275"/>
        <v>0.53131881670618086</v>
      </c>
      <c r="AA464" s="1611"/>
      <c r="AB464" s="1611"/>
      <c r="AC464" s="1611"/>
      <c r="AD464" s="1611"/>
      <c r="AE464" s="1611"/>
      <c r="AF464" s="1611"/>
      <c r="AG464" s="1611"/>
      <c r="AH464" s="1611"/>
      <c r="AI464" s="1611"/>
      <c r="AJ464" s="1611"/>
      <c r="AK464" s="1611"/>
      <c r="AL464" s="1611"/>
      <c r="AM464" s="1611"/>
      <c r="AN464" s="1611"/>
      <c r="AO464" s="1611"/>
      <c r="AP464" s="1611"/>
      <c r="AQ464" s="1611"/>
    </row>
    <row r="465" spans="1:43" outlineLevel="2">
      <c r="A465" s="1638" t="s">
        <v>319</v>
      </c>
      <c r="B465" s="1637" t="s">
        <v>130</v>
      </c>
      <c r="C465" s="1636"/>
      <c r="D465" s="1635">
        <v>1</v>
      </c>
      <c r="E465" s="1634" t="s">
        <v>934</v>
      </c>
      <c r="F465" s="1633" t="s">
        <v>1065</v>
      </c>
      <c r="G465" s="1632">
        <v>4374.0443941676149</v>
      </c>
      <c r="H465" s="1632">
        <v>4151.91</v>
      </c>
      <c r="I465" s="1630">
        <f t="shared" si="263"/>
        <v>8525.9543941676147</v>
      </c>
      <c r="J465" s="1630">
        <f t="shared" si="264"/>
        <v>8525.9543941676147</v>
      </c>
      <c r="K465" s="1631">
        <v>4530</v>
      </c>
      <c r="L465" s="1630">
        <f t="shared" si="265"/>
        <v>4530</v>
      </c>
      <c r="M465" s="1630">
        <f t="shared" si="266"/>
        <v>4530</v>
      </c>
      <c r="N465" s="1625">
        <f t="shared" si="267"/>
        <v>3995.9543941676147</v>
      </c>
      <c r="O465" s="1629">
        <v>0.57030000000000003</v>
      </c>
      <c r="P465" s="1629">
        <v>0.42970000000000003</v>
      </c>
      <c r="Q465" s="1625">
        <f t="shared" si="268"/>
        <v>2278.8927909937906</v>
      </c>
      <c r="R465" s="1628">
        <f t="shared" si="269"/>
        <v>1717.0616031738241</v>
      </c>
      <c r="S465" s="1627">
        <f t="shared" si="270"/>
        <v>2095.1516031738242</v>
      </c>
      <c r="T465" s="1627">
        <f t="shared" si="271"/>
        <v>2434.8483968261758</v>
      </c>
      <c r="U465" s="1626">
        <f t="shared" si="272"/>
        <v>523.78790079345606</v>
      </c>
      <c r="V465" s="1626">
        <f t="shared" si="273"/>
        <v>608.71209920654394</v>
      </c>
      <c r="W465" s="1625">
        <f t="shared" si="274"/>
        <v>1132.5</v>
      </c>
      <c r="X465" s="1614"/>
      <c r="Y465" s="1613"/>
      <c r="Z465" s="1612">
        <f t="shared" si="275"/>
        <v>0.53131881670618086</v>
      </c>
      <c r="AA465" s="1611"/>
      <c r="AB465" s="1611"/>
      <c r="AC465" s="1611"/>
      <c r="AD465" s="1611"/>
      <c r="AE465" s="1611"/>
      <c r="AF465" s="1611"/>
      <c r="AG465" s="1611"/>
      <c r="AH465" s="1611"/>
      <c r="AI465" s="1611"/>
      <c r="AJ465" s="1611"/>
      <c r="AK465" s="1611"/>
      <c r="AL465" s="1611"/>
      <c r="AM465" s="1611"/>
      <c r="AN465" s="1611"/>
      <c r="AO465" s="1611"/>
      <c r="AP465" s="1611"/>
      <c r="AQ465" s="1611"/>
    </row>
    <row r="466" spans="1:43" outlineLevel="2">
      <c r="A466" s="1638" t="s">
        <v>319</v>
      </c>
      <c r="B466" s="1637" t="s">
        <v>130</v>
      </c>
      <c r="C466" s="1636"/>
      <c r="D466" s="1635">
        <v>2</v>
      </c>
      <c r="E466" s="1634" t="s">
        <v>933</v>
      </c>
      <c r="F466" s="1633" t="s">
        <v>1070</v>
      </c>
      <c r="G466" s="1632">
        <v>4374.0443941676149</v>
      </c>
      <c r="H466" s="1632">
        <v>4151.91</v>
      </c>
      <c r="I466" s="1630">
        <f t="shared" si="263"/>
        <v>8525.9543941676147</v>
      </c>
      <c r="J466" s="1630">
        <f t="shared" si="264"/>
        <v>17051.908788335229</v>
      </c>
      <c r="K466" s="1631">
        <v>4465</v>
      </c>
      <c r="L466" s="1630">
        <f t="shared" si="265"/>
        <v>4465</v>
      </c>
      <c r="M466" s="1630">
        <f t="shared" si="266"/>
        <v>8930</v>
      </c>
      <c r="N466" s="1625">
        <f t="shared" si="267"/>
        <v>8121.9087883352295</v>
      </c>
      <c r="O466" s="1629">
        <v>0.57030000000000003</v>
      </c>
      <c r="P466" s="1629">
        <v>0.42970000000000003</v>
      </c>
      <c r="Q466" s="1625">
        <f t="shared" si="268"/>
        <v>4631.9245819875814</v>
      </c>
      <c r="R466" s="1628">
        <f t="shared" si="269"/>
        <v>3489.9842063476485</v>
      </c>
      <c r="S466" s="1627">
        <f t="shared" si="270"/>
        <v>4116.1642063476484</v>
      </c>
      <c r="T466" s="1627">
        <f t="shared" si="271"/>
        <v>4813.8357936523516</v>
      </c>
      <c r="U466" s="1626">
        <f t="shared" si="272"/>
        <v>1029.0410515869121</v>
      </c>
      <c r="V466" s="1626">
        <f t="shared" si="273"/>
        <v>1203.4589484130879</v>
      </c>
      <c r="W466" s="1625">
        <f t="shared" si="274"/>
        <v>2232.5</v>
      </c>
      <c r="X466" s="1614"/>
      <c r="Y466" s="1613"/>
      <c r="Z466" s="1612">
        <f t="shared" si="275"/>
        <v>0.52369503677551821</v>
      </c>
      <c r="AA466" s="1611"/>
      <c r="AB466" s="1611"/>
      <c r="AC466" s="1611"/>
      <c r="AD466" s="1611"/>
      <c r="AE466" s="1611"/>
      <c r="AF466" s="1611"/>
      <c r="AG466" s="1611"/>
      <c r="AH466" s="1611"/>
      <c r="AI466" s="1611"/>
      <c r="AJ466" s="1611"/>
      <c r="AK466" s="1611"/>
      <c r="AL466" s="1611"/>
      <c r="AM466" s="1611"/>
      <c r="AN466" s="1611"/>
      <c r="AO466" s="1611"/>
      <c r="AP466" s="1611"/>
      <c r="AQ466" s="1611"/>
    </row>
    <row r="467" spans="1:43" outlineLevel="2">
      <c r="A467" s="1638" t="s">
        <v>319</v>
      </c>
      <c r="B467" s="1637" t="s">
        <v>130</v>
      </c>
      <c r="C467" s="1636"/>
      <c r="D467" s="1635">
        <v>4</v>
      </c>
      <c r="E467" s="1634" t="s">
        <v>933</v>
      </c>
      <c r="F467" s="1633" t="s">
        <v>1069</v>
      </c>
      <c r="G467" s="1632">
        <v>4374.0443941676149</v>
      </c>
      <c r="H467" s="1632">
        <v>4151.91</v>
      </c>
      <c r="I467" s="1630">
        <f t="shared" si="263"/>
        <v>8525.9543941676147</v>
      </c>
      <c r="J467" s="1630">
        <f t="shared" si="264"/>
        <v>34103.817576670459</v>
      </c>
      <c r="K467" s="1631">
        <v>4465</v>
      </c>
      <c r="L467" s="1630">
        <f t="shared" si="265"/>
        <v>4465</v>
      </c>
      <c r="M467" s="1630">
        <f t="shared" si="266"/>
        <v>17860</v>
      </c>
      <c r="N467" s="1625">
        <f t="shared" si="267"/>
        <v>16243.817576670459</v>
      </c>
      <c r="O467" s="1629">
        <v>0.57030000000000003</v>
      </c>
      <c r="P467" s="1629">
        <v>0.42970000000000003</v>
      </c>
      <c r="Q467" s="1625">
        <f t="shared" si="268"/>
        <v>9263.8491639751628</v>
      </c>
      <c r="R467" s="1628">
        <f t="shared" si="269"/>
        <v>6979.968412695297</v>
      </c>
      <c r="S467" s="1627">
        <f t="shared" si="270"/>
        <v>8232.3284126952967</v>
      </c>
      <c r="T467" s="1627">
        <f t="shared" si="271"/>
        <v>9627.6715873047033</v>
      </c>
      <c r="U467" s="1626">
        <f t="shared" si="272"/>
        <v>2058.0821031738242</v>
      </c>
      <c r="V467" s="1626">
        <f t="shared" si="273"/>
        <v>2406.9178968261758</v>
      </c>
      <c r="W467" s="1625">
        <f t="shared" si="274"/>
        <v>4465</v>
      </c>
      <c r="X467" s="1614"/>
      <c r="Y467" s="1613"/>
      <c r="Z467" s="1612">
        <f t="shared" si="275"/>
        <v>0.52369503677551821</v>
      </c>
      <c r="AA467" s="1611"/>
      <c r="AB467" s="1611"/>
      <c r="AC467" s="1611"/>
      <c r="AD467" s="1611"/>
      <c r="AE467" s="1611"/>
      <c r="AF467" s="1611"/>
      <c r="AG467" s="1611"/>
      <c r="AH467" s="1611"/>
      <c r="AI467" s="1611"/>
      <c r="AJ467" s="1611"/>
      <c r="AK467" s="1611"/>
      <c r="AL467" s="1611"/>
      <c r="AM467" s="1611"/>
      <c r="AN467" s="1611"/>
      <c r="AO467" s="1611"/>
      <c r="AP467" s="1611"/>
      <c r="AQ467" s="1611"/>
    </row>
    <row r="468" spans="1:43" outlineLevel="2">
      <c r="A468" s="1638" t="s">
        <v>319</v>
      </c>
      <c r="B468" s="1637" t="s">
        <v>130</v>
      </c>
      <c r="C468" s="1636"/>
      <c r="D468" s="1635">
        <v>0</v>
      </c>
      <c r="E468" s="1634" t="s">
        <v>933</v>
      </c>
      <c r="F468" s="1633" t="s">
        <v>1068</v>
      </c>
      <c r="G468" s="1632">
        <v>4374.0443941676149</v>
      </c>
      <c r="H468" s="1632">
        <v>4151.91</v>
      </c>
      <c r="I468" s="1630">
        <f t="shared" si="263"/>
        <v>8525.9543941676147</v>
      </c>
      <c r="J468" s="1630">
        <f t="shared" si="264"/>
        <v>0</v>
      </c>
      <c r="K468" s="1631">
        <v>4465</v>
      </c>
      <c r="L468" s="1630">
        <f t="shared" si="265"/>
        <v>4465</v>
      </c>
      <c r="M468" s="1630">
        <f t="shared" si="266"/>
        <v>0</v>
      </c>
      <c r="N468" s="1625">
        <f t="shared" si="267"/>
        <v>0</v>
      </c>
      <c r="O468" s="1629">
        <v>0.57030000000000003</v>
      </c>
      <c r="P468" s="1629">
        <v>0.42970000000000003</v>
      </c>
      <c r="Q468" s="1625">
        <f t="shared" si="268"/>
        <v>0</v>
      </c>
      <c r="R468" s="1628">
        <f t="shared" si="269"/>
        <v>0</v>
      </c>
      <c r="S468" s="1627">
        <f t="shared" si="270"/>
        <v>0</v>
      </c>
      <c r="T468" s="1627">
        <f t="shared" si="271"/>
        <v>0</v>
      </c>
      <c r="U468" s="1626">
        <f t="shared" si="272"/>
        <v>0</v>
      </c>
      <c r="V468" s="1626">
        <f t="shared" si="273"/>
        <v>0</v>
      </c>
      <c r="W468" s="1625">
        <f t="shared" si="274"/>
        <v>0</v>
      </c>
      <c r="X468" s="1614"/>
      <c r="Y468" s="1613"/>
      <c r="Z468" s="1612">
        <f t="shared" si="275"/>
        <v>0.52369503677551821</v>
      </c>
      <c r="AA468" s="1611"/>
      <c r="AB468" s="1611"/>
      <c r="AC468" s="1611"/>
      <c r="AD468" s="1611"/>
      <c r="AE468" s="1611"/>
      <c r="AF468" s="1611"/>
      <c r="AG468" s="1611"/>
      <c r="AH468" s="1611"/>
      <c r="AI468" s="1611"/>
      <c r="AJ468" s="1611"/>
      <c r="AK468" s="1611"/>
      <c r="AL468" s="1611"/>
      <c r="AM468" s="1611"/>
      <c r="AN468" s="1611"/>
      <c r="AO468" s="1611"/>
      <c r="AP468" s="1611"/>
      <c r="AQ468" s="1611"/>
    </row>
    <row r="469" spans="1:43" outlineLevel="2">
      <c r="A469" s="1638" t="s">
        <v>319</v>
      </c>
      <c r="B469" s="1637" t="s">
        <v>130</v>
      </c>
      <c r="C469" s="1636"/>
      <c r="D469" s="1635">
        <v>1</v>
      </c>
      <c r="E469" s="1634" t="s">
        <v>933</v>
      </c>
      <c r="F469" s="1633" t="s">
        <v>1063</v>
      </c>
      <c r="G469" s="1632">
        <v>4374.0443941676149</v>
      </c>
      <c r="H469" s="1632">
        <v>4151.91</v>
      </c>
      <c r="I469" s="1630">
        <f t="shared" si="263"/>
        <v>8525.9543941676147</v>
      </c>
      <c r="J469" s="1630">
        <f t="shared" si="264"/>
        <v>8525.9543941676147</v>
      </c>
      <c r="K469" s="1631">
        <v>4465</v>
      </c>
      <c r="L469" s="1630">
        <f t="shared" si="265"/>
        <v>4465</v>
      </c>
      <c r="M469" s="1630">
        <f t="shared" si="266"/>
        <v>4465</v>
      </c>
      <c r="N469" s="1625">
        <f t="shared" si="267"/>
        <v>4060.9543941676147</v>
      </c>
      <c r="O469" s="1629">
        <v>0.57030000000000003</v>
      </c>
      <c r="P469" s="1629">
        <v>0.42970000000000003</v>
      </c>
      <c r="Q469" s="1625">
        <f t="shared" si="268"/>
        <v>2315.9622909937907</v>
      </c>
      <c r="R469" s="1628">
        <f t="shared" si="269"/>
        <v>1744.9921031738243</v>
      </c>
      <c r="S469" s="1627">
        <f t="shared" si="270"/>
        <v>2058.0821031738242</v>
      </c>
      <c r="T469" s="1627">
        <f t="shared" si="271"/>
        <v>2406.9178968261758</v>
      </c>
      <c r="U469" s="1626">
        <f t="shared" si="272"/>
        <v>514.52052579345604</v>
      </c>
      <c r="V469" s="1626">
        <f t="shared" si="273"/>
        <v>601.72947420654396</v>
      </c>
      <c r="W469" s="1625">
        <f t="shared" si="274"/>
        <v>1116.25</v>
      </c>
      <c r="X469" s="1614"/>
      <c r="Y469" s="1613"/>
      <c r="Z469" s="1612">
        <f t="shared" si="275"/>
        <v>0.52369503677551821</v>
      </c>
      <c r="AA469" s="1611"/>
      <c r="AB469" s="1611"/>
      <c r="AC469" s="1611"/>
      <c r="AD469" s="1611"/>
      <c r="AE469" s="1611"/>
      <c r="AF469" s="1611"/>
      <c r="AG469" s="1611"/>
      <c r="AH469" s="1611"/>
      <c r="AI469" s="1611"/>
      <c r="AJ469" s="1611"/>
      <c r="AK469" s="1611"/>
      <c r="AL469" s="1611"/>
      <c r="AM469" s="1611"/>
      <c r="AN469" s="1611"/>
      <c r="AO469" s="1611"/>
      <c r="AP469" s="1611"/>
      <c r="AQ469" s="1611"/>
    </row>
    <row r="470" spans="1:43" outlineLevel="2">
      <c r="A470" s="1638" t="s">
        <v>319</v>
      </c>
      <c r="B470" s="1637" t="s">
        <v>130</v>
      </c>
      <c r="C470" s="1636"/>
      <c r="D470" s="1635">
        <v>2</v>
      </c>
      <c r="E470" s="1634" t="s">
        <v>933</v>
      </c>
      <c r="F470" s="1633" t="s">
        <v>979</v>
      </c>
      <c r="G470" s="1632">
        <v>4374.0443941676149</v>
      </c>
      <c r="H470" s="1632">
        <v>4151.91</v>
      </c>
      <c r="I470" s="1630">
        <f t="shared" si="263"/>
        <v>8525.9543941676147</v>
      </c>
      <c r="J470" s="1630">
        <f t="shared" si="264"/>
        <v>17051.908788335229</v>
      </c>
      <c r="K470" s="1631">
        <v>4465</v>
      </c>
      <c r="L470" s="1630">
        <f t="shared" si="265"/>
        <v>4465</v>
      </c>
      <c r="M470" s="1630">
        <f t="shared" si="266"/>
        <v>8930</v>
      </c>
      <c r="N470" s="1625">
        <f t="shared" si="267"/>
        <v>8121.9087883352295</v>
      </c>
      <c r="O470" s="1629">
        <v>0.57030000000000003</v>
      </c>
      <c r="P470" s="1629">
        <v>0.42970000000000003</v>
      </c>
      <c r="Q470" s="1625">
        <f t="shared" si="268"/>
        <v>4631.9245819875814</v>
      </c>
      <c r="R470" s="1628">
        <f t="shared" si="269"/>
        <v>3489.9842063476485</v>
      </c>
      <c r="S470" s="1627">
        <f t="shared" si="270"/>
        <v>4116.1642063476484</v>
      </c>
      <c r="T470" s="1627">
        <f t="shared" si="271"/>
        <v>4813.8357936523516</v>
      </c>
      <c r="U470" s="1626">
        <f t="shared" si="272"/>
        <v>1029.0410515869121</v>
      </c>
      <c r="V470" s="1626">
        <f t="shared" si="273"/>
        <v>1203.4589484130879</v>
      </c>
      <c r="W470" s="1625">
        <f t="shared" si="274"/>
        <v>2232.5</v>
      </c>
      <c r="X470" s="1614"/>
      <c r="Y470" s="1613"/>
      <c r="Z470" s="1612">
        <f t="shared" si="275"/>
        <v>0.52369503677551821</v>
      </c>
      <c r="AA470" s="1611"/>
      <c r="AB470" s="1611"/>
      <c r="AC470" s="1611"/>
      <c r="AD470" s="1611"/>
      <c r="AE470" s="1611"/>
      <c r="AF470" s="1611"/>
      <c r="AG470" s="1611"/>
      <c r="AH470" s="1611"/>
      <c r="AI470" s="1611"/>
      <c r="AJ470" s="1611"/>
      <c r="AK470" s="1611"/>
      <c r="AL470" s="1611"/>
      <c r="AM470" s="1611"/>
      <c r="AN470" s="1611"/>
      <c r="AO470" s="1611"/>
      <c r="AP470" s="1611"/>
      <c r="AQ470" s="1611"/>
    </row>
    <row r="471" spans="1:43" outlineLevel="2">
      <c r="A471" s="1638" t="s">
        <v>319</v>
      </c>
      <c r="B471" s="1637" t="s">
        <v>130</v>
      </c>
      <c r="C471" s="1636"/>
      <c r="D471" s="1635">
        <v>7</v>
      </c>
      <c r="E471" s="1634" t="s">
        <v>920</v>
      </c>
      <c r="F471" s="1633" t="s">
        <v>1070</v>
      </c>
      <c r="G471" s="1632">
        <v>4374.0443941676149</v>
      </c>
      <c r="H471" s="1632">
        <v>4151.91</v>
      </c>
      <c r="I471" s="1630">
        <f t="shared" si="263"/>
        <v>8525.9543941676147</v>
      </c>
      <c r="J471" s="1630">
        <f t="shared" si="264"/>
        <v>59681.680759173301</v>
      </c>
      <c r="K471" s="1631">
        <v>5005</v>
      </c>
      <c r="L471" s="1630">
        <f t="shared" si="265"/>
        <v>5005</v>
      </c>
      <c r="M471" s="1630">
        <f t="shared" si="266"/>
        <v>35035</v>
      </c>
      <c r="N471" s="1625">
        <f t="shared" si="267"/>
        <v>24646.680759173301</v>
      </c>
      <c r="O471" s="1629">
        <v>0.57030000000000003</v>
      </c>
      <c r="P471" s="1629">
        <v>0.42970000000000003</v>
      </c>
      <c r="Q471" s="1625">
        <f t="shared" si="268"/>
        <v>14056.002036956534</v>
      </c>
      <c r="R471" s="1628">
        <f t="shared" si="269"/>
        <v>10590.678722216768</v>
      </c>
      <c r="S471" s="1627">
        <f t="shared" si="270"/>
        <v>16562.308722216774</v>
      </c>
      <c r="T471" s="1627">
        <f t="shared" si="271"/>
        <v>18472.691277783233</v>
      </c>
      <c r="U471" s="1626">
        <f t="shared" si="272"/>
        <v>4140.5771805541935</v>
      </c>
      <c r="V471" s="1626">
        <f t="shared" si="273"/>
        <v>4618.1728194458083</v>
      </c>
      <c r="W471" s="1625">
        <f t="shared" si="274"/>
        <v>8758.7500000000018</v>
      </c>
      <c r="X471" s="1614"/>
      <c r="Y471" s="1613"/>
      <c r="Z471" s="1612">
        <f t="shared" si="275"/>
        <v>0.58703105466102323</v>
      </c>
      <c r="AA471" s="1611"/>
      <c r="AB471" s="1611"/>
      <c r="AC471" s="1611"/>
      <c r="AD471" s="1611"/>
      <c r="AE471" s="1611"/>
      <c r="AF471" s="1611"/>
      <c r="AG471" s="1611"/>
      <c r="AH471" s="1611"/>
      <c r="AI471" s="1611"/>
      <c r="AJ471" s="1611"/>
      <c r="AK471" s="1611"/>
      <c r="AL471" s="1611"/>
      <c r="AM471" s="1611"/>
      <c r="AN471" s="1611"/>
      <c r="AO471" s="1611"/>
      <c r="AP471" s="1611"/>
      <c r="AQ471" s="1611"/>
    </row>
    <row r="472" spans="1:43" outlineLevel="2">
      <c r="A472" s="1638" t="s">
        <v>319</v>
      </c>
      <c r="B472" s="1637" t="s">
        <v>130</v>
      </c>
      <c r="C472" s="1636"/>
      <c r="D472" s="1635">
        <v>4</v>
      </c>
      <c r="E472" s="1634" t="s">
        <v>920</v>
      </c>
      <c r="F472" s="1633" t="s">
        <v>1069</v>
      </c>
      <c r="G472" s="1632">
        <v>4374.0443941676149</v>
      </c>
      <c r="H472" s="1632">
        <v>4151.91</v>
      </c>
      <c r="I472" s="1630">
        <f t="shared" si="263"/>
        <v>8525.9543941676147</v>
      </c>
      <c r="J472" s="1630">
        <f t="shared" si="264"/>
        <v>34103.817576670459</v>
      </c>
      <c r="K472" s="1631">
        <v>5005</v>
      </c>
      <c r="L472" s="1630">
        <f t="shared" si="265"/>
        <v>5005</v>
      </c>
      <c r="M472" s="1630">
        <f t="shared" si="266"/>
        <v>20020</v>
      </c>
      <c r="N472" s="1625">
        <f t="shared" si="267"/>
        <v>14083.817576670459</v>
      </c>
      <c r="O472" s="1629">
        <v>0.57030000000000003</v>
      </c>
      <c r="P472" s="1629">
        <v>0.42970000000000003</v>
      </c>
      <c r="Q472" s="1625">
        <f t="shared" si="268"/>
        <v>8032.0011639751629</v>
      </c>
      <c r="R472" s="1628">
        <f t="shared" si="269"/>
        <v>6051.816412695297</v>
      </c>
      <c r="S472" s="1627">
        <f t="shared" si="270"/>
        <v>9464.1764126952967</v>
      </c>
      <c r="T472" s="1627">
        <f t="shared" si="271"/>
        <v>10555.823587304702</v>
      </c>
      <c r="U472" s="1626">
        <f t="shared" si="272"/>
        <v>2366.0441031738242</v>
      </c>
      <c r="V472" s="1626">
        <f t="shared" si="273"/>
        <v>2638.9558968261754</v>
      </c>
      <c r="W472" s="1625">
        <f t="shared" si="274"/>
        <v>5005</v>
      </c>
      <c r="X472" s="1614"/>
      <c r="Y472" s="1613"/>
      <c r="Z472" s="1612">
        <f t="shared" si="275"/>
        <v>0.58703105466102323</v>
      </c>
      <c r="AA472" s="1611"/>
      <c r="AB472" s="1611"/>
      <c r="AC472" s="1611"/>
      <c r="AD472" s="1611"/>
      <c r="AE472" s="1611"/>
      <c r="AF472" s="1611"/>
      <c r="AG472" s="1611"/>
      <c r="AH472" s="1611"/>
      <c r="AI472" s="1611"/>
      <c r="AJ472" s="1611"/>
      <c r="AK472" s="1611"/>
      <c r="AL472" s="1611"/>
      <c r="AM472" s="1611"/>
      <c r="AN472" s="1611"/>
      <c r="AO472" s="1611"/>
      <c r="AP472" s="1611"/>
      <c r="AQ472" s="1611"/>
    </row>
    <row r="473" spans="1:43" outlineLevel="2">
      <c r="A473" s="1638" t="s">
        <v>319</v>
      </c>
      <c r="B473" s="1637" t="s">
        <v>130</v>
      </c>
      <c r="C473" s="1636"/>
      <c r="D473" s="1635">
        <v>1</v>
      </c>
      <c r="E473" s="1634" t="s">
        <v>920</v>
      </c>
      <c r="F473" s="1633" t="s">
        <v>1068</v>
      </c>
      <c r="G473" s="1632">
        <v>4374.0443941676149</v>
      </c>
      <c r="H473" s="1632">
        <v>4151.91</v>
      </c>
      <c r="I473" s="1630">
        <f t="shared" si="263"/>
        <v>8525.9543941676147</v>
      </c>
      <c r="J473" s="1630">
        <f t="shared" si="264"/>
        <v>8525.9543941676147</v>
      </c>
      <c r="K473" s="1631">
        <v>5005</v>
      </c>
      <c r="L473" s="1630">
        <f t="shared" si="265"/>
        <v>5005</v>
      </c>
      <c r="M473" s="1630">
        <f t="shared" si="266"/>
        <v>5005</v>
      </c>
      <c r="N473" s="1625">
        <f t="shared" si="267"/>
        <v>3520.9543941676147</v>
      </c>
      <c r="O473" s="1629">
        <v>0.57030000000000003</v>
      </c>
      <c r="P473" s="1629">
        <v>0.42970000000000003</v>
      </c>
      <c r="Q473" s="1625">
        <f t="shared" si="268"/>
        <v>2008.0002909937907</v>
      </c>
      <c r="R473" s="1628">
        <f t="shared" si="269"/>
        <v>1512.9541031738243</v>
      </c>
      <c r="S473" s="1627">
        <f t="shared" si="270"/>
        <v>2366.0441031738242</v>
      </c>
      <c r="T473" s="1627">
        <f t="shared" si="271"/>
        <v>2638.9558968261754</v>
      </c>
      <c r="U473" s="1626">
        <f t="shared" si="272"/>
        <v>591.51102579345604</v>
      </c>
      <c r="V473" s="1626">
        <f t="shared" si="273"/>
        <v>659.73897420654384</v>
      </c>
      <c r="W473" s="1625">
        <f t="shared" si="274"/>
        <v>1251.25</v>
      </c>
      <c r="X473" s="1614"/>
      <c r="Y473" s="1613"/>
      <c r="Z473" s="1612">
        <f t="shared" si="275"/>
        <v>0.58703105466102323</v>
      </c>
      <c r="AA473" s="1611"/>
      <c r="AB473" s="1611"/>
      <c r="AC473" s="1611"/>
      <c r="AD473" s="1611"/>
      <c r="AE473" s="1611"/>
      <c r="AF473" s="1611"/>
      <c r="AG473" s="1611"/>
      <c r="AH473" s="1611"/>
      <c r="AI473" s="1611"/>
      <c r="AJ473" s="1611"/>
      <c r="AK473" s="1611"/>
      <c r="AL473" s="1611"/>
      <c r="AM473" s="1611"/>
      <c r="AN473" s="1611"/>
      <c r="AO473" s="1611"/>
      <c r="AP473" s="1611"/>
      <c r="AQ473" s="1611"/>
    </row>
    <row r="474" spans="1:43" outlineLevel="2">
      <c r="A474" s="1638" t="s">
        <v>319</v>
      </c>
      <c r="B474" s="1637" t="s">
        <v>130</v>
      </c>
      <c r="C474" s="1636"/>
      <c r="D474" s="1635">
        <v>3</v>
      </c>
      <c r="E474" s="1634" t="s">
        <v>920</v>
      </c>
      <c r="F474" s="1633" t="s">
        <v>1071</v>
      </c>
      <c r="G474" s="1632">
        <v>4374.0443941676149</v>
      </c>
      <c r="H474" s="1632">
        <v>4151.91</v>
      </c>
      <c r="I474" s="1630">
        <f t="shared" si="263"/>
        <v>8525.9543941676147</v>
      </c>
      <c r="J474" s="1630">
        <f t="shared" si="264"/>
        <v>25577.863182502842</v>
      </c>
      <c r="K474" s="1631">
        <v>5005</v>
      </c>
      <c r="L474" s="1630">
        <f t="shared" si="265"/>
        <v>5005</v>
      </c>
      <c r="M474" s="1630">
        <f t="shared" si="266"/>
        <v>15015</v>
      </c>
      <c r="N474" s="1625">
        <f t="shared" si="267"/>
        <v>10562.863182502842</v>
      </c>
      <c r="O474" s="1629">
        <v>0.57030000000000003</v>
      </c>
      <c r="P474" s="1629">
        <v>0.42970000000000003</v>
      </c>
      <c r="Q474" s="1625">
        <f t="shared" si="268"/>
        <v>6024.0008729813717</v>
      </c>
      <c r="R474" s="1628">
        <f t="shared" si="269"/>
        <v>4538.8623095214716</v>
      </c>
      <c r="S474" s="1627">
        <f t="shared" si="270"/>
        <v>7098.132309521473</v>
      </c>
      <c r="T474" s="1627">
        <f t="shared" si="271"/>
        <v>7916.8676904785279</v>
      </c>
      <c r="U474" s="1626">
        <f t="shared" si="272"/>
        <v>1774.5330773803682</v>
      </c>
      <c r="V474" s="1626">
        <f t="shared" si="273"/>
        <v>1979.216922619632</v>
      </c>
      <c r="W474" s="1625">
        <f t="shared" si="274"/>
        <v>3753.75</v>
      </c>
      <c r="X474" s="1614"/>
      <c r="Y474" s="1613"/>
      <c r="Z474" s="1612">
        <f t="shared" si="275"/>
        <v>0.58703105466102323</v>
      </c>
      <c r="AA474" s="1611"/>
      <c r="AB474" s="1611"/>
      <c r="AC474" s="1611"/>
      <c r="AD474" s="1611"/>
      <c r="AE474" s="1611"/>
      <c r="AF474" s="1611"/>
      <c r="AG474" s="1611"/>
      <c r="AH474" s="1611"/>
      <c r="AI474" s="1611"/>
      <c r="AJ474" s="1611"/>
      <c r="AK474" s="1611"/>
      <c r="AL474" s="1611"/>
      <c r="AM474" s="1611"/>
      <c r="AN474" s="1611"/>
      <c r="AO474" s="1611"/>
      <c r="AP474" s="1611"/>
      <c r="AQ474" s="1611"/>
    </row>
    <row r="475" spans="1:43" outlineLevel="2">
      <c r="A475" s="1638" t="s">
        <v>319</v>
      </c>
      <c r="B475" s="1637" t="s">
        <v>130</v>
      </c>
      <c r="C475" s="1636"/>
      <c r="D475" s="1635">
        <v>2</v>
      </c>
      <c r="E475" s="1634" t="s">
        <v>920</v>
      </c>
      <c r="F475" s="1633" t="s">
        <v>1065</v>
      </c>
      <c r="G475" s="1632">
        <v>4374.0443941676149</v>
      </c>
      <c r="H475" s="1632">
        <v>4151.91</v>
      </c>
      <c r="I475" s="1630">
        <f t="shared" si="263"/>
        <v>8525.9543941676147</v>
      </c>
      <c r="J475" s="1630">
        <f t="shared" si="264"/>
        <v>17051.908788335229</v>
      </c>
      <c r="K475" s="1631">
        <v>5005</v>
      </c>
      <c r="L475" s="1630">
        <f t="shared" si="265"/>
        <v>5005</v>
      </c>
      <c r="M475" s="1630">
        <f t="shared" si="266"/>
        <v>10010</v>
      </c>
      <c r="N475" s="1625">
        <f t="shared" si="267"/>
        <v>7041.9087883352295</v>
      </c>
      <c r="O475" s="1629">
        <v>0.57030000000000003</v>
      </c>
      <c r="P475" s="1629">
        <v>0.42970000000000003</v>
      </c>
      <c r="Q475" s="1625">
        <f t="shared" si="268"/>
        <v>4016.0005819875814</v>
      </c>
      <c r="R475" s="1628">
        <f t="shared" si="269"/>
        <v>3025.9082063476485</v>
      </c>
      <c r="S475" s="1627">
        <f t="shared" si="270"/>
        <v>4732.0882063476483</v>
      </c>
      <c r="T475" s="1627">
        <f t="shared" si="271"/>
        <v>5277.9117936523508</v>
      </c>
      <c r="U475" s="1626">
        <f t="shared" si="272"/>
        <v>1183.0220515869121</v>
      </c>
      <c r="V475" s="1626">
        <f t="shared" si="273"/>
        <v>1319.4779484130877</v>
      </c>
      <c r="W475" s="1625">
        <f t="shared" si="274"/>
        <v>2502.5</v>
      </c>
      <c r="X475" s="1614"/>
      <c r="Y475" s="1613"/>
      <c r="Z475" s="1612">
        <f t="shared" si="275"/>
        <v>0.58703105466102323</v>
      </c>
      <c r="AA475" s="1611"/>
      <c r="AB475" s="1611"/>
      <c r="AC475" s="1611"/>
      <c r="AD475" s="1611"/>
      <c r="AE475" s="1611"/>
      <c r="AF475" s="1611"/>
      <c r="AG475" s="1611"/>
      <c r="AH475" s="1611"/>
      <c r="AI475" s="1611"/>
      <c r="AJ475" s="1611"/>
      <c r="AK475" s="1611"/>
      <c r="AL475" s="1611"/>
      <c r="AM475" s="1611"/>
      <c r="AN475" s="1611"/>
      <c r="AO475" s="1611"/>
      <c r="AP475" s="1611"/>
      <c r="AQ475" s="1611"/>
    </row>
    <row r="476" spans="1:43" outlineLevel="2">
      <c r="A476" s="1638" t="s">
        <v>319</v>
      </c>
      <c r="B476" s="1637" t="s">
        <v>130</v>
      </c>
      <c r="C476" s="1636"/>
      <c r="D476" s="1635">
        <v>5</v>
      </c>
      <c r="E476" s="1634" t="s">
        <v>920</v>
      </c>
      <c r="F476" s="1633" t="s">
        <v>1064</v>
      </c>
      <c r="G476" s="1632">
        <v>4374.0443941676149</v>
      </c>
      <c r="H476" s="1632">
        <v>4151.91</v>
      </c>
      <c r="I476" s="1630">
        <f t="shared" si="263"/>
        <v>8525.9543941676147</v>
      </c>
      <c r="J476" s="1630">
        <f t="shared" si="264"/>
        <v>42629.771970838076</v>
      </c>
      <c r="K476" s="1631">
        <v>5005</v>
      </c>
      <c r="L476" s="1630">
        <f t="shared" si="265"/>
        <v>5005</v>
      </c>
      <c r="M476" s="1630">
        <f t="shared" si="266"/>
        <v>25025</v>
      </c>
      <c r="N476" s="1625">
        <f t="shared" si="267"/>
        <v>17604.771970838076</v>
      </c>
      <c r="O476" s="1629">
        <v>0.57030000000000003</v>
      </c>
      <c r="P476" s="1629">
        <v>0.42970000000000003</v>
      </c>
      <c r="Q476" s="1625">
        <f t="shared" si="268"/>
        <v>10040.001454968955</v>
      </c>
      <c r="R476" s="1628">
        <f t="shared" si="269"/>
        <v>7564.7705158691215</v>
      </c>
      <c r="S476" s="1627">
        <f t="shared" si="270"/>
        <v>11830.220515869118</v>
      </c>
      <c r="T476" s="1627">
        <f t="shared" si="271"/>
        <v>13194.779484130879</v>
      </c>
      <c r="U476" s="1626">
        <f t="shared" si="272"/>
        <v>2957.5551289672794</v>
      </c>
      <c r="V476" s="1626">
        <f t="shared" si="273"/>
        <v>3298.6948710327197</v>
      </c>
      <c r="W476" s="1625">
        <f t="shared" si="274"/>
        <v>6256.2499999999991</v>
      </c>
      <c r="X476" s="1614"/>
      <c r="Y476" s="1613"/>
      <c r="Z476" s="1612">
        <f t="shared" si="275"/>
        <v>0.58703105466102323</v>
      </c>
      <c r="AA476" s="1611"/>
      <c r="AB476" s="1611"/>
      <c r="AC476" s="1611"/>
      <c r="AD476" s="1611"/>
      <c r="AE476" s="1611"/>
      <c r="AF476" s="1611"/>
      <c r="AG476" s="1611"/>
      <c r="AH476" s="1611"/>
      <c r="AI476" s="1611"/>
      <c r="AJ476" s="1611"/>
      <c r="AK476" s="1611"/>
      <c r="AL476" s="1611"/>
      <c r="AM476" s="1611"/>
      <c r="AN476" s="1611"/>
      <c r="AO476" s="1611"/>
      <c r="AP476" s="1611"/>
      <c r="AQ476" s="1611"/>
    </row>
    <row r="477" spans="1:43" outlineLevel="2">
      <c r="A477" s="1638" t="s">
        <v>319</v>
      </c>
      <c r="B477" s="1637" t="s">
        <v>130</v>
      </c>
      <c r="C477" s="1636"/>
      <c r="D477" s="1635">
        <v>1</v>
      </c>
      <c r="E477" s="1634" t="s">
        <v>920</v>
      </c>
      <c r="F477" s="1633" t="s">
        <v>1063</v>
      </c>
      <c r="G477" s="1632">
        <v>4374.0443941676149</v>
      </c>
      <c r="H477" s="1632">
        <v>4151.91</v>
      </c>
      <c r="I477" s="1630">
        <f t="shared" si="263"/>
        <v>8525.9543941676147</v>
      </c>
      <c r="J477" s="1630">
        <f t="shared" si="264"/>
        <v>8525.9543941676147</v>
      </c>
      <c r="K477" s="1631">
        <v>5005</v>
      </c>
      <c r="L477" s="1630">
        <f t="shared" si="265"/>
        <v>5005</v>
      </c>
      <c r="M477" s="1630">
        <f t="shared" si="266"/>
        <v>5005</v>
      </c>
      <c r="N477" s="1625">
        <f t="shared" si="267"/>
        <v>3520.9543941676147</v>
      </c>
      <c r="O477" s="1629">
        <v>0.57030000000000003</v>
      </c>
      <c r="P477" s="1629">
        <v>0.42970000000000003</v>
      </c>
      <c r="Q477" s="1625">
        <f t="shared" si="268"/>
        <v>2008.0002909937907</v>
      </c>
      <c r="R477" s="1628">
        <f t="shared" si="269"/>
        <v>1512.9541031738243</v>
      </c>
      <c r="S477" s="1627">
        <f t="shared" si="270"/>
        <v>2366.0441031738242</v>
      </c>
      <c r="T477" s="1627">
        <f t="shared" si="271"/>
        <v>2638.9558968261754</v>
      </c>
      <c r="U477" s="1626">
        <f t="shared" si="272"/>
        <v>591.51102579345604</v>
      </c>
      <c r="V477" s="1626">
        <f t="shared" si="273"/>
        <v>659.73897420654384</v>
      </c>
      <c r="W477" s="1625">
        <f t="shared" si="274"/>
        <v>1251.25</v>
      </c>
      <c r="X477" s="1614"/>
      <c r="Y477" s="1613"/>
      <c r="Z477" s="1612">
        <f t="shared" si="275"/>
        <v>0.58703105466102323</v>
      </c>
      <c r="AA477" s="1611"/>
      <c r="AB477" s="1611"/>
      <c r="AC477" s="1611"/>
      <c r="AD477" s="1611"/>
      <c r="AE477" s="1611"/>
      <c r="AF477" s="1611"/>
      <c r="AG477" s="1611"/>
      <c r="AH477" s="1611"/>
      <c r="AI477" s="1611"/>
      <c r="AJ477" s="1611"/>
      <c r="AK477" s="1611"/>
      <c r="AL477" s="1611"/>
      <c r="AM477" s="1611"/>
      <c r="AN477" s="1611"/>
      <c r="AO477" s="1611"/>
      <c r="AP477" s="1611"/>
      <c r="AQ477" s="1611"/>
    </row>
    <row r="478" spans="1:43" outlineLevel="2">
      <c r="A478" s="1638" t="s">
        <v>319</v>
      </c>
      <c r="B478" s="1637" t="s">
        <v>130</v>
      </c>
      <c r="C478" s="1636"/>
      <c r="D478" s="1635">
        <v>11</v>
      </c>
      <c r="E478" s="1634" t="s">
        <v>920</v>
      </c>
      <c r="F478" s="1633" t="s">
        <v>979</v>
      </c>
      <c r="G478" s="1632">
        <v>4374.0443941676149</v>
      </c>
      <c r="H478" s="1632">
        <v>4151.91</v>
      </c>
      <c r="I478" s="1630">
        <f t="shared" si="263"/>
        <v>8525.9543941676147</v>
      </c>
      <c r="J478" s="1630">
        <f t="shared" si="264"/>
        <v>93785.49833584376</v>
      </c>
      <c r="K478" s="1631">
        <v>5005</v>
      </c>
      <c r="L478" s="1630">
        <f t="shared" si="265"/>
        <v>5005</v>
      </c>
      <c r="M478" s="1630">
        <f t="shared" si="266"/>
        <v>55055</v>
      </c>
      <c r="N478" s="1625">
        <f t="shared" si="267"/>
        <v>38730.49833584376</v>
      </c>
      <c r="O478" s="1629">
        <v>0.57030000000000003</v>
      </c>
      <c r="P478" s="1629">
        <v>0.42970000000000003</v>
      </c>
      <c r="Q478" s="1625">
        <f t="shared" si="268"/>
        <v>22088.003200931696</v>
      </c>
      <c r="R478" s="1628">
        <f t="shared" si="269"/>
        <v>16642.495134912064</v>
      </c>
      <c r="S478" s="1627">
        <f t="shared" si="270"/>
        <v>26026.485134912069</v>
      </c>
      <c r="T478" s="1627">
        <f t="shared" si="271"/>
        <v>29028.514865087931</v>
      </c>
      <c r="U478" s="1626">
        <f t="shared" si="272"/>
        <v>6506.6212837280173</v>
      </c>
      <c r="V478" s="1626">
        <f t="shared" si="273"/>
        <v>7257.1287162719827</v>
      </c>
      <c r="W478" s="1625">
        <f t="shared" si="274"/>
        <v>13763.75</v>
      </c>
      <c r="X478" s="1614"/>
      <c r="Y478" s="1613"/>
      <c r="Z478" s="1612">
        <f t="shared" si="275"/>
        <v>0.58703105466102323</v>
      </c>
      <c r="AA478" s="1611"/>
      <c r="AB478" s="1611"/>
      <c r="AC478" s="1611"/>
      <c r="AD478" s="1611"/>
      <c r="AE478" s="1611"/>
      <c r="AF478" s="1611"/>
      <c r="AG478" s="1611"/>
      <c r="AH478" s="1611"/>
      <c r="AI478" s="1611"/>
      <c r="AJ478" s="1611"/>
      <c r="AK478" s="1611"/>
      <c r="AL478" s="1611"/>
      <c r="AM478" s="1611"/>
      <c r="AN478" s="1611"/>
      <c r="AO478" s="1611"/>
      <c r="AP478" s="1611"/>
      <c r="AQ478" s="1611"/>
    </row>
    <row r="479" spans="1:43" outlineLevel="2">
      <c r="A479" s="1638" t="s">
        <v>319</v>
      </c>
      <c r="B479" s="1637" t="s">
        <v>130</v>
      </c>
      <c r="C479" s="1636"/>
      <c r="D479" s="1635">
        <v>63</v>
      </c>
      <c r="E479" s="1634" t="s">
        <v>962</v>
      </c>
      <c r="F479" s="1633" t="s">
        <v>1070</v>
      </c>
      <c r="G479" s="1632">
        <v>4374.0443941676149</v>
      </c>
      <c r="H479" s="1632">
        <v>4151.91</v>
      </c>
      <c r="I479" s="1630">
        <f t="shared" si="263"/>
        <v>8525.9543941676147</v>
      </c>
      <c r="J479" s="1630">
        <f t="shared" si="264"/>
        <v>537135.1268325597</v>
      </c>
      <c r="K479" s="1631">
        <v>4615</v>
      </c>
      <c r="L479" s="1630">
        <f t="shared" si="265"/>
        <v>4615</v>
      </c>
      <c r="M479" s="1630">
        <f t="shared" si="266"/>
        <v>290745</v>
      </c>
      <c r="N479" s="1625">
        <f t="shared" si="267"/>
        <v>246390.1268325597</v>
      </c>
      <c r="O479" s="1629">
        <v>0.57030000000000003</v>
      </c>
      <c r="P479" s="1629">
        <v>0.42970000000000003</v>
      </c>
      <c r="Q479" s="1625">
        <f t="shared" si="268"/>
        <v>140516.28933260881</v>
      </c>
      <c r="R479" s="1628">
        <f t="shared" si="269"/>
        <v>105873.83749995091</v>
      </c>
      <c r="S479" s="1627">
        <f t="shared" si="270"/>
        <v>135048.50749995094</v>
      </c>
      <c r="T479" s="1627">
        <f t="shared" si="271"/>
        <v>155696.49250004906</v>
      </c>
      <c r="U479" s="1626">
        <f t="shared" si="272"/>
        <v>33762.126874987734</v>
      </c>
      <c r="V479" s="1626">
        <f t="shared" si="273"/>
        <v>38924.123125012266</v>
      </c>
      <c r="W479" s="1625">
        <f t="shared" si="274"/>
        <v>72686.25</v>
      </c>
      <c r="X479" s="1614"/>
      <c r="Y479" s="1613"/>
      <c r="Z479" s="1612">
        <f t="shared" si="275"/>
        <v>0.54128837507704741</v>
      </c>
      <c r="AA479" s="1611"/>
      <c r="AB479" s="1611"/>
      <c r="AC479" s="1611"/>
      <c r="AD479" s="1611"/>
      <c r="AE479" s="1611"/>
      <c r="AF479" s="1611"/>
      <c r="AG479" s="1611"/>
      <c r="AH479" s="1611"/>
      <c r="AI479" s="1611"/>
      <c r="AJ479" s="1611"/>
      <c r="AK479" s="1611"/>
      <c r="AL479" s="1611"/>
      <c r="AM479" s="1611"/>
      <c r="AN479" s="1611"/>
      <c r="AO479" s="1611"/>
      <c r="AP479" s="1611"/>
      <c r="AQ479" s="1611"/>
    </row>
    <row r="480" spans="1:43" outlineLevel="2">
      <c r="A480" s="1638" t="s">
        <v>319</v>
      </c>
      <c r="B480" s="1637" t="s">
        <v>130</v>
      </c>
      <c r="C480" s="1636"/>
      <c r="D480" s="1635">
        <v>62</v>
      </c>
      <c r="E480" s="1634" t="s">
        <v>962</v>
      </c>
      <c r="F480" s="1633" t="s">
        <v>1069</v>
      </c>
      <c r="G480" s="1632">
        <v>4374.0443941676149</v>
      </c>
      <c r="H480" s="1632">
        <v>4151.91</v>
      </c>
      <c r="I480" s="1630">
        <f t="shared" si="263"/>
        <v>8525.9543941676147</v>
      </c>
      <c r="J480" s="1630">
        <f t="shared" si="264"/>
        <v>528609.17243839207</v>
      </c>
      <c r="K480" s="1631">
        <v>4615</v>
      </c>
      <c r="L480" s="1630">
        <f t="shared" si="265"/>
        <v>4615</v>
      </c>
      <c r="M480" s="1630">
        <f t="shared" si="266"/>
        <v>286130</v>
      </c>
      <c r="N480" s="1625">
        <f t="shared" si="267"/>
        <v>242479.17243839207</v>
      </c>
      <c r="O480" s="1629">
        <v>0.57030000000000003</v>
      </c>
      <c r="P480" s="1629">
        <v>0.42970000000000003</v>
      </c>
      <c r="Q480" s="1625">
        <f t="shared" si="268"/>
        <v>138285.87204161499</v>
      </c>
      <c r="R480" s="1628">
        <f t="shared" si="269"/>
        <v>104193.30039677708</v>
      </c>
      <c r="S480" s="1627">
        <f t="shared" si="270"/>
        <v>132904.88039677715</v>
      </c>
      <c r="T480" s="1627">
        <f t="shared" si="271"/>
        <v>153225.11960322291</v>
      </c>
      <c r="U480" s="1626">
        <f t="shared" si="272"/>
        <v>33226.220099194288</v>
      </c>
      <c r="V480" s="1626">
        <f t="shared" si="273"/>
        <v>38306.279900805726</v>
      </c>
      <c r="W480" s="1625">
        <f t="shared" si="274"/>
        <v>71532.500000000015</v>
      </c>
      <c r="X480" s="1614"/>
      <c r="Y480" s="1613"/>
      <c r="Z480" s="1612">
        <f t="shared" si="275"/>
        <v>0.54128837507704741</v>
      </c>
      <c r="AA480" s="1611"/>
      <c r="AB480" s="1611"/>
      <c r="AC480" s="1611"/>
      <c r="AD480" s="1611"/>
      <c r="AE480" s="1611"/>
      <c r="AF480" s="1611"/>
      <c r="AG480" s="1611"/>
      <c r="AH480" s="1611"/>
      <c r="AI480" s="1611"/>
      <c r="AJ480" s="1611"/>
      <c r="AK480" s="1611"/>
      <c r="AL480" s="1611"/>
      <c r="AM480" s="1611"/>
      <c r="AN480" s="1611"/>
      <c r="AO480" s="1611"/>
      <c r="AP480" s="1611"/>
      <c r="AQ480" s="1611"/>
    </row>
    <row r="481" spans="1:43" outlineLevel="2">
      <c r="A481" s="1638" t="s">
        <v>319</v>
      </c>
      <c r="B481" s="1637" t="s">
        <v>130</v>
      </c>
      <c r="C481" s="1636"/>
      <c r="D481" s="1635">
        <v>56</v>
      </c>
      <c r="E481" s="1634" t="s">
        <v>962</v>
      </c>
      <c r="F481" s="1633" t="s">
        <v>1068</v>
      </c>
      <c r="G481" s="1632">
        <v>4374.0443941676149</v>
      </c>
      <c r="H481" s="1632">
        <v>4151.91</v>
      </c>
      <c r="I481" s="1630">
        <f t="shared" si="263"/>
        <v>8525.9543941676147</v>
      </c>
      <c r="J481" s="1630">
        <f t="shared" si="264"/>
        <v>477453.44607338641</v>
      </c>
      <c r="K481" s="1631">
        <v>4615</v>
      </c>
      <c r="L481" s="1630">
        <f t="shared" si="265"/>
        <v>4615</v>
      </c>
      <c r="M481" s="1630">
        <f t="shared" si="266"/>
        <v>258440</v>
      </c>
      <c r="N481" s="1625">
        <f t="shared" si="267"/>
        <v>219013.44607338641</v>
      </c>
      <c r="O481" s="1629">
        <v>0.57030000000000003</v>
      </c>
      <c r="P481" s="1629">
        <v>0.42970000000000003</v>
      </c>
      <c r="Q481" s="1625">
        <f t="shared" si="268"/>
        <v>124903.36829565228</v>
      </c>
      <c r="R481" s="1628">
        <f t="shared" si="269"/>
        <v>94110.077777734143</v>
      </c>
      <c r="S481" s="1627">
        <f t="shared" si="270"/>
        <v>120043.11777773417</v>
      </c>
      <c r="T481" s="1627">
        <f t="shared" si="271"/>
        <v>138396.88222226585</v>
      </c>
      <c r="U481" s="1626">
        <f t="shared" si="272"/>
        <v>30010.779444433541</v>
      </c>
      <c r="V481" s="1626">
        <f t="shared" si="273"/>
        <v>34599.220555566462</v>
      </c>
      <c r="W481" s="1625">
        <f t="shared" si="274"/>
        <v>64610</v>
      </c>
      <c r="X481" s="1614"/>
      <c r="Y481" s="1613"/>
      <c r="Z481" s="1612">
        <f t="shared" si="275"/>
        <v>0.54128837507704741</v>
      </c>
      <c r="AA481" s="1611"/>
      <c r="AB481" s="1611"/>
      <c r="AC481" s="1611"/>
      <c r="AD481" s="1611"/>
      <c r="AE481" s="1611"/>
      <c r="AF481" s="1611"/>
      <c r="AG481" s="1611"/>
      <c r="AH481" s="1611"/>
      <c r="AI481" s="1611"/>
      <c r="AJ481" s="1611"/>
      <c r="AK481" s="1611"/>
      <c r="AL481" s="1611"/>
      <c r="AM481" s="1611"/>
      <c r="AN481" s="1611"/>
      <c r="AO481" s="1611"/>
      <c r="AP481" s="1611"/>
      <c r="AQ481" s="1611"/>
    </row>
    <row r="482" spans="1:43" outlineLevel="2">
      <c r="A482" s="1638" t="s">
        <v>319</v>
      </c>
      <c r="B482" s="1637" t="s">
        <v>130</v>
      </c>
      <c r="C482" s="1636"/>
      <c r="D482" s="1635">
        <v>34</v>
      </c>
      <c r="E482" s="1634" t="s">
        <v>962</v>
      </c>
      <c r="F482" s="1633" t="s">
        <v>1071</v>
      </c>
      <c r="G482" s="1632">
        <v>4374.0443941676149</v>
      </c>
      <c r="H482" s="1632">
        <v>4151.91</v>
      </c>
      <c r="I482" s="1630">
        <f t="shared" si="263"/>
        <v>8525.9543941676147</v>
      </c>
      <c r="J482" s="1630">
        <f t="shared" si="264"/>
        <v>289882.44940169889</v>
      </c>
      <c r="K482" s="1631">
        <v>4615</v>
      </c>
      <c r="L482" s="1630">
        <f t="shared" si="265"/>
        <v>4615</v>
      </c>
      <c r="M482" s="1630">
        <f t="shared" si="266"/>
        <v>156910</v>
      </c>
      <c r="N482" s="1625">
        <f t="shared" si="267"/>
        <v>132972.44940169889</v>
      </c>
      <c r="O482" s="1629">
        <v>0.57030000000000003</v>
      </c>
      <c r="P482" s="1629">
        <v>0.42970000000000003</v>
      </c>
      <c r="Q482" s="1625">
        <f t="shared" si="268"/>
        <v>75834.187893788883</v>
      </c>
      <c r="R482" s="1628">
        <f t="shared" si="269"/>
        <v>57138.261507910014</v>
      </c>
      <c r="S482" s="1627">
        <f t="shared" si="270"/>
        <v>72883.321507910034</v>
      </c>
      <c r="T482" s="1627">
        <f t="shared" si="271"/>
        <v>84026.678492089995</v>
      </c>
      <c r="U482" s="1626">
        <f t="shared" si="272"/>
        <v>18220.830376977508</v>
      </c>
      <c r="V482" s="1626">
        <f t="shared" si="273"/>
        <v>21006.669623022499</v>
      </c>
      <c r="W482" s="1625">
        <f t="shared" si="274"/>
        <v>39227.500000000007</v>
      </c>
      <c r="X482" s="1614"/>
      <c r="Y482" s="1613"/>
      <c r="Z482" s="1612">
        <f t="shared" si="275"/>
        <v>0.54128837507704741</v>
      </c>
      <c r="AA482" s="1611"/>
      <c r="AB482" s="1611"/>
      <c r="AC482" s="1611"/>
      <c r="AD482" s="1611"/>
      <c r="AE482" s="1611"/>
      <c r="AF482" s="1611"/>
      <c r="AG482" s="1611"/>
      <c r="AH482" s="1611"/>
      <c r="AI482" s="1611"/>
      <c r="AJ482" s="1611"/>
      <c r="AK482" s="1611"/>
      <c r="AL482" s="1611"/>
      <c r="AM482" s="1611"/>
      <c r="AN482" s="1611"/>
      <c r="AO482" s="1611"/>
      <c r="AP482" s="1611"/>
      <c r="AQ482" s="1611"/>
    </row>
    <row r="483" spans="1:43" outlineLevel="2">
      <c r="A483" s="1638" t="s">
        <v>319</v>
      </c>
      <c r="B483" s="1637" t="s">
        <v>130</v>
      </c>
      <c r="C483" s="1636"/>
      <c r="D483" s="1635">
        <v>16</v>
      </c>
      <c r="E483" s="1634" t="s">
        <v>962</v>
      </c>
      <c r="F483" s="1633" t="s">
        <v>1065</v>
      </c>
      <c r="G483" s="1632">
        <v>4374.0443941676149</v>
      </c>
      <c r="H483" s="1632">
        <v>4151.91</v>
      </c>
      <c r="I483" s="1630">
        <f t="shared" si="263"/>
        <v>8525.9543941676147</v>
      </c>
      <c r="J483" s="1630">
        <f t="shared" si="264"/>
        <v>136415.27030668184</v>
      </c>
      <c r="K483" s="1631">
        <v>4615</v>
      </c>
      <c r="L483" s="1630">
        <f t="shared" si="265"/>
        <v>4615</v>
      </c>
      <c r="M483" s="1630">
        <f t="shared" si="266"/>
        <v>73840</v>
      </c>
      <c r="N483" s="1625">
        <f t="shared" si="267"/>
        <v>62575.270306681836</v>
      </c>
      <c r="O483" s="1629">
        <v>0.57030000000000003</v>
      </c>
      <c r="P483" s="1629">
        <v>0.42970000000000003</v>
      </c>
      <c r="Q483" s="1625">
        <f t="shared" si="268"/>
        <v>35686.67665590065</v>
      </c>
      <c r="R483" s="1628">
        <f t="shared" si="269"/>
        <v>26888.593650781186</v>
      </c>
      <c r="S483" s="1627">
        <f t="shared" si="270"/>
        <v>34298.033650781188</v>
      </c>
      <c r="T483" s="1627">
        <f t="shared" si="271"/>
        <v>39541.966349218812</v>
      </c>
      <c r="U483" s="1626">
        <f t="shared" si="272"/>
        <v>8574.508412695297</v>
      </c>
      <c r="V483" s="1626">
        <f t="shared" si="273"/>
        <v>9885.491587304703</v>
      </c>
      <c r="W483" s="1625">
        <f t="shared" si="274"/>
        <v>18460</v>
      </c>
      <c r="X483" s="1614"/>
      <c r="Y483" s="1613"/>
      <c r="Z483" s="1612">
        <f t="shared" si="275"/>
        <v>0.54128837507704741</v>
      </c>
      <c r="AA483" s="1611"/>
      <c r="AB483" s="1611"/>
      <c r="AC483" s="1611"/>
      <c r="AD483" s="1611"/>
      <c r="AE483" s="1611"/>
      <c r="AF483" s="1611"/>
      <c r="AG483" s="1611"/>
      <c r="AH483" s="1611"/>
      <c r="AI483" s="1611"/>
      <c r="AJ483" s="1611"/>
      <c r="AK483" s="1611"/>
      <c r="AL483" s="1611"/>
      <c r="AM483" s="1611"/>
      <c r="AN483" s="1611"/>
      <c r="AO483" s="1611"/>
      <c r="AP483" s="1611"/>
      <c r="AQ483" s="1611"/>
    </row>
    <row r="484" spans="1:43" outlineLevel="2">
      <c r="A484" s="1638" t="s">
        <v>319</v>
      </c>
      <c r="B484" s="1637" t="s">
        <v>130</v>
      </c>
      <c r="C484" s="1636"/>
      <c r="D484" s="1635">
        <v>5</v>
      </c>
      <c r="E484" s="1634" t="s">
        <v>962</v>
      </c>
      <c r="F484" s="1633" t="s">
        <v>1064</v>
      </c>
      <c r="G484" s="1632">
        <v>4374.0443941676149</v>
      </c>
      <c r="H484" s="1632">
        <v>4151.91</v>
      </c>
      <c r="I484" s="1630">
        <f t="shared" si="263"/>
        <v>8525.9543941676147</v>
      </c>
      <c r="J484" s="1630">
        <f t="shared" si="264"/>
        <v>42629.771970838076</v>
      </c>
      <c r="K484" s="1631">
        <v>4615</v>
      </c>
      <c r="L484" s="1630">
        <f t="shared" si="265"/>
        <v>4615</v>
      </c>
      <c r="M484" s="1630">
        <f t="shared" si="266"/>
        <v>23075</v>
      </c>
      <c r="N484" s="1625">
        <f t="shared" si="267"/>
        <v>19554.771970838076</v>
      </c>
      <c r="O484" s="1629">
        <v>0.57030000000000003</v>
      </c>
      <c r="P484" s="1629">
        <v>0.42970000000000003</v>
      </c>
      <c r="Q484" s="1625">
        <f t="shared" si="268"/>
        <v>11152.086454968956</v>
      </c>
      <c r="R484" s="1628">
        <f t="shared" si="269"/>
        <v>8402.6855158691214</v>
      </c>
      <c r="S484" s="1627">
        <f t="shared" si="270"/>
        <v>10718.135515869117</v>
      </c>
      <c r="T484" s="1627">
        <f t="shared" si="271"/>
        <v>12356.864484130878</v>
      </c>
      <c r="U484" s="1626">
        <f t="shared" si="272"/>
        <v>2679.5338789672792</v>
      </c>
      <c r="V484" s="1626">
        <f t="shared" si="273"/>
        <v>3089.2161210327195</v>
      </c>
      <c r="W484" s="1625">
        <f t="shared" si="274"/>
        <v>5768.7499999999982</v>
      </c>
      <c r="X484" s="1614"/>
      <c r="Y484" s="1613"/>
      <c r="Z484" s="1612">
        <f t="shared" si="275"/>
        <v>0.54128837507704741</v>
      </c>
      <c r="AA484" s="1611"/>
      <c r="AB484" s="1611"/>
      <c r="AC484" s="1611"/>
      <c r="AD484" s="1611"/>
      <c r="AE484" s="1611"/>
      <c r="AF484" s="1611"/>
      <c r="AG484" s="1611"/>
      <c r="AH484" s="1611"/>
      <c r="AI484" s="1611"/>
      <c r="AJ484" s="1611"/>
      <c r="AK484" s="1611"/>
      <c r="AL484" s="1611"/>
      <c r="AM484" s="1611"/>
      <c r="AN484" s="1611"/>
      <c r="AO484" s="1611"/>
      <c r="AP484" s="1611"/>
      <c r="AQ484" s="1611"/>
    </row>
    <row r="485" spans="1:43" outlineLevel="2">
      <c r="A485" s="1638" t="s">
        <v>319</v>
      </c>
      <c r="B485" s="1637" t="s">
        <v>130</v>
      </c>
      <c r="C485" s="1636"/>
      <c r="D485" s="1635">
        <v>4</v>
      </c>
      <c r="E485" s="1634" t="s">
        <v>962</v>
      </c>
      <c r="F485" s="1633" t="s">
        <v>1063</v>
      </c>
      <c r="G485" s="1632">
        <v>4374.0443941676149</v>
      </c>
      <c r="H485" s="1632">
        <v>4151.91</v>
      </c>
      <c r="I485" s="1630">
        <f t="shared" si="263"/>
        <v>8525.9543941676147</v>
      </c>
      <c r="J485" s="1630">
        <f t="shared" si="264"/>
        <v>34103.817576670459</v>
      </c>
      <c r="K485" s="1631">
        <v>4615</v>
      </c>
      <c r="L485" s="1630">
        <f t="shared" si="265"/>
        <v>4615</v>
      </c>
      <c r="M485" s="1630">
        <f t="shared" si="266"/>
        <v>18460</v>
      </c>
      <c r="N485" s="1625">
        <f t="shared" si="267"/>
        <v>15643.817576670459</v>
      </c>
      <c r="O485" s="1629">
        <v>0.57030000000000003</v>
      </c>
      <c r="P485" s="1629">
        <v>0.42970000000000003</v>
      </c>
      <c r="Q485" s="1625">
        <f t="shared" si="268"/>
        <v>8921.6691639751625</v>
      </c>
      <c r="R485" s="1628">
        <f t="shared" si="269"/>
        <v>6722.1484126952964</v>
      </c>
      <c r="S485" s="1627">
        <f t="shared" si="270"/>
        <v>8574.508412695297</v>
      </c>
      <c r="T485" s="1627">
        <f t="shared" si="271"/>
        <v>9885.491587304703</v>
      </c>
      <c r="U485" s="1626">
        <f t="shared" si="272"/>
        <v>2143.6271031738243</v>
      </c>
      <c r="V485" s="1626">
        <f t="shared" si="273"/>
        <v>2471.3728968261757</v>
      </c>
      <c r="W485" s="1625">
        <f t="shared" si="274"/>
        <v>4615</v>
      </c>
      <c r="X485" s="1614"/>
      <c r="Y485" s="1613"/>
      <c r="Z485" s="1612">
        <f t="shared" si="275"/>
        <v>0.54128837507704741</v>
      </c>
      <c r="AA485" s="1611"/>
      <c r="AB485" s="1611"/>
      <c r="AC485" s="1611"/>
      <c r="AD485" s="1611"/>
      <c r="AE485" s="1611"/>
      <c r="AF485" s="1611"/>
      <c r="AG485" s="1611"/>
      <c r="AH485" s="1611"/>
      <c r="AI485" s="1611"/>
      <c r="AJ485" s="1611"/>
      <c r="AK485" s="1611"/>
      <c r="AL485" s="1611"/>
      <c r="AM485" s="1611"/>
      <c r="AN485" s="1611"/>
      <c r="AO485" s="1611"/>
      <c r="AP485" s="1611"/>
      <c r="AQ485" s="1611"/>
    </row>
    <row r="486" spans="1:43" outlineLevel="2">
      <c r="A486" s="1638" t="s">
        <v>319</v>
      </c>
      <c r="B486" s="1637" t="s">
        <v>130</v>
      </c>
      <c r="C486" s="1636"/>
      <c r="D486" s="1635">
        <v>82</v>
      </c>
      <c r="E486" s="1634" t="s">
        <v>962</v>
      </c>
      <c r="F486" s="1633" t="s">
        <v>979</v>
      </c>
      <c r="G486" s="1632">
        <v>4374.0443941676149</v>
      </c>
      <c r="H486" s="1632">
        <v>4151.91</v>
      </c>
      <c r="I486" s="1630">
        <f t="shared" si="263"/>
        <v>8525.9543941676147</v>
      </c>
      <c r="J486" s="1630">
        <f t="shared" si="264"/>
        <v>699128.26032174437</v>
      </c>
      <c r="K486" s="1631">
        <v>4615</v>
      </c>
      <c r="L486" s="1630">
        <f t="shared" si="265"/>
        <v>4615</v>
      </c>
      <c r="M486" s="1630">
        <f t="shared" si="266"/>
        <v>378430</v>
      </c>
      <c r="N486" s="1625">
        <f t="shared" si="267"/>
        <v>320698.26032174437</v>
      </c>
      <c r="O486" s="1629">
        <v>0.57030000000000003</v>
      </c>
      <c r="P486" s="1629">
        <v>0.42970000000000003</v>
      </c>
      <c r="Q486" s="1625">
        <f t="shared" si="268"/>
        <v>182894.21786149082</v>
      </c>
      <c r="R486" s="1628">
        <f t="shared" si="269"/>
        <v>137804.04246025355</v>
      </c>
      <c r="S486" s="1627">
        <f t="shared" si="270"/>
        <v>175777.42246025361</v>
      </c>
      <c r="T486" s="1627">
        <f t="shared" si="271"/>
        <v>202652.57753974645</v>
      </c>
      <c r="U486" s="1626">
        <f t="shared" si="272"/>
        <v>43944.355615063403</v>
      </c>
      <c r="V486" s="1626">
        <f t="shared" si="273"/>
        <v>50663.144384936611</v>
      </c>
      <c r="W486" s="1625">
        <f t="shared" si="274"/>
        <v>94607.500000000015</v>
      </c>
      <c r="X486" s="1614"/>
      <c r="Y486" s="1613"/>
      <c r="Z486" s="1612">
        <f t="shared" si="275"/>
        <v>0.54128837507704741</v>
      </c>
      <c r="AA486" s="1611"/>
      <c r="AB486" s="1611"/>
      <c r="AC486" s="1611"/>
      <c r="AD486" s="1611"/>
      <c r="AE486" s="1611"/>
      <c r="AF486" s="1611"/>
      <c r="AG486" s="1611"/>
      <c r="AH486" s="1611"/>
      <c r="AI486" s="1611"/>
      <c r="AJ486" s="1611"/>
      <c r="AK486" s="1611"/>
      <c r="AL486" s="1611"/>
      <c r="AM486" s="1611"/>
      <c r="AN486" s="1611"/>
      <c r="AO486" s="1611"/>
      <c r="AP486" s="1611"/>
      <c r="AQ486" s="1611"/>
    </row>
    <row r="487" spans="1:43" outlineLevel="2">
      <c r="A487" s="1638" t="s">
        <v>319</v>
      </c>
      <c r="B487" s="1637" t="s">
        <v>130</v>
      </c>
      <c r="C487" s="1636"/>
      <c r="D487" s="1635">
        <v>3</v>
      </c>
      <c r="E487" s="1634" t="s">
        <v>940</v>
      </c>
      <c r="F487" s="1633" t="s">
        <v>1070</v>
      </c>
      <c r="G487" s="1632">
        <v>4374.0443941676149</v>
      </c>
      <c r="H487" s="1632">
        <v>4151.91</v>
      </c>
      <c r="I487" s="1630">
        <f t="shared" si="263"/>
        <v>8525.9543941676147</v>
      </c>
      <c r="J487" s="1630">
        <f t="shared" si="264"/>
        <v>25577.863182502842</v>
      </c>
      <c r="K487" s="1631">
        <v>4650</v>
      </c>
      <c r="L487" s="1630">
        <f t="shared" si="265"/>
        <v>4650</v>
      </c>
      <c r="M487" s="1630">
        <f t="shared" si="266"/>
        <v>13950</v>
      </c>
      <c r="N487" s="1625">
        <f t="shared" si="267"/>
        <v>11627.863182502842</v>
      </c>
      <c r="O487" s="1629">
        <v>0.57030000000000003</v>
      </c>
      <c r="P487" s="1629">
        <v>0.42970000000000003</v>
      </c>
      <c r="Q487" s="1625">
        <f t="shared" si="268"/>
        <v>6631.3703729813715</v>
      </c>
      <c r="R487" s="1628">
        <f t="shared" si="269"/>
        <v>4996.4928095214718</v>
      </c>
      <c r="S487" s="1627">
        <f t="shared" si="270"/>
        <v>6490.7628095214732</v>
      </c>
      <c r="T487" s="1627">
        <f t="shared" si="271"/>
        <v>7459.2371904785277</v>
      </c>
      <c r="U487" s="1626">
        <f t="shared" si="272"/>
        <v>1622.6907023803683</v>
      </c>
      <c r="V487" s="1626">
        <f t="shared" si="273"/>
        <v>1864.8092976196319</v>
      </c>
      <c r="W487" s="1625">
        <f t="shared" si="274"/>
        <v>3487.5</v>
      </c>
      <c r="X487" s="1614"/>
      <c r="Y487" s="1613"/>
      <c r="Z487" s="1612">
        <f t="shared" si="275"/>
        <v>0.54539348734740423</v>
      </c>
      <c r="AA487" s="1611"/>
      <c r="AB487" s="1611"/>
      <c r="AC487" s="1611"/>
      <c r="AD487" s="1611"/>
      <c r="AE487" s="1611"/>
      <c r="AF487" s="1611"/>
      <c r="AG487" s="1611"/>
      <c r="AH487" s="1611"/>
      <c r="AI487" s="1611"/>
      <c r="AJ487" s="1611"/>
      <c r="AK487" s="1611"/>
      <c r="AL487" s="1611"/>
      <c r="AM487" s="1611"/>
      <c r="AN487" s="1611"/>
      <c r="AO487" s="1611"/>
      <c r="AP487" s="1611"/>
      <c r="AQ487" s="1611"/>
    </row>
    <row r="488" spans="1:43" outlineLevel="2">
      <c r="A488" s="1638" t="s">
        <v>319</v>
      </c>
      <c r="B488" s="1637" t="s">
        <v>130</v>
      </c>
      <c r="C488" s="1636"/>
      <c r="D488" s="1635">
        <v>1</v>
      </c>
      <c r="E488" s="1634" t="s">
        <v>940</v>
      </c>
      <c r="F488" s="1633" t="s">
        <v>1069</v>
      </c>
      <c r="G488" s="1632">
        <v>4374.0443941676149</v>
      </c>
      <c r="H488" s="1632">
        <v>4151.91</v>
      </c>
      <c r="I488" s="1630">
        <f t="shared" si="263"/>
        <v>8525.9543941676147</v>
      </c>
      <c r="J488" s="1630">
        <f t="shared" si="264"/>
        <v>8525.9543941676147</v>
      </c>
      <c r="K488" s="1631">
        <v>4650</v>
      </c>
      <c r="L488" s="1630">
        <f t="shared" si="265"/>
        <v>4650</v>
      </c>
      <c r="M488" s="1630">
        <f t="shared" si="266"/>
        <v>4650</v>
      </c>
      <c r="N488" s="1625">
        <f t="shared" si="267"/>
        <v>3875.9543941676147</v>
      </c>
      <c r="O488" s="1629">
        <v>0.57030000000000003</v>
      </c>
      <c r="P488" s="1629">
        <v>0.42970000000000003</v>
      </c>
      <c r="Q488" s="1625">
        <f t="shared" si="268"/>
        <v>2210.4567909937909</v>
      </c>
      <c r="R488" s="1628">
        <f t="shared" si="269"/>
        <v>1665.4976031738242</v>
      </c>
      <c r="S488" s="1627">
        <f t="shared" si="270"/>
        <v>2163.5876031738239</v>
      </c>
      <c r="T488" s="1627">
        <f t="shared" si="271"/>
        <v>2486.4123968261756</v>
      </c>
      <c r="U488" s="1626">
        <f t="shared" si="272"/>
        <v>540.89690079345598</v>
      </c>
      <c r="V488" s="1626">
        <f t="shared" si="273"/>
        <v>621.6030992065439</v>
      </c>
      <c r="W488" s="1625">
        <f t="shared" si="274"/>
        <v>1162.5</v>
      </c>
      <c r="X488" s="1614"/>
      <c r="Y488" s="1613"/>
      <c r="Z488" s="1612">
        <f t="shared" si="275"/>
        <v>0.54539348734740423</v>
      </c>
      <c r="AA488" s="1611"/>
      <c r="AB488" s="1611"/>
      <c r="AC488" s="1611"/>
      <c r="AD488" s="1611"/>
      <c r="AE488" s="1611"/>
      <c r="AF488" s="1611"/>
      <c r="AG488" s="1611"/>
      <c r="AH488" s="1611"/>
      <c r="AI488" s="1611"/>
      <c r="AJ488" s="1611"/>
      <c r="AK488" s="1611"/>
      <c r="AL488" s="1611"/>
      <c r="AM488" s="1611"/>
      <c r="AN488" s="1611"/>
      <c r="AO488" s="1611"/>
      <c r="AP488" s="1611"/>
      <c r="AQ488" s="1611"/>
    </row>
    <row r="489" spans="1:43" outlineLevel="2">
      <c r="A489" s="1638" t="s">
        <v>319</v>
      </c>
      <c r="B489" s="1637" t="s">
        <v>130</v>
      </c>
      <c r="C489" s="1636"/>
      <c r="D489" s="1635">
        <v>8</v>
      </c>
      <c r="E489" s="1634" t="s">
        <v>940</v>
      </c>
      <c r="F489" s="1633" t="s">
        <v>1068</v>
      </c>
      <c r="G489" s="1632">
        <v>4374.0443941676149</v>
      </c>
      <c r="H489" s="1632">
        <v>4151.91</v>
      </c>
      <c r="I489" s="1630">
        <f t="shared" si="263"/>
        <v>8525.9543941676147</v>
      </c>
      <c r="J489" s="1630">
        <f t="shared" si="264"/>
        <v>68207.635153340918</v>
      </c>
      <c r="K489" s="1631">
        <v>4650</v>
      </c>
      <c r="L489" s="1630">
        <f t="shared" si="265"/>
        <v>4650</v>
      </c>
      <c r="M489" s="1630">
        <f t="shared" si="266"/>
        <v>37200</v>
      </c>
      <c r="N489" s="1625">
        <f t="shared" si="267"/>
        <v>31007.635153340918</v>
      </c>
      <c r="O489" s="1629">
        <v>0.57030000000000003</v>
      </c>
      <c r="P489" s="1629">
        <v>0.42970000000000003</v>
      </c>
      <c r="Q489" s="1625">
        <f t="shared" si="268"/>
        <v>17683.654327950328</v>
      </c>
      <c r="R489" s="1628">
        <f t="shared" si="269"/>
        <v>13323.980825390594</v>
      </c>
      <c r="S489" s="1627">
        <f t="shared" si="270"/>
        <v>17308.700825390591</v>
      </c>
      <c r="T489" s="1627">
        <f t="shared" si="271"/>
        <v>19891.299174609405</v>
      </c>
      <c r="U489" s="1626">
        <f t="shared" si="272"/>
        <v>4327.1752063476479</v>
      </c>
      <c r="V489" s="1626">
        <f t="shared" si="273"/>
        <v>4972.8247936523512</v>
      </c>
      <c r="W489" s="1625">
        <f t="shared" si="274"/>
        <v>9300</v>
      </c>
      <c r="X489" s="1614"/>
      <c r="Y489" s="1613"/>
      <c r="Z489" s="1612">
        <f t="shared" si="275"/>
        <v>0.54539348734740423</v>
      </c>
      <c r="AA489" s="1611"/>
      <c r="AB489" s="1611"/>
      <c r="AC489" s="1611"/>
      <c r="AD489" s="1611"/>
      <c r="AE489" s="1611"/>
      <c r="AF489" s="1611"/>
      <c r="AG489" s="1611"/>
      <c r="AH489" s="1611"/>
      <c r="AI489" s="1611"/>
      <c r="AJ489" s="1611"/>
      <c r="AK489" s="1611"/>
      <c r="AL489" s="1611"/>
      <c r="AM489" s="1611"/>
      <c r="AN489" s="1611"/>
      <c r="AO489" s="1611"/>
      <c r="AP489" s="1611"/>
      <c r="AQ489" s="1611"/>
    </row>
    <row r="490" spans="1:43" outlineLevel="2">
      <c r="A490" s="1638" t="s">
        <v>319</v>
      </c>
      <c r="B490" s="1637" t="s">
        <v>130</v>
      </c>
      <c r="C490" s="1636"/>
      <c r="D490" s="1635">
        <v>6</v>
      </c>
      <c r="E490" s="1634" t="s">
        <v>940</v>
      </c>
      <c r="F490" s="1633" t="s">
        <v>1071</v>
      </c>
      <c r="G490" s="1632">
        <v>4374.0443941676149</v>
      </c>
      <c r="H490" s="1632">
        <v>4151.91</v>
      </c>
      <c r="I490" s="1630">
        <f t="shared" si="263"/>
        <v>8525.9543941676147</v>
      </c>
      <c r="J490" s="1630">
        <f t="shared" si="264"/>
        <v>51155.726365005685</v>
      </c>
      <c r="K490" s="1631">
        <v>4650</v>
      </c>
      <c r="L490" s="1630">
        <f t="shared" si="265"/>
        <v>4650</v>
      </c>
      <c r="M490" s="1630">
        <f t="shared" si="266"/>
        <v>27900</v>
      </c>
      <c r="N490" s="1625">
        <f t="shared" si="267"/>
        <v>23255.726365005685</v>
      </c>
      <c r="O490" s="1629">
        <v>0.57030000000000003</v>
      </c>
      <c r="P490" s="1629">
        <v>0.42970000000000003</v>
      </c>
      <c r="Q490" s="1625">
        <f t="shared" si="268"/>
        <v>13262.740745962743</v>
      </c>
      <c r="R490" s="1628">
        <f t="shared" si="269"/>
        <v>9992.9856190429437</v>
      </c>
      <c r="S490" s="1627">
        <f t="shared" si="270"/>
        <v>12981.525619042946</v>
      </c>
      <c r="T490" s="1627">
        <f t="shared" si="271"/>
        <v>14918.474380957055</v>
      </c>
      <c r="U490" s="1626">
        <f t="shared" si="272"/>
        <v>3245.3814047607366</v>
      </c>
      <c r="V490" s="1626">
        <f t="shared" si="273"/>
        <v>3729.6185952392639</v>
      </c>
      <c r="W490" s="1625">
        <f t="shared" si="274"/>
        <v>6975</v>
      </c>
      <c r="X490" s="1614"/>
      <c r="Y490" s="1613"/>
      <c r="Z490" s="1612">
        <f t="shared" si="275"/>
        <v>0.54539348734740423</v>
      </c>
      <c r="AA490" s="1611"/>
      <c r="AB490" s="1611"/>
      <c r="AC490" s="1611"/>
      <c r="AD490" s="1611"/>
      <c r="AE490" s="1611"/>
      <c r="AF490" s="1611"/>
      <c r="AG490" s="1611"/>
      <c r="AH490" s="1611"/>
      <c r="AI490" s="1611"/>
      <c r="AJ490" s="1611"/>
      <c r="AK490" s="1611"/>
      <c r="AL490" s="1611"/>
      <c r="AM490" s="1611"/>
      <c r="AN490" s="1611"/>
      <c r="AO490" s="1611"/>
      <c r="AP490" s="1611"/>
      <c r="AQ490" s="1611"/>
    </row>
    <row r="491" spans="1:43" outlineLevel="2">
      <c r="A491" s="1638" t="s">
        <v>319</v>
      </c>
      <c r="B491" s="1637" t="s">
        <v>130</v>
      </c>
      <c r="C491" s="1636"/>
      <c r="D491" s="1635">
        <v>2</v>
      </c>
      <c r="E491" s="1634" t="s">
        <v>940</v>
      </c>
      <c r="F491" s="1633" t="s">
        <v>1065</v>
      </c>
      <c r="G491" s="1632">
        <v>4374.0443941676149</v>
      </c>
      <c r="H491" s="1632">
        <v>4151.91</v>
      </c>
      <c r="I491" s="1630">
        <f t="shared" si="263"/>
        <v>8525.9543941676147</v>
      </c>
      <c r="J491" s="1630">
        <f t="shared" si="264"/>
        <v>17051.908788335229</v>
      </c>
      <c r="K491" s="1631">
        <v>4650</v>
      </c>
      <c r="L491" s="1630">
        <f t="shared" si="265"/>
        <v>4650</v>
      </c>
      <c r="M491" s="1630">
        <f t="shared" si="266"/>
        <v>9300</v>
      </c>
      <c r="N491" s="1625">
        <f t="shared" si="267"/>
        <v>7751.9087883352295</v>
      </c>
      <c r="O491" s="1629">
        <v>0.57030000000000003</v>
      </c>
      <c r="P491" s="1629">
        <v>0.42970000000000003</v>
      </c>
      <c r="Q491" s="1625">
        <f t="shared" si="268"/>
        <v>4420.9135819875819</v>
      </c>
      <c r="R491" s="1628">
        <f t="shared" si="269"/>
        <v>3330.9952063476485</v>
      </c>
      <c r="S491" s="1627">
        <f t="shared" si="270"/>
        <v>4327.1752063476479</v>
      </c>
      <c r="T491" s="1627">
        <f t="shared" si="271"/>
        <v>4972.8247936523512</v>
      </c>
      <c r="U491" s="1626">
        <f t="shared" si="272"/>
        <v>1081.793801586912</v>
      </c>
      <c r="V491" s="1626">
        <f t="shared" si="273"/>
        <v>1243.2061984130878</v>
      </c>
      <c r="W491" s="1625">
        <f t="shared" si="274"/>
        <v>2325</v>
      </c>
      <c r="X491" s="1614"/>
      <c r="Y491" s="1613"/>
      <c r="Z491" s="1612">
        <f t="shared" si="275"/>
        <v>0.54539348734740423</v>
      </c>
      <c r="AA491" s="1611"/>
      <c r="AB491" s="1611"/>
      <c r="AC491" s="1611"/>
      <c r="AD491" s="1611"/>
      <c r="AE491" s="1611"/>
      <c r="AF491" s="1611"/>
      <c r="AG491" s="1611"/>
      <c r="AH491" s="1611"/>
      <c r="AI491" s="1611"/>
      <c r="AJ491" s="1611"/>
      <c r="AK491" s="1611"/>
      <c r="AL491" s="1611"/>
      <c r="AM491" s="1611"/>
      <c r="AN491" s="1611"/>
      <c r="AO491" s="1611"/>
      <c r="AP491" s="1611"/>
      <c r="AQ491" s="1611"/>
    </row>
    <row r="492" spans="1:43" outlineLevel="2">
      <c r="A492" s="1638" t="s">
        <v>319</v>
      </c>
      <c r="B492" s="1637" t="s">
        <v>130</v>
      </c>
      <c r="C492" s="1636"/>
      <c r="D492" s="1635">
        <v>2</v>
      </c>
      <c r="E492" s="1634" t="s">
        <v>940</v>
      </c>
      <c r="F492" s="1633" t="s">
        <v>1064</v>
      </c>
      <c r="G492" s="1632">
        <v>4374.0443941676149</v>
      </c>
      <c r="H492" s="1632">
        <v>4151.91</v>
      </c>
      <c r="I492" s="1630">
        <f t="shared" si="263"/>
        <v>8525.9543941676147</v>
      </c>
      <c r="J492" s="1630">
        <f t="shared" si="264"/>
        <v>17051.908788335229</v>
      </c>
      <c r="K492" s="1631">
        <v>4650</v>
      </c>
      <c r="L492" s="1630">
        <f t="shared" si="265"/>
        <v>4650</v>
      </c>
      <c r="M492" s="1630">
        <f t="shared" si="266"/>
        <v>9300</v>
      </c>
      <c r="N492" s="1625">
        <f t="shared" si="267"/>
        <v>7751.9087883352295</v>
      </c>
      <c r="O492" s="1629">
        <v>0.57030000000000003</v>
      </c>
      <c r="P492" s="1629">
        <v>0.42970000000000003</v>
      </c>
      <c r="Q492" s="1625">
        <f t="shared" si="268"/>
        <v>4420.9135819875819</v>
      </c>
      <c r="R492" s="1628">
        <f t="shared" si="269"/>
        <v>3330.9952063476485</v>
      </c>
      <c r="S492" s="1627">
        <f t="shared" si="270"/>
        <v>4327.1752063476479</v>
      </c>
      <c r="T492" s="1627">
        <f t="shared" si="271"/>
        <v>4972.8247936523512</v>
      </c>
      <c r="U492" s="1626">
        <f t="shared" si="272"/>
        <v>1081.793801586912</v>
      </c>
      <c r="V492" s="1626">
        <f t="shared" si="273"/>
        <v>1243.2061984130878</v>
      </c>
      <c r="W492" s="1625">
        <f t="shared" si="274"/>
        <v>2325</v>
      </c>
      <c r="X492" s="1614"/>
      <c r="Y492" s="1613"/>
      <c r="Z492" s="1612">
        <f t="shared" si="275"/>
        <v>0.54539348734740423</v>
      </c>
      <c r="AA492" s="1611"/>
      <c r="AB492" s="1611"/>
      <c r="AC492" s="1611"/>
      <c r="AD492" s="1611"/>
      <c r="AE492" s="1611"/>
      <c r="AF492" s="1611"/>
      <c r="AG492" s="1611"/>
      <c r="AH492" s="1611"/>
      <c r="AI492" s="1611"/>
      <c r="AJ492" s="1611"/>
      <c r="AK492" s="1611"/>
      <c r="AL492" s="1611"/>
      <c r="AM492" s="1611"/>
      <c r="AN492" s="1611"/>
      <c r="AO492" s="1611"/>
      <c r="AP492" s="1611"/>
      <c r="AQ492" s="1611"/>
    </row>
    <row r="493" spans="1:43" outlineLevel="2">
      <c r="A493" s="1638" t="s">
        <v>319</v>
      </c>
      <c r="B493" s="1637" t="s">
        <v>130</v>
      </c>
      <c r="C493" s="1636"/>
      <c r="D493" s="1635">
        <v>2</v>
      </c>
      <c r="E493" s="1634" t="s">
        <v>940</v>
      </c>
      <c r="F493" s="1633" t="s">
        <v>1063</v>
      </c>
      <c r="G493" s="1632">
        <v>4374.0443941676149</v>
      </c>
      <c r="H493" s="1632">
        <v>4151.91</v>
      </c>
      <c r="I493" s="1630">
        <f t="shared" si="263"/>
        <v>8525.9543941676147</v>
      </c>
      <c r="J493" s="1630">
        <f t="shared" si="264"/>
        <v>17051.908788335229</v>
      </c>
      <c r="K493" s="1631">
        <v>4650</v>
      </c>
      <c r="L493" s="1630">
        <f t="shared" si="265"/>
        <v>4650</v>
      </c>
      <c r="M493" s="1630">
        <f t="shared" si="266"/>
        <v>9300</v>
      </c>
      <c r="N493" s="1625">
        <f t="shared" si="267"/>
        <v>7751.9087883352295</v>
      </c>
      <c r="O493" s="1629">
        <v>0.57030000000000003</v>
      </c>
      <c r="P493" s="1629">
        <v>0.42970000000000003</v>
      </c>
      <c r="Q493" s="1625">
        <f t="shared" si="268"/>
        <v>4420.9135819875819</v>
      </c>
      <c r="R493" s="1628">
        <f t="shared" si="269"/>
        <v>3330.9952063476485</v>
      </c>
      <c r="S493" s="1627">
        <f t="shared" si="270"/>
        <v>4327.1752063476479</v>
      </c>
      <c r="T493" s="1627">
        <f t="shared" si="271"/>
        <v>4972.8247936523512</v>
      </c>
      <c r="U493" s="1626">
        <f t="shared" si="272"/>
        <v>1081.793801586912</v>
      </c>
      <c r="V493" s="1626">
        <f t="shared" si="273"/>
        <v>1243.2061984130878</v>
      </c>
      <c r="W493" s="1625">
        <f t="shared" si="274"/>
        <v>2325</v>
      </c>
      <c r="X493" s="1614"/>
      <c r="Y493" s="1613"/>
      <c r="Z493" s="1612">
        <f t="shared" si="275"/>
        <v>0.54539348734740423</v>
      </c>
      <c r="AA493" s="1611"/>
      <c r="AB493" s="1611"/>
      <c r="AC493" s="1611"/>
      <c r="AD493" s="1611"/>
      <c r="AE493" s="1611"/>
      <c r="AF493" s="1611"/>
      <c r="AG493" s="1611"/>
      <c r="AH493" s="1611"/>
      <c r="AI493" s="1611"/>
      <c r="AJ493" s="1611"/>
      <c r="AK493" s="1611"/>
      <c r="AL493" s="1611"/>
      <c r="AM493" s="1611"/>
      <c r="AN493" s="1611"/>
      <c r="AO493" s="1611"/>
      <c r="AP493" s="1611"/>
      <c r="AQ493" s="1611"/>
    </row>
    <row r="494" spans="1:43" outlineLevel="2">
      <c r="A494" s="1638" t="s">
        <v>319</v>
      </c>
      <c r="B494" s="1637" t="s">
        <v>130</v>
      </c>
      <c r="C494" s="1636"/>
      <c r="D494" s="1635">
        <v>5</v>
      </c>
      <c r="E494" s="1634" t="s">
        <v>940</v>
      </c>
      <c r="F494" s="1633" t="s">
        <v>979</v>
      </c>
      <c r="G494" s="1632">
        <v>4374.0443941676149</v>
      </c>
      <c r="H494" s="1632">
        <v>4151.91</v>
      </c>
      <c r="I494" s="1630">
        <f t="shared" si="263"/>
        <v>8525.9543941676147</v>
      </c>
      <c r="J494" s="1630">
        <f t="shared" si="264"/>
        <v>42629.771970838076</v>
      </c>
      <c r="K494" s="1631">
        <v>4650</v>
      </c>
      <c r="L494" s="1630">
        <f t="shared" si="265"/>
        <v>4650</v>
      </c>
      <c r="M494" s="1630">
        <f t="shared" si="266"/>
        <v>23250</v>
      </c>
      <c r="N494" s="1625">
        <f t="shared" si="267"/>
        <v>19379.771970838076</v>
      </c>
      <c r="O494" s="1629">
        <v>0.57030000000000003</v>
      </c>
      <c r="P494" s="1629">
        <v>0.42970000000000003</v>
      </c>
      <c r="Q494" s="1625">
        <f t="shared" si="268"/>
        <v>11052.283954968954</v>
      </c>
      <c r="R494" s="1628">
        <f t="shared" si="269"/>
        <v>8327.4880158691212</v>
      </c>
      <c r="S494" s="1627">
        <f t="shared" si="270"/>
        <v>10817.938015869118</v>
      </c>
      <c r="T494" s="1627">
        <f t="shared" si="271"/>
        <v>12432.061984130878</v>
      </c>
      <c r="U494" s="1626">
        <f t="shared" si="272"/>
        <v>2704.4845039672796</v>
      </c>
      <c r="V494" s="1626">
        <f t="shared" si="273"/>
        <v>3108.0154960327195</v>
      </c>
      <c r="W494" s="1625">
        <f t="shared" si="274"/>
        <v>5812.4999999999991</v>
      </c>
      <c r="X494" s="1614"/>
      <c r="Y494" s="1613"/>
      <c r="Z494" s="1612">
        <f t="shared" si="275"/>
        <v>0.54539348734740423</v>
      </c>
      <c r="AA494" s="1611"/>
      <c r="AB494" s="1611"/>
      <c r="AC494" s="1611"/>
      <c r="AD494" s="1611"/>
      <c r="AE494" s="1611"/>
      <c r="AF494" s="1611"/>
      <c r="AG494" s="1611"/>
      <c r="AH494" s="1611"/>
      <c r="AI494" s="1611"/>
      <c r="AJ494" s="1611"/>
      <c r="AK494" s="1611"/>
      <c r="AL494" s="1611"/>
      <c r="AM494" s="1611"/>
      <c r="AN494" s="1611"/>
      <c r="AO494" s="1611"/>
      <c r="AP494" s="1611"/>
      <c r="AQ494" s="1611"/>
    </row>
    <row r="495" spans="1:43" outlineLevel="2">
      <c r="A495" s="1638" t="s">
        <v>319</v>
      </c>
      <c r="B495" s="1637" t="s">
        <v>130</v>
      </c>
      <c r="C495" s="1636"/>
      <c r="D495" s="1635">
        <v>1</v>
      </c>
      <c r="E495" s="1634" t="s">
        <v>961</v>
      </c>
      <c r="F495" s="1633" t="s">
        <v>1071</v>
      </c>
      <c r="G495" s="1632">
        <v>4374.0443941676149</v>
      </c>
      <c r="H495" s="1632">
        <v>4151.91</v>
      </c>
      <c r="I495" s="1630">
        <f t="shared" si="263"/>
        <v>8525.9543941676147</v>
      </c>
      <c r="J495" s="1630">
        <f t="shared" si="264"/>
        <v>8525.9543941676147</v>
      </c>
      <c r="K495" s="1631">
        <v>5450</v>
      </c>
      <c r="L495" s="1630">
        <f t="shared" si="265"/>
        <v>5450</v>
      </c>
      <c r="M495" s="1630">
        <f t="shared" si="266"/>
        <v>5450</v>
      </c>
      <c r="N495" s="1625">
        <f t="shared" si="267"/>
        <v>3075.9543941676147</v>
      </c>
      <c r="O495" s="1629">
        <v>0.57030000000000003</v>
      </c>
      <c r="P495" s="1629">
        <v>0.42970000000000003</v>
      </c>
      <c r="Q495" s="1625">
        <f t="shared" si="268"/>
        <v>1754.2167909937907</v>
      </c>
      <c r="R495" s="1628">
        <f t="shared" si="269"/>
        <v>1321.737603173824</v>
      </c>
      <c r="S495" s="1627">
        <f t="shared" si="270"/>
        <v>2619.8276031738242</v>
      </c>
      <c r="T495" s="1627">
        <f t="shared" si="271"/>
        <v>2830.1723968261758</v>
      </c>
      <c r="U495" s="1626">
        <f t="shared" si="272"/>
        <v>654.95690079345604</v>
      </c>
      <c r="V495" s="1626">
        <f t="shared" si="273"/>
        <v>707.54309920654396</v>
      </c>
      <c r="W495" s="1625">
        <f t="shared" si="274"/>
        <v>1362.5</v>
      </c>
      <c r="X495" s="1614"/>
      <c r="Y495" s="1613"/>
      <c r="Z495" s="1612">
        <f t="shared" si="275"/>
        <v>0.63922462495555976</v>
      </c>
      <c r="AA495" s="1611"/>
      <c r="AB495" s="1611"/>
      <c r="AC495" s="1611"/>
      <c r="AD495" s="1611"/>
      <c r="AE495" s="1611"/>
      <c r="AF495" s="1611"/>
      <c r="AG495" s="1611"/>
      <c r="AH495" s="1611"/>
      <c r="AI495" s="1611"/>
      <c r="AJ495" s="1611"/>
      <c r="AK495" s="1611"/>
      <c r="AL495" s="1611"/>
      <c r="AM495" s="1611"/>
      <c r="AN495" s="1611"/>
      <c r="AO495" s="1611"/>
      <c r="AP495" s="1611"/>
      <c r="AQ495" s="1611"/>
    </row>
    <row r="496" spans="1:43" outlineLevel="2">
      <c r="A496" s="1638" t="s">
        <v>319</v>
      </c>
      <c r="B496" s="1637" t="s">
        <v>130</v>
      </c>
      <c r="C496" s="1636"/>
      <c r="D496" s="1635">
        <v>1</v>
      </c>
      <c r="E496" s="1634" t="s">
        <v>961</v>
      </c>
      <c r="F496" s="1633" t="s">
        <v>1063</v>
      </c>
      <c r="G496" s="1632">
        <v>4374.0443941676149</v>
      </c>
      <c r="H496" s="1632">
        <v>4151.91</v>
      </c>
      <c r="I496" s="1630">
        <f t="shared" si="263"/>
        <v>8525.9543941676147</v>
      </c>
      <c r="J496" s="1630">
        <f t="shared" si="264"/>
        <v>8525.9543941676147</v>
      </c>
      <c r="K496" s="1631">
        <v>5450</v>
      </c>
      <c r="L496" s="1630">
        <f t="shared" si="265"/>
        <v>5450</v>
      </c>
      <c r="M496" s="1630">
        <f t="shared" si="266"/>
        <v>5450</v>
      </c>
      <c r="N496" s="1625">
        <f t="shared" si="267"/>
        <v>3075.9543941676147</v>
      </c>
      <c r="O496" s="1629">
        <v>0.57030000000000003</v>
      </c>
      <c r="P496" s="1629">
        <v>0.42970000000000003</v>
      </c>
      <c r="Q496" s="1625">
        <f t="shared" si="268"/>
        <v>1754.2167909937907</v>
      </c>
      <c r="R496" s="1628">
        <f t="shared" si="269"/>
        <v>1321.737603173824</v>
      </c>
      <c r="S496" s="1627">
        <f t="shared" si="270"/>
        <v>2619.8276031738242</v>
      </c>
      <c r="T496" s="1627">
        <f t="shared" si="271"/>
        <v>2830.1723968261758</v>
      </c>
      <c r="U496" s="1626">
        <f t="shared" si="272"/>
        <v>654.95690079345604</v>
      </c>
      <c r="V496" s="1626">
        <f t="shared" si="273"/>
        <v>707.54309920654396</v>
      </c>
      <c r="W496" s="1625">
        <f t="shared" si="274"/>
        <v>1362.5</v>
      </c>
      <c r="X496" s="1614"/>
      <c r="Y496" s="1613"/>
      <c r="Z496" s="1612">
        <f t="shared" si="275"/>
        <v>0.63922462495555976</v>
      </c>
      <c r="AA496" s="1611"/>
      <c r="AB496" s="1611"/>
      <c r="AC496" s="1611"/>
      <c r="AD496" s="1611"/>
      <c r="AE496" s="1611"/>
      <c r="AF496" s="1611"/>
      <c r="AG496" s="1611"/>
      <c r="AH496" s="1611"/>
      <c r="AI496" s="1611"/>
      <c r="AJ496" s="1611"/>
      <c r="AK496" s="1611"/>
      <c r="AL496" s="1611"/>
      <c r="AM496" s="1611"/>
      <c r="AN496" s="1611"/>
      <c r="AO496" s="1611"/>
      <c r="AP496" s="1611"/>
      <c r="AQ496" s="1611"/>
    </row>
    <row r="497" spans="1:43" outlineLevel="2">
      <c r="A497" s="1638" t="s">
        <v>319</v>
      </c>
      <c r="B497" s="1637" t="s">
        <v>130</v>
      </c>
      <c r="C497" s="1636"/>
      <c r="D497" s="1635">
        <v>37</v>
      </c>
      <c r="E497" s="1634" t="s">
        <v>960</v>
      </c>
      <c r="F497" s="1633" t="s">
        <v>1070</v>
      </c>
      <c r="G497" s="1632">
        <v>4374.0443941676149</v>
      </c>
      <c r="H497" s="1632">
        <v>4151.91</v>
      </c>
      <c r="I497" s="1630">
        <f t="shared" si="263"/>
        <v>8525.9543941676147</v>
      </c>
      <c r="J497" s="1630">
        <f t="shared" si="264"/>
        <v>315460.31258420175</v>
      </c>
      <c r="K497" s="1631">
        <v>4465</v>
      </c>
      <c r="L497" s="1630">
        <f t="shared" si="265"/>
        <v>4465</v>
      </c>
      <c r="M497" s="1630">
        <f t="shared" si="266"/>
        <v>165205</v>
      </c>
      <c r="N497" s="1625">
        <f t="shared" si="267"/>
        <v>150255.31258420175</v>
      </c>
      <c r="O497" s="1629">
        <v>0.57030000000000003</v>
      </c>
      <c r="P497" s="1629">
        <v>0.42970000000000003</v>
      </c>
      <c r="Q497" s="1625">
        <f t="shared" si="268"/>
        <v>85690.604766770266</v>
      </c>
      <c r="R497" s="1628">
        <f t="shared" si="269"/>
        <v>64564.707817431496</v>
      </c>
      <c r="S497" s="1627">
        <f t="shared" si="270"/>
        <v>76149.037817431497</v>
      </c>
      <c r="T497" s="1627">
        <f t="shared" si="271"/>
        <v>89055.962182568488</v>
      </c>
      <c r="U497" s="1626">
        <f t="shared" si="272"/>
        <v>19037.259454357874</v>
      </c>
      <c r="V497" s="1626">
        <f t="shared" si="273"/>
        <v>22263.990545642122</v>
      </c>
      <c r="W497" s="1625">
        <f t="shared" si="274"/>
        <v>41301.25</v>
      </c>
      <c r="X497" s="1614"/>
      <c r="Y497" s="1613"/>
      <c r="Z497" s="1612">
        <f t="shared" si="275"/>
        <v>0.52369503677551821</v>
      </c>
      <c r="AA497" s="1611"/>
      <c r="AB497" s="1611"/>
      <c r="AC497" s="1611"/>
      <c r="AD497" s="1611"/>
      <c r="AE497" s="1611"/>
      <c r="AF497" s="1611"/>
      <c r="AG497" s="1611"/>
      <c r="AH497" s="1611"/>
      <c r="AI497" s="1611"/>
      <c r="AJ497" s="1611"/>
      <c r="AK497" s="1611"/>
      <c r="AL497" s="1611"/>
      <c r="AM497" s="1611"/>
      <c r="AN497" s="1611"/>
      <c r="AO497" s="1611"/>
      <c r="AP497" s="1611"/>
      <c r="AQ497" s="1611"/>
    </row>
    <row r="498" spans="1:43" outlineLevel="2">
      <c r="A498" s="1638" t="s">
        <v>319</v>
      </c>
      <c r="B498" s="1637" t="s">
        <v>130</v>
      </c>
      <c r="C498" s="1636"/>
      <c r="D498" s="1635">
        <v>22</v>
      </c>
      <c r="E498" s="1634" t="s">
        <v>960</v>
      </c>
      <c r="F498" s="1633" t="s">
        <v>1069</v>
      </c>
      <c r="G498" s="1632">
        <v>4374.0443941676149</v>
      </c>
      <c r="H498" s="1632">
        <v>4151.91</v>
      </c>
      <c r="I498" s="1630">
        <f t="shared" si="263"/>
        <v>8525.9543941676147</v>
      </c>
      <c r="J498" s="1630">
        <f t="shared" si="264"/>
        <v>187570.99667168752</v>
      </c>
      <c r="K498" s="1631">
        <v>4465</v>
      </c>
      <c r="L498" s="1630">
        <f t="shared" si="265"/>
        <v>4465</v>
      </c>
      <c r="M498" s="1630">
        <f t="shared" si="266"/>
        <v>98230</v>
      </c>
      <c r="N498" s="1625">
        <f t="shared" si="267"/>
        <v>89340.996671687521</v>
      </c>
      <c r="O498" s="1629">
        <v>0.57030000000000003</v>
      </c>
      <c r="P498" s="1629">
        <v>0.42970000000000003</v>
      </c>
      <c r="Q498" s="1625">
        <f t="shared" si="268"/>
        <v>50951.170401863397</v>
      </c>
      <c r="R498" s="1628">
        <f t="shared" si="269"/>
        <v>38389.826269824131</v>
      </c>
      <c r="S498" s="1627">
        <f t="shared" si="270"/>
        <v>45277.806269824134</v>
      </c>
      <c r="T498" s="1627">
        <f t="shared" si="271"/>
        <v>52952.193730175859</v>
      </c>
      <c r="U498" s="1626">
        <f t="shared" si="272"/>
        <v>11319.451567456033</v>
      </c>
      <c r="V498" s="1626">
        <f t="shared" si="273"/>
        <v>13238.048432543965</v>
      </c>
      <c r="W498" s="1625">
        <f t="shared" si="274"/>
        <v>24557.5</v>
      </c>
      <c r="X498" s="1614"/>
      <c r="Y498" s="1613"/>
      <c r="Z498" s="1612">
        <f t="shared" si="275"/>
        <v>0.52369503677551821</v>
      </c>
      <c r="AA498" s="1611"/>
      <c r="AB498" s="1611"/>
      <c r="AC498" s="1611"/>
      <c r="AD498" s="1611"/>
      <c r="AE498" s="1611"/>
      <c r="AF498" s="1611"/>
      <c r="AG498" s="1611"/>
      <c r="AH498" s="1611"/>
      <c r="AI498" s="1611"/>
      <c r="AJ498" s="1611"/>
      <c r="AK498" s="1611"/>
      <c r="AL498" s="1611"/>
      <c r="AM498" s="1611"/>
      <c r="AN498" s="1611"/>
      <c r="AO498" s="1611"/>
      <c r="AP498" s="1611"/>
      <c r="AQ498" s="1611"/>
    </row>
    <row r="499" spans="1:43" outlineLevel="2">
      <c r="A499" s="1638" t="s">
        <v>319</v>
      </c>
      <c r="B499" s="1637" t="s">
        <v>130</v>
      </c>
      <c r="C499" s="1636"/>
      <c r="D499" s="1635">
        <v>43</v>
      </c>
      <c r="E499" s="1634" t="s">
        <v>960</v>
      </c>
      <c r="F499" s="1633" t="s">
        <v>1068</v>
      </c>
      <c r="G499" s="1632">
        <v>4374.0443941676149</v>
      </c>
      <c r="H499" s="1632">
        <v>4151.91</v>
      </c>
      <c r="I499" s="1630">
        <f t="shared" si="263"/>
        <v>8525.9543941676147</v>
      </c>
      <c r="J499" s="1630">
        <f t="shared" si="264"/>
        <v>366616.03894920746</v>
      </c>
      <c r="K499" s="1631">
        <v>4465</v>
      </c>
      <c r="L499" s="1630">
        <f t="shared" si="265"/>
        <v>4465</v>
      </c>
      <c r="M499" s="1630">
        <f t="shared" si="266"/>
        <v>191995</v>
      </c>
      <c r="N499" s="1625">
        <f t="shared" si="267"/>
        <v>174621.03894920746</v>
      </c>
      <c r="O499" s="1629">
        <v>0.57030000000000003</v>
      </c>
      <c r="P499" s="1629">
        <v>0.42970000000000003</v>
      </c>
      <c r="Q499" s="1625">
        <f t="shared" si="268"/>
        <v>99586.378512733019</v>
      </c>
      <c r="R499" s="1628">
        <f t="shared" si="269"/>
        <v>75034.660436474456</v>
      </c>
      <c r="S499" s="1627">
        <f t="shared" si="270"/>
        <v>88497.530436474408</v>
      </c>
      <c r="T499" s="1627">
        <f t="shared" si="271"/>
        <v>103497.46956352555</v>
      </c>
      <c r="U499" s="1626">
        <f t="shared" si="272"/>
        <v>22124.382609118602</v>
      </c>
      <c r="V499" s="1626">
        <f t="shared" si="273"/>
        <v>25874.367390881387</v>
      </c>
      <c r="W499" s="1625">
        <f t="shared" si="274"/>
        <v>47998.749999999985</v>
      </c>
      <c r="X499" s="1614"/>
      <c r="Y499" s="1613"/>
      <c r="Z499" s="1612">
        <f t="shared" si="275"/>
        <v>0.52369503677551821</v>
      </c>
      <c r="AA499" s="1611"/>
      <c r="AB499" s="1611"/>
      <c r="AC499" s="1611"/>
      <c r="AD499" s="1611"/>
      <c r="AE499" s="1611"/>
      <c r="AF499" s="1611"/>
      <c r="AG499" s="1611"/>
      <c r="AH499" s="1611"/>
      <c r="AI499" s="1611"/>
      <c r="AJ499" s="1611"/>
      <c r="AK499" s="1611"/>
      <c r="AL499" s="1611"/>
      <c r="AM499" s="1611"/>
      <c r="AN499" s="1611"/>
      <c r="AO499" s="1611"/>
      <c r="AP499" s="1611"/>
      <c r="AQ499" s="1611"/>
    </row>
    <row r="500" spans="1:43" outlineLevel="2">
      <c r="A500" s="1638" t="s">
        <v>319</v>
      </c>
      <c r="B500" s="1637" t="s">
        <v>130</v>
      </c>
      <c r="C500" s="1636"/>
      <c r="D500" s="1635">
        <v>11</v>
      </c>
      <c r="E500" s="1634" t="s">
        <v>960</v>
      </c>
      <c r="F500" s="1633" t="s">
        <v>1071</v>
      </c>
      <c r="G500" s="1632">
        <v>4374.0443941676149</v>
      </c>
      <c r="H500" s="1632">
        <v>4151.91</v>
      </c>
      <c r="I500" s="1630">
        <f t="shared" si="263"/>
        <v>8525.9543941676147</v>
      </c>
      <c r="J500" s="1630">
        <f t="shared" si="264"/>
        <v>93785.49833584376</v>
      </c>
      <c r="K500" s="1631">
        <v>4465</v>
      </c>
      <c r="L500" s="1630">
        <f t="shared" si="265"/>
        <v>4465</v>
      </c>
      <c r="M500" s="1630">
        <f t="shared" si="266"/>
        <v>49115</v>
      </c>
      <c r="N500" s="1625">
        <f t="shared" si="267"/>
        <v>44670.49833584376</v>
      </c>
      <c r="O500" s="1629">
        <v>0.57030000000000003</v>
      </c>
      <c r="P500" s="1629">
        <v>0.42970000000000003</v>
      </c>
      <c r="Q500" s="1625">
        <f t="shared" si="268"/>
        <v>25475.585200931699</v>
      </c>
      <c r="R500" s="1628">
        <f t="shared" si="269"/>
        <v>19194.913134912065</v>
      </c>
      <c r="S500" s="1627">
        <f t="shared" si="270"/>
        <v>22638.903134912067</v>
      </c>
      <c r="T500" s="1627">
        <f t="shared" si="271"/>
        <v>26476.096865087929</v>
      </c>
      <c r="U500" s="1626">
        <f t="shared" si="272"/>
        <v>5659.7257837280167</v>
      </c>
      <c r="V500" s="1626">
        <f t="shared" si="273"/>
        <v>6619.0242162719824</v>
      </c>
      <c r="W500" s="1625">
        <f t="shared" si="274"/>
        <v>12278.75</v>
      </c>
      <c r="X500" s="1614"/>
      <c r="Y500" s="1613"/>
      <c r="Z500" s="1612">
        <f t="shared" si="275"/>
        <v>0.52369503677551821</v>
      </c>
      <c r="AA500" s="1611"/>
      <c r="AB500" s="1611"/>
      <c r="AC500" s="1611"/>
      <c r="AD500" s="1611"/>
      <c r="AE500" s="1611"/>
      <c r="AF500" s="1611"/>
      <c r="AG500" s="1611"/>
      <c r="AH500" s="1611"/>
      <c r="AI500" s="1611"/>
      <c r="AJ500" s="1611"/>
      <c r="AK500" s="1611"/>
      <c r="AL500" s="1611"/>
      <c r="AM500" s="1611"/>
      <c r="AN500" s="1611"/>
      <c r="AO500" s="1611"/>
      <c r="AP500" s="1611"/>
      <c r="AQ500" s="1611"/>
    </row>
    <row r="501" spans="1:43" outlineLevel="2">
      <c r="A501" s="1638" t="s">
        <v>319</v>
      </c>
      <c r="B501" s="1637" t="s">
        <v>130</v>
      </c>
      <c r="C501" s="1636"/>
      <c r="D501" s="1635">
        <v>17</v>
      </c>
      <c r="E501" s="1634" t="s">
        <v>960</v>
      </c>
      <c r="F501" s="1633" t="s">
        <v>1065</v>
      </c>
      <c r="G501" s="1632">
        <v>4374.0443941676149</v>
      </c>
      <c r="H501" s="1632">
        <v>4151.91</v>
      </c>
      <c r="I501" s="1630">
        <f t="shared" si="263"/>
        <v>8525.9543941676147</v>
      </c>
      <c r="J501" s="1630">
        <f t="shared" si="264"/>
        <v>144941.22470084945</v>
      </c>
      <c r="K501" s="1631">
        <v>4465</v>
      </c>
      <c r="L501" s="1630">
        <f t="shared" si="265"/>
        <v>4465</v>
      </c>
      <c r="M501" s="1630">
        <f t="shared" si="266"/>
        <v>75905</v>
      </c>
      <c r="N501" s="1625">
        <f t="shared" si="267"/>
        <v>69036.224700849445</v>
      </c>
      <c r="O501" s="1629">
        <v>0.57030000000000003</v>
      </c>
      <c r="P501" s="1629">
        <v>0.42970000000000003</v>
      </c>
      <c r="Q501" s="1625">
        <f t="shared" si="268"/>
        <v>39371.358946894441</v>
      </c>
      <c r="R501" s="1628">
        <f t="shared" si="269"/>
        <v>29664.865753955008</v>
      </c>
      <c r="S501" s="1627">
        <f t="shared" si="270"/>
        <v>34987.395753955017</v>
      </c>
      <c r="T501" s="1627">
        <f t="shared" si="271"/>
        <v>40917.604246044997</v>
      </c>
      <c r="U501" s="1626">
        <f t="shared" si="272"/>
        <v>8746.8489384887544</v>
      </c>
      <c r="V501" s="1626">
        <f t="shared" si="273"/>
        <v>10229.401061511249</v>
      </c>
      <c r="W501" s="1625">
        <f t="shared" si="274"/>
        <v>18976.250000000004</v>
      </c>
      <c r="X501" s="1614"/>
      <c r="Y501" s="1613"/>
      <c r="Z501" s="1612">
        <f t="shared" si="275"/>
        <v>0.52369503677551821</v>
      </c>
      <c r="AA501" s="1611"/>
      <c r="AB501" s="1611"/>
      <c r="AC501" s="1611"/>
      <c r="AD501" s="1611"/>
      <c r="AE501" s="1611"/>
      <c r="AF501" s="1611"/>
      <c r="AG501" s="1611"/>
      <c r="AH501" s="1611"/>
      <c r="AI501" s="1611"/>
      <c r="AJ501" s="1611"/>
      <c r="AK501" s="1611"/>
      <c r="AL501" s="1611"/>
      <c r="AM501" s="1611"/>
      <c r="AN501" s="1611"/>
      <c r="AO501" s="1611"/>
      <c r="AP501" s="1611"/>
      <c r="AQ501" s="1611"/>
    </row>
    <row r="502" spans="1:43" outlineLevel="2">
      <c r="A502" s="1638" t="s">
        <v>319</v>
      </c>
      <c r="B502" s="1637" t="s">
        <v>130</v>
      </c>
      <c r="C502" s="1636"/>
      <c r="D502" s="1635">
        <v>14</v>
      </c>
      <c r="E502" s="1634" t="s">
        <v>960</v>
      </c>
      <c r="F502" s="1633" t="s">
        <v>1064</v>
      </c>
      <c r="G502" s="1632">
        <v>4374.0443941676149</v>
      </c>
      <c r="H502" s="1632">
        <v>4151.91</v>
      </c>
      <c r="I502" s="1630">
        <f t="shared" si="263"/>
        <v>8525.9543941676147</v>
      </c>
      <c r="J502" s="1630">
        <f t="shared" si="264"/>
        <v>119363.3615183466</v>
      </c>
      <c r="K502" s="1631">
        <v>4465</v>
      </c>
      <c r="L502" s="1630">
        <f t="shared" si="265"/>
        <v>4465</v>
      </c>
      <c r="M502" s="1630">
        <f t="shared" si="266"/>
        <v>62510</v>
      </c>
      <c r="N502" s="1625">
        <f t="shared" si="267"/>
        <v>56853.361518346603</v>
      </c>
      <c r="O502" s="1629">
        <v>0.57030000000000003</v>
      </c>
      <c r="P502" s="1629">
        <v>0.42970000000000003</v>
      </c>
      <c r="Q502" s="1625">
        <f t="shared" si="268"/>
        <v>32423.472073913068</v>
      </c>
      <c r="R502" s="1628">
        <f t="shared" si="269"/>
        <v>24429.889444433538</v>
      </c>
      <c r="S502" s="1627">
        <f t="shared" si="270"/>
        <v>28813.149444433544</v>
      </c>
      <c r="T502" s="1627">
        <f t="shared" si="271"/>
        <v>33696.85055556646</v>
      </c>
      <c r="U502" s="1626">
        <f t="shared" si="272"/>
        <v>7203.287361108386</v>
      </c>
      <c r="V502" s="1626">
        <f t="shared" si="273"/>
        <v>8424.2126388916149</v>
      </c>
      <c r="W502" s="1625">
        <f t="shared" si="274"/>
        <v>15627.5</v>
      </c>
      <c r="X502" s="1614"/>
      <c r="Y502" s="1613"/>
      <c r="Z502" s="1612">
        <f t="shared" si="275"/>
        <v>0.52369503677551821</v>
      </c>
      <c r="AA502" s="1611"/>
      <c r="AB502" s="1611"/>
      <c r="AC502" s="1611"/>
      <c r="AD502" s="1611"/>
      <c r="AE502" s="1611"/>
      <c r="AF502" s="1611"/>
      <c r="AG502" s="1611"/>
      <c r="AH502" s="1611"/>
      <c r="AI502" s="1611"/>
      <c r="AJ502" s="1611"/>
      <c r="AK502" s="1611"/>
      <c r="AL502" s="1611"/>
      <c r="AM502" s="1611"/>
      <c r="AN502" s="1611"/>
      <c r="AO502" s="1611"/>
      <c r="AP502" s="1611"/>
      <c r="AQ502" s="1611"/>
    </row>
    <row r="503" spans="1:43" outlineLevel="2">
      <c r="A503" s="1638" t="s">
        <v>319</v>
      </c>
      <c r="B503" s="1637" t="s">
        <v>130</v>
      </c>
      <c r="C503" s="1636"/>
      <c r="D503" s="1635">
        <v>41</v>
      </c>
      <c r="E503" s="1634" t="s">
        <v>960</v>
      </c>
      <c r="F503" s="1633" t="s">
        <v>979</v>
      </c>
      <c r="G503" s="1632">
        <v>4374.0443941676149</v>
      </c>
      <c r="H503" s="1632">
        <v>4151.91</v>
      </c>
      <c r="I503" s="1630">
        <f t="shared" si="263"/>
        <v>8525.9543941676147</v>
      </c>
      <c r="J503" s="1630">
        <f t="shared" si="264"/>
        <v>349564.13016087218</v>
      </c>
      <c r="K503" s="1631">
        <v>4465</v>
      </c>
      <c r="L503" s="1630">
        <f t="shared" si="265"/>
        <v>4465</v>
      </c>
      <c r="M503" s="1630">
        <f t="shared" si="266"/>
        <v>183065</v>
      </c>
      <c r="N503" s="1625">
        <f t="shared" si="267"/>
        <v>166499.13016087218</v>
      </c>
      <c r="O503" s="1629">
        <v>0.57030000000000003</v>
      </c>
      <c r="P503" s="1629">
        <v>0.42970000000000003</v>
      </c>
      <c r="Q503" s="1625">
        <f t="shared" si="268"/>
        <v>94954.453930745411</v>
      </c>
      <c r="R503" s="1628">
        <f t="shared" si="269"/>
        <v>71544.676230126788</v>
      </c>
      <c r="S503" s="1627">
        <f t="shared" si="270"/>
        <v>84381.366230126805</v>
      </c>
      <c r="T503" s="1627">
        <f t="shared" si="271"/>
        <v>98683.63376987321</v>
      </c>
      <c r="U503" s="1626">
        <f t="shared" si="272"/>
        <v>21095.341557531701</v>
      </c>
      <c r="V503" s="1626">
        <f t="shared" si="273"/>
        <v>24670.908442468302</v>
      </c>
      <c r="W503" s="1625">
        <f t="shared" si="274"/>
        <v>45766.25</v>
      </c>
      <c r="X503" s="1614"/>
      <c r="Y503" s="1613"/>
      <c r="Z503" s="1612">
        <f t="shared" si="275"/>
        <v>0.52369503677551821</v>
      </c>
      <c r="AA503" s="1611"/>
      <c r="AB503" s="1611"/>
      <c r="AC503" s="1611"/>
      <c r="AD503" s="1611"/>
      <c r="AE503" s="1611"/>
      <c r="AF503" s="1611"/>
      <c r="AG503" s="1611"/>
      <c r="AH503" s="1611"/>
      <c r="AI503" s="1611"/>
      <c r="AJ503" s="1611"/>
      <c r="AK503" s="1611"/>
      <c r="AL503" s="1611"/>
      <c r="AM503" s="1611"/>
      <c r="AN503" s="1611"/>
      <c r="AO503" s="1611"/>
      <c r="AP503" s="1611"/>
      <c r="AQ503" s="1611"/>
    </row>
    <row r="504" spans="1:43" outlineLevel="2">
      <c r="A504" s="1638" t="s">
        <v>319</v>
      </c>
      <c r="B504" s="1637" t="s">
        <v>130</v>
      </c>
      <c r="C504" s="1636"/>
      <c r="D504" s="1635">
        <v>4</v>
      </c>
      <c r="E504" s="1634" t="s">
        <v>959</v>
      </c>
      <c r="F504" s="1633" t="s">
        <v>1070</v>
      </c>
      <c r="G504" s="1632">
        <v>4374.0443941676149</v>
      </c>
      <c r="H504" s="1632">
        <v>4151.91</v>
      </c>
      <c r="I504" s="1630">
        <f t="shared" si="263"/>
        <v>8525.9543941676147</v>
      </c>
      <c r="J504" s="1630">
        <f t="shared" si="264"/>
        <v>34103.817576670459</v>
      </c>
      <c r="K504" s="1631">
        <v>6783</v>
      </c>
      <c r="L504" s="1630">
        <f t="shared" si="265"/>
        <v>6783</v>
      </c>
      <c r="M504" s="1630">
        <f t="shared" si="266"/>
        <v>27132</v>
      </c>
      <c r="N504" s="1625">
        <f t="shared" si="267"/>
        <v>6971.8175766704589</v>
      </c>
      <c r="O504" s="1629">
        <v>0.57030000000000003</v>
      </c>
      <c r="P504" s="1629">
        <v>0.42970000000000003</v>
      </c>
      <c r="Q504" s="1625">
        <f t="shared" si="268"/>
        <v>3976.027563975163</v>
      </c>
      <c r="R504" s="1628">
        <f t="shared" si="269"/>
        <v>2995.7900126952964</v>
      </c>
      <c r="S504" s="1627">
        <f t="shared" si="270"/>
        <v>13520.150012695296</v>
      </c>
      <c r="T504" s="1627">
        <f t="shared" si="271"/>
        <v>13611.849987304704</v>
      </c>
      <c r="U504" s="1626">
        <f t="shared" si="272"/>
        <v>3380.037503173824</v>
      </c>
      <c r="V504" s="1626">
        <f t="shared" si="273"/>
        <v>3402.962496826176</v>
      </c>
      <c r="W504" s="1625">
        <f t="shared" si="274"/>
        <v>6783</v>
      </c>
      <c r="X504" s="1614"/>
      <c r="Y504" s="1613"/>
      <c r="Z504" s="1612">
        <f t="shared" si="275"/>
        <v>0.79557075799514898</v>
      </c>
      <c r="AA504" s="1611"/>
      <c r="AB504" s="1611"/>
      <c r="AC504" s="1611"/>
      <c r="AD504" s="1611"/>
      <c r="AE504" s="1611"/>
      <c r="AF504" s="1611"/>
      <c r="AG504" s="1611"/>
      <c r="AH504" s="1611"/>
      <c r="AI504" s="1611"/>
      <c r="AJ504" s="1611"/>
      <c r="AK504" s="1611"/>
      <c r="AL504" s="1611"/>
      <c r="AM504" s="1611"/>
      <c r="AN504" s="1611"/>
      <c r="AO504" s="1611"/>
      <c r="AP504" s="1611"/>
      <c r="AQ504" s="1611"/>
    </row>
    <row r="505" spans="1:43" outlineLevel="2">
      <c r="A505" s="1638" t="s">
        <v>319</v>
      </c>
      <c r="B505" s="1637" t="s">
        <v>130</v>
      </c>
      <c r="C505" s="1636"/>
      <c r="D505" s="1635">
        <v>2</v>
      </c>
      <c r="E505" s="1634" t="s">
        <v>959</v>
      </c>
      <c r="F505" s="1633" t="s">
        <v>1069</v>
      </c>
      <c r="G505" s="1632">
        <v>4374.0443941676149</v>
      </c>
      <c r="H505" s="1632">
        <v>4151.91</v>
      </c>
      <c r="I505" s="1630">
        <f t="shared" si="263"/>
        <v>8525.9543941676147</v>
      </c>
      <c r="J505" s="1630">
        <f t="shared" si="264"/>
        <v>17051.908788335229</v>
      </c>
      <c r="K505" s="1631">
        <v>6783</v>
      </c>
      <c r="L505" s="1630">
        <f t="shared" si="265"/>
        <v>6783</v>
      </c>
      <c r="M505" s="1630">
        <f t="shared" si="266"/>
        <v>13566</v>
      </c>
      <c r="N505" s="1625">
        <f t="shared" si="267"/>
        <v>3485.9087883352295</v>
      </c>
      <c r="O505" s="1629">
        <v>0.57030000000000003</v>
      </c>
      <c r="P505" s="1629">
        <v>0.42970000000000003</v>
      </c>
      <c r="Q505" s="1625">
        <f t="shared" si="268"/>
        <v>1988.0137819875815</v>
      </c>
      <c r="R505" s="1628">
        <f t="shared" si="269"/>
        <v>1497.8950063476482</v>
      </c>
      <c r="S505" s="1627">
        <f t="shared" si="270"/>
        <v>6760.075006347648</v>
      </c>
      <c r="T505" s="1627">
        <f t="shared" si="271"/>
        <v>6805.924993652352</v>
      </c>
      <c r="U505" s="1626">
        <f t="shared" si="272"/>
        <v>1690.018751586912</v>
      </c>
      <c r="V505" s="1626">
        <f t="shared" si="273"/>
        <v>1701.481248413088</v>
      </c>
      <c r="W505" s="1625">
        <f t="shared" si="274"/>
        <v>3391.5</v>
      </c>
      <c r="X505" s="1614"/>
      <c r="Y505" s="1613"/>
      <c r="Z505" s="1612">
        <f t="shared" si="275"/>
        <v>0.79557075799514898</v>
      </c>
      <c r="AA505" s="1611"/>
      <c r="AB505" s="1611"/>
      <c r="AC505" s="1611"/>
      <c r="AD505" s="1611"/>
      <c r="AE505" s="1611"/>
      <c r="AF505" s="1611"/>
      <c r="AG505" s="1611"/>
      <c r="AH505" s="1611"/>
      <c r="AI505" s="1611"/>
      <c r="AJ505" s="1611"/>
      <c r="AK505" s="1611"/>
      <c r="AL505" s="1611"/>
      <c r="AM505" s="1611"/>
      <c r="AN505" s="1611"/>
      <c r="AO505" s="1611"/>
      <c r="AP505" s="1611"/>
      <c r="AQ505" s="1611"/>
    </row>
    <row r="506" spans="1:43" outlineLevel="2">
      <c r="A506" s="1638" t="s">
        <v>319</v>
      </c>
      <c r="B506" s="1637" t="s">
        <v>130</v>
      </c>
      <c r="C506" s="1636"/>
      <c r="D506" s="1635">
        <v>4</v>
      </c>
      <c r="E506" s="1634" t="s">
        <v>959</v>
      </c>
      <c r="F506" s="1633" t="s">
        <v>1068</v>
      </c>
      <c r="G506" s="1632">
        <v>4374.0443941676149</v>
      </c>
      <c r="H506" s="1632">
        <v>4151.91</v>
      </c>
      <c r="I506" s="1630">
        <f t="shared" ref="I506:I569" si="276">G506+H506</f>
        <v>8525.9543941676147</v>
      </c>
      <c r="J506" s="1630">
        <f t="shared" ref="J506:J569" si="277">D506*I506</f>
        <v>34103.817576670459</v>
      </c>
      <c r="K506" s="1631">
        <v>6783</v>
      </c>
      <c r="L506" s="1630">
        <f t="shared" ref="L506:L569" si="278">IF(I506&gt;K506,K506,I506)</f>
        <v>6783</v>
      </c>
      <c r="M506" s="1630">
        <f t="shared" ref="M506:M569" si="279">L506*D506</f>
        <v>27132</v>
      </c>
      <c r="N506" s="1625">
        <f t="shared" ref="N506:N569" si="280">J506-M506</f>
        <v>6971.8175766704589</v>
      </c>
      <c r="O506" s="1629">
        <v>0.57030000000000003</v>
      </c>
      <c r="P506" s="1629">
        <v>0.42970000000000003</v>
      </c>
      <c r="Q506" s="1625">
        <f t="shared" ref="Q506:Q569" si="281">N506*O506</f>
        <v>3976.027563975163</v>
      </c>
      <c r="R506" s="1628">
        <f t="shared" ref="R506:R569" si="282">N506*P506</f>
        <v>2995.7900126952964</v>
      </c>
      <c r="S506" s="1627">
        <f t="shared" ref="S506:S569" si="283">(G506*D506)-Q506</f>
        <v>13520.150012695296</v>
      </c>
      <c r="T506" s="1627">
        <f t="shared" ref="T506:T569" si="284">(H506*D506)-R506</f>
        <v>13611.849987304704</v>
      </c>
      <c r="U506" s="1626">
        <f t="shared" ref="U506:U569" si="285">S506/4</f>
        <v>3380.037503173824</v>
      </c>
      <c r="V506" s="1626">
        <f t="shared" ref="V506:V569" si="286">T506/4</f>
        <v>3402.962496826176</v>
      </c>
      <c r="W506" s="1625">
        <f t="shared" ref="W506:W569" si="287">V506+U506</f>
        <v>6783</v>
      </c>
      <c r="X506" s="1614"/>
      <c r="Y506" s="1613"/>
      <c r="Z506" s="1612">
        <f t="shared" ref="Z506:Z569" si="288">K506/I506</f>
        <v>0.79557075799514898</v>
      </c>
      <c r="AA506" s="1611"/>
      <c r="AB506" s="1611"/>
      <c r="AC506" s="1611"/>
      <c r="AD506" s="1611"/>
      <c r="AE506" s="1611"/>
      <c r="AF506" s="1611"/>
      <c r="AG506" s="1611"/>
      <c r="AH506" s="1611"/>
      <c r="AI506" s="1611"/>
      <c r="AJ506" s="1611"/>
      <c r="AK506" s="1611"/>
      <c r="AL506" s="1611"/>
      <c r="AM506" s="1611"/>
      <c r="AN506" s="1611"/>
      <c r="AO506" s="1611"/>
      <c r="AP506" s="1611"/>
      <c r="AQ506" s="1611"/>
    </row>
    <row r="507" spans="1:43" outlineLevel="2">
      <c r="A507" s="1638" t="s">
        <v>319</v>
      </c>
      <c r="B507" s="1637" t="s">
        <v>130</v>
      </c>
      <c r="C507" s="1636"/>
      <c r="D507" s="1635">
        <v>4</v>
      </c>
      <c r="E507" s="1634" t="s">
        <v>959</v>
      </c>
      <c r="F507" s="1633" t="s">
        <v>1071</v>
      </c>
      <c r="G507" s="1632">
        <v>4374.0443941676149</v>
      </c>
      <c r="H507" s="1632">
        <v>4151.91</v>
      </c>
      <c r="I507" s="1630">
        <f t="shared" si="276"/>
        <v>8525.9543941676147</v>
      </c>
      <c r="J507" s="1630">
        <f t="shared" si="277"/>
        <v>34103.817576670459</v>
      </c>
      <c r="K507" s="1631">
        <v>6783</v>
      </c>
      <c r="L507" s="1630">
        <f t="shared" si="278"/>
        <v>6783</v>
      </c>
      <c r="M507" s="1630">
        <f t="shared" si="279"/>
        <v>27132</v>
      </c>
      <c r="N507" s="1625">
        <f t="shared" si="280"/>
        <v>6971.8175766704589</v>
      </c>
      <c r="O507" s="1629">
        <v>0.57030000000000003</v>
      </c>
      <c r="P507" s="1629">
        <v>0.42970000000000003</v>
      </c>
      <c r="Q507" s="1625">
        <f t="shared" si="281"/>
        <v>3976.027563975163</v>
      </c>
      <c r="R507" s="1628">
        <f t="shared" si="282"/>
        <v>2995.7900126952964</v>
      </c>
      <c r="S507" s="1627">
        <f t="shared" si="283"/>
        <v>13520.150012695296</v>
      </c>
      <c r="T507" s="1627">
        <f t="shared" si="284"/>
        <v>13611.849987304704</v>
      </c>
      <c r="U507" s="1626">
        <f t="shared" si="285"/>
        <v>3380.037503173824</v>
      </c>
      <c r="V507" s="1626">
        <f t="shared" si="286"/>
        <v>3402.962496826176</v>
      </c>
      <c r="W507" s="1625">
        <f t="shared" si="287"/>
        <v>6783</v>
      </c>
      <c r="X507" s="1614"/>
      <c r="Y507" s="1613"/>
      <c r="Z507" s="1612">
        <f t="shared" si="288"/>
        <v>0.79557075799514898</v>
      </c>
      <c r="AA507" s="1611"/>
      <c r="AB507" s="1611"/>
      <c r="AC507" s="1611"/>
      <c r="AD507" s="1611"/>
      <c r="AE507" s="1611"/>
      <c r="AF507" s="1611"/>
      <c r="AG507" s="1611"/>
      <c r="AH507" s="1611"/>
      <c r="AI507" s="1611"/>
      <c r="AJ507" s="1611"/>
      <c r="AK507" s="1611"/>
      <c r="AL507" s="1611"/>
      <c r="AM507" s="1611"/>
      <c r="AN507" s="1611"/>
      <c r="AO507" s="1611"/>
      <c r="AP507" s="1611"/>
      <c r="AQ507" s="1611"/>
    </row>
    <row r="508" spans="1:43" outlineLevel="2">
      <c r="A508" s="1638" t="s">
        <v>319</v>
      </c>
      <c r="B508" s="1637" t="s">
        <v>130</v>
      </c>
      <c r="C508" s="1636"/>
      <c r="D508" s="1635">
        <v>2</v>
      </c>
      <c r="E508" s="1634" t="s">
        <v>959</v>
      </c>
      <c r="F508" s="1633" t="s">
        <v>1064</v>
      </c>
      <c r="G508" s="1632">
        <v>4374.0443941676149</v>
      </c>
      <c r="H508" s="1632">
        <v>4151.91</v>
      </c>
      <c r="I508" s="1630">
        <f t="shared" si="276"/>
        <v>8525.9543941676147</v>
      </c>
      <c r="J508" s="1630">
        <f t="shared" si="277"/>
        <v>17051.908788335229</v>
      </c>
      <c r="K508" s="1631">
        <v>6783</v>
      </c>
      <c r="L508" s="1630">
        <f t="shared" si="278"/>
        <v>6783</v>
      </c>
      <c r="M508" s="1630">
        <f t="shared" si="279"/>
        <v>13566</v>
      </c>
      <c r="N508" s="1625">
        <f t="shared" si="280"/>
        <v>3485.9087883352295</v>
      </c>
      <c r="O508" s="1629">
        <v>0.57030000000000003</v>
      </c>
      <c r="P508" s="1629">
        <v>0.42970000000000003</v>
      </c>
      <c r="Q508" s="1625">
        <f t="shared" si="281"/>
        <v>1988.0137819875815</v>
      </c>
      <c r="R508" s="1628">
        <f t="shared" si="282"/>
        <v>1497.8950063476482</v>
      </c>
      <c r="S508" s="1627">
        <f t="shared" si="283"/>
        <v>6760.075006347648</v>
      </c>
      <c r="T508" s="1627">
        <f t="shared" si="284"/>
        <v>6805.924993652352</v>
      </c>
      <c r="U508" s="1626">
        <f t="shared" si="285"/>
        <v>1690.018751586912</v>
      </c>
      <c r="V508" s="1626">
        <f t="shared" si="286"/>
        <v>1701.481248413088</v>
      </c>
      <c r="W508" s="1625">
        <f t="shared" si="287"/>
        <v>3391.5</v>
      </c>
      <c r="X508" s="1614"/>
      <c r="Y508" s="1613"/>
      <c r="Z508" s="1612">
        <f t="shared" si="288"/>
        <v>0.79557075799514898</v>
      </c>
      <c r="AA508" s="1611"/>
      <c r="AB508" s="1611"/>
      <c r="AC508" s="1611"/>
      <c r="AD508" s="1611"/>
      <c r="AE508" s="1611"/>
      <c r="AF508" s="1611"/>
      <c r="AG508" s="1611"/>
      <c r="AH508" s="1611"/>
      <c r="AI508" s="1611"/>
      <c r="AJ508" s="1611"/>
      <c r="AK508" s="1611"/>
      <c r="AL508" s="1611"/>
      <c r="AM508" s="1611"/>
      <c r="AN508" s="1611"/>
      <c r="AO508" s="1611"/>
      <c r="AP508" s="1611"/>
      <c r="AQ508" s="1611"/>
    </row>
    <row r="509" spans="1:43" outlineLevel="2">
      <c r="A509" s="1638" t="s">
        <v>319</v>
      </c>
      <c r="B509" s="1637" t="s">
        <v>130</v>
      </c>
      <c r="C509" s="1636"/>
      <c r="D509" s="1635">
        <v>5</v>
      </c>
      <c r="E509" s="1634" t="s">
        <v>959</v>
      </c>
      <c r="F509" s="1633" t="s">
        <v>979</v>
      </c>
      <c r="G509" s="1632">
        <v>4374.0443941676149</v>
      </c>
      <c r="H509" s="1632">
        <v>4151.91</v>
      </c>
      <c r="I509" s="1630">
        <f t="shared" si="276"/>
        <v>8525.9543941676147</v>
      </c>
      <c r="J509" s="1630">
        <f t="shared" si="277"/>
        <v>42629.771970838076</v>
      </c>
      <c r="K509" s="1631">
        <v>6783</v>
      </c>
      <c r="L509" s="1630">
        <f t="shared" si="278"/>
        <v>6783</v>
      </c>
      <c r="M509" s="1630">
        <f t="shared" si="279"/>
        <v>33915</v>
      </c>
      <c r="N509" s="1625">
        <f t="shared" si="280"/>
        <v>8714.7719708380755</v>
      </c>
      <c r="O509" s="1629">
        <v>0.57030000000000003</v>
      </c>
      <c r="P509" s="1629">
        <v>0.42970000000000003</v>
      </c>
      <c r="Q509" s="1625">
        <f t="shared" si="281"/>
        <v>4970.0344549689544</v>
      </c>
      <c r="R509" s="1628">
        <f t="shared" si="282"/>
        <v>3744.7375158691211</v>
      </c>
      <c r="S509" s="1627">
        <f t="shared" si="283"/>
        <v>16900.187515869118</v>
      </c>
      <c r="T509" s="1627">
        <f t="shared" si="284"/>
        <v>17014.812484130878</v>
      </c>
      <c r="U509" s="1626">
        <f t="shared" si="285"/>
        <v>4225.0468789672796</v>
      </c>
      <c r="V509" s="1626">
        <f t="shared" si="286"/>
        <v>4253.7031210327195</v>
      </c>
      <c r="W509" s="1625">
        <f t="shared" si="287"/>
        <v>8478.75</v>
      </c>
      <c r="X509" s="1614"/>
      <c r="Y509" s="1613"/>
      <c r="Z509" s="1612">
        <f t="shared" si="288"/>
        <v>0.79557075799514898</v>
      </c>
      <c r="AA509" s="1611"/>
      <c r="AB509" s="1611"/>
      <c r="AC509" s="1611"/>
      <c r="AD509" s="1611"/>
      <c r="AE509" s="1611"/>
      <c r="AF509" s="1611"/>
      <c r="AG509" s="1611"/>
      <c r="AH509" s="1611"/>
      <c r="AI509" s="1611"/>
      <c r="AJ509" s="1611"/>
      <c r="AK509" s="1611"/>
      <c r="AL509" s="1611"/>
      <c r="AM509" s="1611"/>
      <c r="AN509" s="1611"/>
      <c r="AO509" s="1611"/>
      <c r="AP509" s="1611"/>
      <c r="AQ509" s="1611"/>
    </row>
    <row r="510" spans="1:43" outlineLevel="2">
      <c r="A510" s="1638" t="s">
        <v>319</v>
      </c>
      <c r="B510" s="1637" t="s">
        <v>130</v>
      </c>
      <c r="C510" s="1636"/>
      <c r="D510" s="1635">
        <v>2</v>
      </c>
      <c r="E510" s="1634" t="s">
        <v>958</v>
      </c>
      <c r="F510" s="1633" t="s">
        <v>1070</v>
      </c>
      <c r="G510" s="1632">
        <v>4374.0443941676149</v>
      </c>
      <c r="H510" s="1632">
        <v>4151.91</v>
      </c>
      <c r="I510" s="1630">
        <f t="shared" si="276"/>
        <v>8525.9543941676147</v>
      </c>
      <c r="J510" s="1630">
        <f t="shared" si="277"/>
        <v>17051.908788335229</v>
      </c>
      <c r="K510" s="1631">
        <v>5235</v>
      </c>
      <c r="L510" s="1630">
        <f t="shared" si="278"/>
        <v>5235</v>
      </c>
      <c r="M510" s="1630">
        <f t="shared" si="279"/>
        <v>10470</v>
      </c>
      <c r="N510" s="1625">
        <f t="shared" si="280"/>
        <v>6581.9087883352295</v>
      </c>
      <c r="O510" s="1629">
        <v>0.57030000000000003</v>
      </c>
      <c r="P510" s="1629">
        <v>0.42970000000000003</v>
      </c>
      <c r="Q510" s="1625">
        <f t="shared" si="281"/>
        <v>3753.6625819875817</v>
      </c>
      <c r="R510" s="1628">
        <f t="shared" si="282"/>
        <v>2828.2462063476482</v>
      </c>
      <c r="S510" s="1627">
        <f t="shared" si="283"/>
        <v>4994.4262063476481</v>
      </c>
      <c r="T510" s="1627">
        <f t="shared" si="284"/>
        <v>5475.573793652351</v>
      </c>
      <c r="U510" s="1626">
        <f t="shared" si="285"/>
        <v>1248.606551586912</v>
      </c>
      <c r="V510" s="1626">
        <f t="shared" si="286"/>
        <v>1368.8934484130878</v>
      </c>
      <c r="W510" s="1625">
        <f t="shared" si="287"/>
        <v>2617.5</v>
      </c>
      <c r="X510" s="1614"/>
      <c r="Y510" s="1613"/>
      <c r="Z510" s="1612">
        <f t="shared" si="288"/>
        <v>0.6140075067233679</v>
      </c>
      <c r="AA510" s="1611"/>
      <c r="AB510" s="1611"/>
      <c r="AC510" s="1611"/>
      <c r="AD510" s="1611"/>
      <c r="AE510" s="1611"/>
      <c r="AF510" s="1611"/>
      <c r="AG510" s="1611"/>
      <c r="AH510" s="1611"/>
      <c r="AI510" s="1611"/>
      <c r="AJ510" s="1611"/>
      <c r="AK510" s="1611"/>
      <c r="AL510" s="1611"/>
      <c r="AM510" s="1611"/>
      <c r="AN510" s="1611"/>
      <c r="AO510" s="1611"/>
      <c r="AP510" s="1611"/>
      <c r="AQ510" s="1611"/>
    </row>
    <row r="511" spans="1:43" outlineLevel="2">
      <c r="A511" s="1638" t="s">
        <v>319</v>
      </c>
      <c r="B511" s="1637" t="s">
        <v>130</v>
      </c>
      <c r="C511" s="1636"/>
      <c r="D511" s="1635">
        <v>2</v>
      </c>
      <c r="E511" s="1634" t="s">
        <v>958</v>
      </c>
      <c r="F511" s="1633" t="s">
        <v>1069</v>
      </c>
      <c r="G511" s="1632">
        <v>4374.0443941676149</v>
      </c>
      <c r="H511" s="1632">
        <v>4151.91</v>
      </c>
      <c r="I511" s="1630">
        <f t="shared" si="276"/>
        <v>8525.9543941676147</v>
      </c>
      <c r="J511" s="1630">
        <f t="shared" si="277"/>
        <v>17051.908788335229</v>
      </c>
      <c r="K511" s="1631">
        <v>5235</v>
      </c>
      <c r="L511" s="1630">
        <f t="shared" si="278"/>
        <v>5235</v>
      </c>
      <c r="M511" s="1630">
        <f t="shared" si="279"/>
        <v>10470</v>
      </c>
      <c r="N511" s="1625">
        <f t="shared" si="280"/>
        <v>6581.9087883352295</v>
      </c>
      <c r="O511" s="1629">
        <v>0.57030000000000003</v>
      </c>
      <c r="P511" s="1629">
        <v>0.42970000000000003</v>
      </c>
      <c r="Q511" s="1625">
        <f t="shared" si="281"/>
        <v>3753.6625819875817</v>
      </c>
      <c r="R511" s="1628">
        <f t="shared" si="282"/>
        <v>2828.2462063476482</v>
      </c>
      <c r="S511" s="1627">
        <f t="shared" si="283"/>
        <v>4994.4262063476481</v>
      </c>
      <c r="T511" s="1627">
        <f t="shared" si="284"/>
        <v>5475.573793652351</v>
      </c>
      <c r="U511" s="1626">
        <f t="shared" si="285"/>
        <v>1248.606551586912</v>
      </c>
      <c r="V511" s="1626">
        <f t="shared" si="286"/>
        <v>1368.8934484130878</v>
      </c>
      <c r="W511" s="1625">
        <f t="shared" si="287"/>
        <v>2617.5</v>
      </c>
      <c r="X511" s="1614"/>
      <c r="Y511" s="1613"/>
      <c r="Z511" s="1612">
        <f t="shared" si="288"/>
        <v>0.6140075067233679</v>
      </c>
      <c r="AA511" s="1611"/>
      <c r="AB511" s="1611"/>
      <c r="AC511" s="1611"/>
      <c r="AD511" s="1611"/>
      <c r="AE511" s="1611"/>
      <c r="AF511" s="1611"/>
      <c r="AG511" s="1611"/>
      <c r="AH511" s="1611"/>
      <c r="AI511" s="1611"/>
      <c r="AJ511" s="1611"/>
      <c r="AK511" s="1611"/>
      <c r="AL511" s="1611"/>
      <c r="AM511" s="1611"/>
      <c r="AN511" s="1611"/>
      <c r="AO511" s="1611"/>
      <c r="AP511" s="1611"/>
      <c r="AQ511" s="1611"/>
    </row>
    <row r="512" spans="1:43" outlineLevel="2">
      <c r="A512" s="1638" t="s">
        <v>319</v>
      </c>
      <c r="B512" s="1637" t="s">
        <v>130</v>
      </c>
      <c r="C512" s="1636"/>
      <c r="D512" s="1635">
        <v>1</v>
      </c>
      <c r="E512" s="1634" t="s">
        <v>958</v>
      </c>
      <c r="F512" s="1633" t="s">
        <v>1071</v>
      </c>
      <c r="G512" s="1632">
        <v>4374.0443941676149</v>
      </c>
      <c r="H512" s="1632">
        <v>4151.91</v>
      </c>
      <c r="I512" s="1630">
        <f t="shared" si="276"/>
        <v>8525.9543941676147</v>
      </c>
      <c r="J512" s="1630">
        <f t="shared" si="277"/>
        <v>8525.9543941676147</v>
      </c>
      <c r="K512" s="1631">
        <v>5235</v>
      </c>
      <c r="L512" s="1630">
        <f t="shared" si="278"/>
        <v>5235</v>
      </c>
      <c r="M512" s="1630">
        <f t="shared" si="279"/>
        <v>5235</v>
      </c>
      <c r="N512" s="1625">
        <f t="shared" si="280"/>
        <v>3290.9543941676147</v>
      </c>
      <c r="O512" s="1629">
        <v>0.57030000000000003</v>
      </c>
      <c r="P512" s="1629">
        <v>0.42970000000000003</v>
      </c>
      <c r="Q512" s="1625">
        <f t="shared" si="281"/>
        <v>1876.8312909937908</v>
      </c>
      <c r="R512" s="1628">
        <f t="shared" si="282"/>
        <v>1414.1231031738241</v>
      </c>
      <c r="S512" s="1627">
        <f t="shared" si="283"/>
        <v>2497.213103173824</v>
      </c>
      <c r="T512" s="1627">
        <f t="shared" si="284"/>
        <v>2737.7868968261755</v>
      </c>
      <c r="U512" s="1626">
        <f t="shared" si="285"/>
        <v>624.30327579345601</v>
      </c>
      <c r="V512" s="1626">
        <f t="shared" si="286"/>
        <v>684.44672420654388</v>
      </c>
      <c r="W512" s="1625">
        <f t="shared" si="287"/>
        <v>1308.75</v>
      </c>
      <c r="X512" s="1614"/>
      <c r="Y512" s="1613"/>
      <c r="Z512" s="1612">
        <f t="shared" si="288"/>
        <v>0.6140075067233679</v>
      </c>
      <c r="AA512" s="1611"/>
      <c r="AB512" s="1611"/>
      <c r="AC512" s="1611"/>
      <c r="AD512" s="1611"/>
      <c r="AE512" s="1611"/>
      <c r="AF512" s="1611"/>
      <c r="AG512" s="1611"/>
      <c r="AH512" s="1611"/>
      <c r="AI512" s="1611"/>
      <c r="AJ512" s="1611"/>
      <c r="AK512" s="1611"/>
      <c r="AL512" s="1611"/>
      <c r="AM512" s="1611"/>
      <c r="AN512" s="1611"/>
      <c r="AO512" s="1611"/>
      <c r="AP512" s="1611"/>
      <c r="AQ512" s="1611"/>
    </row>
    <row r="513" spans="1:43" outlineLevel="2">
      <c r="A513" s="1638" t="s">
        <v>319</v>
      </c>
      <c r="B513" s="1637" t="s">
        <v>130</v>
      </c>
      <c r="C513" s="1636"/>
      <c r="D513" s="1635">
        <v>2</v>
      </c>
      <c r="E513" s="1634" t="s">
        <v>958</v>
      </c>
      <c r="F513" s="1633" t="s">
        <v>979</v>
      </c>
      <c r="G513" s="1632">
        <v>4374.0443941676149</v>
      </c>
      <c r="H513" s="1632">
        <v>4151.91</v>
      </c>
      <c r="I513" s="1630">
        <f t="shared" si="276"/>
        <v>8525.9543941676147</v>
      </c>
      <c r="J513" s="1630">
        <f t="shared" si="277"/>
        <v>17051.908788335229</v>
      </c>
      <c r="K513" s="1631">
        <v>5235</v>
      </c>
      <c r="L513" s="1630">
        <f t="shared" si="278"/>
        <v>5235</v>
      </c>
      <c r="M513" s="1630">
        <f t="shared" si="279"/>
        <v>10470</v>
      </c>
      <c r="N513" s="1625">
        <f t="shared" si="280"/>
        <v>6581.9087883352295</v>
      </c>
      <c r="O513" s="1629">
        <v>0.57030000000000003</v>
      </c>
      <c r="P513" s="1629">
        <v>0.42970000000000003</v>
      </c>
      <c r="Q513" s="1625">
        <f t="shared" si="281"/>
        <v>3753.6625819875817</v>
      </c>
      <c r="R513" s="1628">
        <f t="shared" si="282"/>
        <v>2828.2462063476482</v>
      </c>
      <c r="S513" s="1627">
        <f t="shared" si="283"/>
        <v>4994.4262063476481</v>
      </c>
      <c r="T513" s="1627">
        <f t="shared" si="284"/>
        <v>5475.573793652351</v>
      </c>
      <c r="U513" s="1626">
        <f t="shared" si="285"/>
        <v>1248.606551586912</v>
      </c>
      <c r="V513" s="1626">
        <f t="shared" si="286"/>
        <v>1368.8934484130878</v>
      </c>
      <c r="W513" s="1625">
        <f t="shared" si="287"/>
        <v>2617.5</v>
      </c>
      <c r="X513" s="1614"/>
      <c r="Y513" s="1613"/>
      <c r="Z513" s="1612">
        <f t="shared" si="288"/>
        <v>0.6140075067233679</v>
      </c>
      <c r="AA513" s="1611"/>
      <c r="AB513" s="1611"/>
      <c r="AC513" s="1611"/>
      <c r="AD513" s="1611"/>
      <c r="AE513" s="1611"/>
      <c r="AF513" s="1611"/>
      <c r="AG513" s="1611"/>
      <c r="AH513" s="1611"/>
      <c r="AI513" s="1611"/>
      <c r="AJ513" s="1611"/>
      <c r="AK513" s="1611"/>
      <c r="AL513" s="1611"/>
      <c r="AM513" s="1611"/>
      <c r="AN513" s="1611"/>
      <c r="AO513" s="1611"/>
      <c r="AP513" s="1611"/>
      <c r="AQ513" s="1611"/>
    </row>
    <row r="514" spans="1:43" outlineLevel="2">
      <c r="A514" s="1638" t="s">
        <v>319</v>
      </c>
      <c r="B514" s="1637" t="s">
        <v>130</v>
      </c>
      <c r="C514" s="1636"/>
      <c r="D514" s="1635">
        <v>9</v>
      </c>
      <c r="E514" s="1634" t="s">
        <v>957</v>
      </c>
      <c r="F514" s="1633" t="s">
        <v>1070</v>
      </c>
      <c r="G514" s="1632">
        <v>4374.0443941676149</v>
      </c>
      <c r="H514" s="1632">
        <v>4151.91</v>
      </c>
      <c r="I514" s="1630">
        <f t="shared" si="276"/>
        <v>8525.9543941676147</v>
      </c>
      <c r="J514" s="1630">
        <f t="shared" si="277"/>
        <v>76733.589547508527</v>
      </c>
      <c r="K514" s="1631">
        <v>4075</v>
      </c>
      <c r="L514" s="1630">
        <f t="shared" si="278"/>
        <v>4075</v>
      </c>
      <c r="M514" s="1630">
        <f t="shared" si="279"/>
        <v>36675</v>
      </c>
      <c r="N514" s="1625">
        <f t="shared" si="280"/>
        <v>40058.589547508527</v>
      </c>
      <c r="O514" s="1629">
        <v>0.57030000000000003</v>
      </c>
      <c r="P514" s="1629">
        <v>0.42970000000000003</v>
      </c>
      <c r="Q514" s="1625">
        <f t="shared" si="281"/>
        <v>22845.413618944116</v>
      </c>
      <c r="R514" s="1628">
        <f t="shared" si="282"/>
        <v>17213.175928564415</v>
      </c>
      <c r="S514" s="1627">
        <f t="shared" si="283"/>
        <v>16520.985928564416</v>
      </c>
      <c r="T514" s="1627">
        <f t="shared" si="284"/>
        <v>20154.014071435588</v>
      </c>
      <c r="U514" s="1626">
        <f t="shared" si="285"/>
        <v>4130.246482141104</v>
      </c>
      <c r="V514" s="1626">
        <f t="shared" si="286"/>
        <v>5038.5035178588969</v>
      </c>
      <c r="W514" s="1625">
        <f t="shared" si="287"/>
        <v>9168.75</v>
      </c>
      <c r="X514" s="1614"/>
      <c r="Y514" s="1613"/>
      <c r="Z514" s="1612">
        <f t="shared" si="288"/>
        <v>0.47795235719154239</v>
      </c>
      <c r="AA514" s="1611"/>
      <c r="AB514" s="1611"/>
      <c r="AC514" s="1611"/>
      <c r="AD514" s="1611"/>
      <c r="AE514" s="1611"/>
      <c r="AF514" s="1611"/>
      <c r="AG514" s="1611"/>
      <c r="AH514" s="1611"/>
      <c r="AI514" s="1611"/>
      <c r="AJ514" s="1611"/>
      <c r="AK514" s="1611"/>
      <c r="AL514" s="1611"/>
      <c r="AM514" s="1611"/>
      <c r="AN514" s="1611"/>
      <c r="AO514" s="1611"/>
      <c r="AP514" s="1611"/>
      <c r="AQ514" s="1611"/>
    </row>
    <row r="515" spans="1:43" outlineLevel="2">
      <c r="A515" s="1638" t="s">
        <v>319</v>
      </c>
      <c r="B515" s="1637" t="s">
        <v>130</v>
      </c>
      <c r="C515" s="1636"/>
      <c r="D515" s="1635">
        <v>9</v>
      </c>
      <c r="E515" s="1634" t="s">
        <v>957</v>
      </c>
      <c r="F515" s="1633" t="s">
        <v>1069</v>
      </c>
      <c r="G515" s="1632">
        <v>4374.0443941676149</v>
      </c>
      <c r="H515" s="1632">
        <v>4151.91</v>
      </c>
      <c r="I515" s="1630">
        <f t="shared" si="276"/>
        <v>8525.9543941676147</v>
      </c>
      <c r="J515" s="1630">
        <f t="shared" si="277"/>
        <v>76733.589547508527</v>
      </c>
      <c r="K515" s="1631">
        <v>4075</v>
      </c>
      <c r="L515" s="1630">
        <f t="shared" si="278"/>
        <v>4075</v>
      </c>
      <c r="M515" s="1630">
        <f t="shared" si="279"/>
        <v>36675</v>
      </c>
      <c r="N515" s="1625">
        <f t="shared" si="280"/>
        <v>40058.589547508527</v>
      </c>
      <c r="O515" s="1629">
        <v>0.57030000000000003</v>
      </c>
      <c r="P515" s="1629">
        <v>0.42970000000000003</v>
      </c>
      <c r="Q515" s="1625">
        <f t="shared" si="281"/>
        <v>22845.413618944116</v>
      </c>
      <c r="R515" s="1628">
        <f t="shared" si="282"/>
        <v>17213.175928564415</v>
      </c>
      <c r="S515" s="1627">
        <f t="shared" si="283"/>
        <v>16520.985928564416</v>
      </c>
      <c r="T515" s="1627">
        <f t="shared" si="284"/>
        <v>20154.014071435588</v>
      </c>
      <c r="U515" s="1626">
        <f t="shared" si="285"/>
        <v>4130.246482141104</v>
      </c>
      <c r="V515" s="1626">
        <f t="shared" si="286"/>
        <v>5038.5035178588969</v>
      </c>
      <c r="W515" s="1625">
        <f t="shared" si="287"/>
        <v>9168.75</v>
      </c>
      <c r="X515" s="1614"/>
      <c r="Y515" s="1613"/>
      <c r="Z515" s="1612">
        <f t="shared" si="288"/>
        <v>0.47795235719154239</v>
      </c>
      <c r="AA515" s="1611"/>
      <c r="AB515" s="1611"/>
      <c r="AC515" s="1611"/>
      <c r="AD515" s="1611"/>
      <c r="AE515" s="1611"/>
      <c r="AF515" s="1611"/>
      <c r="AG515" s="1611"/>
      <c r="AH515" s="1611"/>
      <c r="AI515" s="1611"/>
      <c r="AJ515" s="1611"/>
      <c r="AK515" s="1611"/>
      <c r="AL515" s="1611"/>
      <c r="AM515" s="1611"/>
      <c r="AN515" s="1611"/>
      <c r="AO515" s="1611"/>
      <c r="AP515" s="1611"/>
      <c r="AQ515" s="1611"/>
    </row>
    <row r="516" spans="1:43" outlineLevel="2">
      <c r="A516" s="1638" t="s">
        <v>319</v>
      </c>
      <c r="B516" s="1637" t="s">
        <v>130</v>
      </c>
      <c r="C516" s="1636"/>
      <c r="D516" s="1635">
        <v>5</v>
      </c>
      <c r="E516" s="1634" t="s">
        <v>957</v>
      </c>
      <c r="F516" s="1633" t="s">
        <v>1068</v>
      </c>
      <c r="G516" s="1632">
        <v>4374.0443941676149</v>
      </c>
      <c r="H516" s="1632">
        <v>4151.91</v>
      </c>
      <c r="I516" s="1630">
        <f t="shared" si="276"/>
        <v>8525.9543941676147</v>
      </c>
      <c r="J516" s="1630">
        <f t="shared" si="277"/>
        <v>42629.771970838076</v>
      </c>
      <c r="K516" s="1631">
        <v>4075</v>
      </c>
      <c r="L516" s="1630">
        <f t="shared" si="278"/>
        <v>4075</v>
      </c>
      <c r="M516" s="1630">
        <f t="shared" si="279"/>
        <v>20375</v>
      </c>
      <c r="N516" s="1625">
        <f t="shared" si="280"/>
        <v>22254.771970838076</v>
      </c>
      <c r="O516" s="1629">
        <v>0.57030000000000003</v>
      </c>
      <c r="P516" s="1629">
        <v>0.42970000000000003</v>
      </c>
      <c r="Q516" s="1625">
        <f t="shared" si="281"/>
        <v>12691.896454968955</v>
      </c>
      <c r="R516" s="1628">
        <f t="shared" si="282"/>
        <v>9562.875515869122</v>
      </c>
      <c r="S516" s="1627">
        <f t="shared" si="283"/>
        <v>9178.3255158691172</v>
      </c>
      <c r="T516" s="1627">
        <f t="shared" si="284"/>
        <v>11196.674484130877</v>
      </c>
      <c r="U516" s="1626">
        <f t="shared" si="285"/>
        <v>2294.5813789672793</v>
      </c>
      <c r="V516" s="1626">
        <f t="shared" si="286"/>
        <v>2799.1686210327193</v>
      </c>
      <c r="W516" s="1625">
        <f t="shared" si="287"/>
        <v>5093.7499999999982</v>
      </c>
      <c r="X516" s="1614"/>
      <c r="Y516" s="1613"/>
      <c r="Z516" s="1612">
        <f t="shared" si="288"/>
        <v>0.47795235719154239</v>
      </c>
      <c r="AA516" s="1611"/>
      <c r="AB516" s="1611"/>
      <c r="AC516" s="1611"/>
      <c r="AD516" s="1611"/>
      <c r="AE516" s="1611"/>
      <c r="AF516" s="1611"/>
      <c r="AG516" s="1611"/>
      <c r="AH516" s="1611"/>
      <c r="AI516" s="1611"/>
      <c r="AJ516" s="1611"/>
      <c r="AK516" s="1611"/>
      <c r="AL516" s="1611"/>
      <c r="AM516" s="1611"/>
      <c r="AN516" s="1611"/>
      <c r="AO516" s="1611"/>
      <c r="AP516" s="1611"/>
      <c r="AQ516" s="1611"/>
    </row>
    <row r="517" spans="1:43" outlineLevel="2">
      <c r="A517" s="1638" t="s">
        <v>319</v>
      </c>
      <c r="B517" s="1637" t="s">
        <v>130</v>
      </c>
      <c r="C517" s="1636"/>
      <c r="D517" s="1635">
        <v>8</v>
      </c>
      <c r="E517" s="1634" t="s">
        <v>957</v>
      </c>
      <c r="F517" s="1633" t="s">
        <v>1071</v>
      </c>
      <c r="G517" s="1632">
        <v>4374.0443941676149</v>
      </c>
      <c r="H517" s="1632">
        <v>4151.91</v>
      </c>
      <c r="I517" s="1630">
        <f t="shared" si="276"/>
        <v>8525.9543941676147</v>
      </c>
      <c r="J517" s="1630">
        <f t="shared" si="277"/>
        <v>68207.635153340918</v>
      </c>
      <c r="K517" s="1631">
        <v>4075</v>
      </c>
      <c r="L517" s="1630">
        <f t="shared" si="278"/>
        <v>4075</v>
      </c>
      <c r="M517" s="1630">
        <f t="shared" si="279"/>
        <v>32600</v>
      </c>
      <c r="N517" s="1625">
        <f t="shared" si="280"/>
        <v>35607.635153340918</v>
      </c>
      <c r="O517" s="1629">
        <v>0.57030000000000003</v>
      </c>
      <c r="P517" s="1629">
        <v>0.42970000000000003</v>
      </c>
      <c r="Q517" s="1625">
        <f t="shared" si="281"/>
        <v>20307.034327950325</v>
      </c>
      <c r="R517" s="1628">
        <f t="shared" si="282"/>
        <v>15300.600825390593</v>
      </c>
      <c r="S517" s="1627">
        <f t="shared" si="283"/>
        <v>14685.320825390594</v>
      </c>
      <c r="T517" s="1627">
        <f t="shared" si="284"/>
        <v>17914.679174609406</v>
      </c>
      <c r="U517" s="1626">
        <f t="shared" si="285"/>
        <v>3671.3302063476485</v>
      </c>
      <c r="V517" s="1626">
        <f t="shared" si="286"/>
        <v>4478.6697936523515</v>
      </c>
      <c r="W517" s="1625">
        <f t="shared" si="287"/>
        <v>8150</v>
      </c>
      <c r="X517" s="1614"/>
      <c r="Y517" s="1613"/>
      <c r="Z517" s="1612">
        <f t="shared" si="288"/>
        <v>0.47795235719154239</v>
      </c>
      <c r="AA517" s="1611"/>
      <c r="AB517" s="1611"/>
      <c r="AC517" s="1611"/>
      <c r="AD517" s="1611"/>
      <c r="AE517" s="1611"/>
      <c r="AF517" s="1611"/>
      <c r="AG517" s="1611"/>
      <c r="AH517" s="1611"/>
      <c r="AI517" s="1611"/>
      <c r="AJ517" s="1611"/>
      <c r="AK517" s="1611"/>
      <c r="AL517" s="1611"/>
      <c r="AM517" s="1611"/>
      <c r="AN517" s="1611"/>
      <c r="AO517" s="1611"/>
      <c r="AP517" s="1611"/>
      <c r="AQ517" s="1611"/>
    </row>
    <row r="518" spans="1:43" outlineLevel="2">
      <c r="A518" s="1638" t="s">
        <v>319</v>
      </c>
      <c r="B518" s="1637" t="s">
        <v>130</v>
      </c>
      <c r="C518" s="1636"/>
      <c r="D518" s="1635">
        <v>8</v>
      </c>
      <c r="E518" s="1634" t="s">
        <v>957</v>
      </c>
      <c r="F518" s="1633" t="s">
        <v>1065</v>
      </c>
      <c r="G518" s="1632">
        <v>4374.0443941676149</v>
      </c>
      <c r="H518" s="1632">
        <v>4151.91</v>
      </c>
      <c r="I518" s="1630">
        <f t="shared" si="276"/>
        <v>8525.9543941676147</v>
      </c>
      <c r="J518" s="1630">
        <f t="shared" si="277"/>
        <v>68207.635153340918</v>
      </c>
      <c r="K518" s="1631">
        <v>4075</v>
      </c>
      <c r="L518" s="1630">
        <f t="shared" si="278"/>
        <v>4075</v>
      </c>
      <c r="M518" s="1630">
        <f t="shared" si="279"/>
        <v>32600</v>
      </c>
      <c r="N518" s="1625">
        <f t="shared" si="280"/>
        <v>35607.635153340918</v>
      </c>
      <c r="O518" s="1629">
        <v>0.57030000000000003</v>
      </c>
      <c r="P518" s="1629">
        <v>0.42970000000000003</v>
      </c>
      <c r="Q518" s="1625">
        <f t="shared" si="281"/>
        <v>20307.034327950325</v>
      </c>
      <c r="R518" s="1628">
        <f t="shared" si="282"/>
        <v>15300.600825390593</v>
      </c>
      <c r="S518" s="1627">
        <f t="shared" si="283"/>
        <v>14685.320825390594</v>
      </c>
      <c r="T518" s="1627">
        <f t="shared" si="284"/>
        <v>17914.679174609406</v>
      </c>
      <c r="U518" s="1626">
        <f t="shared" si="285"/>
        <v>3671.3302063476485</v>
      </c>
      <c r="V518" s="1626">
        <f t="shared" si="286"/>
        <v>4478.6697936523515</v>
      </c>
      <c r="W518" s="1625">
        <f t="shared" si="287"/>
        <v>8150</v>
      </c>
      <c r="X518" s="1614"/>
      <c r="Y518" s="1613"/>
      <c r="Z518" s="1612">
        <f t="shared" si="288"/>
        <v>0.47795235719154239</v>
      </c>
      <c r="AA518" s="1611"/>
      <c r="AB518" s="1611"/>
      <c r="AC518" s="1611"/>
      <c r="AD518" s="1611"/>
      <c r="AE518" s="1611"/>
      <c r="AF518" s="1611"/>
      <c r="AG518" s="1611"/>
      <c r="AH518" s="1611"/>
      <c r="AI518" s="1611"/>
      <c r="AJ518" s="1611"/>
      <c r="AK518" s="1611"/>
      <c r="AL518" s="1611"/>
      <c r="AM518" s="1611"/>
      <c r="AN518" s="1611"/>
      <c r="AO518" s="1611"/>
      <c r="AP518" s="1611"/>
      <c r="AQ518" s="1611"/>
    </row>
    <row r="519" spans="1:43" outlineLevel="2">
      <c r="A519" s="1638" t="s">
        <v>319</v>
      </c>
      <c r="B519" s="1637" t="s">
        <v>130</v>
      </c>
      <c r="C519" s="1636"/>
      <c r="D519" s="1635">
        <v>4</v>
      </c>
      <c r="E519" s="1634" t="s">
        <v>957</v>
      </c>
      <c r="F519" s="1633" t="s">
        <v>1064</v>
      </c>
      <c r="G519" s="1632">
        <v>4374.0443941676149</v>
      </c>
      <c r="H519" s="1632">
        <v>4151.91</v>
      </c>
      <c r="I519" s="1630">
        <f t="shared" si="276"/>
        <v>8525.9543941676147</v>
      </c>
      <c r="J519" s="1630">
        <f t="shared" si="277"/>
        <v>34103.817576670459</v>
      </c>
      <c r="K519" s="1631">
        <v>4075</v>
      </c>
      <c r="L519" s="1630">
        <f t="shared" si="278"/>
        <v>4075</v>
      </c>
      <c r="M519" s="1630">
        <f t="shared" si="279"/>
        <v>16300</v>
      </c>
      <c r="N519" s="1625">
        <f t="shared" si="280"/>
        <v>17803.817576670459</v>
      </c>
      <c r="O519" s="1629">
        <v>0.57030000000000003</v>
      </c>
      <c r="P519" s="1629">
        <v>0.42970000000000003</v>
      </c>
      <c r="Q519" s="1625">
        <f t="shared" si="281"/>
        <v>10153.517163975162</v>
      </c>
      <c r="R519" s="1628">
        <f t="shared" si="282"/>
        <v>7650.3004126952965</v>
      </c>
      <c r="S519" s="1627">
        <f t="shared" si="283"/>
        <v>7342.6604126952971</v>
      </c>
      <c r="T519" s="1627">
        <f t="shared" si="284"/>
        <v>8957.3395873047029</v>
      </c>
      <c r="U519" s="1626">
        <f t="shared" si="285"/>
        <v>1835.6651031738243</v>
      </c>
      <c r="V519" s="1626">
        <f t="shared" si="286"/>
        <v>2239.3348968261757</v>
      </c>
      <c r="W519" s="1625">
        <f t="shared" si="287"/>
        <v>4075</v>
      </c>
      <c r="X519" s="1614"/>
      <c r="Y519" s="1613"/>
      <c r="Z519" s="1612">
        <f t="shared" si="288"/>
        <v>0.47795235719154239</v>
      </c>
      <c r="AA519" s="1611"/>
      <c r="AB519" s="1611"/>
      <c r="AC519" s="1611"/>
      <c r="AD519" s="1611"/>
      <c r="AE519" s="1611"/>
      <c r="AF519" s="1611"/>
      <c r="AG519" s="1611"/>
      <c r="AH519" s="1611"/>
      <c r="AI519" s="1611"/>
      <c r="AJ519" s="1611"/>
      <c r="AK519" s="1611"/>
      <c r="AL519" s="1611"/>
      <c r="AM519" s="1611"/>
      <c r="AN519" s="1611"/>
      <c r="AO519" s="1611"/>
      <c r="AP519" s="1611"/>
      <c r="AQ519" s="1611"/>
    </row>
    <row r="520" spans="1:43" outlineLevel="2">
      <c r="A520" s="1638" t="s">
        <v>319</v>
      </c>
      <c r="B520" s="1637" t="s">
        <v>130</v>
      </c>
      <c r="C520" s="1636"/>
      <c r="D520" s="1635">
        <v>1</v>
      </c>
      <c r="E520" s="1634" t="s">
        <v>957</v>
      </c>
      <c r="F520" s="1633" t="s">
        <v>1063</v>
      </c>
      <c r="G520" s="1632">
        <v>4374.0443941676149</v>
      </c>
      <c r="H520" s="1632">
        <v>4151.91</v>
      </c>
      <c r="I520" s="1630">
        <f t="shared" si="276"/>
        <v>8525.9543941676147</v>
      </c>
      <c r="J520" s="1630">
        <f t="shared" si="277"/>
        <v>8525.9543941676147</v>
      </c>
      <c r="K520" s="1631">
        <v>4075</v>
      </c>
      <c r="L520" s="1630">
        <f t="shared" si="278"/>
        <v>4075</v>
      </c>
      <c r="M520" s="1630">
        <f t="shared" si="279"/>
        <v>4075</v>
      </c>
      <c r="N520" s="1625">
        <f t="shared" si="280"/>
        <v>4450.9543941676147</v>
      </c>
      <c r="O520" s="1629">
        <v>0.57030000000000003</v>
      </c>
      <c r="P520" s="1629">
        <v>0.42970000000000003</v>
      </c>
      <c r="Q520" s="1625">
        <f t="shared" si="281"/>
        <v>2538.3792909937906</v>
      </c>
      <c r="R520" s="1628">
        <f t="shared" si="282"/>
        <v>1912.5751031738241</v>
      </c>
      <c r="S520" s="1627">
        <f t="shared" si="283"/>
        <v>1835.6651031738243</v>
      </c>
      <c r="T520" s="1627">
        <f t="shared" si="284"/>
        <v>2239.3348968261757</v>
      </c>
      <c r="U520" s="1626">
        <f t="shared" si="285"/>
        <v>458.91627579345607</v>
      </c>
      <c r="V520" s="1626">
        <f t="shared" si="286"/>
        <v>559.83372420654393</v>
      </c>
      <c r="W520" s="1625">
        <f t="shared" si="287"/>
        <v>1018.75</v>
      </c>
      <c r="X520" s="1614"/>
      <c r="Y520" s="1613"/>
      <c r="Z520" s="1612">
        <f t="shared" si="288"/>
        <v>0.47795235719154239</v>
      </c>
      <c r="AA520" s="1611"/>
      <c r="AB520" s="1611"/>
      <c r="AC520" s="1611"/>
      <c r="AD520" s="1611"/>
      <c r="AE520" s="1611"/>
      <c r="AF520" s="1611"/>
      <c r="AG520" s="1611"/>
      <c r="AH520" s="1611"/>
      <c r="AI520" s="1611"/>
      <c r="AJ520" s="1611"/>
      <c r="AK520" s="1611"/>
      <c r="AL520" s="1611"/>
      <c r="AM520" s="1611"/>
      <c r="AN520" s="1611"/>
      <c r="AO520" s="1611"/>
      <c r="AP520" s="1611"/>
      <c r="AQ520" s="1611"/>
    </row>
    <row r="521" spans="1:43" outlineLevel="2">
      <c r="A521" s="1638" t="s">
        <v>319</v>
      </c>
      <c r="B521" s="1637" t="s">
        <v>130</v>
      </c>
      <c r="C521" s="1636"/>
      <c r="D521" s="1635">
        <v>1</v>
      </c>
      <c r="E521" s="1634" t="s">
        <v>957</v>
      </c>
      <c r="F521" s="1633" t="s">
        <v>1066</v>
      </c>
      <c r="G521" s="1632">
        <v>4374.0443941676149</v>
      </c>
      <c r="H521" s="1632">
        <v>4151.91</v>
      </c>
      <c r="I521" s="1630">
        <f t="shared" si="276"/>
        <v>8525.9543941676147</v>
      </c>
      <c r="J521" s="1630">
        <f t="shared" si="277"/>
        <v>8525.9543941676147</v>
      </c>
      <c r="K521" s="1631">
        <v>4075</v>
      </c>
      <c r="L521" s="1630">
        <f t="shared" si="278"/>
        <v>4075</v>
      </c>
      <c r="M521" s="1630">
        <f t="shared" si="279"/>
        <v>4075</v>
      </c>
      <c r="N521" s="1625">
        <f t="shared" si="280"/>
        <v>4450.9543941676147</v>
      </c>
      <c r="O521" s="1629">
        <v>0.57030000000000003</v>
      </c>
      <c r="P521" s="1629">
        <v>0.42970000000000003</v>
      </c>
      <c r="Q521" s="1625">
        <f t="shared" si="281"/>
        <v>2538.3792909937906</v>
      </c>
      <c r="R521" s="1628">
        <f t="shared" si="282"/>
        <v>1912.5751031738241</v>
      </c>
      <c r="S521" s="1627">
        <f t="shared" si="283"/>
        <v>1835.6651031738243</v>
      </c>
      <c r="T521" s="1627">
        <f t="shared" si="284"/>
        <v>2239.3348968261757</v>
      </c>
      <c r="U521" s="1626">
        <f t="shared" si="285"/>
        <v>458.91627579345607</v>
      </c>
      <c r="V521" s="1626">
        <f t="shared" si="286"/>
        <v>559.83372420654393</v>
      </c>
      <c r="W521" s="1625">
        <f t="shared" si="287"/>
        <v>1018.75</v>
      </c>
      <c r="X521" s="1614"/>
      <c r="Y521" s="1613"/>
      <c r="Z521" s="1612">
        <f t="shared" si="288"/>
        <v>0.47795235719154239</v>
      </c>
      <c r="AA521" s="1611"/>
      <c r="AB521" s="1611"/>
      <c r="AC521" s="1611"/>
      <c r="AD521" s="1611"/>
      <c r="AE521" s="1611"/>
      <c r="AF521" s="1611"/>
      <c r="AG521" s="1611"/>
      <c r="AH521" s="1611"/>
      <c r="AI521" s="1611"/>
      <c r="AJ521" s="1611"/>
      <c r="AK521" s="1611"/>
      <c r="AL521" s="1611"/>
      <c r="AM521" s="1611"/>
      <c r="AN521" s="1611"/>
      <c r="AO521" s="1611"/>
      <c r="AP521" s="1611"/>
      <c r="AQ521" s="1611"/>
    </row>
    <row r="522" spans="1:43" outlineLevel="2">
      <c r="A522" s="1638" t="s">
        <v>319</v>
      </c>
      <c r="B522" s="1637" t="s">
        <v>130</v>
      </c>
      <c r="C522" s="1636"/>
      <c r="D522" s="1635">
        <v>11</v>
      </c>
      <c r="E522" s="1634" t="s">
        <v>957</v>
      </c>
      <c r="F522" s="1633" t="s">
        <v>979</v>
      </c>
      <c r="G522" s="1632">
        <v>4374.0443941676149</v>
      </c>
      <c r="H522" s="1632">
        <v>4151.91</v>
      </c>
      <c r="I522" s="1630">
        <f t="shared" si="276"/>
        <v>8525.9543941676147</v>
      </c>
      <c r="J522" s="1630">
        <f t="shared" si="277"/>
        <v>93785.49833584376</v>
      </c>
      <c r="K522" s="1631">
        <v>4075</v>
      </c>
      <c r="L522" s="1630">
        <f t="shared" si="278"/>
        <v>4075</v>
      </c>
      <c r="M522" s="1630">
        <f t="shared" si="279"/>
        <v>44825</v>
      </c>
      <c r="N522" s="1625">
        <f t="shared" si="280"/>
        <v>48960.49833584376</v>
      </c>
      <c r="O522" s="1629">
        <v>0.57030000000000003</v>
      </c>
      <c r="P522" s="1629">
        <v>0.42970000000000003</v>
      </c>
      <c r="Q522" s="1625">
        <f t="shared" si="281"/>
        <v>27922.172200931698</v>
      </c>
      <c r="R522" s="1628">
        <f t="shared" si="282"/>
        <v>21038.326134912066</v>
      </c>
      <c r="S522" s="1627">
        <f t="shared" si="283"/>
        <v>20192.316134912067</v>
      </c>
      <c r="T522" s="1627">
        <f t="shared" si="284"/>
        <v>24632.683865087929</v>
      </c>
      <c r="U522" s="1626">
        <f t="shared" si="285"/>
        <v>5048.0790337280168</v>
      </c>
      <c r="V522" s="1626">
        <f t="shared" si="286"/>
        <v>6158.1709662719823</v>
      </c>
      <c r="W522" s="1625">
        <f t="shared" si="287"/>
        <v>11206.25</v>
      </c>
      <c r="X522" s="1614"/>
      <c r="Y522" s="1613"/>
      <c r="Z522" s="1612">
        <f t="shared" si="288"/>
        <v>0.47795235719154239</v>
      </c>
      <c r="AA522" s="1611"/>
      <c r="AB522" s="1611"/>
      <c r="AC522" s="1611"/>
      <c r="AD522" s="1611"/>
      <c r="AE522" s="1611"/>
      <c r="AF522" s="1611"/>
      <c r="AG522" s="1611"/>
      <c r="AH522" s="1611"/>
      <c r="AI522" s="1611"/>
      <c r="AJ522" s="1611"/>
      <c r="AK522" s="1611"/>
      <c r="AL522" s="1611"/>
      <c r="AM522" s="1611"/>
      <c r="AN522" s="1611"/>
      <c r="AO522" s="1611"/>
      <c r="AP522" s="1611"/>
      <c r="AQ522" s="1611"/>
    </row>
    <row r="523" spans="1:43" outlineLevel="2">
      <c r="A523" s="1638" t="s">
        <v>319</v>
      </c>
      <c r="B523" s="1637" t="s">
        <v>130</v>
      </c>
      <c r="C523" s="1636"/>
      <c r="D523" s="1635">
        <v>2</v>
      </c>
      <c r="E523" s="1634" t="s">
        <v>955</v>
      </c>
      <c r="F523" s="1633" t="s">
        <v>1070</v>
      </c>
      <c r="G523" s="1632">
        <v>4374.0443941676149</v>
      </c>
      <c r="H523" s="1632">
        <v>4151.91</v>
      </c>
      <c r="I523" s="1630">
        <f t="shared" si="276"/>
        <v>8525.9543941676147</v>
      </c>
      <c r="J523" s="1630">
        <f t="shared" si="277"/>
        <v>17051.908788335229</v>
      </c>
      <c r="K523" s="1631">
        <v>6197</v>
      </c>
      <c r="L523" s="1630">
        <f t="shared" si="278"/>
        <v>6197</v>
      </c>
      <c r="M523" s="1630">
        <f t="shared" si="279"/>
        <v>12394</v>
      </c>
      <c r="N523" s="1625">
        <f t="shared" si="280"/>
        <v>4657.9087883352295</v>
      </c>
      <c r="O523" s="1629">
        <v>0.57030000000000003</v>
      </c>
      <c r="P523" s="1629">
        <v>0.42970000000000003</v>
      </c>
      <c r="Q523" s="1625">
        <f t="shared" si="281"/>
        <v>2656.4053819875817</v>
      </c>
      <c r="R523" s="1628">
        <f t="shared" si="282"/>
        <v>2001.5034063476483</v>
      </c>
      <c r="S523" s="1627">
        <f t="shared" si="283"/>
        <v>6091.6834063476481</v>
      </c>
      <c r="T523" s="1627">
        <f t="shared" si="284"/>
        <v>6302.316593652351</v>
      </c>
      <c r="U523" s="1626">
        <f t="shared" si="285"/>
        <v>1522.920851586912</v>
      </c>
      <c r="V523" s="1626">
        <f t="shared" si="286"/>
        <v>1575.5791484130878</v>
      </c>
      <c r="W523" s="1625">
        <f t="shared" si="287"/>
        <v>3098.5</v>
      </c>
      <c r="X523" s="1614"/>
      <c r="Y523" s="1613"/>
      <c r="Z523" s="1612">
        <f t="shared" si="288"/>
        <v>0.72683944969717496</v>
      </c>
      <c r="AA523" s="1611"/>
      <c r="AB523" s="1611"/>
      <c r="AC523" s="1611"/>
      <c r="AD523" s="1611"/>
      <c r="AE523" s="1611"/>
      <c r="AF523" s="1611"/>
      <c r="AG523" s="1611"/>
      <c r="AH523" s="1611"/>
      <c r="AI523" s="1611"/>
      <c r="AJ523" s="1611"/>
      <c r="AK523" s="1611"/>
      <c r="AL523" s="1611"/>
      <c r="AM523" s="1611"/>
      <c r="AN523" s="1611"/>
      <c r="AO523" s="1611"/>
      <c r="AP523" s="1611"/>
      <c r="AQ523" s="1611"/>
    </row>
    <row r="524" spans="1:43" outlineLevel="2">
      <c r="A524" s="1638" t="s">
        <v>319</v>
      </c>
      <c r="B524" s="1637" t="s">
        <v>130</v>
      </c>
      <c r="C524" s="1636"/>
      <c r="D524" s="1635">
        <v>3</v>
      </c>
      <c r="E524" s="1634" t="s">
        <v>955</v>
      </c>
      <c r="F524" s="1633" t="s">
        <v>1071</v>
      </c>
      <c r="G524" s="1632">
        <v>4374.0443941676149</v>
      </c>
      <c r="H524" s="1632">
        <v>4151.91</v>
      </c>
      <c r="I524" s="1630">
        <f t="shared" si="276"/>
        <v>8525.9543941676147</v>
      </c>
      <c r="J524" s="1630">
        <f t="shared" si="277"/>
        <v>25577.863182502842</v>
      </c>
      <c r="K524" s="1631">
        <v>6197</v>
      </c>
      <c r="L524" s="1630">
        <f t="shared" si="278"/>
        <v>6197</v>
      </c>
      <c r="M524" s="1630">
        <f t="shared" si="279"/>
        <v>18591</v>
      </c>
      <c r="N524" s="1625">
        <f t="shared" si="280"/>
        <v>6986.8631825028424</v>
      </c>
      <c r="O524" s="1629">
        <v>0.57030000000000003</v>
      </c>
      <c r="P524" s="1629">
        <v>0.42970000000000003</v>
      </c>
      <c r="Q524" s="1625">
        <f t="shared" si="281"/>
        <v>3984.6080729813712</v>
      </c>
      <c r="R524" s="1628">
        <f t="shared" si="282"/>
        <v>3002.2551095214717</v>
      </c>
      <c r="S524" s="1627">
        <f t="shared" si="283"/>
        <v>9137.5251095214735</v>
      </c>
      <c r="T524" s="1627">
        <f t="shared" si="284"/>
        <v>9453.4748904785283</v>
      </c>
      <c r="U524" s="1626">
        <f t="shared" si="285"/>
        <v>2284.3812773803684</v>
      </c>
      <c r="V524" s="1626">
        <f t="shared" si="286"/>
        <v>2363.3687226196321</v>
      </c>
      <c r="W524" s="1625">
        <f t="shared" si="287"/>
        <v>4647.75</v>
      </c>
      <c r="X524" s="1614"/>
      <c r="Y524" s="1613"/>
      <c r="Z524" s="1612">
        <f t="shared" si="288"/>
        <v>0.72683944969717496</v>
      </c>
      <c r="AA524" s="1611"/>
      <c r="AB524" s="1611"/>
      <c r="AC524" s="1611"/>
      <c r="AD524" s="1611"/>
      <c r="AE524" s="1611"/>
      <c r="AF524" s="1611"/>
      <c r="AG524" s="1611"/>
      <c r="AH524" s="1611"/>
      <c r="AI524" s="1611"/>
      <c r="AJ524" s="1611"/>
      <c r="AK524" s="1611"/>
      <c r="AL524" s="1611"/>
      <c r="AM524" s="1611"/>
      <c r="AN524" s="1611"/>
      <c r="AO524" s="1611"/>
      <c r="AP524" s="1611"/>
      <c r="AQ524" s="1611"/>
    </row>
    <row r="525" spans="1:43" outlineLevel="2">
      <c r="A525" s="1638" t="s">
        <v>319</v>
      </c>
      <c r="B525" s="1637" t="s">
        <v>130</v>
      </c>
      <c r="C525" s="1636"/>
      <c r="D525" s="1635">
        <v>1</v>
      </c>
      <c r="E525" s="1634" t="s">
        <v>955</v>
      </c>
      <c r="F525" s="1633" t="s">
        <v>1063</v>
      </c>
      <c r="G525" s="1632">
        <v>4374.0443941676149</v>
      </c>
      <c r="H525" s="1632">
        <v>4151.91</v>
      </c>
      <c r="I525" s="1630">
        <f t="shared" si="276"/>
        <v>8525.9543941676147</v>
      </c>
      <c r="J525" s="1630">
        <f t="shared" si="277"/>
        <v>8525.9543941676147</v>
      </c>
      <c r="K525" s="1631">
        <v>6197</v>
      </c>
      <c r="L525" s="1630">
        <f t="shared" si="278"/>
        <v>6197</v>
      </c>
      <c r="M525" s="1630">
        <f t="shared" si="279"/>
        <v>6197</v>
      </c>
      <c r="N525" s="1625">
        <f t="shared" si="280"/>
        <v>2328.9543941676147</v>
      </c>
      <c r="O525" s="1629">
        <v>0.57030000000000003</v>
      </c>
      <c r="P525" s="1629">
        <v>0.42970000000000003</v>
      </c>
      <c r="Q525" s="1625">
        <f t="shared" si="281"/>
        <v>1328.2026909937908</v>
      </c>
      <c r="R525" s="1628">
        <f t="shared" si="282"/>
        <v>1000.7517031738241</v>
      </c>
      <c r="S525" s="1627">
        <f t="shared" si="283"/>
        <v>3045.841703173824</v>
      </c>
      <c r="T525" s="1627">
        <f t="shared" si="284"/>
        <v>3151.1582968261755</v>
      </c>
      <c r="U525" s="1626">
        <f t="shared" si="285"/>
        <v>761.46042579345601</v>
      </c>
      <c r="V525" s="1626">
        <f t="shared" si="286"/>
        <v>787.78957420654388</v>
      </c>
      <c r="W525" s="1625">
        <f t="shared" si="287"/>
        <v>1549.25</v>
      </c>
      <c r="X525" s="1614"/>
      <c r="Y525" s="1613"/>
      <c r="Z525" s="1612">
        <f t="shared" si="288"/>
        <v>0.72683944969717496</v>
      </c>
      <c r="AA525" s="1611"/>
      <c r="AB525" s="1611"/>
      <c r="AC525" s="1611"/>
      <c r="AD525" s="1611"/>
      <c r="AE525" s="1611"/>
      <c r="AF525" s="1611"/>
      <c r="AG525" s="1611"/>
      <c r="AH525" s="1611"/>
      <c r="AI525" s="1611"/>
      <c r="AJ525" s="1611"/>
      <c r="AK525" s="1611"/>
      <c r="AL525" s="1611"/>
      <c r="AM525" s="1611"/>
      <c r="AN525" s="1611"/>
      <c r="AO525" s="1611"/>
      <c r="AP525" s="1611"/>
      <c r="AQ525" s="1611"/>
    </row>
    <row r="526" spans="1:43" outlineLevel="2">
      <c r="A526" s="1638" t="s">
        <v>319</v>
      </c>
      <c r="B526" s="1637" t="s">
        <v>130</v>
      </c>
      <c r="C526" s="1636"/>
      <c r="D526" s="1635">
        <v>3</v>
      </c>
      <c r="E526" s="1634" t="s">
        <v>955</v>
      </c>
      <c r="F526" s="1633" t="s">
        <v>979</v>
      </c>
      <c r="G526" s="1632">
        <v>4374.0443941676149</v>
      </c>
      <c r="H526" s="1632">
        <v>4151.91</v>
      </c>
      <c r="I526" s="1630">
        <f t="shared" si="276"/>
        <v>8525.9543941676147</v>
      </c>
      <c r="J526" s="1630">
        <f t="shared" si="277"/>
        <v>25577.863182502842</v>
      </c>
      <c r="K526" s="1631">
        <v>6197</v>
      </c>
      <c r="L526" s="1630">
        <f t="shared" si="278"/>
        <v>6197</v>
      </c>
      <c r="M526" s="1630">
        <f t="shared" si="279"/>
        <v>18591</v>
      </c>
      <c r="N526" s="1625">
        <f t="shared" si="280"/>
        <v>6986.8631825028424</v>
      </c>
      <c r="O526" s="1629">
        <v>0.57030000000000003</v>
      </c>
      <c r="P526" s="1629">
        <v>0.42970000000000003</v>
      </c>
      <c r="Q526" s="1625">
        <f t="shared" si="281"/>
        <v>3984.6080729813712</v>
      </c>
      <c r="R526" s="1628">
        <f t="shared" si="282"/>
        <v>3002.2551095214717</v>
      </c>
      <c r="S526" s="1627">
        <f t="shared" si="283"/>
        <v>9137.5251095214735</v>
      </c>
      <c r="T526" s="1627">
        <f t="shared" si="284"/>
        <v>9453.4748904785283</v>
      </c>
      <c r="U526" s="1626">
        <f t="shared" si="285"/>
        <v>2284.3812773803684</v>
      </c>
      <c r="V526" s="1626">
        <f t="shared" si="286"/>
        <v>2363.3687226196321</v>
      </c>
      <c r="W526" s="1625">
        <f t="shared" si="287"/>
        <v>4647.75</v>
      </c>
      <c r="X526" s="1614"/>
      <c r="Y526" s="1613"/>
      <c r="Z526" s="1612">
        <f t="shared" si="288"/>
        <v>0.72683944969717496</v>
      </c>
      <c r="AA526" s="1611"/>
      <c r="AB526" s="1611"/>
      <c r="AC526" s="1611"/>
      <c r="AD526" s="1611"/>
      <c r="AE526" s="1611"/>
      <c r="AF526" s="1611"/>
      <c r="AG526" s="1611"/>
      <c r="AH526" s="1611"/>
      <c r="AI526" s="1611"/>
      <c r="AJ526" s="1611"/>
      <c r="AK526" s="1611"/>
      <c r="AL526" s="1611"/>
      <c r="AM526" s="1611"/>
      <c r="AN526" s="1611"/>
      <c r="AO526" s="1611"/>
      <c r="AP526" s="1611"/>
      <c r="AQ526" s="1611"/>
    </row>
    <row r="527" spans="1:43" outlineLevel="2">
      <c r="A527" s="1638" t="s">
        <v>319</v>
      </c>
      <c r="B527" s="1637" t="s">
        <v>130</v>
      </c>
      <c r="C527" s="1636"/>
      <c r="D527" s="1635">
        <v>24</v>
      </c>
      <c r="E527" s="1634" t="s">
        <v>907</v>
      </c>
      <c r="F527" s="1633" t="s">
        <v>1070</v>
      </c>
      <c r="G527" s="1632">
        <v>4374.0443941676149</v>
      </c>
      <c r="H527" s="1632">
        <v>4151.91</v>
      </c>
      <c r="I527" s="1630">
        <f t="shared" si="276"/>
        <v>8525.9543941676147</v>
      </c>
      <c r="J527" s="1630">
        <f t="shared" si="277"/>
        <v>204622.90546002274</v>
      </c>
      <c r="K527" s="1631">
        <v>4765</v>
      </c>
      <c r="L527" s="1630">
        <f t="shared" si="278"/>
        <v>4765</v>
      </c>
      <c r="M527" s="1630">
        <f t="shared" si="279"/>
        <v>114360</v>
      </c>
      <c r="N527" s="1625">
        <f t="shared" si="280"/>
        <v>90262.905460022739</v>
      </c>
      <c r="O527" s="1629">
        <v>0.57030000000000003</v>
      </c>
      <c r="P527" s="1629">
        <v>0.42970000000000003</v>
      </c>
      <c r="Q527" s="1625">
        <f t="shared" si="281"/>
        <v>51476.934983850973</v>
      </c>
      <c r="R527" s="1628">
        <f t="shared" si="282"/>
        <v>38785.970476171773</v>
      </c>
      <c r="S527" s="1627">
        <f t="shared" si="283"/>
        <v>53500.130476171784</v>
      </c>
      <c r="T527" s="1627">
        <f t="shared" si="284"/>
        <v>60859.869523828223</v>
      </c>
      <c r="U527" s="1626">
        <f t="shared" si="285"/>
        <v>13375.032619042946</v>
      </c>
      <c r="V527" s="1626">
        <f t="shared" si="286"/>
        <v>15214.967380957056</v>
      </c>
      <c r="W527" s="1625">
        <f t="shared" si="287"/>
        <v>28590</v>
      </c>
      <c r="X527" s="1614"/>
      <c r="Y527" s="1613"/>
      <c r="Z527" s="1612">
        <f t="shared" si="288"/>
        <v>0.55888171337857651</v>
      </c>
      <c r="AA527" s="1611"/>
      <c r="AB527" s="1611"/>
      <c r="AC527" s="1611"/>
      <c r="AD527" s="1611"/>
      <c r="AE527" s="1611"/>
      <c r="AF527" s="1611"/>
      <c r="AG527" s="1611"/>
      <c r="AH527" s="1611"/>
      <c r="AI527" s="1611"/>
      <c r="AJ527" s="1611"/>
      <c r="AK527" s="1611"/>
      <c r="AL527" s="1611"/>
      <c r="AM527" s="1611"/>
      <c r="AN527" s="1611"/>
      <c r="AO527" s="1611"/>
      <c r="AP527" s="1611"/>
      <c r="AQ527" s="1611"/>
    </row>
    <row r="528" spans="1:43" outlineLevel="2">
      <c r="A528" s="1638" t="s">
        <v>319</v>
      </c>
      <c r="B528" s="1637" t="s">
        <v>130</v>
      </c>
      <c r="C528" s="1636"/>
      <c r="D528" s="1635">
        <v>18</v>
      </c>
      <c r="E528" s="1634" t="s">
        <v>907</v>
      </c>
      <c r="F528" s="1633" t="s">
        <v>1069</v>
      </c>
      <c r="G528" s="1632">
        <v>4374.0443941676149</v>
      </c>
      <c r="H528" s="1632">
        <v>4151.91</v>
      </c>
      <c r="I528" s="1630">
        <f t="shared" si="276"/>
        <v>8525.9543941676147</v>
      </c>
      <c r="J528" s="1630">
        <f t="shared" si="277"/>
        <v>153467.17909501705</v>
      </c>
      <c r="K528" s="1631">
        <v>4765</v>
      </c>
      <c r="L528" s="1630">
        <f t="shared" si="278"/>
        <v>4765</v>
      </c>
      <c r="M528" s="1630">
        <f t="shared" si="279"/>
        <v>85770</v>
      </c>
      <c r="N528" s="1625">
        <f t="shared" si="280"/>
        <v>67697.179095017054</v>
      </c>
      <c r="O528" s="1629">
        <v>0.57030000000000003</v>
      </c>
      <c r="P528" s="1629">
        <v>0.42970000000000003</v>
      </c>
      <c r="Q528" s="1625">
        <f t="shared" si="281"/>
        <v>38607.701237888228</v>
      </c>
      <c r="R528" s="1628">
        <f t="shared" si="282"/>
        <v>29089.47785712883</v>
      </c>
      <c r="S528" s="1627">
        <f t="shared" si="283"/>
        <v>40125.097857128836</v>
      </c>
      <c r="T528" s="1627">
        <f t="shared" si="284"/>
        <v>45644.902142871171</v>
      </c>
      <c r="U528" s="1626">
        <f t="shared" si="285"/>
        <v>10031.274464282209</v>
      </c>
      <c r="V528" s="1626">
        <f t="shared" si="286"/>
        <v>11411.225535717793</v>
      </c>
      <c r="W528" s="1625">
        <f t="shared" si="287"/>
        <v>21442.5</v>
      </c>
      <c r="X528" s="1614"/>
      <c r="Y528" s="1613"/>
      <c r="Z528" s="1612">
        <f t="shared" si="288"/>
        <v>0.55888171337857651</v>
      </c>
      <c r="AA528" s="1611"/>
      <c r="AB528" s="1611"/>
      <c r="AC528" s="1611"/>
      <c r="AD528" s="1611"/>
      <c r="AE528" s="1611"/>
      <c r="AF528" s="1611"/>
      <c r="AG528" s="1611"/>
      <c r="AH528" s="1611"/>
      <c r="AI528" s="1611"/>
      <c r="AJ528" s="1611"/>
      <c r="AK528" s="1611"/>
      <c r="AL528" s="1611"/>
      <c r="AM528" s="1611"/>
      <c r="AN528" s="1611"/>
      <c r="AO528" s="1611"/>
      <c r="AP528" s="1611"/>
      <c r="AQ528" s="1611"/>
    </row>
    <row r="529" spans="1:43" outlineLevel="2">
      <c r="A529" s="1638" t="s">
        <v>319</v>
      </c>
      <c r="B529" s="1637" t="s">
        <v>130</v>
      </c>
      <c r="C529" s="1636"/>
      <c r="D529" s="1635">
        <v>23</v>
      </c>
      <c r="E529" s="1634" t="s">
        <v>907</v>
      </c>
      <c r="F529" s="1633" t="s">
        <v>1068</v>
      </c>
      <c r="G529" s="1632">
        <v>4374.0443941676149</v>
      </c>
      <c r="H529" s="1632">
        <v>4151.91</v>
      </c>
      <c r="I529" s="1630">
        <f t="shared" si="276"/>
        <v>8525.9543941676147</v>
      </c>
      <c r="J529" s="1630">
        <f t="shared" si="277"/>
        <v>196096.95106585513</v>
      </c>
      <c r="K529" s="1631">
        <v>4765</v>
      </c>
      <c r="L529" s="1630">
        <f t="shared" si="278"/>
        <v>4765</v>
      </c>
      <c r="M529" s="1630">
        <f t="shared" si="279"/>
        <v>109595</v>
      </c>
      <c r="N529" s="1625">
        <f t="shared" si="280"/>
        <v>86501.95106585513</v>
      </c>
      <c r="O529" s="1629">
        <v>0.57030000000000003</v>
      </c>
      <c r="P529" s="1629">
        <v>0.42970000000000003</v>
      </c>
      <c r="Q529" s="1625">
        <f t="shared" si="281"/>
        <v>49332.06269285718</v>
      </c>
      <c r="R529" s="1628">
        <f t="shared" si="282"/>
        <v>37169.88837299795</v>
      </c>
      <c r="S529" s="1627">
        <f t="shared" si="283"/>
        <v>51270.958372997957</v>
      </c>
      <c r="T529" s="1627">
        <f t="shared" si="284"/>
        <v>58324.041627002043</v>
      </c>
      <c r="U529" s="1626">
        <f t="shared" si="285"/>
        <v>12817.739593249489</v>
      </c>
      <c r="V529" s="1626">
        <f t="shared" si="286"/>
        <v>14581.010406750511</v>
      </c>
      <c r="W529" s="1625">
        <f t="shared" si="287"/>
        <v>27398.75</v>
      </c>
      <c r="X529" s="1614"/>
      <c r="Y529" s="1613"/>
      <c r="Z529" s="1612">
        <f t="shared" si="288"/>
        <v>0.55888171337857651</v>
      </c>
      <c r="AA529" s="1611"/>
      <c r="AB529" s="1611"/>
      <c r="AC529" s="1611"/>
      <c r="AD529" s="1611"/>
      <c r="AE529" s="1611"/>
      <c r="AF529" s="1611"/>
      <c r="AG529" s="1611"/>
      <c r="AH529" s="1611"/>
      <c r="AI529" s="1611"/>
      <c r="AJ529" s="1611"/>
      <c r="AK529" s="1611"/>
      <c r="AL529" s="1611"/>
      <c r="AM529" s="1611"/>
      <c r="AN529" s="1611"/>
      <c r="AO529" s="1611"/>
      <c r="AP529" s="1611"/>
      <c r="AQ529" s="1611"/>
    </row>
    <row r="530" spans="1:43" outlineLevel="2">
      <c r="A530" s="1638" t="s">
        <v>319</v>
      </c>
      <c r="B530" s="1637" t="s">
        <v>130</v>
      </c>
      <c r="C530" s="1636"/>
      <c r="D530" s="1635">
        <v>17</v>
      </c>
      <c r="E530" s="1634" t="s">
        <v>907</v>
      </c>
      <c r="F530" s="1633" t="s">
        <v>1071</v>
      </c>
      <c r="G530" s="1632">
        <v>4374.0443941676149</v>
      </c>
      <c r="H530" s="1632">
        <v>4151.91</v>
      </c>
      <c r="I530" s="1630">
        <f t="shared" si="276"/>
        <v>8525.9543941676147</v>
      </c>
      <c r="J530" s="1630">
        <f t="shared" si="277"/>
        <v>144941.22470084945</v>
      </c>
      <c r="K530" s="1631">
        <v>4765</v>
      </c>
      <c r="L530" s="1630">
        <f t="shared" si="278"/>
        <v>4765</v>
      </c>
      <c r="M530" s="1630">
        <f t="shared" si="279"/>
        <v>81005</v>
      </c>
      <c r="N530" s="1625">
        <f t="shared" si="280"/>
        <v>63936.224700849445</v>
      </c>
      <c r="O530" s="1629">
        <v>0.57030000000000003</v>
      </c>
      <c r="P530" s="1629">
        <v>0.42970000000000003</v>
      </c>
      <c r="Q530" s="1625">
        <f t="shared" si="281"/>
        <v>36462.828946894442</v>
      </c>
      <c r="R530" s="1628">
        <f t="shared" si="282"/>
        <v>27473.395753955007</v>
      </c>
      <c r="S530" s="1627">
        <f t="shared" si="283"/>
        <v>37895.925753955016</v>
      </c>
      <c r="T530" s="1627">
        <f t="shared" si="284"/>
        <v>43109.074246044998</v>
      </c>
      <c r="U530" s="1626">
        <f t="shared" si="285"/>
        <v>9473.9814384887541</v>
      </c>
      <c r="V530" s="1626">
        <f t="shared" si="286"/>
        <v>10777.26856151125</v>
      </c>
      <c r="W530" s="1625">
        <f t="shared" si="287"/>
        <v>20251.250000000004</v>
      </c>
      <c r="X530" s="1614"/>
      <c r="Y530" s="1613"/>
      <c r="Z530" s="1612">
        <f t="shared" si="288"/>
        <v>0.55888171337857651</v>
      </c>
      <c r="AA530" s="1611"/>
      <c r="AB530" s="1611"/>
      <c r="AC530" s="1611"/>
      <c r="AD530" s="1611"/>
      <c r="AE530" s="1611"/>
      <c r="AF530" s="1611"/>
      <c r="AG530" s="1611"/>
      <c r="AH530" s="1611"/>
      <c r="AI530" s="1611"/>
      <c r="AJ530" s="1611"/>
      <c r="AK530" s="1611"/>
      <c r="AL530" s="1611"/>
      <c r="AM530" s="1611"/>
      <c r="AN530" s="1611"/>
      <c r="AO530" s="1611"/>
      <c r="AP530" s="1611"/>
      <c r="AQ530" s="1611"/>
    </row>
    <row r="531" spans="1:43" outlineLevel="2">
      <c r="A531" s="1638" t="s">
        <v>319</v>
      </c>
      <c r="B531" s="1637" t="s">
        <v>130</v>
      </c>
      <c r="C531" s="1636"/>
      <c r="D531" s="1635">
        <v>13</v>
      </c>
      <c r="E531" s="1634" t="s">
        <v>907</v>
      </c>
      <c r="F531" s="1633" t="s">
        <v>1065</v>
      </c>
      <c r="G531" s="1632">
        <v>4374.0443941676149</v>
      </c>
      <c r="H531" s="1632">
        <v>4151.91</v>
      </c>
      <c r="I531" s="1630">
        <f t="shared" si="276"/>
        <v>8525.9543941676147</v>
      </c>
      <c r="J531" s="1630">
        <f t="shared" si="277"/>
        <v>110837.40712417899</v>
      </c>
      <c r="K531" s="1631">
        <v>4765</v>
      </c>
      <c r="L531" s="1630">
        <f t="shared" si="278"/>
        <v>4765</v>
      </c>
      <c r="M531" s="1630">
        <f t="shared" si="279"/>
        <v>61945</v>
      </c>
      <c r="N531" s="1625">
        <f t="shared" si="280"/>
        <v>48892.407124178993</v>
      </c>
      <c r="O531" s="1629">
        <v>0.57030000000000003</v>
      </c>
      <c r="P531" s="1629">
        <v>0.42970000000000003</v>
      </c>
      <c r="Q531" s="1625">
        <f t="shared" si="281"/>
        <v>27883.33978291928</v>
      </c>
      <c r="R531" s="1628">
        <f t="shared" si="282"/>
        <v>21009.067341259713</v>
      </c>
      <c r="S531" s="1627">
        <f t="shared" si="283"/>
        <v>28979.237341259712</v>
      </c>
      <c r="T531" s="1627">
        <f t="shared" si="284"/>
        <v>32965.762658740292</v>
      </c>
      <c r="U531" s="1626">
        <f t="shared" si="285"/>
        <v>7244.8093353149279</v>
      </c>
      <c r="V531" s="1626">
        <f t="shared" si="286"/>
        <v>8241.440664685073</v>
      </c>
      <c r="W531" s="1625">
        <f t="shared" si="287"/>
        <v>15486.25</v>
      </c>
      <c r="X531" s="1614"/>
      <c r="Y531" s="1613"/>
      <c r="Z531" s="1612">
        <f t="shared" si="288"/>
        <v>0.55888171337857651</v>
      </c>
      <c r="AA531" s="1611"/>
      <c r="AB531" s="1611"/>
      <c r="AC531" s="1611"/>
      <c r="AD531" s="1611"/>
      <c r="AE531" s="1611"/>
      <c r="AF531" s="1611"/>
      <c r="AG531" s="1611"/>
      <c r="AH531" s="1611"/>
      <c r="AI531" s="1611"/>
      <c r="AJ531" s="1611"/>
      <c r="AK531" s="1611"/>
      <c r="AL531" s="1611"/>
      <c r="AM531" s="1611"/>
      <c r="AN531" s="1611"/>
      <c r="AO531" s="1611"/>
      <c r="AP531" s="1611"/>
      <c r="AQ531" s="1611"/>
    </row>
    <row r="532" spans="1:43" outlineLevel="2">
      <c r="A532" s="1638" t="s">
        <v>319</v>
      </c>
      <c r="B532" s="1637" t="s">
        <v>130</v>
      </c>
      <c r="C532" s="1636"/>
      <c r="D532" s="1635">
        <v>8</v>
      </c>
      <c r="E532" s="1634" t="s">
        <v>907</v>
      </c>
      <c r="F532" s="1633" t="s">
        <v>1064</v>
      </c>
      <c r="G532" s="1632">
        <v>4374.0443941676149</v>
      </c>
      <c r="H532" s="1632">
        <v>4151.91</v>
      </c>
      <c r="I532" s="1630">
        <f t="shared" si="276"/>
        <v>8525.9543941676147</v>
      </c>
      <c r="J532" s="1630">
        <f t="shared" si="277"/>
        <v>68207.635153340918</v>
      </c>
      <c r="K532" s="1631">
        <v>4765</v>
      </c>
      <c r="L532" s="1630">
        <f t="shared" si="278"/>
        <v>4765</v>
      </c>
      <c r="M532" s="1630">
        <f t="shared" si="279"/>
        <v>38120</v>
      </c>
      <c r="N532" s="1625">
        <f t="shared" si="280"/>
        <v>30087.635153340918</v>
      </c>
      <c r="O532" s="1629">
        <v>0.57030000000000003</v>
      </c>
      <c r="P532" s="1629">
        <v>0.42970000000000003</v>
      </c>
      <c r="Q532" s="1625">
        <f t="shared" si="281"/>
        <v>17158.978327950328</v>
      </c>
      <c r="R532" s="1628">
        <f t="shared" si="282"/>
        <v>12928.656825390593</v>
      </c>
      <c r="S532" s="1627">
        <f t="shared" si="283"/>
        <v>17833.376825390591</v>
      </c>
      <c r="T532" s="1627">
        <f t="shared" si="284"/>
        <v>20286.623174609405</v>
      </c>
      <c r="U532" s="1626">
        <f t="shared" si="285"/>
        <v>4458.3442063476477</v>
      </c>
      <c r="V532" s="1626">
        <f t="shared" si="286"/>
        <v>5071.6557936523513</v>
      </c>
      <c r="W532" s="1625">
        <f t="shared" si="287"/>
        <v>9530</v>
      </c>
      <c r="X532" s="1614"/>
      <c r="Y532" s="1613"/>
      <c r="Z532" s="1612">
        <f t="shared" si="288"/>
        <v>0.55888171337857651</v>
      </c>
      <c r="AA532" s="1611"/>
      <c r="AB532" s="1611"/>
      <c r="AC532" s="1611"/>
      <c r="AD532" s="1611"/>
      <c r="AE532" s="1611"/>
      <c r="AF532" s="1611"/>
      <c r="AG532" s="1611"/>
      <c r="AH532" s="1611"/>
      <c r="AI532" s="1611"/>
      <c r="AJ532" s="1611"/>
      <c r="AK532" s="1611"/>
      <c r="AL532" s="1611"/>
      <c r="AM532" s="1611"/>
      <c r="AN532" s="1611"/>
      <c r="AO532" s="1611"/>
      <c r="AP532" s="1611"/>
      <c r="AQ532" s="1611"/>
    </row>
    <row r="533" spans="1:43" outlineLevel="2">
      <c r="A533" s="1638" t="s">
        <v>319</v>
      </c>
      <c r="B533" s="1637" t="s">
        <v>130</v>
      </c>
      <c r="C533" s="1636"/>
      <c r="D533" s="1635">
        <v>15</v>
      </c>
      <c r="E533" s="1634" t="s">
        <v>907</v>
      </c>
      <c r="F533" s="1633" t="s">
        <v>1063</v>
      </c>
      <c r="G533" s="1632">
        <v>4374.0443941676149</v>
      </c>
      <c r="H533" s="1632">
        <v>4151.91</v>
      </c>
      <c r="I533" s="1630">
        <f t="shared" si="276"/>
        <v>8525.9543941676147</v>
      </c>
      <c r="J533" s="1630">
        <f t="shared" si="277"/>
        <v>127889.31591251423</v>
      </c>
      <c r="K533" s="1631">
        <v>4765</v>
      </c>
      <c r="L533" s="1630">
        <f t="shared" si="278"/>
        <v>4765</v>
      </c>
      <c r="M533" s="1630">
        <f t="shared" si="279"/>
        <v>71475</v>
      </c>
      <c r="N533" s="1625">
        <f t="shared" si="280"/>
        <v>56414.315912514227</v>
      </c>
      <c r="O533" s="1629">
        <v>0.57030000000000003</v>
      </c>
      <c r="P533" s="1629">
        <v>0.42970000000000003</v>
      </c>
      <c r="Q533" s="1625">
        <f t="shared" si="281"/>
        <v>32173.084364906867</v>
      </c>
      <c r="R533" s="1628">
        <f t="shared" si="282"/>
        <v>24241.231547607364</v>
      </c>
      <c r="S533" s="1627">
        <f t="shared" si="283"/>
        <v>33437.581547607348</v>
      </c>
      <c r="T533" s="1627">
        <f t="shared" si="284"/>
        <v>38037.418452392631</v>
      </c>
      <c r="U533" s="1626">
        <f t="shared" si="285"/>
        <v>8359.3953869018369</v>
      </c>
      <c r="V533" s="1626">
        <f t="shared" si="286"/>
        <v>9509.3546130981576</v>
      </c>
      <c r="W533" s="1625">
        <f t="shared" si="287"/>
        <v>17868.749999999993</v>
      </c>
      <c r="X533" s="1614"/>
      <c r="Y533" s="1613"/>
      <c r="Z533" s="1612">
        <f t="shared" si="288"/>
        <v>0.55888171337857651</v>
      </c>
      <c r="AA533" s="1611"/>
      <c r="AB533" s="1611"/>
      <c r="AC533" s="1611"/>
      <c r="AD533" s="1611"/>
      <c r="AE533" s="1611"/>
      <c r="AF533" s="1611"/>
      <c r="AG533" s="1611"/>
      <c r="AH533" s="1611"/>
      <c r="AI533" s="1611"/>
      <c r="AJ533" s="1611"/>
      <c r="AK533" s="1611"/>
      <c r="AL533" s="1611"/>
      <c r="AM533" s="1611"/>
      <c r="AN533" s="1611"/>
      <c r="AO533" s="1611"/>
      <c r="AP533" s="1611"/>
      <c r="AQ533" s="1611"/>
    </row>
    <row r="534" spans="1:43" outlineLevel="2">
      <c r="A534" s="1638" t="s">
        <v>319</v>
      </c>
      <c r="B534" s="1637" t="s">
        <v>130</v>
      </c>
      <c r="C534" s="1636"/>
      <c r="D534" s="1635">
        <v>1</v>
      </c>
      <c r="E534" s="1634" t="s">
        <v>907</v>
      </c>
      <c r="F534" s="1633" t="s">
        <v>1066</v>
      </c>
      <c r="G534" s="1632">
        <v>4374.0443941676149</v>
      </c>
      <c r="H534" s="1632">
        <v>4151.91</v>
      </c>
      <c r="I534" s="1630">
        <f t="shared" si="276"/>
        <v>8525.9543941676147</v>
      </c>
      <c r="J534" s="1630">
        <f t="shared" si="277"/>
        <v>8525.9543941676147</v>
      </c>
      <c r="K534" s="1631">
        <v>4765</v>
      </c>
      <c r="L534" s="1630">
        <f t="shared" si="278"/>
        <v>4765</v>
      </c>
      <c r="M534" s="1630">
        <f t="shared" si="279"/>
        <v>4765</v>
      </c>
      <c r="N534" s="1625">
        <f t="shared" si="280"/>
        <v>3760.9543941676147</v>
      </c>
      <c r="O534" s="1629">
        <v>0.57030000000000003</v>
      </c>
      <c r="P534" s="1629">
        <v>0.42970000000000003</v>
      </c>
      <c r="Q534" s="1625">
        <f t="shared" si="281"/>
        <v>2144.872290993791</v>
      </c>
      <c r="R534" s="1628">
        <f t="shared" si="282"/>
        <v>1616.0821031738242</v>
      </c>
      <c r="S534" s="1627">
        <f t="shared" si="283"/>
        <v>2229.1721031738239</v>
      </c>
      <c r="T534" s="1627">
        <f t="shared" si="284"/>
        <v>2535.8278968261757</v>
      </c>
      <c r="U534" s="1626">
        <f t="shared" si="285"/>
        <v>557.29302579345597</v>
      </c>
      <c r="V534" s="1626">
        <f t="shared" si="286"/>
        <v>633.95697420654392</v>
      </c>
      <c r="W534" s="1625">
        <f t="shared" si="287"/>
        <v>1191.25</v>
      </c>
      <c r="X534" s="1614"/>
      <c r="Y534" s="1613"/>
      <c r="Z534" s="1612">
        <f t="shared" si="288"/>
        <v>0.55888171337857651</v>
      </c>
      <c r="AA534" s="1611"/>
      <c r="AB534" s="1611"/>
      <c r="AC534" s="1611"/>
      <c r="AD534" s="1611"/>
      <c r="AE534" s="1611"/>
      <c r="AF534" s="1611"/>
      <c r="AG534" s="1611"/>
      <c r="AH534" s="1611"/>
      <c r="AI534" s="1611"/>
      <c r="AJ534" s="1611"/>
      <c r="AK534" s="1611"/>
      <c r="AL534" s="1611"/>
      <c r="AM534" s="1611"/>
      <c r="AN534" s="1611"/>
      <c r="AO534" s="1611"/>
      <c r="AP534" s="1611"/>
      <c r="AQ534" s="1611"/>
    </row>
    <row r="535" spans="1:43" outlineLevel="2">
      <c r="A535" s="1638" t="s">
        <v>319</v>
      </c>
      <c r="B535" s="1637" t="s">
        <v>130</v>
      </c>
      <c r="C535" s="1636"/>
      <c r="D535" s="1635">
        <v>25</v>
      </c>
      <c r="E535" s="1634" t="s">
        <v>907</v>
      </c>
      <c r="F535" s="1633" t="s">
        <v>979</v>
      </c>
      <c r="G535" s="1632">
        <v>4374.0443941676149</v>
      </c>
      <c r="H535" s="1632">
        <v>4151.91</v>
      </c>
      <c r="I535" s="1630">
        <f t="shared" si="276"/>
        <v>8525.9543941676147</v>
      </c>
      <c r="J535" s="1630">
        <f t="shared" si="277"/>
        <v>213148.85985419038</v>
      </c>
      <c r="K535" s="1631">
        <v>4765</v>
      </c>
      <c r="L535" s="1630">
        <f t="shared" si="278"/>
        <v>4765</v>
      </c>
      <c r="M535" s="1630">
        <f t="shared" si="279"/>
        <v>119125</v>
      </c>
      <c r="N535" s="1625">
        <f t="shared" si="280"/>
        <v>94023.859854190378</v>
      </c>
      <c r="O535" s="1629">
        <v>0.57030000000000003</v>
      </c>
      <c r="P535" s="1629">
        <v>0.42970000000000003</v>
      </c>
      <c r="Q535" s="1625">
        <f t="shared" si="281"/>
        <v>53621.807274844774</v>
      </c>
      <c r="R535" s="1628">
        <f t="shared" si="282"/>
        <v>40402.052579345611</v>
      </c>
      <c r="S535" s="1627">
        <f t="shared" si="283"/>
        <v>55729.302579345604</v>
      </c>
      <c r="T535" s="1627">
        <f t="shared" si="284"/>
        <v>63395.697420654389</v>
      </c>
      <c r="U535" s="1626">
        <f t="shared" si="285"/>
        <v>13932.325644836401</v>
      </c>
      <c r="V535" s="1626">
        <f t="shared" si="286"/>
        <v>15848.924355163597</v>
      </c>
      <c r="W535" s="1625">
        <f t="shared" si="287"/>
        <v>29781.25</v>
      </c>
      <c r="X535" s="1614"/>
      <c r="Y535" s="1613"/>
      <c r="Z535" s="1612">
        <f t="shared" si="288"/>
        <v>0.55888171337857651</v>
      </c>
      <c r="AA535" s="1611"/>
      <c r="AB535" s="1611"/>
      <c r="AC535" s="1611"/>
      <c r="AD535" s="1611"/>
      <c r="AE535" s="1611"/>
      <c r="AF535" s="1611"/>
      <c r="AG535" s="1611"/>
      <c r="AH535" s="1611"/>
      <c r="AI535" s="1611"/>
      <c r="AJ535" s="1611"/>
      <c r="AK535" s="1611"/>
      <c r="AL535" s="1611"/>
      <c r="AM535" s="1611"/>
      <c r="AN535" s="1611"/>
      <c r="AO535" s="1611"/>
      <c r="AP535" s="1611"/>
      <c r="AQ535" s="1611"/>
    </row>
    <row r="536" spans="1:43" outlineLevel="2">
      <c r="A536" s="1638" t="s">
        <v>319</v>
      </c>
      <c r="B536" s="1637" t="s">
        <v>130</v>
      </c>
      <c r="C536" s="1636"/>
      <c r="D536" s="1635">
        <v>39</v>
      </c>
      <c r="E536" s="1634" t="s">
        <v>953</v>
      </c>
      <c r="F536" s="1633" t="s">
        <v>1070</v>
      </c>
      <c r="G536" s="1632">
        <v>4374.0443941676149</v>
      </c>
      <c r="H536" s="1632">
        <v>4151.91</v>
      </c>
      <c r="I536" s="1630">
        <f t="shared" si="276"/>
        <v>8525.9543941676147</v>
      </c>
      <c r="J536" s="1630">
        <f t="shared" si="277"/>
        <v>332512.22137253697</v>
      </c>
      <c r="K536" s="1631">
        <v>4865</v>
      </c>
      <c r="L536" s="1630">
        <f t="shared" si="278"/>
        <v>4865</v>
      </c>
      <c r="M536" s="1630">
        <f t="shared" si="279"/>
        <v>189735</v>
      </c>
      <c r="N536" s="1625">
        <f t="shared" si="280"/>
        <v>142777.22137253697</v>
      </c>
      <c r="O536" s="1629">
        <v>0.57030000000000003</v>
      </c>
      <c r="P536" s="1629">
        <v>0.42970000000000003</v>
      </c>
      <c r="Q536" s="1625">
        <f t="shared" si="281"/>
        <v>81425.849348757838</v>
      </c>
      <c r="R536" s="1628">
        <f t="shared" si="282"/>
        <v>61351.372023779135</v>
      </c>
      <c r="S536" s="1627">
        <f t="shared" si="283"/>
        <v>89161.882023779137</v>
      </c>
      <c r="T536" s="1627">
        <f t="shared" si="284"/>
        <v>100573.11797622085</v>
      </c>
      <c r="U536" s="1626">
        <f t="shared" si="285"/>
        <v>22290.470505944784</v>
      </c>
      <c r="V536" s="1626">
        <f t="shared" si="286"/>
        <v>25143.279494055212</v>
      </c>
      <c r="W536" s="1625">
        <f t="shared" si="287"/>
        <v>47433.75</v>
      </c>
      <c r="X536" s="1614"/>
      <c r="Y536" s="1613"/>
      <c r="Z536" s="1612">
        <f t="shared" si="288"/>
        <v>0.57061060557959598</v>
      </c>
      <c r="AA536" s="1611"/>
      <c r="AB536" s="1611"/>
      <c r="AC536" s="1611"/>
      <c r="AD536" s="1611"/>
      <c r="AE536" s="1611"/>
      <c r="AF536" s="1611"/>
      <c r="AG536" s="1611"/>
      <c r="AH536" s="1611"/>
      <c r="AI536" s="1611"/>
      <c r="AJ536" s="1611"/>
      <c r="AK536" s="1611"/>
      <c r="AL536" s="1611"/>
      <c r="AM536" s="1611"/>
      <c r="AN536" s="1611"/>
      <c r="AO536" s="1611"/>
      <c r="AP536" s="1611"/>
      <c r="AQ536" s="1611"/>
    </row>
    <row r="537" spans="1:43" outlineLevel="2">
      <c r="A537" s="1638" t="s">
        <v>319</v>
      </c>
      <c r="B537" s="1637" t="s">
        <v>130</v>
      </c>
      <c r="C537" s="1636"/>
      <c r="D537" s="1635">
        <v>22</v>
      </c>
      <c r="E537" s="1634" t="s">
        <v>953</v>
      </c>
      <c r="F537" s="1633" t="s">
        <v>1069</v>
      </c>
      <c r="G537" s="1632">
        <v>4374.0443941676149</v>
      </c>
      <c r="H537" s="1632">
        <v>4151.91</v>
      </c>
      <c r="I537" s="1630">
        <f t="shared" si="276"/>
        <v>8525.9543941676147</v>
      </c>
      <c r="J537" s="1630">
        <f t="shared" si="277"/>
        <v>187570.99667168752</v>
      </c>
      <c r="K537" s="1631">
        <v>4865</v>
      </c>
      <c r="L537" s="1630">
        <f t="shared" si="278"/>
        <v>4865</v>
      </c>
      <c r="M537" s="1630">
        <f t="shared" si="279"/>
        <v>107030</v>
      </c>
      <c r="N537" s="1625">
        <f t="shared" si="280"/>
        <v>80540.996671687521</v>
      </c>
      <c r="O537" s="1629">
        <v>0.57030000000000003</v>
      </c>
      <c r="P537" s="1629">
        <v>0.42970000000000003</v>
      </c>
      <c r="Q537" s="1625">
        <f t="shared" si="281"/>
        <v>45932.530401863398</v>
      </c>
      <c r="R537" s="1628">
        <f t="shared" si="282"/>
        <v>34608.46626982413</v>
      </c>
      <c r="S537" s="1627">
        <f t="shared" si="283"/>
        <v>50296.446269824133</v>
      </c>
      <c r="T537" s="1627">
        <f t="shared" si="284"/>
        <v>56733.55373017586</v>
      </c>
      <c r="U537" s="1626">
        <f t="shared" si="285"/>
        <v>12574.111567456033</v>
      </c>
      <c r="V537" s="1626">
        <f t="shared" si="286"/>
        <v>14183.388432543965</v>
      </c>
      <c r="W537" s="1625">
        <f t="shared" si="287"/>
        <v>26757.5</v>
      </c>
      <c r="X537" s="1614"/>
      <c r="Y537" s="1613"/>
      <c r="Z537" s="1612">
        <f t="shared" si="288"/>
        <v>0.57061060557959598</v>
      </c>
      <c r="AA537" s="1611"/>
      <c r="AB537" s="1611"/>
      <c r="AC537" s="1611"/>
      <c r="AD537" s="1611"/>
      <c r="AE537" s="1611"/>
      <c r="AF537" s="1611"/>
      <c r="AG537" s="1611"/>
      <c r="AH537" s="1611"/>
      <c r="AI537" s="1611"/>
      <c r="AJ537" s="1611"/>
      <c r="AK537" s="1611"/>
      <c r="AL537" s="1611"/>
      <c r="AM537" s="1611"/>
      <c r="AN537" s="1611"/>
      <c r="AO537" s="1611"/>
      <c r="AP537" s="1611"/>
      <c r="AQ537" s="1611"/>
    </row>
    <row r="538" spans="1:43" outlineLevel="2">
      <c r="A538" s="1638" t="s">
        <v>319</v>
      </c>
      <c r="B538" s="1637" t="s">
        <v>130</v>
      </c>
      <c r="C538" s="1636"/>
      <c r="D538" s="1635">
        <v>21</v>
      </c>
      <c r="E538" s="1634" t="s">
        <v>953</v>
      </c>
      <c r="F538" s="1633" t="s">
        <v>1068</v>
      </c>
      <c r="G538" s="1632">
        <v>4374.0443941676149</v>
      </c>
      <c r="H538" s="1632">
        <v>4151.91</v>
      </c>
      <c r="I538" s="1630">
        <f t="shared" si="276"/>
        <v>8525.9543941676147</v>
      </c>
      <c r="J538" s="1630">
        <f t="shared" si="277"/>
        <v>179045.04227751991</v>
      </c>
      <c r="K538" s="1631">
        <v>4865</v>
      </c>
      <c r="L538" s="1630">
        <f t="shared" si="278"/>
        <v>4865</v>
      </c>
      <c r="M538" s="1630">
        <f t="shared" si="279"/>
        <v>102165</v>
      </c>
      <c r="N538" s="1625">
        <f t="shared" si="280"/>
        <v>76880.042277519911</v>
      </c>
      <c r="O538" s="1629">
        <v>0.57030000000000003</v>
      </c>
      <c r="P538" s="1629">
        <v>0.42970000000000003</v>
      </c>
      <c r="Q538" s="1625">
        <f t="shared" si="281"/>
        <v>43844.688110869611</v>
      </c>
      <c r="R538" s="1628">
        <f t="shared" si="282"/>
        <v>33035.354166650308</v>
      </c>
      <c r="S538" s="1627">
        <f t="shared" si="283"/>
        <v>48010.2441666503</v>
      </c>
      <c r="T538" s="1627">
        <f t="shared" si="284"/>
        <v>54154.755833349693</v>
      </c>
      <c r="U538" s="1626">
        <f t="shared" si="285"/>
        <v>12002.561041662575</v>
      </c>
      <c r="V538" s="1626">
        <f t="shared" si="286"/>
        <v>13538.688958337423</v>
      </c>
      <c r="W538" s="1625">
        <f t="shared" si="287"/>
        <v>25541.25</v>
      </c>
      <c r="X538" s="1614"/>
      <c r="Y538" s="1613"/>
      <c r="Z538" s="1612">
        <f t="shared" si="288"/>
        <v>0.57061060557959598</v>
      </c>
      <c r="AA538" s="1611"/>
      <c r="AB538" s="1611"/>
      <c r="AC538" s="1611"/>
      <c r="AD538" s="1611"/>
      <c r="AE538" s="1611"/>
      <c r="AF538" s="1611"/>
      <c r="AG538" s="1611"/>
      <c r="AH538" s="1611"/>
      <c r="AI538" s="1611"/>
      <c r="AJ538" s="1611"/>
      <c r="AK538" s="1611"/>
      <c r="AL538" s="1611"/>
      <c r="AM538" s="1611"/>
      <c r="AN538" s="1611"/>
      <c r="AO538" s="1611"/>
      <c r="AP538" s="1611"/>
      <c r="AQ538" s="1611"/>
    </row>
    <row r="539" spans="1:43" outlineLevel="2">
      <c r="A539" s="1638" t="s">
        <v>319</v>
      </c>
      <c r="B539" s="1637" t="s">
        <v>130</v>
      </c>
      <c r="C539" s="1636"/>
      <c r="D539" s="1635">
        <v>17</v>
      </c>
      <c r="E539" s="1634" t="s">
        <v>953</v>
      </c>
      <c r="F539" s="1633" t="s">
        <v>1071</v>
      </c>
      <c r="G539" s="1632">
        <v>4374.0443941676149</v>
      </c>
      <c r="H539" s="1632">
        <v>4151.91</v>
      </c>
      <c r="I539" s="1630">
        <f t="shared" si="276"/>
        <v>8525.9543941676147</v>
      </c>
      <c r="J539" s="1630">
        <f t="shared" si="277"/>
        <v>144941.22470084945</v>
      </c>
      <c r="K539" s="1631">
        <v>4865</v>
      </c>
      <c r="L539" s="1630">
        <f t="shared" si="278"/>
        <v>4865</v>
      </c>
      <c r="M539" s="1630">
        <f t="shared" si="279"/>
        <v>82705</v>
      </c>
      <c r="N539" s="1625">
        <f t="shared" si="280"/>
        <v>62236.224700849445</v>
      </c>
      <c r="O539" s="1629">
        <v>0.57030000000000003</v>
      </c>
      <c r="P539" s="1629">
        <v>0.42970000000000003</v>
      </c>
      <c r="Q539" s="1625">
        <f t="shared" si="281"/>
        <v>35493.31894689444</v>
      </c>
      <c r="R539" s="1628">
        <f t="shared" si="282"/>
        <v>26742.905753955009</v>
      </c>
      <c r="S539" s="1627">
        <f t="shared" si="283"/>
        <v>38865.435753955018</v>
      </c>
      <c r="T539" s="1627">
        <f t="shared" si="284"/>
        <v>43839.564246044989</v>
      </c>
      <c r="U539" s="1626">
        <f t="shared" si="285"/>
        <v>9716.3589384887546</v>
      </c>
      <c r="V539" s="1626">
        <f t="shared" si="286"/>
        <v>10959.891061511247</v>
      </c>
      <c r="W539" s="1625">
        <f t="shared" si="287"/>
        <v>20676.25</v>
      </c>
      <c r="X539" s="1614"/>
      <c r="Y539" s="1613"/>
      <c r="Z539" s="1612">
        <f t="shared" si="288"/>
        <v>0.57061060557959598</v>
      </c>
      <c r="AA539" s="1611"/>
      <c r="AB539" s="1611"/>
      <c r="AC539" s="1611"/>
      <c r="AD539" s="1611"/>
      <c r="AE539" s="1611"/>
      <c r="AF539" s="1611"/>
      <c r="AG539" s="1611"/>
      <c r="AH539" s="1611"/>
      <c r="AI539" s="1611"/>
      <c r="AJ539" s="1611"/>
      <c r="AK539" s="1611"/>
      <c r="AL539" s="1611"/>
      <c r="AM539" s="1611"/>
      <c r="AN539" s="1611"/>
      <c r="AO539" s="1611"/>
      <c r="AP539" s="1611"/>
      <c r="AQ539" s="1611"/>
    </row>
    <row r="540" spans="1:43" outlineLevel="2">
      <c r="A540" s="1638" t="s">
        <v>319</v>
      </c>
      <c r="B540" s="1637" t="s">
        <v>130</v>
      </c>
      <c r="C540" s="1636"/>
      <c r="D540" s="1635">
        <v>18</v>
      </c>
      <c r="E540" s="1634" t="s">
        <v>953</v>
      </c>
      <c r="F540" s="1633" t="s">
        <v>1065</v>
      </c>
      <c r="G540" s="1632">
        <v>4374.0443941676149</v>
      </c>
      <c r="H540" s="1632">
        <v>4151.91</v>
      </c>
      <c r="I540" s="1630">
        <f t="shared" si="276"/>
        <v>8525.9543941676147</v>
      </c>
      <c r="J540" s="1630">
        <f t="shared" si="277"/>
        <v>153467.17909501705</v>
      </c>
      <c r="K540" s="1631">
        <v>4865</v>
      </c>
      <c r="L540" s="1630">
        <f t="shared" si="278"/>
        <v>4865</v>
      </c>
      <c r="M540" s="1630">
        <f t="shared" si="279"/>
        <v>87570</v>
      </c>
      <c r="N540" s="1625">
        <f t="shared" si="280"/>
        <v>65897.179095017054</v>
      </c>
      <c r="O540" s="1629">
        <v>0.57030000000000003</v>
      </c>
      <c r="P540" s="1629">
        <v>0.42970000000000003</v>
      </c>
      <c r="Q540" s="1625">
        <f t="shared" si="281"/>
        <v>37581.161237888227</v>
      </c>
      <c r="R540" s="1628">
        <f t="shared" si="282"/>
        <v>28316.017857128831</v>
      </c>
      <c r="S540" s="1627">
        <f t="shared" si="283"/>
        <v>41151.637857128837</v>
      </c>
      <c r="T540" s="1627">
        <f t="shared" si="284"/>
        <v>46418.362142871178</v>
      </c>
      <c r="U540" s="1626">
        <f t="shared" si="285"/>
        <v>10287.909464282209</v>
      </c>
      <c r="V540" s="1626">
        <f t="shared" si="286"/>
        <v>11604.590535717794</v>
      </c>
      <c r="W540" s="1625">
        <f t="shared" si="287"/>
        <v>21892.500000000004</v>
      </c>
      <c r="X540" s="1614"/>
      <c r="Y540" s="1613"/>
      <c r="Z540" s="1612">
        <f t="shared" si="288"/>
        <v>0.57061060557959598</v>
      </c>
      <c r="AA540" s="1611"/>
      <c r="AB540" s="1611"/>
      <c r="AC540" s="1611"/>
      <c r="AD540" s="1611"/>
      <c r="AE540" s="1611"/>
      <c r="AF540" s="1611"/>
      <c r="AG540" s="1611"/>
      <c r="AH540" s="1611"/>
      <c r="AI540" s="1611"/>
      <c r="AJ540" s="1611"/>
      <c r="AK540" s="1611"/>
      <c r="AL540" s="1611"/>
      <c r="AM540" s="1611"/>
      <c r="AN540" s="1611"/>
      <c r="AO540" s="1611"/>
      <c r="AP540" s="1611"/>
      <c r="AQ540" s="1611"/>
    </row>
    <row r="541" spans="1:43" outlineLevel="2">
      <c r="A541" s="1638" t="s">
        <v>319</v>
      </c>
      <c r="B541" s="1637" t="s">
        <v>130</v>
      </c>
      <c r="C541" s="1636"/>
      <c r="D541" s="1635">
        <v>11</v>
      </c>
      <c r="E541" s="1634" t="s">
        <v>953</v>
      </c>
      <c r="F541" s="1633" t="s">
        <v>1064</v>
      </c>
      <c r="G541" s="1632">
        <v>4374.0443941676149</v>
      </c>
      <c r="H541" s="1632">
        <v>4151.91</v>
      </c>
      <c r="I541" s="1630">
        <f t="shared" si="276"/>
        <v>8525.9543941676147</v>
      </c>
      <c r="J541" s="1630">
        <f t="shared" si="277"/>
        <v>93785.49833584376</v>
      </c>
      <c r="K541" s="1631">
        <v>4865</v>
      </c>
      <c r="L541" s="1630">
        <f t="shared" si="278"/>
        <v>4865</v>
      </c>
      <c r="M541" s="1630">
        <f t="shared" si="279"/>
        <v>53515</v>
      </c>
      <c r="N541" s="1625">
        <f t="shared" si="280"/>
        <v>40270.49833584376</v>
      </c>
      <c r="O541" s="1629">
        <v>0.57030000000000003</v>
      </c>
      <c r="P541" s="1629">
        <v>0.42970000000000003</v>
      </c>
      <c r="Q541" s="1625">
        <f t="shared" si="281"/>
        <v>22966.265200931699</v>
      </c>
      <c r="R541" s="1628">
        <f t="shared" si="282"/>
        <v>17304.233134912065</v>
      </c>
      <c r="S541" s="1627">
        <f t="shared" si="283"/>
        <v>25148.223134912067</v>
      </c>
      <c r="T541" s="1627">
        <f t="shared" si="284"/>
        <v>28366.77686508793</v>
      </c>
      <c r="U541" s="1626">
        <f t="shared" si="285"/>
        <v>6287.0557837280166</v>
      </c>
      <c r="V541" s="1626">
        <f t="shared" si="286"/>
        <v>7091.6942162719824</v>
      </c>
      <c r="W541" s="1625">
        <f t="shared" si="287"/>
        <v>13378.75</v>
      </c>
      <c r="X541" s="1614"/>
      <c r="Y541" s="1613"/>
      <c r="Z541" s="1612">
        <f t="shared" si="288"/>
        <v>0.57061060557959598</v>
      </c>
      <c r="AA541" s="1611"/>
      <c r="AB541" s="1611"/>
      <c r="AC541" s="1611"/>
      <c r="AD541" s="1611"/>
      <c r="AE541" s="1611"/>
      <c r="AF541" s="1611"/>
      <c r="AG541" s="1611"/>
      <c r="AH541" s="1611"/>
      <c r="AI541" s="1611"/>
      <c r="AJ541" s="1611"/>
      <c r="AK541" s="1611"/>
      <c r="AL541" s="1611"/>
      <c r="AM541" s="1611"/>
      <c r="AN541" s="1611"/>
      <c r="AO541" s="1611"/>
      <c r="AP541" s="1611"/>
      <c r="AQ541" s="1611"/>
    </row>
    <row r="542" spans="1:43" outlineLevel="2">
      <c r="A542" s="1638" t="s">
        <v>319</v>
      </c>
      <c r="B542" s="1637" t="s">
        <v>130</v>
      </c>
      <c r="C542" s="1636"/>
      <c r="D542" s="1635">
        <v>31</v>
      </c>
      <c r="E542" s="1634" t="s">
        <v>953</v>
      </c>
      <c r="F542" s="1633" t="s">
        <v>979</v>
      </c>
      <c r="G542" s="1632">
        <v>4374.0443941676149</v>
      </c>
      <c r="H542" s="1632">
        <v>4151.91</v>
      </c>
      <c r="I542" s="1630">
        <f t="shared" si="276"/>
        <v>8525.9543941676147</v>
      </c>
      <c r="J542" s="1630">
        <f t="shared" si="277"/>
        <v>264304.58621919603</v>
      </c>
      <c r="K542" s="1631">
        <v>4865</v>
      </c>
      <c r="L542" s="1630">
        <f t="shared" si="278"/>
        <v>4865</v>
      </c>
      <c r="M542" s="1630">
        <f t="shared" si="279"/>
        <v>150815</v>
      </c>
      <c r="N542" s="1625">
        <f t="shared" si="280"/>
        <v>113489.58621919603</v>
      </c>
      <c r="O542" s="1629">
        <v>0.57030000000000003</v>
      </c>
      <c r="P542" s="1629">
        <v>0.42970000000000003</v>
      </c>
      <c r="Q542" s="1625">
        <f t="shared" si="281"/>
        <v>64723.111020807504</v>
      </c>
      <c r="R542" s="1628">
        <f t="shared" si="282"/>
        <v>48766.475198388536</v>
      </c>
      <c r="S542" s="1627">
        <f t="shared" si="283"/>
        <v>70872.265198388573</v>
      </c>
      <c r="T542" s="1627">
        <f t="shared" si="284"/>
        <v>79942.734801611456</v>
      </c>
      <c r="U542" s="1626">
        <f t="shared" si="285"/>
        <v>17718.066299597143</v>
      </c>
      <c r="V542" s="1626">
        <f t="shared" si="286"/>
        <v>19985.683700402864</v>
      </c>
      <c r="W542" s="1625">
        <f t="shared" si="287"/>
        <v>37703.750000000007</v>
      </c>
      <c r="X542" s="1614"/>
      <c r="Y542" s="1613"/>
      <c r="Z542" s="1612">
        <f t="shared" si="288"/>
        <v>0.57061060557959598</v>
      </c>
      <c r="AA542" s="1611"/>
      <c r="AB542" s="1611"/>
      <c r="AC542" s="1611"/>
      <c r="AD542" s="1611"/>
      <c r="AE542" s="1611"/>
      <c r="AF542" s="1611"/>
      <c r="AG542" s="1611"/>
      <c r="AH542" s="1611"/>
      <c r="AI542" s="1611"/>
      <c r="AJ542" s="1611"/>
      <c r="AK542" s="1611"/>
      <c r="AL542" s="1611"/>
      <c r="AM542" s="1611"/>
      <c r="AN542" s="1611"/>
      <c r="AO542" s="1611"/>
      <c r="AP542" s="1611"/>
      <c r="AQ542" s="1611"/>
    </row>
    <row r="543" spans="1:43" outlineLevel="2">
      <c r="A543" s="1638" t="s">
        <v>319</v>
      </c>
      <c r="B543" s="1637" t="s">
        <v>130</v>
      </c>
      <c r="C543" s="1636"/>
      <c r="D543" s="1635">
        <v>18</v>
      </c>
      <c r="E543" s="1634" t="s">
        <v>973</v>
      </c>
      <c r="F543" s="1633" t="s">
        <v>1070</v>
      </c>
      <c r="G543" s="1632">
        <v>4374.0443941676149</v>
      </c>
      <c r="H543" s="1632">
        <v>4151.91</v>
      </c>
      <c r="I543" s="1630">
        <f t="shared" si="276"/>
        <v>8525.9543941676147</v>
      </c>
      <c r="J543" s="1630">
        <f t="shared" si="277"/>
        <v>153467.17909501705</v>
      </c>
      <c r="K543" s="1631">
        <v>5880</v>
      </c>
      <c r="L543" s="1630">
        <f t="shared" si="278"/>
        <v>5880</v>
      </c>
      <c r="M543" s="1630">
        <f t="shared" si="279"/>
        <v>105840</v>
      </c>
      <c r="N543" s="1625">
        <f t="shared" si="280"/>
        <v>47627.179095017054</v>
      </c>
      <c r="O543" s="1629">
        <v>0.57030000000000003</v>
      </c>
      <c r="P543" s="1629">
        <v>0.42970000000000003</v>
      </c>
      <c r="Q543" s="1625">
        <f t="shared" si="281"/>
        <v>27161.780237888226</v>
      </c>
      <c r="R543" s="1628">
        <f t="shared" si="282"/>
        <v>20465.398857128828</v>
      </c>
      <c r="S543" s="1627">
        <f t="shared" si="283"/>
        <v>51571.018857128838</v>
      </c>
      <c r="T543" s="1627">
        <f t="shared" si="284"/>
        <v>54268.981142871176</v>
      </c>
      <c r="U543" s="1626">
        <f t="shared" si="285"/>
        <v>12892.75471428221</v>
      </c>
      <c r="V543" s="1626">
        <f t="shared" si="286"/>
        <v>13567.245285717794</v>
      </c>
      <c r="W543" s="1625">
        <f t="shared" si="287"/>
        <v>26460.000000000004</v>
      </c>
      <c r="X543" s="1614"/>
      <c r="Y543" s="1613"/>
      <c r="Z543" s="1612">
        <f t="shared" si="288"/>
        <v>0.68965886141994337</v>
      </c>
      <c r="AA543" s="1611"/>
      <c r="AB543" s="1611"/>
      <c r="AC543" s="1611"/>
      <c r="AD543" s="1611"/>
      <c r="AE543" s="1611"/>
      <c r="AF543" s="1611"/>
      <c r="AG543" s="1611"/>
      <c r="AH543" s="1611"/>
      <c r="AI543" s="1611"/>
      <c r="AJ543" s="1611"/>
      <c r="AK543" s="1611"/>
      <c r="AL543" s="1611"/>
      <c r="AM543" s="1611"/>
      <c r="AN543" s="1611"/>
      <c r="AO543" s="1611"/>
      <c r="AP543" s="1611"/>
      <c r="AQ543" s="1611"/>
    </row>
    <row r="544" spans="1:43" outlineLevel="2">
      <c r="A544" s="1638" t="s">
        <v>319</v>
      </c>
      <c r="B544" s="1637" t="s">
        <v>130</v>
      </c>
      <c r="C544" s="1636"/>
      <c r="D544" s="1635">
        <v>15</v>
      </c>
      <c r="E544" s="1634" t="s">
        <v>973</v>
      </c>
      <c r="F544" s="1633" t="s">
        <v>1069</v>
      </c>
      <c r="G544" s="1632">
        <v>4374.0443941676149</v>
      </c>
      <c r="H544" s="1632">
        <v>4151.91</v>
      </c>
      <c r="I544" s="1630">
        <f t="shared" si="276"/>
        <v>8525.9543941676147</v>
      </c>
      <c r="J544" s="1630">
        <f t="shared" si="277"/>
        <v>127889.31591251423</v>
      </c>
      <c r="K544" s="1631">
        <v>5880</v>
      </c>
      <c r="L544" s="1630">
        <f t="shared" si="278"/>
        <v>5880</v>
      </c>
      <c r="M544" s="1630">
        <f t="shared" si="279"/>
        <v>88200</v>
      </c>
      <c r="N544" s="1625">
        <f t="shared" si="280"/>
        <v>39689.315912514227</v>
      </c>
      <c r="O544" s="1629">
        <v>0.57030000000000003</v>
      </c>
      <c r="P544" s="1629">
        <v>0.42970000000000003</v>
      </c>
      <c r="Q544" s="1625">
        <f t="shared" si="281"/>
        <v>22634.816864906865</v>
      </c>
      <c r="R544" s="1628">
        <f t="shared" si="282"/>
        <v>17054.499047607365</v>
      </c>
      <c r="S544" s="1627">
        <f t="shared" si="283"/>
        <v>42975.849047607349</v>
      </c>
      <c r="T544" s="1627">
        <f t="shared" si="284"/>
        <v>45224.150952392629</v>
      </c>
      <c r="U544" s="1626">
        <f t="shared" si="285"/>
        <v>10743.962261901837</v>
      </c>
      <c r="V544" s="1626">
        <f t="shared" si="286"/>
        <v>11306.037738098157</v>
      </c>
      <c r="W544" s="1625">
        <f t="shared" si="287"/>
        <v>22049.999999999993</v>
      </c>
      <c r="X544" s="1614"/>
      <c r="Y544" s="1613"/>
      <c r="Z544" s="1612">
        <f t="shared" si="288"/>
        <v>0.68965886141994337</v>
      </c>
      <c r="AA544" s="1611"/>
      <c r="AB544" s="1611"/>
      <c r="AC544" s="1611"/>
      <c r="AD544" s="1611"/>
      <c r="AE544" s="1611"/>
      <c r="AF544" s="1611"/>
      <c r="AG544" s="1611"/>
      <c r="AH544" s="1611"/>
      <c r="AI544" s="1611"/>
      <c r="AJ544" s="1611"/>
      <c r="AK544" s="1611"/>
      <c r="AL544" s="1611"/>
      <c r="AM544" s="1611"/>
      <c r="AN544" s="1611"/>
      <c r="AO544" s="1611"/>
      <c r="AP544" s="1611"/>
      <c r="AQ544" s="1611"/>
    </row>
    <row r="545" spans="1:43" outlineLevel="2">
      <c r="A545" s="1638" t="s">
        <v>319</v>
      </c>
      <c r="B545" s="1637" t="s">
        <v>130</v>
      </c>
      <c r="C545" s="1636"/>
      <c r="D545" s="1635">
        <v>13</v>
      </c>
      <c r="E545" s="1634" t="s">
        <v>973</v>
      </c>
      <c r="F545" s="1633" t="s">
        <v>1068</v>
      </c>
      <c r="G545" s="1632">
        <v>4374.0443941676149</v>
      </c>
      <c r="H545" s="1632">
        <v>4151.91</v>
      </c>
      <c r="I545" s="1630">
        <f t="shared" si="276"/>
        <v>8525.9543941676147</v>
      </c>
      <c r="J545" s="1630">
        <f t="shared" si="277"/>
        <v>110837.40712417899</v>
      </c>
      <c r="K545" s="1631">
        <v>5880</v>
      </c>
      <c r="L545" s="1630">
        <f t="shared" si="278"/>
        <v>5880</v>
      </c>
      <c r="M545" s="1630">
        <f t="shared" si="279"/>
        <v>76440</v>
      </c>
      <c r="N545" s="1625">
        <f t="shared" si="280"/>
        <v>34397.407124178993</v>
      </c>
      <c r="O545" s="1629">
        <v>0.57030000000000003</v>
      </c>
      <c r="P545" s="1629">
        <v>0.42970000000000003</v>
      </c>
      <c r="Q545" s="1625">
        <f t="shared" si="281"/>
        <v>19616.841282919282</v>
      </c>
      <c r="R545" s="1628">
        <f t="shared" si="282"/>
        <v>14780.565841259715</v>
      </c>
      <c r="S545" s="1627">
        <f t="shared" si="283"/>
        <v>37245.73584125971</v>
      </c>
      <c r="T545" s="1627">
        <f t="shared" si="284"/>
        <v>39194.26415874029</v>
      </c>
      <c r="U545" s="1626">
        <f t="shared" si="285"/>
        <v>9311.4339603149274</v>
      </c>
      <c r="V545" s="1626">
        <f t="shared" si="286"/>
        <v>9798.5660396850726</v>
      </c>
      <c r="W545" s="1625">
        <f t="shared" si="287"/>
        <v>19110</v>
      </c>
      <c r="X545" s="1614"/>
      <c r="Y545" s="1613"/>
      <c r="Z545" s="1612">
        <f t="shared" si="288"/>
        <v>0.68965886141994337</v>
      </c>
      <c r="AA545" s="1611"/>
      <c r="AB545" s="1611"/>
      <c r="AC545" s="1611"/>
      <c r="AD545" s="1611"/>
      <c r="AE545" s="1611"/>
      <c r="AF545" s="1611"/>
      <c r="AG545" s="1611"/>
      <c r="AH545" s="1611"/>
      <c r="AI545" s="1611"/>
      <c r="AJ545" s="1611"/>
      <c r="AK545" s="1611"/>
      <c r="AL545" s="1611"/>
      <c r="AM545" s="1611"/>
      <c r="AN545" s="1611"/>
      <c r="AO545" s="1611"/>
      <c r="AP545" s="1611"/>
      <c r="AQ545" s="1611"/>
    </row>
    <row r="546" spans="1:43" outlineLevel="2">
      <c r="A546" s="1638" t="s">
        <v>319</v>
      </c>
      <c r="B546" s="1637" t="s">
        <v>130</v>
      </c>
      <c r="C546" s="1636"/>
      <c r="D546" s="1635">
        <v>17</v>
      </c>
      <c r="E546" s="1634" t="s">
        <v>973</v>
      </c>
      <c r="F546" s="1633" t="s">
        <v>1071</v>
      </c>
      <c r="G546" s="1632">
        <v>4374.0443941676149</v>
      </c>
      <c r="H546" s="1632">
        <v>4151.91</v>
      </c>
      <c r="I546" s="1630">
        <f t="shared" si="276"/>
        <v>8525.9543941676147</v>
      </c>
      <c r="J546" s="1630">
        <f t="shared" si="277"/>
        <v>144941.22470084945</v>
      </c>
      <c r="K546" s="1631">
        <v>5880</v>
      </c>
      <c r="L546" s="1630">
        <f t="shared" si="278"/>
        <v>5880</v>
      </c>
      <c r="M546" s="1630">
        <f t="shared" si="279"/>
        <v>99960</v>
      </c>
      <c r="N546" s="1625">
        <f t="shared" si="280"/>
        <v>44981.224700849445</v>
      </c>
      <c r="O546" s="1629">
        <v>0.57030000000000003</v>
      </c>
      <c r="P546" s="1629">
        <v>0.42970000000000003</v>
      </c>
      <c r="Q546" s="1625">
        <f t="shared" si="281"/>
        <v>25652.79244689444</v>
      </c>
      <c r="R546" s="1628">
        <f t="shared" si="282"/>
        <v>19328.432253955008</v>
      </c>
      <c r="S546" s="1627">
        <f t="shared" si="283"/>
        <v>48705.962253955018</v>
      </c>
      <c r="T546" s="1627">
        <f t="shared" si="284"/>
        <v>51254.037746044996</v>
      </c>
      <c r="U546" s="1626">
        <f t="shared" si="285"/>
        <v>12176.490563488755</v>
      </c>
      <c r="V546" s="1626">
        <f t="shared" si="286"/>
        <v>12813.509436511249</v>
      </c>
      <c r="W546" s="1625">
        <f t="shared" si="287"/>
        <v>24990.000000000004</v>
      </c>
      <c r="X546" s="1614"/>
      <c r="Y546" s="1613"/>
      <c r="Z546" s="1612">
        <f t="shared" si="288"/>
        <v>0.68965886141994337</v>
      </c>
      <c r="AA546" s="1611"/>
      <c r="AB546" s="1611"/>
      <c r="AC546" s="1611"/>
      <c r="AD546" s="1611"/>
      <c r="AE546" s="1611"/>
      <c r="AF546" s="1611"/>
      <c r="AG546" s="1611"/>
      <c r="AH546" s="1611"/>
      <c r="AI546" s="1611"/>
      <c r="AJ546" s="1611"/>
      <c r="AK546" s="1611"/>
      <c r="AL546" s="1611"/>
      <c r="AM546" s="1611"/>
      <c r="AN546" s="1611"/>
      <c r="AO546" s="1611"/>
      <c r="AP546" s="1611"/>
      <c r="AQ546" s="1611"/>
    </row>
    <row r="547" spans="1:43" outlineLevel="2">
      <c r="A547" s="1638" t="s">
        <v>319</v>
      </c>
      <c r="B547" s="1637" t="s">
        <v>130</v>
      </c>
      <c r="C547" s="1636"/>
      <c r="D547" s="1635">
        <v>7</v>
      </c>
      <c r="E547" s="1634" t="s">
        <v>973</v>
      </c>
      <c r="F547" s="1633" t="s">
        <v>1065</v>
      </c>
      <c r="G547" s="1632">
        <v>4374.0443941676149</v>
      </c>
      <c r="H547" s="1632">
        <v>4151.91</v>
      </c>
      <c r="I547" s="1630">
        <f t="shared" si="276"/>
        <v>8525.9543941676147</v>
      </c>
      <c r="J547" s="1630">
        <f t="shared" si="277"/>
        <v>59681.680759173301</v>
      </c>
      <c r="K547" s="1631">
        <v>5880</v>
      </c>
      <c r="L547" s="1630">
        <f t="shared" si="278"/>
        <v>5880</v>
      </c>
      <c r="M547" s="1630">
        <f t="shared" si="279"/>
        <v>41160</v>
      </c>
      <c r="N547" s="1625">
        <f t="shared" si="280"/>
        <v>18521.680759173301</v>
      </c>
      <c r="O547" s="1629">
        <v>0.57030000000000003</v>
      </c>
      <c r="P547" s="1629">
        <v>0.42970000000000003</v>
      </c>
      <c r="Q547" s="1625">
        <f t="shared" si="281"/>
        <v>10562.914536956534</v>
      </c>
      <c r="R547" s="1628">
        <f t="shared" si="282"/>
        <v>7958.7662222167683</v>
      </c>
      <c r="S547" s="1627">
        <f t="shared" si="283"/>
        <v>20055.396222216772</v>
      </c>
      <c r="T547" s="1627">
        <f t="shared" si="284"/>
        <v>21104.603777783232</v>
      </c>
      <c r="U547" s="1626">
        <f t="shared" si="285"/>
        <v>5013.849055554193</v>
      </c>
      <c r="V547" s="1626">
        <f t="shared" si="286"/>
        <v>5276.1509444458079</v>
      </c>
      <c r="W547" s="1625">
        <f t="shared" si="287"/>
        <v>10290</v>
      </c>
      <c r="X547" s="1614"/>
      <c r="Y547" s="1613"/>
      <c r="Z547" s="1612">
        <f t="shared" si="288"/>
        <v>0.68965886141994337</v>
      </c>
      <c r="AA547" s="1611"/>
      <c r="AB547" s="1611"/>
      <c r="AC547" s="1611"/>
      <c r="AD547" s="1611"/>
      <c r="AE547" s="1611"/>
      <c r="AF547" s="1611"/>
      <c r="AG547" s="1611"/>
      <c r="AH547" s="1611"/>
      <c r="AI547" s="1611"/>
      <c r="AJ547" s="1611"/>
      <c r="AK547" s="1611"/>
      <c r="AL547" s="1611"/>
      <c r="AM547" s="1611"/>
      <c r="AN547" s="1611"/>
      <c r="AO547" s="1611"/>
      <c r="AP547" s="1611"/>
      <c r="AQ547" s="1611"/>
    </row>
    <row r="548" spans="1:43" outlineLevel="2">
      <c r="A548" s="1638" t="s">
        <v>319</v>
      </c>
      <c r="B548" s="1637" t="s">
        <v>130</v>
      </c>
      <c r="C548" s="1636"/>
      <c r="D548" s="1635">
        <v>5</v>
      </c>
      <c r="E548" s="1634" t="s">
        <v>973</v>
      </c>
      <c r="F548" s="1633" t="s">
        <v>1064</v>
      </c>
      <c r="G548" s="1632">
        <v>4374.0443941676149</v>
      </c>
      <c r="H548" s="1632">
        <v>4151.91</v>
      </c>
      <c r="I548" s="1630">
        <f t="shared" si="276"/>
        <v>8525.9543941676147</v>
      </c>
      <c r="J548" s="1630">
        <f t="shared" si="277"/>
        <v>42629.771970838076</v>
      </c>
      <c r="K548" s="1631">
        <v>5880</v>
      </c>
      <c r="L548" s="1630">
        <f t="shared" si="278"/>
        <v>5880</v>
      </c>
      <c r="M548" s="1630">
        <f t="shared" si="279"/>
        <v>29400</v>
      </c>
      <c r="N548" s="1625">
        <f t="shared" si="280"/>
        <v>13229.771970838076</v>
      </c>
      <c r="O548" s="1629">
        <v>0.57030000000000003</v>
      </c>
      <c r="P548" s="1629">
        <v>0.42970000000000003</v>
      </c>
      <c r="Q548" s="1625">
        <f t="shared" si="281"/>
        <v>7544.9389549689549</v>
      </c>
      <c r="R548" s="1628">
        <f t="shared" si="282"/>
        <v>5684.8330158691215</v>
      </c>
      <c r="S548" s="1627">
        <f t="shared" si="283"/>
        <v>14325.283015869118</v>
      </c>
      <c r="T548" s="1627">
        <f t="shared" si="284"/>
        <v>15074.716984130879</v>
      </c>
      <c r="U548" s="1626">
        <f t="shared" si="285"/>
        <v>3581.3207539672794</v>
      </c>
      <c r="V548" s="1626">
        <f t="shared" si="286"/>
        <v>3768.6792460327197</v>
      </c>
      <c r="W548" s="1625">
        <f t="shared" si="287"/>
        <v>7349.9999999999991</v>
      </c>
      <c r="X548" s="1614"/>
      <c r="Y548" s="1613"/>
      <c r="Z548" s="1612">
        <f t="shared" si="288"/>
        <v>0.68965886141994337</v>
      </c>
      <c r="AA548" s="1611"/>
      <c r="AB548" s="1611"/>
      <c r="AC548" s="1611"/>
      <c r="AD548" s="1611"/>
      <c r="AE548" s="1611"/>
      <c r="AF548" s="1611"/>
      <c r="AG548" s="1611"/>
      <c r="AH548" s="1611"/>
      <c r="AI548" s="1611"/>
      <c r="AJ548" s="1611"/>
      <c r="AK548" s="1611"/>
      <c r="AL548" s="1611"/>
      <c r="AM548" s="1611"/>
      <c r="AN548" s="1611"/>
      <c r="AO548" s="1611"/>
      <c r="AP548" s="1611"/>
      <c r="AQ548" s="1611"/>
    </row>
    <row r="549" spans="1:43" outlineLevel="2">
      <c r="A549" s="1638" t="s">
        <v>319</v>
      </c>
      <c r="B549" s="1637" t="s">
        <v>130</v>
      </c>
      <c r="C549" s="1636"/>
      <c r="D549" s="1635">
        <v>6</v>
      </c>
      <c r="E549" s="1634" t="s">
        <v>973</v>
      </c>
      <c r="F549" s="1633" t="s">
        <v>1063</v>
      </c>
      <c r="G549" s="1632">
        <v>4374.0443941676149</v>
      </c>
      <c r="H549" s="1632">
        <v>4151.91</v>
      </c>
      <c r="I549" s="1630">
        <f t="shared" si="276"/>
        <v>8525.9543941676147</v>
      </c>
      <c r="J549" s="1630">
        <f t="shared" si="277"/>
        <v>51155.726365005685</v>
      </c>
      <c r="K549" s="1631">
        <v>5880</v>
      </c>
      <c r="L549" s="1630">
        <f t="shared" si="278"/>
        <v>5880</v>
      </c>
      <c r="M549" s="1630">
        <f t="shared" si="279"/>
        <v>35280</v>
      </c>
      <c r="N549" s="1625">
        <f t="shared" si="280"/>
        <v>15875.726365005685</v>
      </c>
      <c r="O549" s="1629">
        <v>0.57030000000000003</v>
      </c>
      <c r="P549" s="1629">
        <v>0.42970000000000003</v>
      </c>
      <c r="Q549" s="1625">
        <f t="shared" si="281"/>
        <v>9053.9267459627426</v>
      </c>
      <c r="R549" s="1628">
        <f t="shared" si="282"/>
        <v>6821.799619042943</v>
      </c>
      <c r="S549" s="1627">
        <f t="shared" si="283"/>
        <v>17190.339619042948</v>
      </c>
      <c r="T549" s="1627">
        <f t="shared" si="284"/>
        <v>18089.660380957055</v>
      </c>
      <c r="U549" s="1626">
        <f t="shared" si="285"/>
        <v>4297.5849047607371</v>
      </c>
      <c r="V549" s="1626">
        <f t="shared" si="286"/>
        <v>4522.4150952392638</v>
      </c>
      <c r="W549" s="1625">
        <f t="shared" si="287"/>
        <v>8820</v>
      </c>
      <c r="X549" s="1614"/>
      <c r="Y549" s="1613"/>
      <c r="Z549" s="1612">
        <f t="shared" si="288"/>
        <v>0.68965886141994337</v>
      </c>
      <c r="AA549" s="1611"/>
      <c r="AB549" s="1611"/>
      <c r="AC549" s="1611"/>
      <c r="AD549" s="1611"/>
      <c r="AE549" s="1611"/>
      <c r="AF549" s="1611"/>
      <c r="AG549" s="1611"/>
      <c r="AH549" s="1611"/>
      <c r="AI549" s="1611"/>
      <c r="AJ549" s="1611"/>
      <c r="AK549" s="1611"/>
      <c r="AL549" s="1611"/>
      <c r="AM549" s="1611"/>
      <c r="AN549" s="1611"/>
      <c r="AO549" s="1611"/>
      <c r="AP549" s="1611"/>
      <c r="AQ549" s="1611"/>
    </row>
    <row r="550" spans="1:43" outlineLevel="2">
      <c r="A550" s="1638" t="s">
        <v>319</v>
      </c>
      <c r="B550" s="1637" t="s">
        <v>130</v>
      </c>
      <c r="C550" s="1636"/>
      <c r="D550" s="1635">
        <v>19</v>
      </c>
      <c r="E550" s="1634" t="s">
        <v>973</v>
      </c>
      <c r="F550" s="1633" t="s">
        <v>979</v>
      </c>
      <c r="G550" s="1632">
        <v>4374.0443941676149</v>
      </c>
      <c r="H550" s="1632">
        <v>4151.91</v>
      </c>
      <c r="I550" s="1630">
        <f t="shared" si="276"/>
        <v>8525.9543941676147</v>
      </c>
      <c r="J550" s="1630">
        <f t="shared" si="277"/>
        <v>161993.13348918469</v>
      </c>
      <c r="K550" s="1631">
        <v>5880</v>
      </c>
      <c r="L550" s="1630">
        <f t="shared" si="278"/>
        <v>5880</v>
      </c>
      <c r="M550" s="1630">
        <f t="shared" si="279"/>
        <v>111720</v>
      </c>
      <c r="N550" s="1625">
        <f t="shared" si="280"/>
        <v>50273.133489184693</v>
      </c>
      <c r="O550" s="1629">
        <v>0.57030000000000003</v>
      </c>
      <c r="P550" s="1629">
        <v>0.42970000000000003</v>
      </c>
      <c r="Q550" s="1625">
        <f t="shared" si="281"/>
        <v>28670.76802888203</v>
      </c>
      <c r="R550" s="1628">
        <f t="shared" si="282"/>
        <v>21602.365460302663</v>
      </c>
      <c r="S550" s="1627">
        <f t="shared" si="283"/>
        <v>54436.075460302658</v>
      </c>
      <c r="T550" s="1627">
        <f t="shared" si="284"/>
        <v>57283.924539697327</v>
      </c>
      <c r="U550" s="1626">
        <f t="shared" si="285"/>
        <v>13609.018865075665</v>
      </c>
      <c r="V550" s="1626">
        <f t="shared" si="286"/>
        <v>14320.981134924332</v>
      </c>
      <c r="W550" s="1625">
        <f t="shared" si="287"/>
        <v>27929.999999999996</v>
      </c>
      <c r="X550" s="1614"/>
      <c r="Y550" s="1613"/>
      <c r="Z550" s="1612">
        <f t="shared" si="288"/>
        <v>0.68965886141994337</v>
      </c>
      <c r="AA550" s="1611"/>
      <c r="AB550" s="1611"/>
      <c r="AC550" s="1611"/>
      <c r="AD550" s="1611"/>
      <c r="AE550" s="1611"/>
      <c r="AF550" s="1611"/>
      <c r="AG550" s="1611"/>
      <c r="AH550" s="1611"/>
      <c r="AI550" s="1611"/>
      <c r="AJ550" s="1611"/>
      <c r="AK550" s="1611"/>
      <c r="AL550" s="1611"/>
      <c r="AM550" s="1611"/>
      <c r="AN550" s="1611"/>
      <c r="AO550" s="1611"/>
      <c r="AP550" s="1611"/>
      <c r="AQ550" s="1611"/>
    </row>
    <row r="551" spans="1:43" outlineLevel="2">
      <c r="A551" s="1638" t="s">
        <v>319</v>
      </c>
      <c r="B551" s="1637" t="s">
        <v>130</v>
      </c>
      <c r="C551" s="1636"/>
      <c r="D551" s="1635">
        <v>1</v>
      </c>
      <c r="E551" s="1634" t="s">
        <v>952</v>
      </c>
      <c r="F551" s="1633" t="s">
        <v>1069</v>
      </c>
      <c r="G551" s="1632">
        <v>4374.0443941676149</v>
      </c>
      <c r="H551" s="1632">
        <v>4151.91</v>
      </c>
      <c r="I551" s="1630">
        <f t="shared" si="276"/>
        <v>8525.9543941676147</v>
      </c>
      <c r="J551" s="1630">
        <f t="shared" si="277"/>
        <v>8525.9543941676147</v>
      </c>
      <c r="K551" s="1631">
        <v>4815</v>
      </c>
      <c r="L551" s="1630">
        <f t="shared" si="278"/>
        <v>4815</v>
      </c>
      <c r="M551" s="1630">
        <f t="shared" si="279"/>
        <v>4815</v>
      </c>
      <c r="N551" s="1625">
        <f t="shared" si="280"/>
        <v>3710.9543941676147</v>
      </c>
      <c r="O551" s="1629">
        <v>0.57030000000000003</v>
      </c>
      <c r="P551" s="1629">
        <v>0.42970000000000003</v>
      </c>
      <c r="Q551" s="1625">
        <f t="shared" si="281"/>
        <v>2116.3572909937907</v>
      </c>
      <c r="R551" s="1628">
        <f t="shared" si="282"/>
        <v>1594.5971031738241</v>
      </c>
      <c r="S551" s="1627">
        <f t="shared" si="283"/>
        <v>2257.6871031738242</v>
      </c>
      <c r="T551" s="1627">
        <f t="shared" si="284"/>
        <v>2557.3128968261758</v>
      </c>
      <c r="U551" s="1626">
        <f t="shared" si="285"/>
        <v>564.42177579345605</v>
      </c>
      <c r="V551" s="1626">
        <f t="shared" si="286"/>
        <v>639.32822420654395</v>
      </c>
      <c r="W551" s="1625">
        <f t="shared" si="287"/>
        <v>1203.75</v>
      </c>
      <c r="X551" s="1614"/>
      <c r="Y551" s="1613"/>
      <c r="Z551" s="1612">
        <f t="shared" si="288"/>
        <v>0.56474615947908624</v>
      </c>
      <c r="AA551" s="1611"/>
      <c r="AB551" s="1611"/>
      <c r="AC551" s="1611"/>
      <c r="AD551" s="1611"/>
      <c r="AE551" s="1611"/>
      <c r="AF551" s="1611"/>
      <c r="AG551" s="1611"/>
      <c r="AH551" s="1611"/>
      <c r="AI551" s="1611"/>
      <c r="AJ551" s="1611"/>
      <c r="AK551" s="1611"/>
      <c r="AL551" s="1611"/>
      <c r="AM551" s="1611"/>
      <c r="AN551" s="1611"/>
      <c r="AO551" s="1611"/>
      <c r="AP551" s="1611"/>
      <c r="AQ551" s="1611"/>
    </row>
    <row r="552" spans="1:43" outlineLevel="2">
      <c r="A552" s="1638" t="s">
        <v>319</v>
      </c>
      <c r="B552" s="1637" t="s">
        <v>130</v>
      </c>
      <c r="C552" s="1636"/>
      <c r="D552" s="1635">
        <v>1</v>
      </c>
      <c r="E552" s="1634" t="s">
        <v>952</v>
      </c>
      <c r="F552" s="1633" t="s">
        <v>1071</v>
      </c>
      <c r="G552" s="1632">
        <v>4374.0443941676149</v>
      </c>
      <c r="H552" s="1632">
        <v>4151.91</v>
      </c>
      <c r="I552" s="1630">
        <f t="shared" si="276"/>
        <v>8525.9543941676147</v>
      </c>
      <c r="J552" s="1630">
        <f t="shared" si="277"/>
        <v>8525.9543941676147</v>
      </c>
      <c r="K552" s="1631">
        <v>4815</v>
      </c>
      <c r="L552" s="1630">
        <f t="shared" si="278"/>
        <v>4815</v>
      </c>
      <c r="M552" s="1630">
        <f t="shared" si="279"/>
        <v>4815</v>
      </c>
      <c r="N552" s="1625">
        <f t="shared" si="280"/>
        <v>3710.9543941676147</v>
      </c>
      <c r="O552" s="1629">
        <v>0.57030000000000003</v>
      </c>
      <c r="P552" s="1629">
        <v>0.42970000000000003</v>
      </c>
      <c r="Q552" s="1625">
        <f t="shared" si="281"/>
        <v>2116.3572909937907</v>
      </c>
      <c r="R552" s="1628">
        <f t="shared" si="282"/>
        <v>1594.5971031738241</v>
      </c>
      <c r="S552" s="1627">
        <f t="shared" si="283"/>
        <v>2257.6871031738242</v>
      </c>
      <c r="T552" s="1627">
        <f t="shared" si="284"/>
        <v>2557.3128968261758</v>
      </c>
      <c r="U552" s="1626">
        <f t="shared" si="285"/>
        <v>564.42177579345605</v>
      </c>
      <c r="V552" s="1626">
        <f t="shared" si="286"/>
        <v>639.32822420654395</v>
      </c>
      <c r="W552" s="1625">
        <f t="shared" si="287"/>
        <v>1203.75</v>
      </c>
      <c r="X552" s="1614"/>
      <c r="Y552" s="1613"/>
      <c r="Z552" s="1612">
        <f t="shared" si="288"/>
        <v>0.56474615947908624</v>
      </c>
      <c r="AA552" s="1611"/>
      <c r="AB552" s="1611"/>
      <c r="AC552" s="1611"/>
      <c r="AD552" s="1611"/>
      <c r="AE552" s="1611"/>
      <c r="AF552" s="1611"/>
      <c r="AG552" s="1611"/>
      <c r="AH552" s="1611"/>
      <c r="AI552" s="1611"/>
      <c r="AJ552" s="1611"/>
      <c r="AK552" s="1611"/>
      <c r="AL552" s="1611"/>
      <c r="AM552" s="1611"/>
      <c r="AN552" s="1611"/>
      <c r="AO552" s="1611"/>
      <c r="AP552" s="1611"/>
      <c r="AQ552" s="1611"/>
    </row>
    <row r="553" spans="1:43" outlineLevel="2">
      <c r="A553" s="1638" t="s">
        <v>319</v>
      </c>
      <c r="B553" s="1637" t="s">
        <v>130</v>
      </c>
      <c r="C553" s="1636"/>
      <c r="D553" s="1635">
        <v>63</v>
      </c>
      <c r="E553" s="1634" t="s">
        <v>931</v>
      </c>
      <c r="F553" s="1633" t="s">
        <v>1070</v>
      </c>
      <c r="G553" s="1632">
        <v>4374.0443941676149</v>
      </c>
      <c r="H553" s="1632">
        <v>4151.91</v>
      </c>
      <c r="I553" s="1630">
        <f t="shared" si="276"/>
        <v>8525.9543941676147</v>
      </c>
      <c r="J553" s="1630">
        <f t="shared" si="277"/>
        <v>537135.1268325597</v>
      </c>
      <c r="K553" s="1631">
        <v>5300</v>
      </c>
      <c r="L553" s="1630">
        <f t="shared" si="278"/>
        <v>5300</v>
      </c>
      <c r="M553" s="1630">
        <f t="shared" si="279"/>
        <v>333900</v>
      </c>
      <c r="N553" s="1625">
        <f t="shared" si="280"/>
        <v>203235.1268325597</v>
      </c>
      <c r="O553" s="1629">
        <v>0.57030000000000003</v>
      </c>
      <c r="P553" s="1629">
        <v>0.42970000000000003</v>
      </c>
      <c r="Q553" s="1625">
        <f t="shared" si="281"/>
        <v>115904.99283260881</v>
      </c>
      <c r="R553" s="1628">
        <f t="shared" si="282"/>
        <v>87330.133999950907</v>
      </c>
      <c r="S553" s="1627">
        <f t="shared" si="283"/>
        <v>159659.80399995093</v>
      </c>
      <c r="T553" s="1627">
        <f t="shared" si="284"/>
        <v>174240.19600004907</v>
      </c>
      <c r="U553" s="1626">
        <f t="shared" si="285"/>
        <v>39914.950999987734</v>
      </c>
      <c r="V553" s="1626">
        <f t="shared" si="286"/>
        <v>43560.049000012266</v>
      </c>
      <c r="W553" s="1625">
        <f t="shared" si="287"/>
        <v>83475</v>
      </c>
      <c r="X553" s="1614"/>
      <c r="Y553" s="1613"/>
      <c r="Z553" s="1612">
        <f t="shared" si="288"/>
        <v>0.62163128665403056</v>
      </c>
      <c r="AA553" s="1611"/>
      <c r="AB553" s="1611"/>
      <c r="AC553" s="1611"/>
      <c r="AD553" s="1611"/>
      <c r="AE553" s="1611"/>
      <c r="AF553" s="1611"/>
      <c r="AG553" s="1611"/>
      <c r="AH553" s="1611"/>
      <c r="AI553" s="1611"/>
      <c r="AJ553" s="1611"/>
      <c r="AK553" s="1611"/>
      <c r="AL553" s="1611"/>
      <c r="AM553" s="1611"/>
      <c r="AN553" s="1611"/>
      <c r="AO553" s="1611"/>
      <c r="AP553" s="1611"/>
      <c r="AQ553" s="1611"/>
    </row>
    <row r="554" spans="1:43" outlineLevel="2">
      <c r="A554" s="1638" t="s">
        <v>319</v>
      </c>
      <c r="B554" s="1637" t="s">
        <v>130</v>
      </c>
      <c r="C554" s="1636"/>
      <c r="D554" s="1635">
        <v>34</v>
      </c>
      <c r="E554" s="1634" t="s">
        <v>931</v>
      </c>
      <c r="F554" s="1633" t="s">
        <v>1069</v>
      </c>
      <c r="G554" s="1632">
        <v>4374.0443941676149</v>
      </c>
      <c r="H554" s="1632">
        <v>4151.91</v>
      </c>
      <c r="I554" s="1630">
        <f t="shared" si="276"/>
        <v>8525.9543941676147</v>
      </c>
      <c r="J554" s="1630">
        <f t="shared" si="277"/>
        <v>289882.44940169889</v>
      </c>
      <c r="K554" s="1631">
        <v>5300</v>
      </c>
      <c r="L554" s="1630">
        <f t="shared" si="278"/>
        <v>5300</v>
      </c>
      <c r="M554" s="1630">
        <f t="shared" si="279"/>
        <v>180200</v>
      </c>
      <c r="N554" s="1625">
        <f t="shared" si="280"/>
        <v>109682.44940169889</v>
      </c>
      <c r="O554" s="1629">
        <v>0.57030000000000003</v>
      </c>
      <c r="P554" s="1629">
        <v>0.42970000000000003</v>
      </c>
      <c r="Q554" s="1625">
        <f t="shared" si="281"/>
        <v>62551.900893788879</v>
      </c>
      <c r="R554" s="1628">
        <f t="shared" si="282"/>
        <v>47130.548507910018</v>
      </c>
      <c r="S554" s="1627">
        <f t="shared" si="283"/>
        <v>86165.608507910045</v>
      </c>
      <c r="T554" s="1627">
        <f t="shared" si="284"/>
        <v>94034.391492089984</v>
      </c>
      <c r="U554" s="1626">
        <f t="shared" si="285"/>
        <v>21541.402126977511</v>
      </c>
      <c r="V554" s="1626">
        <f t="shared" si="286"/>
        <v>23508.597873022496</v>
      </c>
      <c r="W554" s="1625">
        <f t="shared" si="287"/>
        <v>45050.000000000007</v>
      </c>
      <c r="X554" s="1614"/>
      <c r="Y554" s="1613"/>
      <c r="Z554" s="1612">
        <f t="shared" si="288"/>
        <v>0.62163128665403056</v>
      </c>
      <c r="AA554" s="1611"/>
      <c r="AB554" s="1611"/>
      <c r="AC554" s="1611"/>
      <c r="AD554" s="1611"/>
      <c r="AE554" s="1611"/>
      <c r="AF554" s="1611"/>
      <c r="AG554" s="1611"/>
      <c r="AH554" s="1611"/>
      <c r="AI554" s="1611"/>
      <c r="AJ554" s="1611"/>
      <c r="AK554" s="1611"/>
      <c r="AL554" s="1611"/>
      <c r="AM554" s="1611"/>
      <c r="AN554" s="1611"/>
      <c r="AO554" s="1611"/>
      <c r="AP554" s="1611"/>
      <c r="AQ554" s="1611"/>
    </row>
    <row r="555" spans="1:43" outlineLevel="2">
      <c r="A555" s="1638" t="s">
        <v>319</v>
      </c>
      <c r="B555" s="1637" t="s">
        <v>130</v>
      </c>
      <c r="C555" s="1636"/>
      <c r="D555" s="1635">
        <v>38</v>
      </c>
      <c r="E555" s="1634" t="s">
        <v>931</v>
      </c>
      <c r="F555" s="1633" t="s">
        <v>1068</v>
      </c>
      <c r="G555" s="1632">
        <v>4374.0443941676149</v>
      </c>
      <c r="H555" s="1632">
        <v>4151.91</v>
      </c>
      <c r="I555" s="1630">
        <f t="shared" si="276"/>
        <v>8525.9543941676147</v>
      </c>
      <c r="J555" s="1630">
        <f t="shared" si="277"/>
        <v>323986.26697836939</v>
      </c>
      <c r="K555" s="1631">
        <v>5300</v>
      </c>
      <c r="L555" s="1630">
        <f t="shared" si="278"/>
        <v>5300</v>
      </c>
      <c r="M555" s="1630">
        <f t="shared" si="279"/>
        <v>201400</v>
      </c>
      <c r="N555" s="1625">
        <f t="shared" si="280"/>
        <v>122586.26697836939</v>
      </c>
      <c r="O555" s="1629">
        <v>0.57030000000000003</v>
      </c>
      <c r="P555" s="1629">
        <v>0.42970000000000003</v>
      </c>
      <c r="Q555" s="1625">
        <f t="shared" si="281"/>
        <v>69910.948057764064</v>
      </c>
      <c r="R555" s="1628">
        <f t="shared" si="282"/>
        <v>52675.318920605328</v>
      </c>
      <c r="S555" s="1627">
        <f t="shared" si="283"/>
        <v>96302.738920605305</v>
      </c>
      <c r="T555" s="1627">
        <f t="shared" si="284"/>
        <v>105097.26107939467</v>
      </c>
      <c r="U555" s="1626">
        <f t="shared" si="285"/>
        <v>24075.684730151326</v>
      </c>
      <c r="V555" s="1626">
        <f t="shared" si="286"/>
        <v>26274.315269848667</v>
      </c>
      <c r="W555" s="1625">
        <f t="shared" si="287"/>
        <v>50349.999999999993</v>
      </c>
      <c r="X555" s="1614"/>
      <c r="Y555" s="1613"/>
      <c r="Z555" s="1612">
        <f t="shared" si="288"/>
        <v>0.62163128665403056</v>
      </c>
      <c r="AA555" s="1611"/>
      <c r="AB555" s="1611"/>
      <c r="AC555" s="1611"/>
      <c r="AD555" s="1611"/>
      <c r="AE555" s="1611"/>
      <c r="AF555" s="1611"/>
      <c r="AG555" s="1611"/>
      <c r="AH555" s="1611"/>
      <c r="AI555" s="1611"/>
      <c r="AJ555" s="1611"/>
      <c r="AK555" s="1611"/>
      <c r="AL555" s="1611"/>
      <c r="AM555" s="1611"/>
      <c r="AN555" s="1611"/>
      <c r="AO555" s="1611"/>
      <c r="AP555" s="1611"/>
      <c r="AQ555" s="1611"/>
    </row>
    <row r="556" spans="1:43" outlineLevel="2">
      <c r="A556" s="1638" t="s">
        <v>319</v>
      </c>
      <c r="B556" s="1637" t="s">
        <v>130</v>
      </c>
      <c r="C556" s="1636"/>
      <c r="D556" s="1635">
        <v>24</v>
      </c>
      <c r="E556" s="1634" t="s">
        <v>931</v>
      </c>
      <c r="F556" s="1633" t="s">
        <v>1071</v>
      </c>
      <c r="G556" s="1632">
        <v>4374.0443941676149</v>
      </c>
      <c r="H556" s="1632">
        <v>4151.91</v>
      </c>
      <c r="I556" s="1630">
        <f t="shared" si="276"/>
        <v>8525.9543941676147</v>
      </c>
      <c r="J556" s="1630">
        <f t="shared" si="277"/>
        <v>204622.90546002274</v>
      </c>
      <c r="K556" s="1631">
        <v>5300</v>
      </c>
      <c r="L556" s="1630">
        <f t="shared" si="278"/>
        <v>5300</v>
      </c>
      <c r="M556" s="1630">
        <f t="shared" si="279"/>
        <v>127200</v>
      </c>
      <c r="N556" s="1625">
        <f t="shared" si="280"/>
        <v>77422.905460022739</v>
      </c>
      <c r="O556" s="1629">
        <v>0.57030000000000003</v>
      </c>
      <c r="P556" s="1629">
        <v>0.42970000000000003</v>
      </c>
      <c r="Q556" s="1625">
        <f t="shared" si="281"/>
        <v>44154.282983850972</v>
      </c>
      <c r="R556" s="1628">
        <f t="shared" si="282"/>
        <v>33268.622476171775</v>
      </c>
      <c r="S556" s="1627">
        <f t="shared" si="283"/>
        <v>60822.782476171786</v>
      </c>
      <c r="T556" s="1627">
        <f t="shared" si="284"/>
        <v>66377.217523828222</v>
      </c>
      <c r="U556" s="1626">
        <f t="shared" si="285"/>
        <v>15205.695619042946</v>
      </c>
      <c r="V556" s="1626">
        <f t="shared" si="286"/>
        <v>16594.304380957055</v>
      </c>
      <c r="W556" s="1625">
        <f t="shared" si="287"/>
        <v>31800</v>
      </c>
      <c r="X556" s="1614"/>
      <c r="Y556" s="1613"/>
      <c r="Z556" s="1612">
        <f t="shared" si="288"/>
        <v>0.62163128665403056</v>
      </c>
      <c r="AA556" s="1611"/>
      <c r="AB556" s="1611"/>
      <c r="AC556" s="1611"/>
      <c r="AD556" s="1611"/>
      <c r="AE556" s="1611"/>
      <c r="AF556" s="1611"/>
      <c r="AG556" s="1611"/>
      <c r="AH556" s="1611"/>
      <c r="AI556" s="1611"/>
      <c r="AJ556" s="1611"/>
      <c r="AK556" s="1611"/>
      <c r="AL556" s="1611"/>
      <c r="AM556" s="1611"/>
      <c r="AN556" s="1611"/>
      <c r="AO556" s="1611"/>
      <c r="AP556" s="1611"/>
      <c r="AQ556" s="1611"/>
    </row>
    <row r="557" spans="1:43" outlineLevel="2">
      <c r="A557" s="1638" t="s">
        <v>319</v>
      </c>
      <c r="B557" s="1637" t="s">
        <v>130</v>
      </c>
      <c r="C557" s="1636"/>
      <c r="D557" s="1635">
        <v>21</v>
      </c>
      <c r="E557" s="1634" t="s">
        <v>931</v>
      </c>
      <c r="F557" s="1633" t="s">
        <v>1065</v>
      </c>
      <c r="G557" s="1632">
        <v>4374.0443941676149</v>
      </c>
      <c r="H557" s="1632">
        <v>4151.91</v>
      </c>
      <c r="I557" s="1630">
        <f t="shared" si="276"/>
        <v>8525.9543941676147</v>
      </c>
      <c r="J557" s="1630">
        <f t="shared" si="277"/>
        <v>179045.04227751991</v>
      </c>
      <c r="K557" s="1631">
        <v>5300</v>
      </c>
      <c r="L557" s="1630">
        <f t="shared" si="278"/>
        <v>5300</v>
      </c>
      <c r="M557" s="1630">
        <f t="shared" si="279"/>
        <v>111300</v>
      </c>
      <c r="N557" s="1625">
        <f t="shared" si="280"/>
        <v>67745.042277519911</v>
      </c>
      <c r="O557" s="1629">
        <v>0.57030000000000003</v>
      </c>
      <c r="P557" s="1629">
        <v>0.42970000000000003</v>
      </c>
      <c r="Q557" s="1625">
        <f t="shared" si="281"/>
        <v>38634.997610869606</v>
      </c>
      <c r="R557" s="1628">
        <f t="shared" si="282"/>
        <v>29110.044666650308</v>
      </c>
      <c r="S557" s="1627">
        <f t="shared" si="283"/>
        <v>53219.934666650304</v>
      </c>
      <c r="T557" s="1627">
        <f t="shared" si="284"/>
        <v>58080.065333349688</v>
      </c>
      <c r="U557" s="1626">
        <f t="shared" si="285"/>
        <v>13304.983666662576</v>
      </c>
      <c r="V557" s="1626">
        <f t="shared" si="286"/>
        <v>14520.016333337422</v>
      </c>
      <c r="W557" s="1625">
        <f t="shared" si="287"/>
        <v>27825</v>
      </c>
      <c r="X557" s="1614"/>
      <c r="Y557" s="1613"/>
      <c r="Z557" s="1612">
        <f t="shared" si="288"/>
        <v>0.62163128665403056</v>
      </c>
      <c r="AA557" s="1611"/>
      <c r="AB557" s="1611"/>
      <c r="AC557" s="1611"/>
      <c r="AD557" s="1611"/>
      <c r="AE557" s="1611"/>
      <c r="AF557" s="1611"/>
      <c r="AG557" s="1611"/>
      <c r="AH557" s="1611"/>
      <c r="AI557" s="1611"/>
      <c r="AJ557" s="1611"/>
      <c r="AK557" s="1611"/>
      <c r="AL557" s="1611"/>
      <c r="AM557" s="1611"/>
      <c r="AN557" s="1611"/>
      <c r="AO557" s="1611"/>
      <c r="AP557" s="1611"/>
      <c r="AQ557" s="1611"/>
    </row>
    <row r="558" spans="1:43" outlineLevel="2">
      <c r="A558" s="1638" t="s">
        <v>319</v>
      </c>
      <c r="B558" s="1637" t="s">
        <v>130</v>
      </c>
      <c r="C558" s="1636"/>
      <c r="D558" s="1635">
        <v>24</v>
      </c>
      <c r="E558" s="1634" t="s">
        <v>931</v>
      </c>
      <c r="F558" s="1633" t="s">
        <v>1064</v>
      </c>
      <c r="G558" s="1632">
        <v>4374.0443941676149</v>
      </c>
      <c r="H558" s="1632">
        <v>4151.91</v>
      </c>
      <c r="I558" s="1630">
        <f t="shared" si="276"/>
        <v>8525.9543941676147</v>
      </c>
      <c r="J558" s="1630">
        <f t="shared" si="277"/>
        <v>204622.90546002274</v>
      </c>
      <c r="K558" s="1631">
        <v>5700</v>
      </c>
      <c r="L558" s="1630">
        <f t="shared" si="278"/>
        <v>5700</v>
      </c>
      <c r="M558" s="1630">
        <f t="shared" si="279"/>
        <v>136800</v>
      </c>
      <c r="N558" s="1625">
        <f t="shared" si="280"/>
        <v>67822.905460022739</v>
      </c>
      <c r="O558" s="1629">
        <v>0.57030000000000003</v>
      </c>
      <c r="P558" s="1629">
        <v>0.42970000000000003</v>
      </c>
      <c r="Q558" s="1625">
        <f t="shared" si="281"/>
        <v>38679.402983850967</v>
      </c>
      <c r="R558" s="1628">
        <f t="shared" si="282"/>
        <v>29143.502476171772</v>
      </c>
      <c r="S558" s="1627">
        <f t="shared" si="283"/>
        <v>66297.662476171798</v>
      </c>
      <c r="T558" s="1627">
        <f t="shared" si="284"/>
        <v>70502.337523828231</v>
      </c>
      <c r="U558" s="1626">
        <f t="shared" si="285"/>
        <v>16574.415619042949</v>
      </c>
      <c r="V558" s="1626">
        <f t="shared" si="286"/>
        <v>17625.584380957058</v>
      </c>
      <c r="W558" s="1625">
        <f t="shared" si="287"/>
        <v>34200.000000000007</v>
      </c>
      <c r="X558" s="1614"/>
      <c r="Y558" s="1613"/>
      <c r="Z558" s="1612">
        <f t="shared" si="288"/>
        <v>0.66854685545810832</v>
      </c>
      <c r="AA558" s="1611"/>
      <c r="AB558" s="1611"/>
      <c r="AC558" s="1611"/>
      <c r="AD558" s="1611"/>
      <c r="AE558" s="1611"/>
      <c r="AF558" s="1611"/>
      <c r="AG558" s="1611"/>
      <c r="AH558" s="1611"/>
      <c r="AI558" s="1611"/>
      <c r="AJ558" s="1611"/>
      <c r="AK558" s="1611"/>
      <c r="AL558" s="1611"/>
      <c r="AM558" s="1611"/>
      <c r="AN558" s="1611"/>
      <c r="AO558" s="1611"/>
      <c r="AP558" s="1611"/>
      <c r="AQ558" s="1611"/>
    </row>
    <row r="559" spans="1:43" outlineLevel="2">
      <c r="A559" s="1638" t="s">
        <v>319</v>
      </c>
      <c r="B559" s="1637" t="s">
        <v>130</v>
      </c>
      <c r="C559" s="1636"/>
      <c r="D559" s="1635">
        <v>21</v>
      </c>
      <c r="E559" s="1634" t="s">
        <v>931</v>
      </c>
      <c r="F559" s="1633" t="s">
        <v>1063</v>
      </c>
      <c r="G559" s="1632">
        <v>4374.0443941676149</v>
      </c>
      <c r="H559" s="1632">
        <v>4151.91</v>
      </c>
      <c r="I559" s="1630">
        <f t="shared" si="276"/>
        <v>8525.9543941676147</v>
      </c>
      <c r="J559" s="1630">
        <f t="shared" si="277"/>
        <v>179045.04227751991</v>
      </c>
      <c r="K559" s="1631">
        <v>5700</v>
      </c>
      <c r="L559" s="1630">
        <f t="shared" si="278"/>
        <v>5700</v>
      </c>
      <c r="M559" s="1630">
        <f t="shared" si="279"/>
        <v>119700</v>
      </c>
      <c r="N559" s="1625">
        <f t="shared" si="280"/>
        <v>59345.042277519911</v>
      </c>
      <c r="O559" s="1629">
        <v>0.57030000000000003</v>
      </c>
      <c r="P559" s="1629">
        <v>0.42970000000000003</v>
      </c>
      <c r="Q559" s="1625">
        <f t="shared" si="281"/>
        <v>33844.47761086961</v>
      </c>
      <c r="R559" s="1628">
        <f t="shared" si="282"/>
        <v>25500.564666650309</v>
      </c>
      <c r="S559" s="1627">
        <f t="shared" si="283"/>
        <v>58010.454666650301</v>
      </c>
      <c r="T559" s="1627">
        <f t="shared" si="284"/>
        <v>61689.545333349692</v>
      </c>
      <c r="U559" s="1626">
        <f t="shared" si="285"/>
        <v>14502.613666662575</v>
      </c>
      <c r="V559" s="1626">
        <f t="shared" si="286"/>
        <v>15422.386333337423</v>
      </c>
      <c r="W559" s="1625">
        <f t="shared" si="287"/>
        <v>29925</v>
      </c>
      <c r="X559" s="1614"/>
      <c r="Y559" s="1613"/>
      <c r="Z559" s="1612">
        <f t="shared" si="288"/>
        <v>0.66854685545810832</v>
      </c>
      <c r="AA559" s="1611"/>
      <c r="AB559" s="1611"/>
      <c r="AC559" s="1611"/>
      <c r="AD559" s="1611"/>
      <c r="AE559" s="1611"/>
      <c r="AF559" s="1611"/>
      <c r="AG559" s="1611"/>
      <c r="AH559" s="1611"/>
      <c r="AI559" s="1611"/>
      <c r="AJ559" s="1611"/>
      <c r="AK559" s="1611"/>
      <c r="AL559" s="1611"/>
      <c r="AM559" s="1611"/>
      <c r="AN559" s="1611"/>
      <c r="AO559" s="1611"/>
      <c r="AP559" s="1611"/>
      <c r="AQ559" s="1611"/>
    </row>
    <row r="560" spans="1:43" outlineLevel="2">
      <c r="A560" s="1638" t="s">
        <v>319</v>
      </c>
      <c r="B560" s="1637" t="s">
        <v>130</v>
      </c>
      <c r="C560" s="1636"/>
      <c r="D560" s="1635">
        <v>5</v>
      </c>
      <c r="E560" s="1634" t="s">
        <v>931</v>
      </c>
      <c r="F560" s="1633" t="s">
        <v>1067</v>
      </c>
      <c r="G560" s="1632">
        <v>4374.0443941676149</v>
      </c>
      <c r="H560" s="1632">
        <v>4151.91</v>
      </c>
      <c r="I560" s="1630">
        <f t="shared" si="276"/>
        <v>8525.9543941676147</v>
      </c>
      <c r="J560" s="1630">
        <f t="shared" si="277"/>
        <v>42629.771970838076</v>
      </c>
      <c r="K560" s="1631">
        <v>6700</v>
      </c>
      <c r="L560" s="1630">
        <f t="shared" si="278"/>
        <v>6700</v>
      </c>
      <c r="M560" s="1630">
        <f t="shared" si="279"/>
        <v>33500</v>
      </c>
      <c r="N560" s="1625">
        <f t="shared" si="280"/>
        <v>9129.7719708380755</v>
      </c>
      <c r="O560" s="1629">
        <v>0.57030000000000003</v>
      </c>
      <c r="P560" s="1629">
        <v>0.42970000000000003</v>
      </c>
      <c r="Q560" s="1625">
        <f t="shared" si="281"/>
        <v>5206.7089549689545</v>
      </c>
      <c r="R560" s="1628">
        <f t="shared" si="282"/>
        <v>3923.0630158691215</v>
      </c>
      <c r="S560" s="1627">
        <f t="shared" si="283"/>
        <v>16663.513015869117</v>
      </c>
      <c r="T560" s="1627">
        <f t="shared" si="284"/>
        <v>16836.486984130879</v>
      </c>
      <c r="U560" s="1626">
        <f t="shared" si="285"/>
        <v>4165.8782539672793</v>
      </c>
      <c r="V560" s="1626">
        <f t="shared" si="286"/>
        <v>4209.1217460327198</v>
      </c>
      <c r="W560" s="1625">
        <f t="shared" si="287"/>
        <v>8375</v>
      </c>
      <c r="X560" s="1614"/>
      <c r="Y560" s="1613"/>
      <c r="Z560" s="1612">
        <f t="shared" si="288"/>
        <v>0.7858357774683028</v>
      </c>
      <c r="AA560" s="1611"/>
      <c r="AB560" s="1611"/>
      <c r="AC560" s="1611"/>
      <c r="AD560" s="1611"/>
      <c r="AE560" s="1611"/>
      <c r="AF560" s="1611"/>
      <c r="AG560" s="1611"/>
      <c r="AH560" s="1611"/>
      <c r="AI560" s="1611"/>
      <c r="AJ560" s="1611"/>
      <c r="AK560" s="1611"/>
      <c r="AL560" s="1611"/>
      <c r="AM560" s="1611"/>
      <c r="AN560" s="1611"/>
      <c r="AO560" s="1611"/>
      <c r="AP560" s="1611"/>
      <c r="AQ560" s="1611"/>
    </row>
    <row r="561" spans="1:43" outlineLevel="2">
      <c r="A561" s="1638" t="s">
        <v>319</v>
      </c>
      <c r="B561" s="1637" t="s">
        <v>130</v>
      </c>
      <c r="C561" s="1636"/>
      <c r="D561" s="1635">
        <v>79</v>
      </c>
      <c r="E561" s="1634" t="s">
        <v>931</v>
      </c>
      <c r="F561" s="1633" t="s">
        <v>979</v>
      </c>
      <c r="G561" s="1632">
        <v>4374.0443941676149</v>
      </c>
      <c r="H561" s="1632">
        <v>4151.91</v>
      </c>
      <c r="I561" s="1630">
        <f t="shared" si="276"/>
        <v>8525.9543941676147</v>
      </c>
      <c r="J561" s="1630">
        <f t="shared" si="277"/>
        <v>673550.39713924157</v>
      </c>
      <c r="K561" s="1631">
        <v>5300</v>
      </c>
      <c r="L561" s="1630">
        <f t="shared" si="278"/>
        <v>5300</v>
      </c>
      <c r="M561" s="1630">
        <f t="shared" si="279"/>
        <v>418700</v>
      </c>
      <c r="N561" s="1625">
        <f t="shared" si="280"/>
        <v>254850.39713924157</v>
      </c>
      <c r="O561" s="1629">
        <v>0.57030000000000003</v>
      </c>
      <c r="P561" s="1629">
        <v>0.42970000000000003</v>
      </c>
      <c r="Q561" s="1625">
        <f t="shared" si="281"/>
        <v>145341.18148850946</v>
      </c>
      <c r="R561" s="1628">
        <f t="shared" si="282"/>
        <v>109509.21565073211</v>
      </c>
      <c r="S561" s="1627">
        <f t="shared" si="283"/>
        <v>200208.32565073209</v>
      </c>
      <c r="T561" s="1627">
        <f t="shared" si="284"/>
        <v>218491.67434926791</v>
      </c>
      <c r="U561" s="1626">
        <f t="shared" si="285"/>
        <v>50052.081412683023</v>
      </c>
      <c r="V561" s="1626">
        <f t="shared" si="286"/>
        <v>54622.918587316977</v>
      </c>
      <c r="W561" s="1625">
        <f t="shared" si="287"/>
        <v>104675</v>
      </c>
      <c r="X561" s="1614"/>
      <c r="Y561" s="1613"/>
      <c r="Z561" s="1612">
        <f t="shared" si="288"/>
        <v>0.62163128665403056</v>
      </c>
      <c r="AA561" s="1611"/>
      <c r="AB561" s="1611"/>
      <c r="AC561" s="1611"/>
      <c r="AD561" s="1611"/>
      <c r="AE561" s="1611"/>
      <c r="AF561" s="1611"/>
      <c r="AG561" s="1611"/>
      <c r="AH561" s="1611"/>
      <c r="AI561" s="1611"/>
      <c r="AJ561" s="1611"/>
      <c r="AK561" s="1611"/>
      <c r="AL561" s="1611"/>
      <c r="AM561" s="1611"/>
      <c r="AN561" s="1611"/>
      <c r="AO561" s="1611"/>
      <c r="AP561" s="1611"/>
      <c r="AQ561" s="1611"/>
    </row>
    <row r="562" spans="1:43" outlineLevel="2">
      <c r="A562" s="1638" t="s">
        <v>319</v>
      </c>
      <c r="B562" s="1637" t="s">
        <v>130</v>
      </c>
      <c r="C562" s="1636"/>
      <c r="D562" s="1635">
        <v>20</v>
      </c>
      <c r="E562" s="1634" t="s">
        <v>950</v>
      </c>
      <c r="F562" s="1633" t="s">
        <v>1070</v>
      </c>
      <c r="G562" s="1632">
        <v>4374.0443941676149</v>
      </c>
      <c r="H562" s="1632">
        <v>4151.91</v>
      </c>
      <c r="I562" s="1630">
        <f t="shared" si="276"/>
        <v>8525.9543941676147</v>
      </c>
      <c r="J562" s="1630">
        <f t="shared" si="277"/>
        <v>170519.0878833523</v>
      </c>
      <c r="K562" s="1631">
        <v>4915</v>
      </c>
      <c r="L562" s="1630">
        <f t="shared" si="278"/>
        <v>4915</v>
      </c>
      <c r="M562" s="1630">
        <f t="shared" si="279"/>
        <v>98300</v>
      </c>
      <c r="N562" s="1625">
        <f t="shared" si="280"/>
        <v>72219.087883352302</v>
      </c>
      <c r="O562" s="1629">
        <v>0.57030000000000003</v>
      </c>
      <c r="P562" s="1629">
        <v>0.42970000000000003</v>
      </c>
      <c r="Q562" s="1625">
        <f t="shared" si="281"/>
        <v>41186.545819875821</v>
      </c>
      <c r="R562" s="1628">
        <f t="shared" si="282"/>
        <v>31032.542063476485</v>
      </c>
      <c r="S562" s="1627">
        <f t="shared" si="283"/>
        <v>46294.34206347647</v>
      </c>
      <c r="T562" s="1627">
        <f t="shared" si="284"/>
        <v>52005.657936523508</v>
      </c>
      <c r="U562" s="1626">
        <f t="shared" si="285"/>
        <v>11573.585515869117</v>
      </c>
      <c r="V562" s="1626">
        <f t="shared" si="286"/>
        <v>13001.414484130877</v>
      </c>
      <c r="W562" s="1625">
        <f t="shared" si="287"/>
        <v>24574.999999999993</v>
      </c>
      <c r="X562" s="1614"/>
      <c r="Y562" s="1613"/>
      <c r="Z562" s="1612">
        <f t="shared" si="288"/>
        <v>0.57647505168010571</v>
      </c>
      <c r="AA562" s="1611"/>
      <c r="AB562" s="1611"/>
      <c r="AC562" s="1611"/>
      <c r="AD562" s="1611"/>
      <c r="AE562" s="1611"/>
      <c r="AF562" s="1611"/>
      <c r="AG562" s="1611"/>
      <c r="AH562" s="1611"/>
      <c r="AI562" s="1611"/>
      <c r="AJ562" s="1611"/>
      <c r="AK562" s="1611"/>
      <c r="AL562" s="1611"/>
      <c r="AM562" s="1611"/>
      <c r="AN562" s="1611"/>
      <c r="AO562" s="1611"/>
      <c r="AP562" s="1611"/>
      <c r="AQ562" s="1611"/>
    </row>
    <row r="563" spans="1:43" outlineLevel="2">
      <c r="A563" s="1638" t="s">
        <v>319</v>
      </c>
      <c r="B563" s="1637" t="s">
        <v>130</v>
      </c>
      <c r="C563" s="1636"/>
      <c r="D563" s="1635">
        <v>26</v>
      </c>
      <c r="E563" s="1634" t="s">
        <v>950</v>
      </c>
      <c r="F563" s="1633" t="s">
        <v>1069</v>
      </c>
      <c r="G563" s="1632">
        <v>4374.0443941676149</v>
      </c>
      <c r="H563" s="1632">
        <v>4151.91</v>
      </c>
      <c r="I563" s="1630">
        <f t="shared" si="276"/>
        <v>8525.9543941676147</v>
      </c>
      <c r="J563" s="1630">
        <f t="shared" si="277"/>
        <v>221674.81424835799</v>
      </c>
      <c r="K563" s="1631">
        <v>4915</v>
      </c>
      <c r="L563" s="1630">
        <f t="shared" si="278"/>
        <v>4915</v>
      </c>
      <c r="M563" s="1630">
        <f t="shared" si="279"/>
        <v>127790</v>
      </c>
      <c r="N563" s="1625">
        <f t="shared" si="280"/>
        <v>93884.814248357987</v>
      </c>
      <c r="O563" s="1629">
        <v>0.57030000000000003</v>
      </c>
      <c r="P563" s="1629">
        <v>0.42970000000000003</v>
      </c>
      <c r="Q563" s="1625">
        <f t="shared" si="281"/>
        <v>53542.509565838562</v>
      </c>
      <c r="R563" s="1628">
        <f t="shared" si="282"/>
        <v>40342.304682519432</v>
      </c>
      <c r="S563" s="1627">
        <f t="shared" si="283"/>
        <v>60182.644682519422</v>
      </c>
      <c r="T563" s="1627">
        <f t="shared" si="284"/>
        <v>67607.355317480571</v>
      </c>
      <c r="U563" s="1626">
        <f t="shared" si="285"/>
        <v>15045.661170629855</v>
      </c>
      <c r="V563" s="1626">
        <f t="shared" si="286"/>
        <v>16901.838829370143</v>
      </c>
      <c r="W563" s="1625">
        <f t="shared" si="287"/>
        <v>31947.5</v>
      </c>
      <c r="X563" s="1614"/>
      <c r="Y563" s="1613"/>
      <c r="Z563" s="1612">
        <f t="shared" si="288"/>
        <v>0.57647505168010571</v>
      </c>
      <c r="AA563" s="1611"/>
      <c r="AB563" s="1611"/>
      <c r="AC563" s="1611"/>
      <c r="AD563" s="1611"/>
      <c r="AE563" s="1611"/>
      <c r="AF563" s="1611"/>
      <c r="AG563" s="1611"/>
      <c r="AH563" s="1611"/>
      <c r="AI563" s="1611"/>
      <c r="AJ563" s="1611"/>
      <c r="AK563" s="1611"/>
      <c r="AL563" s="1611"/>
      <c r="AM563" s="1611"/>
      <c r="AN563" s="1611"/>
      <c r="AO563" s="1611"/>
      <c r="AP563" s="1611"/>
      <c r="AQ563" s="1611"/>
    </row>
    <row r="564" spans="1:43" outlineLevel="2">
      <c r="A564" s="1638" t="s">
        <v>319</v>
      </c>
      <c r="B564" s="1637" t="s">
        <v>130</v>
      </c>
      <c r="C564" s="1636"/>
      <c r="D564" s="1635">
        <v>20</v>
      </c>
      <c r="E564" s="1634" t="s">
        <v>950</v>
      </c>
      <c r="F564" s="1633" t="s">
        <v>1068</v>
      </c>
      <c r="G564" s="1632">
        <v>4374.0443941676149</v>
      </c>
      <c r="H564" s="1632">
        <v>4151.91</v>
      </c>
      <c r="I564" s="1630">
        <f t="shared" si="276"/>
        <v>8525.9543941676147</v>
      </c>
      <c r="J564" s="1630">
        <f t="shared" si="277"/>
        <v>170519.0878833523</v>
      </c>
      <c r="K564" s="1631">
        <v>4915</v>
      </c>
      <c r="L564" s="1630">
        <f t="shared" si="278"/>
        <v>4915</v>
      </c>
      <c r="M564" s="1630">
        <f t="shared" si="279"/>
        <v>98300</v>
      </c>
      <c r="N564" s="1625">
        <f t="shared" si="280"/>
        <v>72219.087883352302</v>
      </c>
      <c r="O564" s="1629">
        <v>0.57030000000000003</v>
      </c>
      <c r="P564" s="1629">
        <v>0.42970000000000003</v>
      </c>
      <c r="Q564" s="1625">
        <f t="shared" si="281"/>
        <v>41186.545819875821</v>
      </c>
      <c r="R564" s="1628">
        <f t="shared" si="282"/>
        <v>31032.542063476485</v>
      </c>
      <c r="S564" s="1627">
        <f t="shared" si="283"/>
        <v>46294.34206347647</v>
      </c>
      <c r="T564" s="1627">
        <f t="shared" si="284"/>
        <v>52005.657936523508</v>
      </c>
      <c r="U564" s="1626">
        <f t="shared" si="285"/>
        <v>11573.585515869117</v>
      </c>
      <c r="V564" s="1626">
        <f t="shared" si="286"/>
        <v>13001.414484130877</v>
      </c>
      <c r="W564" s="1625">
        <f t="shared" si="287"/>
        <v>24574.999999999993</v>
      </c>
      <c r="X564" s="1614"/>
      <c r="Y564" s="1613"/>
      <c r="Z564" s="1612">
        <f t="shared" si="288"/>
        <v>0.57647505168010571</v>
      </c>
      <c r="AA564" s="1611"/>
      <c r="AB564" s="1611"/>
      <c r="AC564" s="1611"/>
      <c r="AD564" s="1611"/>
      <c r="AE564" s="1611"/>
      <c r="AF564" s="1611"/>
      <c r="AG564" s="1611"/>
      <c r="AH564" s="1611"/>
      <c r="AI564" s="1611"/>
      <c r="AJ564" s="1611"/>
      <c r="AK564" s="1611"/>
      <c r="AL564" s="1611"/>
      <c r="AM564" s="1611"/>
      <c r="AN564" s="1611"/>
      <c r="AO564" s="1611"/>
      <c r="AP564" s="1611"/>
      <c r="AQ564" s="1611"/>
    </row>
    <row r="565" spans="1:43" outlineLevel="2">
      <c r="A565" s="1638" t="s">
        <v>319</v>
      </c>
      <c r="B565" s="1637" t="s">
        <v>130</v>
      </c>
      <c r="C565" s="1636"/>
      <c r="D565" s="1635">
        <v>15</v>
      </c>
      <c r="E565" s="1634" t="s">
        <v>950</v>
      </c>
      <c r="F565" s="1633" t="s">
        <v>1071</v>
      </c>
      <c r="G565" s="1632">
        <v>4374.0443941676149</v>
      </c>
      <c r="H565" s="1632">
        <v>4151.91</v>
      </c>
      <c r="I565" s="1630">
        <f t="shared" si="276"/>
        <v>8525.9543941676147</v>
      </c>
      <c r="J565" s="1630">
        <f t="shared" si="277"/>
        <v>127889.31591251423</v>
      </c>
      <c r="K565" s="1631">
        <v>4915</v>
      </c>
      <c r="L565" s="1630">
        <f t="shared" si="278"/>
        <v>4915</v>
      </c>
      <c r="M565" s="1630">
        <f t="shared" si="279"/>
        <v>73725</v>
      </c>
      <c r="N565" s="1625">
        <f t="shared" si="280"/>
        <v>54164.315912514227</v>
      </c>
      <c r="O565" s="1629">
        <v>0.57030000000000003</v>
      </c>
      <c r="P565" s="1629">
        <v>0.42970000000000003</v>
      </c>
      <c r="Q565" s="1625">
        <f t="shared" si="281"/>
        <v>30889.909364906864</v>
      </c>
      <c r="R565" s="1628">
        <f t="shared" si="282"/>
        <v>23274.406547607363</v>
      </c>
      <c r="S565" s="1627">
        <f t="shared" si="283"/>
        <v>34720.756547607351</v>
      </c>
      <c r="T565" s="1627">
        <f t="shared" si="284"/>
        <v>39004.243452392635</v>
      </c>
      <c r="U565" s="1626">
        <f t="shared" si="285"/>
        <v>8680.1891369018376</v>
      </c>
      <c r="V565" s="1626">
        <f t="shared" si="286"/>
        <v>9751.0608630981587</v>
      </c>
      <c r="W565" s="1625">
        <f t="shared" si="287"/>
        <v>18431.249999999996</v>
      </c>
      <c r="X565" s="1614"/>
      <c r="Y565" s="1613"/>
      <c r="Z565" s="1612">
        <f t="shared" si="288"/>
        <v>0.57647505168010571</v>
      </c>
      <c r="AA565" s="1611"/>
      <c r="AB565" s="1611"/>
      <c r="AC565" s="1611"/>
      <c r="AD565" s="1611"/>
      <c r="AE565" s="1611"/>
      <c r="AF565" s="1611"/>
      <c r="AG565" s="1611"/>
      <c r="AH565" s="1611"/>
      <c r="AI565" s="1611"/>
      <c r="AJ565" s="1611"/>
      <c r="AK565" s="1611"/>
      <c r="AL565" s="1611"/>
      <c r="AM565" s="1611"/>
      <c r="AN565" s="1611"/>
      <c r="AO565" s="1611"/>
      <c r="AP565" s="1611"/>
      <c r="AQ565" s="1611"/>
    </row>
    <row r="566" spans="1:43" outlineLevel="2">
      <c r="A566" s="1638" t="s">
        <v>319</v>
      </c>
      <c r="B566" s="1637" t="s">
        <v>130</v>
      </c>
      <c r="C566" s="1636"/>
      <c r="D566" s="1635">
        <v>12</v>
      </c>
      <c r="E566" s="1634" t="s">
        <v>950</v>
      </c>
      <c r="F566" s="1633" t="s">
        <v>1065</v>
      </c>
      <c r="G566" s="1632">
        <v>4374.0443941676149</v>
      </c>
      <c r="H566" s="1632">
        <v>4151.91</v>
      </c>
      <c r="I566" s="1630">
        <f t="shared" si="276"/>
        <v>8525.9543941676147</v>
      </c>
      <c r="J566" s="1630">
        <f t="shared" si="277"/>
        <v>102311.45273001137</v>
      </c>
      <c r="K566" s="1631">
        <v>4915</v>
      </c>
      <c r="L566" s="1630">
        <f t="shared" si="278"/>
        <v>4915</v>
      </c>
      <c r="M566" s="1630">
        <f t="shared" si="279"/>
        <v>58980</v>
      </c>
      <c r="N566" s="1625">
        <f t="shared" si="280"/>
        <v>43331.45273001137</v>
      </c>
      <c r="O566" s="1629">
        <v>0.57030000000000003</v>
      </c>
      <c r="P566" s="1629">
        <v>0.42970000000000003</v>
      </c>
      <c r="Q566" s="1625">
        <f t="shared" si="281"/>
        <v>24711.927491925486</v>
      </c>
      <c r="R566" s="1628">
        <f t="shared" si="282"/>
        <v>18619.525238085887</v>
      </c>
      <c r="S566" s="1627">
        <f t="shared" si="283"/>
        <v>27776.605238085893</v>
      </c>
      <c r="T566" s="1627">
        <f t="shared" si="284"/>
        <v>31203.394761914111</v>
      </c>
      <c r="U566" s="1626">
        <f t="shared" si="285"/>
        <v>6944.1513095214732</v>
      </c>
      <c r="V566" s="1626">
        <f t="shared" si="286"/>
        <v>7800.8486904785277</v>
      </c>
      <c r="W566" s="1625">
        <f t="shared" si="287"/>
        <v>14745</v>
      </c>
      <c r="X566" s="1614"/>
      <c r="Y566" s="1613"/>
      <c r="Z566" s="1612">
        <f t="shared" si="288"/>
        <v>0.57647505168010571</v>
      </c>
      <c r="AA566" s="1611"/>
      <c r="AB566" s="1611"/>
      <c r="AC566" s="1611"/>
      <c r="AD566" s="1611"/>
      <c r="AE566" s="1611"/>
      <c r="AF566" s="1611"/>
      <c r="AG566" s="1611"/>
      <c r="AH566" s="1611"/>
      <c r="AI566" s="1611"/>
      <c r="AJ566" s="1611"/>
      <c r="AK566" s="1611"/>
      <c r="AL566" s="1611"/>
      <c r="AM566" s="1611"/>
      <c r="AN566" s="1611"/>
      <c r="AO566" s="1611"/>
      <c r="AP566" s="1611"/>
      <c r="AQ566" s="1611"/>
    </row>
    <row r="567" spans="1:43" outlineLevel="2">
      <c r="A567" s="1638" t="s">
        <v>319</v>
      </c>
      <c r="B567" s="1637" t="s">
        <v>130</v>
      </c>
      <c r="C567" s="1636"/>
      <c r="D567" s="1635">
        <v>12</v>
      </c>
      <c r="E567" s="1634" t="s">
        <v>950</v>
      </c>
      <c r="F567" s="1633" t="s">
        <v>1064</v>
      </c>
      <c r="G567" s="1632">
        <v>4374.0443941676149</v>
      </c>
      <c r="H567" s="1632">
        <v>4151.91</v>
      </c>
      <c r="I567" s="1630">
        <f t="shared" si="276"/>
        <v>8525.9543941676147</v>
      </c>
      <c r="J567" s="1630">
        <f t="shared" si="277"/>
        <v>102311.45273001137</v>
      </c>
      <c r="K567" s="1631">
        <v>4915</v>
      </c>
      <c r="L567" s="1630">
        <f t="shared" si="278"/>
        <v>4915</v>
      </c>
      <c r="M567" s="1630">
        <f t="shared" si="279"/>
        <v>58980</v>
      </c>
      <c r="N567" s="1625">
        <f t="shared" si="280"/>
        <v>43331.45273001137</v>
      </c>
      <c r="O567" s="1629">
        <v>0.57030000000000003</v>
      </c>
      <c r="P567" s="1629">
        <v>0.42970000000000003</v>
      </c>
      <c r="Q567" s="1625">
        <f t="shared" si="281"/>
        <v>24711.927491925486</v>
      </c>
      <c r="R567" s="1628">
        <f t="shared" si="282"/>
        <v>18619.525238085887</v>
      </c>
      <c r="S567" s="1627">
        <f t="shared" si="283"/>
        <v>27776.605238085893</v>
      </c>
      <c r="T567" s="1627">
        <f t="shared" si="284"/>
        <v>31203.394761914111</v>
      </c>
      <c r="U567" s="1626">
        <f t="shared" si="285"/>
        <v>6944.1513095214732</v>
      </c>
      <c r="V567" s="1626">
        <f t="shared" si="286"/>
        <v>7800.8486904785277</v>
      </c>
      <c r="W567" s="1625">
        <f t="shared" si="287"/>
        <v>14745</v>
      </c>
      <c r="X567" s="1614"/>
      <c r="Y567" s="1613"/>
      <c r="Z567" s="1612">
        <f t="shared" si="288"/>
        <v>0.57647505168010571</v>
      </c>
      <c r="AA567" s="1611"/>
      <c r="AB567" s="1611"/>
      <c r="AC567" s="1611"/>
      <c r="AD567" s="1611"/>
      <c r="AE567" s="1611"/>
      <c r="AF567" s="1611"/>
      <c r="AG567" s="1611"/>
      <c r="AH567" s="1611"/>
      <c r="AI567" s="1611"/>
      <c r="AJ567" s="1611"/>
      <c r="AK567" s="1611"/>
      <c r="AL567" s="1611"/>
      <c r="AM567" s="1611"/>
      <c r="AN567" s="1611"/>
      <c r="AO567" s="1611"/>
      <c r="AP567" s="1611"/>
      <c r="AQ567" s="1611"/>
    </row>
    <row r="568" spans="1:43" outlineLevel="2">
      <c r="A568" s="1638" t="s">
        <v>319</v>
      </c>
      <c r="B568" s="1637" t="s">
        <v>130</v>
      </c>
      <c r="C568" s="1636"/>
      <c r="D568" s="1635">
        <v>15</v>
      </c>
      <c r="E568" s="1634" t="s">
        <v>950</v>
      </c>
      <c r="F568" s="1633" t="s">
        <v>1063</v>
      </c>
      <c r="G568" s="1632">
        <v>4374.0443941676149</v>
      </c>
      <c r="H568" s="1632">
        <v>4151.91</v>
      </c>
      <c r="I568" s="1630">
        <f t="shared" si="276"/>
        <v>8525.9543941676147</v>
      </c>
      <c r="J568" s="1630">
        <f t="shared" si="277"/>
        <v>127889.31591251423</v>
      </c>
      <c r="K568" s="1631">
        <v>4915</v>
      </c>
      <c r="L568" s="1630">
        <f t="shared" si="278"/>
        <v>4915</v>
      </c>
      <c r="M568" s="1630">
        <f t="shared" si="279"/>
        <v>73725</v>
      </c>
      <c r="N568" s="1625">
        <f t="shared" si="280"/>
        <v>54164.315912514227</v>
      </c>
      <c r="O568" s="1629">
        <v>0.57030000000000003</v>
      </c>
      <c r="P568" s="1629">
        <v>0.42970000000000003</v>
      </c>
      <c r="Q568" s="1625">
        <f t="shared" si="281"/>
        <v>30889.909364906864</v>
      </c>
      <c r="R568" s="1628">
        <f t="shared" si="282"/>
        <v>23274.406547607363</v>
      </c>
      <c r="S568" s="1627">
        <f t="shared" si="283"/>
        <v>34720.756547607351</v>
      </c>
      <c r="T568" s="1627">
        <f t="shared" si="284"/>
        <v>39004.243452392635</v>
      </c>
      <c r="U568" s="1626">
        <f t="shared" si="285"/>
        <v>8680.1891369018376</v>
      </c>
      <c r="V568" s="1626">
        <f t="shared" si="286"/>
        <v>9751.0608630981587</v>
      </c>
      <c r="W568" s="1625">
        <f t="shared" si="287"/>
        <v>18431.249999999996</v>
      </c>
      <c r="X568" s="1614"/>
      <c r="Y568" s="1613"/>
      <c r="Z568" s="1612">
        <f t="shared" si="288"/>
        <v>0.57647505168010571</v>
      </c>
      <c r="AA568" s="1611"/>
      <c r="AB568" s="1611"/>
      <c r="AC568" s="1611"/>
      <c r="AD568" s="1611"/>
      <c r="AE568" s="1611"/>
      <c r="AF568" s="1611"/>
      <c r="AG568" s="1611"/>
      <c r="AH568" s="1611"/>
      <c r="AI568" s="1611"/>
      <c r="AJ568" s="1611"/>
      <c r="AK568" s="1611"/>
      <c r="AL568" s="1611"/>
      <c r="AM568" s="1611"/>
      <c r="AN568" s="1611"/>
      <c r="AO568" s="1611"/>
      <c r="AP568" s="1611"/>
      <c r="AQ568" s="1611"/>
    </row>
    <row r="569" spans="1:43" outlineLevel="2">
      <c r="A569" s="1638" t="s">
        <v>319</v>
      </c>
      <c r="B569" s="1637" t="s">
        <v>130</v>
      </c>
      <c r="C569" s="1636"/>
      <c r="D569" s="1635">
        <v>4</v>
      </c>
      <c r="E569" s="1634" t="s">
        <v>950</v>
      </c>
      <c r="F569" s="1633" t="s">
        <v>1066</v>
      </c>
      <c r="G569" s="1632">
        <v>4374.0443941676149</v>
      </c>
      <c r="H569" s="1632">
        <v>4151.91</v>
      </c>
      <c r="I569" s="1630">
        <f t="shared" si="276"/>
        <v>8525.9543941676147</v>
      </c>
      <c r="J569" s="1630">
        <f t="shared" si="277"/>
        <v>34103.817576670459</v>
      </c>
      <c r="K569" s="1631">
        <v>4915</v>
      </c>
      <c r="L569" s="1630">
        <f t="shared" si="278"/>
        <v>4915</v>
      </c>
      <c r="M569" s="1630">
        <f t="shared" si="279"/>
        <v>19660</v>
      </c>
      <c r="N569" s="1625">
        <f t="shared" si="280"/>
        <v>14443.817576670459</v>
      </c>
      <c r="O569" s="1629">
        <v>0.57030000000000003</v>
      </c>
      <c r="P569" s="1629">
        <v>0.42970000000000003</v>
      </c>
      <c r="Q569" s="1625">
        <f t="shared" si="281"/>
        <v>8237.3091639751638</v>
      </c>
      <c r="R569" s="1628">
        <f t="shared" si="282"/>
        <v>6206.508412695297</v>
      </c>
      <c r="S569" s="1627">
        <f t="shared" si="283"/>
        <v>9258.8684126952958</v>
      </c>
      <c r="T569" s="1627">
        <f t="shared" si="284"/>
        <v>10401.131587304702</v>
      </c>
      <c r="U569" s="1626">
        <f t="shared" si="285"/>
        <v>2314.7171031738239</v>
      </c>
      <c r="V569" s="1626">
        <f t="shared" si="286"/>
        <v>2600.2828968261756</v>
      </c>
      <c r="W569" s="1625">
        <f t="shared" si="287"/>
        <v>4915</v>
      </c>
      <c r="X569" s="1614"/>
      <c r="Y569" s="1613"/>
      <c r="Z569" s="1612">
        <f t="shared" si="288"/>
        <v>0.57647505168010571</v>
      </c>
      <c r="AA569" s="1611"/>
      <c r="AB569" s="1611"/>
      <c r="AC569" s="1611"/>
      <c r="AD569" s="1611"/>
      <c r="AE569" s="1611"/>
      <c r="AF569" s="1611"/>
      <c r="AG569" s="1611"/>
      <c r="AH569" s="1611"/>
      <c r="AI569" s="1611"/>
      <c r="AJ569" s="1611"/>
      <c r="AK569" s="1611"/>
      <c r="AL569" s="1611"/>
      <c r="AM569" s="1611"/>
      <c r="AN569" s="1611"/>
      <c r="AO569" s="1611"/>
      <c r="AP569" s="1611"/>
      <c r="AQ569" s="1611"/>
    </row>
    <row r="570" spans="1:43" outlineLevel="2">
      <c r="A570" s="1638" t="s">
        <v>319</v>
      </c>
      <c r="B570" s="1637" t="s">
        <v>130</v>
      </c>
      <c r="C570" s="1636"/>
      <c r="D570" s="1635">
        <v>29</v>
      </c>
      <c r="E570" s="1634" t="s">
        <v>950</v>
      </c>
      <c r="F570" s="1633" t="s">
        <v>979</v>
      </c>
      <c r="G570" s="1632">
        <v>4374.0443941676149</v>
      </c>
      <c r="H570" s="1632">
        <v>4151.91</v>
      </c>
      <c r="I570" s="1630">
        <f t="shared" ref="I570:I633" si="289">G570+H570</f>
        <v>8525.9543941676147</v>
      </c>
      <c r="J570" s="1630">
        <f t="shared" ref="J570:J633" si="290">D570*I570</f>
        <v>247252.67743086081</v>
      </c>
      <c r="K570" s="1631">
        <v>4915</v>
      </c>
      <c r="L570" s="1630">
        <f t="shared" ref="L570:L633" si="291">IF(I570&gt;K570,K570,I570)</f>
        <v>4915</v>
      </c>
      <c r="M570" s="1630">
        <f t="shared" ref="M570:M633" si="292">L570*D570</f>
        <v>142535</v>
      </c>
      <c r="N570" s="1625">
        <f t="shared" ref="N570:N633" si="293">J570-M570</f>
        <v>104717.67743086081</v>
      </c>
      <c r="O570" s="1629">
        <v>0.57030000000000003</v>
      </c>
      <c r="P570" s="1629">
        <v>0.42970000000000003</v>
      </c>
      <c r="Q570" s="1625">
        <f t="shared" ref="Q570:Q633" si="294">N570*O570</f>
        <v>59720.491438819925</v>
      </c>
      <c r="R570" s="1628">
        <f t="shared" ref="R570:R633" si="295">N570*P570</f>
        <v>44997.185992040897</v>
      </c>
      <c r="S570" s="1627">
        <f t="shared" ref="S570:S633" si="296">(G570*D570)-Q570</f>
        <v>67126.795992040905</v>
      </c>
      <c r="T570" s="1627">
        <f t="shared" ref="T570:T633" si="297">(H570*D570)-R570</f>
        <v>75408.20400795911</v>
      </c>
      <c r="U570" s="1626">
        <f t="shared" ref="U570:U633" si="298">S570/4</f>
        <v>16781.698998010226</v>
      </c>
      <c r="V570" s="1626">
        <f t="shared" ref="V570:V633" si="299">T570/4</f>
        <v>18852.051001989777</v>
      </c>
      <c r="W570" s="1625">
        <f t="shared" ref="W570:W633" si="300">V570+U570</f>
        <v>35633.75</v>
      </c>
      <c r="X570" s="1614"/>
      <c r="Y570" s="1613"/>
      <c r="Z570" s="1612">
        <f t="shared" ref="Z570:Z633" si="301">K570/I570</f>
        <v>0.57647505168010571</v>
      </c>
      <c r="AA570" s="1611"/>
      <c r="AB570" s="1611"/>
      <c r="AC570" s="1611"/>
      <c r="AD570" s="1611"/>
      <c r="AE570" s="1611"/>
      <c r="AF570" s="1611"/>
      <c r="AG570" s="1611"/>
      <c r="AH570" s="1611"/>
      <c r="AI570" s="1611"/>
      <c r="AJ570" s="1611"/>
      <c r="AK570" s="1611"/>
      <c r="AL570" s="1611"/>
      <c r="AM570" s="1611"/>
      <c r="AN570" s="1611"/>
      <c r="AO570" s="1611"/>
      <c r="AP570" s="1611"/>
      <c r="AQ570" s="1611"/>
    </row>
    <row r="571" spans="1:43" outlineLevel="2">
      <c r="A571" s="1638" t="s">
        <v>319</v>
      </c>
      <c r="B571" s="1637" t="s">
        <v>130</v>
      </c>
      <c r="C571" s="1636"/>
      <c r="D571" s="1635">
        <v>15</v>
      </c>
      <c r="E571" s="1634" t="s">
        <v>949</v>
      </c>
      <c r="F571" s="1633" t="s">
        <v>1070</v>
      </c>
      <c r="G571" s="1632">
        <v>4374.0443941676149</v>
      </c>
      <c r="H571" s="1632">
        <v>4151.91</v>
      </c>
      <c r="I571" s="1630">
        <f t="shared" si="289"/>
        <v>8525.9543941676147</v>
      </c>
      <c r="J571" s="1630">
        <f t="shared" si="290"/>
        <v>127889.31591251423</v>
      </c>
      <c r="K571" s="1631">
        <v>3665</v>
      </c>
      <c r="L571" s="1630">
        <f t="shared" si="291"/>
        <v>3665</v>
      </c>
      <c r="M571" s="1630">
        <f t="shared" si="292"/>
        <v>54975</v>
      </c>
      <c r="N571" s="1625">
        <f t="shared" si="293"/>
        <v>72914.315912514227</v>
      </c>
      <c r="O571" s="1629">
        <v>0.57030000000000003</v>
      </c>
      <c r="P571" s="1629">
        <v>0.42970000000000003</v>
      </c>
      <c r="Q571" s="1625">
        <f t="shared" si="294"/>
        <v>41583.034364906867</v>
      </c>
      <c r="R571" s="1628">
        <f t="shared" si="295"/>
        <v>31331.281547607367</v>
      </c>
      <c r="S571" s="1627">
        <f t="shared" si="296"/>
        <v>24027.631547607351</v>
      </c>
      <c r="T571" s="1627">
        <f t="shared" si="297"/>
        <v>30947.368452392628</v>
      </c>
      <c r="U571" s="1626">
        <f t="shared" si="298"/>
        <v>6006.9078869018376</v>
      </c>
      <c r="V571" s="1626">
        <f t="shared" si="299"/>
        <v>7736.8421130981569</v>
      </c>
      <c r="W571" s="1625">
        <f t="shared" si="300"/>
        <v>13743.749999999995</v>
      </c>
      <c r="X571" s="1614"/>
      <c r="Y571" s="1613"/>
      <c r="Z571" s="1612">
        <f t="shared" si="301"/>
        <v>0.42986389916736262</v>
      </c>
      <c r="AA571" s="1611"/>
      <c r="AB571" s="1611"/>
      <c r="AC571" s="1611"/>
      <c r="AD571" s="1611"/>
      <c r="AE571" s="1611"/>
      <c r="AF571" s="1611"/>
      <c r="AG571" s="1611"/>
      <c r="AH571" s="1611"/>
      <c r="AI571" s="1611"/>
      <c r="AJ571" s="1611"/>
      <c r="AK571" s="1611"/>
      <c r="AL571" s="1611"/>
      <c r="AM571" s="1611"/>
      <c r="AN571" s="1611"/>
      <c r="AO571" s="1611"/>
      <c r="AP571" s="1611"/>
      <c r="AQ571" s="1611"/>
    </row>
    <row r="572" spans="1:43" outlineLevel="2">
      <c r="A572" s="1638" t="s">
        <v>319</v>
      </c>
      <c r="B572" s="1637" t="s">
        <v>130</v>
      </c>
      <c r="C572" s="1636"/>
      <c r="D572" s="1635">
        <v>15</v>
      </c>
      <c r="E572" s="1634" t="s">
        <v>949</v>
      </c>
      <c r="F572" s="1633" t="s">
        <v>1069</v>
      </c>
      <c r="G572" s="1632">
        <v>4374.0443941676149</v>
      </c>
      <c r="H572" s="1632">
        <v>4151.91</v>
      </c>
      <c r="I572" s="1630">
        <f t="shared" si="289"/>
        <v>8525.9543941676147</v>
      </c>
      <c r="J572" s="1630">
        <f t="shared" si="290"/>
        <v>127889.31591251423</v>
      </c>
      <c r="K572" s="1631">
        <v>3665</v>
      </c>
      <c r="L572" s="1630">
        <f t="shared" si="291"/>
        <v>3665</v>
      </c>
      <c r="M572" s="1630">
        <f t="shared" si="292"/>
        <v>54975</v>
      </c>
      <c r="N572" s="1625">
        <f t="shared" si="293"/>
        <v>72914.315912514227</v>
      </c>
      <c r="O572" s="1629">
        <v>0.57030000000000003</v>
      </c>
      <c r="P572" s="1629">
        <v>0.42970000000000003</v>
      </c>
      <c r="Q572" s="1625">
        <f t="shared" si="294"/>
        <v>41583.034364906867</v>
      </c>
      <c r="R572" s="1628">
        <f t="shared" si="295"/>
        <v>31331.281547607367</v>
      </c>
      <c r="S572" s="1627">
        <f t="shared" si="296"/>
        <v>24027.631547607351</v>
      </c>
      <c r="T572" s="1627">
        <f t="shared" si="297"/>
        <v>30947.368452392628</v>
      </c>
      <c r="U572" s="1626">
        <f t="shared" si="298"/>
        <v>6006.9078869018376</v>
      </c>
      <c r="V572" s="1626">
        <f t="shared" si="299"/>
        <v>7736.8421130981569</v>
      </c>
      <c r="W572" s="1625">
        <f t="shared" si="300"/>
        <v>13743.749999999995</v>
      </c>
      <c r="X572" s="1614"/>
      <c r="Y572" s="1613"/>
      <c r="Z572" s="1612">
        <f t="shared" si="301"/>
        <v>0.42986389916736262</v>
      </c>
      <c r="AA572" s="1611"/>
      <c r="AB572" s="1611"/>
      <c r="AC572" s="1611"/>
      <c r="AD572" s="1611"/>
      <c r="AE572" s="1611"/>
      <c r="AF572" s="1611"/>
      <c r="AG572" s="1611"/>
      <c r="AH572" s="1611"/>
      <c r="AI572" s="1611"/>
      <c r="AJ572" s="1611"/>
      <c r="AK572" s="1611"/>
      <c r="AL572" s="1611"/>
      <c r="AM572" s="1611"/>
      <c r="AN572" s="1611"/>
      <c r="AO572" s="1611"/>
      <c r="AP572" s="1611"/>
      <c r="AQ572" s="1611"/>
    </row>
    <row r="573" spans="1:43" outlineLevel="2">
      <c r="A573" s="1638" t="s">
        <v>319</v>
      </c>
      <c r="B573" s="1637" t="s">
        <v>130</v>
      </c>
      <c r="C573" s="1636"/>
      <c r="D573" s="1635">
        <v>11</v>
      </c>
      <c r="E573" s="1634" t="s">
        <v>949</v>
      </c>
      <c r="F573" s="1633" t="s">
        <v>1068</v>
      </c>
      <c r="G573" s="1632">
        <v>4374.0443941676149</v>
      </c>
      <c r="H573" s="1632">
        <v>4151.91</v>
      </c>
      <c r="I573" s="1630">
        <f t="shared" si="289"/>
        <v>8525.9543941676147</v>
      </c>
      <c r="J573" s="1630">
        <f t="shared" si="290"/>
        <v>93785.49833584376</v>
      </c>
      <c r="K573" s="1631">
        <v>3665</v>
      </c>
      <c r="L573" s="1630">
        <f t="shared" si="291"/>
        <v>3665</v>
      </c>
      <c r="M573" s="1630">
        <f t="shared" si="292"/>
        <v>40315</v>
      </c>
      <c r="N573" s="1625">
        <f t="shared" si="293"/>
        <v>53470.49833584376</v>
      </c>
      <c r="O573" s="1629">
        <v>0.57030000000000003</v>
      </c>
      <c r="P573" s="1629">
        <v>0.42970000000000003</v>
      </c>
      <c r="Q573" s="1625">
        <f t="shared" si="294"/>
        <v>30494.225200931698</v>
      </c>
      <c r="R573" s="1628">
        <f t="shared" si="295"/>
        <v>22976.273134912066</v>
      </c>
      <c r="S573" s="1627">
        <f t="shared" si="296"/>
        <v>17620.263134912067</v>
      </c>
      <c r="T573" s="1627">
        <f t="shared" si="297"/>
        <v>22694.736865087929</v>
      </c>
      <c r="U573" s="1626">
        <f t="shared" si="298"/>
        <v>4405.0657837280169</v>
      </c>
      <c r="V573" s="1626">
        <f t="shared" si="299"/>
        <v>5673.6842162719822</v>
      </c>
      <c r="W573" s="1625">
        <f t="shared" si="300"/>
        <v>10078.75</v>
      </c>
      <c r="X573" s="1614"/>
      <c r="Y573" s="1613"/>
      <c r="Z573" s="1612">
        <f t="shared" si="301"/>
        <v>0.42986389916736262</v>
      </c>
      <c r="AA573" s="1611"/>
      <c r="AB573" s="1611"/>
      <c r="AC573" s="1611"/>
      <c r="AD573" s="1611"/>
      <c r="AE573" s="1611"/>
      <c r="AF573" s="1611"/>
      <c r="AG573" s="1611"/>
      <c r="AH573" s="1611"/>
      <c r="AI573" s="1611"/>
      <c r="AJ573" s="1611"/>
      <c r="AK573" s="1611"/>
      <c r="AL573" s="1611"/>
      <c r="AM573" s="1611"/>
      <c r="AN573" s="1611"/>
      <c r="AO573" s="1611"/>
      <c r="AP573" s="1611"/>
      <c r="AQ573" s="1611"/>
    </row>
    <row r="574" spans="1:43" outlineLevel="2">
      <c r="A574" s="1638" t="s">
        <v>319</v>
      </c>
      <c r="B574" s="1637" t="s">
        <v>130</v>
      </c>
      <c r="C574" s="1636"/>
      <c r="D574" s="1635">
        <v>3</v>
      </c>
      <c r="E574" s="1634" t="s">
        <v>949</v>
      </c>
      <c r="F574" s="1633" t="s">
        <v>1071</v>
      </c>
      <c r="G574" s="1632">
        <v>4374.0443941676149</v>
      </c>
      <c r="H574" s="1632">
        <v>4151.91</v>
      </c>
      <c r="I574" s="1630">
        <f t="shared" si="289"/>
        <v>8525.9543941676147</v>
      </c>
      <c r="J574" s="1630">
        <f t="shared" si="290"/>
        <v>25577.863182502842</v>
      </c>
      <c r="K574" s="1631">
        <v>3665</v>
      </c>
      <c r="L574" s="1630">
        <f t="shared" si="291"/>
        <v>3665</v>
      </c>
      <c r="M574" s="1630">
        <f t="shared" si="292"/>
        <v>10995</v>
      </c>
      <c r="N574" s="1625">
        <f t="shared" si="293"/>
        <v>14582.863182502842</v>
      </c>
      <c r="O574" s="1629">
        <v>0.57030000000000003</v>
      </c>
      <c r="P574" s="1629">
        <v>0.42970000000000003</v>
      </c>
      <c r="Q574" s="1625">
        <f t="shared" si="294"/>
        <v>8316.6068729813705</v>
      </c>
      <c r="R574" s="1628">
        <f t="shared" si="295"/>
        <v>6266.2563095214718</v>
      </c>
      <c r="S574" s="1627">
        <f t="shared" si="296"/>
        <v>4805.5263095214741</v>
      </c>
      <c r="T574" s="1627">
        <f t="shared" si="297"/>
        <v>6189.4736904785277</v>
      </c>
      <c r="U574" s="1626">
        <f t="shared" si="298"/>
        <v>1201.3815773803685</v>
      </c>
      <c r="V574" s="1626">
        <f t="shared" si="299"/>
        <v>1547.3684226196319</v>
      </c>
      <c r="W574" s="1625">
        <f t="shared" si="300"/>
        <v>2748.7500000000005</v>
      </c>
      <c r="X574" s="1614"/>
      <c r="Y574" s="1613"/>
      <c r="Z574" s="1612">
        <f t="shared" si="301"/>
        <v>0.42986389916736262</v>
      </c>
      <c r="AA574" s="1611"/>
      <c r="AB574" s="1611"/>
      <c r="AC574" s="1611"/>
      <c r="AD574" s="1611"/>
      <c r="AE574" s="1611"/>
      <c r="AF574" s="1611"/>
      <c r="AG574" s="1611"/>
      <c r="AH574" s="1611"/>
      <c r="AI574" s="1611"/>
      <c r="AJ574" s="1611"/>
      <c r="AK574" s="1611"/>
      <c r="AL574" s="1611"/>
      <c r="AM574" s="1611"/>
      <c r="AN574" s="1611"/>
      <c r="AO574" s="1611"/>
      <c r="AP574" s="1611"/>
      <c r="AQ574" s="1611"/>
    </row>
    <row r="575" spans="1:43" outlineLevel="2">
      <c r="A575" s="1638" t="s">
        <v>319</v>
      </c>
      <c r="B575" s="1637" t="s">
        <v>130</v>
      </c>
      <c r="C575" s="1636"/>
      <c r="D575" s="1635">
        <v>2</v>
      </c>
      <c r="E575" s="1634" t="s">
        <v>949</v>
      </c>
      <c r="F575" s="1633" t="s">
        <v>1065</v>
      </c>
      <c r="G575" s="1632">
        <v>4374.0443941676149</v>
      </c>
      <c r="H575" s="1632">
        <v>4151.91</v>
      </c>
      <c r="I575" s="1630">
        <f t="shared" si="289"/>
        <v>8525.9543941676147</v>
      </c>
      <c r="J575" s="1630">
        <f t="shared" si="290"/>
        <v>17051.908788335229</v>
      </c>
      <c r="K575" s="1631">
        <v>3665</v>
      </c>
      <c r="L575" s="1630">
        <f t="shared" si="291"/>
        <v>3665</v>
      </c>
      <c r="M575" s="1630">
        <f t="shared" si="292"/>
        <v>7330</v>
      </c>
      <c r="N575" s="1625">
        <f t="shared" si="293"/>
        <v>9721.9087883352295</v>
      </c>
      <c r="O575" s="1629">
        <v>0.57030000000000003</v>
      </c>
      <c r="P575" s="1629">
        <v>0.42970000000000003</v>
      </c>
      <c r="Q575" s="1625">
        <f t="shared" si="294"/>
        <v>5544.4045819875819</v>
      </c>
      <c r="R575" s="1628">
        <f t="shared" si="295"/>
        <v>4177.5042063476485</v>
      </c>
      <c r="S575" s="1627">
        <f t="shared" si="296"/>
        <v>3203.6842063476479</v>
      </c>
      <c r="T575" s="1627">
        <f t="shared" si="297"/>
        <v>4126.3157936523512</v>
      </c>
      <c r="U575" s="1626">
        <f t="shared" si="298"/>
        <v>800.92105158691197</v>
      </c>
      <c r="V575" s="1626">
        <f t="shared" si="299"/>
        <v>1031.5789484130878</v>
      </c>
      <c r="W575" s="1625">
        <f t="shared" si="300"/>
        <v>1832.4999999999998</v>
      </c>
      <c r="X575" s="1614"/>
      <c r="Y575" s="1613"/>
      <c r="Z575" s="1612">
        <f t="shared" si="301"/>
        <v>0.42986389916736262</v>
      </c>
      <c r="AA575" s="1611"/>
      <c r="AB575" s="1611"/>
      <c r="AC575" s="1611"/>
      <c r="AD575" s="1611"/>
      <c r="AE575" s="1611"/>
      <c r="AF575" s="1611"/>
      <c r="AG575" s="1611"/>
      <c r="AH575" s="1611"/>
      <c r="AI575" s="1611"/>
      <c r="AJ575" s="1611"/>
      <c r="AK575" s="1611"/>
      <c r="AL575" s="1611"/>
      <c r="AM575" s="1611"/>
      <c r="AN575" s="1611"/>
      <c r="AO575" s="1611"/>
      <c r="AP575" s="1611"/>
      <c r="AQ575" s="1611"/>
    </row>
    <row r="576" spans="1:43" outlineLevel="2">
      <c r="A576" s="1638" t="s">
        <v>319</v>
      </c>
      <c r="B576" s="1637" t="s">
        <v>130</v>
      </c>
      <c r="C576" s="1636"/>
      <c r="D576" s="1635">
        <v>19</v>
      </c>
      <c r="E576" s="1634" t="s">
        <v>949</v>
      </c>
      <c r="F576" s="1633" t="s">
        <v>979</v>
      </c>
      <c r="G576" s="1632">
        <v>4374.0443941676149</v>
      </c>
      <c r="H576" s="1632">
        <v>4151.91</v>
      </c>
      <c r="I576" s="1630">
        <f t="shared" si="289"/>
        <v>8525.9543941676147</v>
      </c>
      <c r="J576" s="1630">
        <f t="shared" si="290"/>
        <v>161993.13348918469</v>
      </c>
      <c r="K576" s="1631">
        <v>3715</v>
      </c>
      <c r="L576" s="1630">
        <f t="shared" si="291"/>
        <v>3715</v>
      </c>
      <c r="M576" s="1630">
        <f t="shared" si="292"/>
        <v>70585</v>
      </c>
      <c r="N576" s="1625">
        <f t="shared" si="293"/>
        <v>91408.133489184693</v>
      </c>
      <c r="O576" s="1629">
        <v>0.57030000000000003</v>
      </c>
      <c r="P576" s="1629">
        <v>0.42970000000000003</v>
      </c>
      <c r="Q576" s="1625">
        <f t="shared" si="294"/>
        <v>52130.058528882029</v>
      </c>
      <c r="R576" s="1628">
        <f t="shared" si="295"/>
        <v>39278.074960302663</v>
      </c>
      <c r="S576" s="1627">
        <f t="shared" si="296"/>
        <v>30976.784960302655</v>
      </c>
      <c r="T576" s="1627">
        <f t="shared" si="297"/>
        <v>39608.21503969733</v>
      </c>
      <c r="U576" s="1626">
        <f t="shared" si="298"/>
        <v>7744.1962400756638</v>
      </c>
      <c r="V576" s="1626">
        <f t="shared" si="299"/>
        <v>9902.0537599243326</v>
      </c>
      <c r="W576" s="1625">
        <f t="shared" si="300"/>
        <v>17646.249999999996</v>
      </c>
      <c r="X576" s="1614"/>
      <c r="Y576" s="1613"/>
      <c r="Z576" s="1612">
        <f t="shared" si="301"/>
        <v>0.43572834526787235</v>
      </c>
      <c r="AA576" s="1611"/>
      <c r="AB576" s="1611"/>
      <c r="AC576" s="1611"/>
      <c r="AD576" s="1611"/>
      <c r="AE576" s="1611"/>
      <c r="AF576" s="1611"/>
      <c r="AG576" s="1611"/>
      <c r="AH576" s="1611"/>
      <c r="AI576" s="1611"/>
      <c r="AJ576" s="1611"/>
      <c r="AK576" s="1611"/>
      <c r="AL576" s="1611"/>
      <c r="AM576" s="1611"/>
      <c r="AN576" s="1611"/>
      <c r="AO576" s="1611"/>
      <c r="AP576" s="1611"/>
      <c r="AQ576" s="1611"/>
    </row>
    <row r="577" spans="1:43" outlineLevel="2">
      <c r="A577" s="1638" t="s">
        <v>319</v>
      </c>
      <c r="B577" s="1637" t="s">
        <v>130</v>
      </c>
      <c r="C577" s="1636"/>
      <c r="D577" s="1635">
        <v>9</v>
      </c>
      <c r="E577" s="1634" t="s">
        <v>917</v>
      </c>
      <c r="F577" s="1633" t="s">
        <v>1070</v>
      </c>
      <c r="G577" s="1632">
        <v>4374.0443941676149</v>
      </c>
      <c r="H577" s="1632">
        <v>4151.91</v>
      </c>
      <c r="I577" s="1630">
        <f t="shared" si="289"/>
        <v>8525.9543941676147</v>
      </c>
      <c r="J577" s="1630">
        <f t="shared" si="290"/>
        <v>76733.589547508527</v>
      </c>
      <c r="K577" s="1631">
        <v>4580</v>
      </c>
      <c r="L577" s="1630">
        <f t="shared" si="291"/>
        <v>4580</v>
      </c>
      <c r="M577" s="1630">
        <f t="shared" si="292"/>
        <v>41220</v>
      </c>
      <c r="N577" s="1625">
        <f t="shared" si="293"/>
        <v>35513.589547508527</v>
      </c>
      <c r="O577" s="1629">
        <v>0.57030000000000003</v>
      </c>
      <c r="P577" s="1629">
        <v>0.42970000000000003</v>
      </c>
      <c r="Q577" s="1625">
        <f t="shared" si="294"/>
        <v>20253.400118944115</v>
      </c>
      <c r="R577" s="1628">
        <f t="shared" si="295"/>
        <v>15260.189428564416</v>
      </c>
      <c r="S577" s="1627">
        <f t="shared" si="296"/>
        <v>19112.999428564417</v>
      </c>
      <c r="T577" s="1627">
        <f t="shared" si="297"/>
        <v>22107.000571435587</v>
      </c>
      <c r="U577" s="1626">
        <f t="shared" si="298"/>
        <v>4778.2498571411043</v>
      </c>
      <c r="V577" s="1626">
        <f t="shared" si="299"/>
        <v>5526.7501428588967</v>
      </c>
      <c r="W577" s="1625">
        <f t="shared" si="300"/>
        <v>10305</v>
      </c>
      <c r="X577" s="1614"/>
      <c r="Y577" s="1613"/>
      <c r="Z577" s="1612">
        <f t="shared" si="301"/>
        <v>0.5371832628066906</v>
      </c>
      <c r="AA577" s="1611"/>
      <c r="AB577" s="1611"/>
      <c r="AC577" s="1611"/>
      <c r="AD577" s="1611"/>
      <c r="AE577" s="1611"/>
      <c r="AF577" s="1611"/>
      <c r="AG577" s="1611"/>
      <c r="AH577" s="1611"/>
      <c r="AI577" s="1611"/>
      <c r="AJ577" s="1611"/>
      <c r="AK577" s="1611"/>
      <c r="AL577" s="1611"/>
      <c r="AM577" s="1611"/>
      <c r="AN577" s="1611"/>
      <c r="AO577" s="1611"/>
      <c r="AP577" s="1611"/>
      <c r="AQ577" s="1611"/>
    </row>
    <row r="578" spans="1:43" outlineLevel="2">
      <c r="A578" s="1638" t="s">
        <v>319</v>
      </c>
      <c r="B578" s="1637" t="s">
        <v>130</v>
      </c>
      <c r="C578" s="1636"/>
      <c r="D578" s="1635">
        <v>7</v>
      </c>
      <c r="E578" s="1634" t="s">
        <v>917</v>
      </c>
      <c r="F578" s="1633" t="s">
        <v>1069</v>
      </c>
      <c r="G578" s="1632">
        <v>4374.0443941676149</v>
      </c>
      <c r="H578" s="1632">
        <v>4151.91</v>
      </c>
      <c r="I578" s="1630">
        <f t="shared" si="289"/>
        <v>8525.9543941676147</v>
      </c>
      <c r="J578" s="1630">
        <f t="shared" si="290"/>
        <v>59681.680759173301</v>
      </c>
      <c r="K578" s="1631">
        <v>4580</v>
      </c>
      <c r="L578" s="1630">
        <f t="shared" si="291"/>
        <v>4580</v>
      </c>
      <c r="M578" s="1630">
        <f t="shared" si="292"/>
        <v>32060</v>
      </c>
      <c r="N578" s="1625">
        <f t="shared" si="293"/>
        <v>27621.680759173301</v>
      </c>
      <c r="O578" s="1629">
        <v>0.57030000000000003</v>
      </c>
      <c r="P578" s="1629">
        <v>0.42970000000000003</v>
      </c>
      <c r="Q578" s="1625">
        <f t="shared" si="294"/>
        <v>15752.644536956535</v>
      </c>
      <c r="R578" s="1628">
        <f t="shared" si="295"/>
        <v>11869.036222216768</v>
      </c>
      <c r="S578" s="1627">
        <f t="shared" si="296"/>
        <v>14865.666222216771</v>
      </c>
      <c r="T578" s="1627">
        <f t="shared" si="297"/>
        <v>17194.333777783231</v>
      </c>
      <c r="U578" s="1626">
        <f t="shared" si="298"/>
        <v>3716.4165555541927</v>
      </c>
      <c r="V578" s="1626">
        <f t="shared" si="299"/>
        <v>4298.5834444458078</v>
      </c>
      <c r="W578" s="1625">
        <f t="shared" si="300"/>
        <v>8015</v>
      </c>
      <c r="X578" s="1614"/>
      <c r="Y578" s="1613"/>
      <c r="Z578" s="1612">
        <f t="shared" si="301"/>
        <v>0.5371832628066906</v>
      </c>
      <c r="AA578" s="1611"/>
      <c r="AB578" s="1611"/>
      <c r="AC578" s="1611"/>
      <c r="AD578" s="1611"/>
      <c r="AE578" s="1611"/>
      <c r="AF578" s="1611"/>
      <c r="AG578" s="1611"/>
      <c r="AH578" s="1611"/>
      <c r="AI578" s="1611"/>
      <c r="AJ578" s="1611"/>
      <c r="AK578" s="1611"/>
      <c r="AL578" s="1611"/>
      <c r="AM578" s="1611"/>
      <c r="AN578" s="1611"/>
      <c r="AO578" s="1611"/>
      <c r="AP578" s="1611"/>
      <c r="AQ578" s="1611"/>
    </row>
    <row r="579" spans="1:43" outlineLevel="2">
      <c r="A579" s="1638" t="s">
        <v>319</v>
      </c>
      <c r="B579" s="1637" t="s">
        <v>130</v>
      </c>
      <c r="C579" s="1636"/>
      <c r="D579" s="1635">
        <v>4</v>
      </c>
      <c r="E579" s="1634" t="s">
        <v>917</v>
      </c>
      <c r="F579" s="1633" t="s">
        <v>1068</v>
      </c>
      <c r="G579" s="1632">
        <v>4374.0443941676149</v>
      </c>
      <c r="H579" s="1632">
        <v>4151.91</v>
      </c>
      <c r="I579" s="1630">
        <f t="shared" si="289"/>
        <v>8525.9543941676147</v>
      </c>
      <c r="J579" s="1630">
        <f t="shared" si="290"/>
        <v>34103.817576670459</v>
      </c>
      <c r="K579" s="1631">
        <v>4580</v>
      </c>
      <c r="L579" s="1630">
        <f t="shared" si="291"/>
        <v>4580</v>
      </c>
      <c r="M579" s="1630">
        <f t="shared" si="292"/>
        <v>18320</v>
      </c>
      <c r="N579" s="1625">
        <f t="shared" si="293"/>
        <v>15783.817576670459</v>
      </c>
      <c r="O579" s="1629">
        <v>0.57030000000000003</v>
      </c>
      <c r="P579" s="1629">
        <v>0.42970000000000003</v>
      </c>
      <c r="Q579" s="1625">
        <f t="shared" si="294"/>
        <v>9001.5111639751631</v>
      </c>
      <c r="R579" s="1628">
        <f t="shared" si="295"/>
        <v>6782.3064126952968</v>
      </c>
      <c r="S579" s="1627">
        <f t="shared" si="296"/>
        <v>8494.6664126952965</v>
      </c>
      <c r="T579" s="1627">
        <f t="shared" si="297"/>
        <v>9825.3335873047035</v>
      </c>
      <c r="U579" s="1626">
        <f t="shared" si="298"/>
        <v>2123.6666031738241</v>
      </c>
      <c r="V579" s="1626">
        <f t="shared" si="299"/>
        <v>2456.3333968261759</v>
      </c>
      <c r="W579" s="1625">
        <f t="shared" si="300"/>
        <v>4580</v>
      </c>
      <c r="X579" s="1614"/>
      <c r="Y579" s="1613"/>
      <c r="Z579" s="1612">
        <f t="shared" si="301"/>
        <v>0.5371832628066906</v>
      </c>
      <c r="AA579" s="1611"/>
      <c r="AB579" s="1611"/>
      <c r="AC579" s="1611"/>
      <c r="AD579" s="1611"/>
      <c r="AE579" s="1611"/>
      <c r="AF579" s="1611"/>
      <c r="AG579" s="1611"/>
      <c r="AH579" s="1611"/>
      <c r="AI579" s="1611"/>
      <c r="AJ579" s="1611"/>
      <c r="AK579" s="1611"/>
      <c r="AL579" s="1611"/>
      <c r="AM579" s="1611"/>
      <c r="AN579" s="1611"/>
      <c r="AO579" s="1611"/>
      <c r="AP579" s="1611"/>
      <c r="AQ579" s="1611"/>
    </row>
    <row r="580" spans="1:43" outlineLevel="2">
      <c r="A580" s="1638" t="s">
        <v>319</v>
      </c>
      <c r="B580" s="1637" t="s">
        <v>130</v>
      </c>
      <c r="C580" s="1636"/>
      <c r="D580" s="1635">
        <v>6</v>
      </c>
      <c r="E580" s="1634" t="s">
        <v>917</v>
      </c>
      <c r="F580" s="1633" t="s">
        <v>1071</v>
      </c>
      <c r="G580" s="1632">
        <v>4374.0443941676149</v>
      </c>
      <c r="H580" s="1632">
        <v>4151.91</v>
      </c>
      <c r="I580" s="1630">
        <f t="shared" si="289"/>
        <v>8525.9543941676147</v>
      </c>
      <c r="J580" s="1630">
        <f t="shared" si="290"/>
        <v>51155.726365005685</v>
      </c>
      <c r="K580" s="1631">
        <v>4580</v>
      </c>
      <c r="L580" s="1630">
        <f t="shared" si="291"/>
        <v>4580</v>
      </c>
      <c r="M580" s="1630">
        <f t="shared" si="292"/>
        <v>27480</v>
      </c>
      <c r="N580" s="1625">
        <f t="shared" si="293"/>
        <v>23675.726365005685</v>
      </c>
      <c r="O580" s="1629">
        <v>0.57030000000000003</v>
      </c>
      <c r="P580" s="1629">
        <v>0.42970000000000003</v>
      </c>
      <c r="Q580" s="1625">
        <f t="shared" si="294"/>
        <v>13502.266745962743</v>
      </c>
      <c r="R580" s="1628">
        <f t="shared" si="295"/>
        <v>10173.459619042944</v>
      </c>
      <c r="S580" s="1627">
        <f t="shared" si="296"/>
        <v>12741.999619042947</v>
      </c>
      <c r="T580" s="1627">
        <f t="shared" si="297"/>
        <v>14738.000380957055</v>
      </c>
      <c r="U580" s="1626">
        <f t="shared" si="298"/>
        <v>3185.4999047607366</v>
      </c>
      <c r="V580" s="1626">
        <f t="shared" si="299"/>
        <v>3684.5000952392638</v>
      </c>
      <c r="W580" s="1625">
        <f t="shared" si="300"/>
        <v>6870</v>
      </c>
      <c r="X580" s="1614"/>
      <c r="Y580" s="1613"/>
      <c r="Z580" s="1612">
        <f t="shared" si="301"/>
        <v>0.5371832628066906</v>
      </c>
      <c r="AA580" s="1611"/>
      <c r="AB580" s="1611"/>
      <c r="AC580" s="1611"/>
      <c r="AD580" s="1611"/>
      <c r="AE580" s="1611"/>
      <c r="AF580" s="1611"/>
      <c r="AG580" s="1611"/>
      <c r="AH580" s="1611"/>
      <c r="AI580" s="1611"/>
      <c r="AJ580" s="1611"/>
      <c r="AK580" s="1611"/>
      <c r="AL580" s="1611"/>
      <c r="AM580" s="1611"/>
      <c r="AN580" s="1611"/>
      <c r="AO580" s="1611"/>
      <c r="AP580" s="1611"/>
      <c r="AQ580" s="1611"/>
    </row>
    <row r="581" spans="1:43" outlineLevel="2">
      <c r="A581" s="1638" t="s">
        <v>319</v>
      </c>
      <c r="B581" s="1637" t="s">
        <v>130</v>
      </c>
      <c r="C581" s="1636"/>
      <c r="D581" s="1635">
        <v>4</v>
      </c>
      <c r="E581" s="1634" t="s">
        <v>917</v>
      </c>
      <c r="F581" s="1633" t="s">
        <v>1065</v>
      </c>
      <c r="G581" s="1632">
        <v>4374.0443941676149</v>
      </c>
      <c r="H581" s="1632">
        <v>4151.91</v>
      </c>
      <c r="I581" s="1630">
        <f t="shared" si="289"/>
        <v>8525.9543941676147</v>
      </c>
      <c r="J581" s="1630">
        <f t="shared" si="290"/>
        <v>34103.817576670459</v>
      </c>
      <c r="K581" s="1631">
        <v>4580</v>
      </c>
      <c r="L581" s="1630">
        <f t="shared" si="291"/>
        <v>4580</v>
      </c>
      <c r="M581" s="1630">
        <f t="shared" si="292"/>
        <v>18320</v>
      </c>
      <c r="N581" s="1625">
        <f t="shared" si="293"/>
        <v>15783.817576670459</v>
      </c>
      <c r="O581" s="1629">
        <v>0.57030000000000003</v>
      </c>
      <c r="P581" s="1629">
        <v>0.42970000000000003</v>
      </c>
      <c r="Q581" s="1625">
        <f t="shared" si="294"/>
        <v>9001.5111639751631</v>
      </c>
      <c r="R581" s="1628">
        <f t="shared" si="295"/>
        <v>6782.3064126952968</v>
      </c>
      <c r="S581" s="1627">
        <f t="shared" si="296"/>
        <v>8494.6664126952965</v>
      </c>
      <c r="T581" s="1627">
        <f t="shared" si="297"/>
        <v>9825.3335873047035</v>
      </c>
      <c r="U581" s="1626">
        <f t="shared" si="298"/>
        <v>2123.6666031738241</v>
      </c>
      <c r="V581" s="1626">
        <f t="shared" si="299"/>
        <v>2456.3333968261759</v>
      </c>
      <c r="W581" s="1625">
        <f t="shared" si="300"/>
        <v>4580</v>
      </c>
      <c r="X581" s="1614"/>
      <c r="Y581" s="1613"/>
      <c r="Z581" s="1612">
        <f t="shared" si="301"/>
        <v>0.5371832628066906</v>
      </c>
      <c r="AA581" s="1611"/>
      <c r="AB581" s="1611"/>
      <c r="AC581" s="1611"/>
      <c r="AD581" s="1611"/>
      <c r="AE581" s="1611"/>
      <c r="AF581" s="1611"/>
      <c r="AG581" s="1611"/>
      <c r="AH581" s="1611"/>
      <c r="AI581" s="1611"/>
      <c r="AJ581" s="1611"/>
      <c r="AK581" s="1611"/>
      <c r="AL581" s="1611"/>
      <c r="AM581" s="1611"/>
      <c r="AN581" s="1611"/>
      <c r="AO581" s="1611"/>
      <c r="AP581" s="1611"/>
      <c r="AQ581" s="1611"/>
    </row>
    <row r="582" spans="1:43" outlineLevel="2">
      <c r="A582" s="1638" t="s">
        <v>319</v>
      </c>
      <c r="B582" s="1637" t="s">
        <v>130</v>
      </c>
      <c r="C582" s="1636"/>
      <c r="D582" s="1635">
        <v>7</v>
      </c>
      <c r="E582" s="1634" t="s">
        <v>917</v>
      </c>
      <c r="F582" s="1633" t="s">
        <v>1064</v>
      </c>
      <c r="G582" s="1632">
        <v>4374.0443941676149</v>
      </c>
      <c r="H582" s="1632">
        <v>4151.91</v>
      </c>
      <c r="I582" s="1630">
        <f t="shared" si="289"/>
        <v>8525.9543941676147</v>
      </c>
      <c r="J582" s="1630">
        <f t="shared" si="290"/>
        <v>59681.680759173301</v>
      </c>
      <c r="K582" s="1631">
        <v>4580</v>
      </c>
      <c r="L582" s="1630">
        <f t="shared" si="291"/>
        <v>4580</v>
      </c>
      <c r="M582" s="1630">
        <f t="shared" si="292"/>
        <v>32060</v>
      </c>
      <c r="N582" s="1625">
        <f t="shared" si="293"/>
        <v>27621.680759173301</v>
      </c>
      <c r="O582" s="1629">
        <v>0.57030000000000003</v>
      </c>
      <c r="P582" s="1629">
        <v>0.42970000000000003</v>
      </c>
      <c r="Q582" s="1625">
        <f t="shared" si="294"/>
        <v>15752.644536956535</v>
      </c>
      <c r="R582" s="1628">
        <f t="shared" si="295"/>
        <v>11869.036222216768</v>
      </c>
      <c r="S582" s="1627">
        <f t="shared" si="296"/>
        <v>14865.666222216771</v>
      </c>
      <c r="T582" s="1627">
        <f t="shared" si="297"/>
        <v>17194.333777783231</v>
      </c>
      <c r="U582" s="1626">
        <f t="shared" si="298"/>
        <v>3716.4165555541927</v>
      </c>
      <c r="V582" s="1626">
        <f t="shared" si="299"/>
        <v>4298.5834444458078</v>
      </c>
      <c r="W582" s="1625">
        <f t="shared" si="300"/>
        <v>8015</v>
      </c>
      <c r="X582" s="1614"/>
      <c r="Y582" s="1613"/>
      <c r="Z582" s="1612">
        <f t="shared" si="301"/>
        <v>0.5371832628066906</v>
      </c>
      <c r="AA582" s="1611"/>
      <c r="AB582" s="1611"/>
      <c r="AC582" s="1611"/>
      <c r="AD582" s="1611"/>
      <c r="AE582" s="1611"/>
      <c r="AF582" s="1611"/>
      <c r="AG582" s="1611"/>
      <c r="AH582" s="1611"/>
      <c r="AI582" s="1611"/>
      <c r="AJ582" s="1611"/>
      <c r="AK582" s="1611"/>
      <c r="AL582" s="1611"/>
      <c r="AM582" s="1611"/>
      <c r="AN582" s="1611"/>
      <c r="AO582" s="1611"/>
      <c r="AP582" s="1611"/>
      <c r="AQ582" s="1611"/>
    </row>
    <row r="583" spans="1:43" outlineLevel="2">
      <c r="A583" s="1638" t="s">
        <v>319</v>
      </c>
      <c r="B583" s="1637" t="s">
        <v>130</v>
      </c>
      <c r="C583" s="1636"/>
      <c r="D583" s="1635">
        <v>3</v>
      </c>
      <c r="E583" s="1634" t="s">
        <v>917</v>
      </c>
      <c r="F583" s="1633" t="s">
        <v>1063</v>
      </c>
      <c r="G583" s="1632">
        <v>4374.0443941676149</v>
      </c>
      <c r="H583" s="1632">
        <v>4151.91</v>
      </c>
      <c r="I583" s="1630">
        <f t="shared" si="289"/>
        <v>8525.9543941676147</v>
      </c>
      <c r="J583" s="1630">
        <f t="shared" si="290"/>
        <v>25577.863182502842</v>
      </c>
      <c r="K583" s="1631">
        <v>4580</v>
      </c>
      <c r="L583" s="1630">
        <f t="shared" si="291"/>
        <v>4580</v>
      </c>
      <c r="M583" s="1630">
        <f t="shared" si="292"/>
        <v>13740</v>
      </c>
      <c r="N583" s="1625">
        <f t="shared" si="293"/>
        <v>11837.863182502842</v>
      </c>
      <c r="O583" s="1629">
        <v>0.57030000000000003</v>
      </c>
      <c r="P583" s="1629">
        <v>0.42970000000000003</v>
      </c>
      <c r="Q583" s="1625">
        <f t="shared" si="294"/>
        <v>6751.1333729813714</v>
      </c>
      <c r="R583" s="1628">
        <f t="shared" si="295"/>
        <v>5086.7298095214719</v>
      </c>
      <c r="S583" s="1627">
        <f t="shared" si="296"/>
        <v>6370.9998095214733</v>
      </c>
      <c r="T583" s="1627">
        <f t="shared" si="297"/>
        <v>7369.0001904785277</v>
      </c>
      <c r="U583" s="1626">
        <f t="shared" si="298"/>
        <v>1592.7499523803683</v>
      </c>
      <c r="V583" s="1626">
        <f t="shared" si="299"/>
        <v>1842.2500476196319</v>
      </c>
      <c r="W583" s="1625">
        <f t="shared" si="300"/>
        <v>3435</v>
      </c>
      <c r="X583" s="1614"/>
      <c r="Y583" s="1613"/>
      <c r="Z583" s="1612">
        <f t="shared" si="301"/>
        <v>0.5371832628066906</v>
      </c>
      <c r="AA583" s="1611"/>
      <c r="AB583" s="1611"/>
      <c r="AC583" s="1611"/>
      <c r="AD583" s="1611"/>
      <c r="AE583" s="1611"/>
      <c r="AF583" s="1611"/>
      <c r="AG583" s="1611"/>
      <c r="AH583" s="1611"/>
      <c r="AI583" s="1611"/>
      <c r="AJ583" s="1611"/>
      <c r="AK583" s="1611"/>
      <c r="AL583" s="1611"/>
      <c r="AM583" s="1611"/>
      <c r="AN583" s="1611"/>
      <c r="AO583" s="1611"/>
      <c r="AP583" s="1611"/>
      <c r="AQ583" s="1611"/>
    </row>
    <row r="584" spans="1:43" outlineLevel="2">
      <c r="A584" s="1638" t="s">
        <v>319</v>
      </c>
      <c r="B584" s="1637" t="s">
        <v>130</v>
      </c>
      <c r="C584" s="1636"/>
      <c r="D584" s="1635">
        <v>1</v>
      </c>
      <c r="E584" s="1634" t="s">
        <v>917</v>
      </c>
      <c r="F584" s="1633" t="s">
        <v>1066</v>
      </c>
      <c r="G584" s="1632">
        <v>4374.0443941676149</v>
      </c>
      <c r="H584" s="1632">
        <v>4151.91</v>
      </c>
      <c r="I584" s="1630">
        <f t="shared" si="289"/>
        <v>8525.9543941676147</v>
      </c>
      <c r="J584" s="1630">
        <f t="shared" si="290"/>
        <v>8525.9543941676147</v>
      </c>
      <c r="K584" s="1631">
        <v>4580</v>
      </c>
      <c r="L584" s="1630">
        <f t="shared" si="291"/>
        <v>4580</v>
      </c>
      <c r="M584" s="1630">
        <f t="shared" si="292"/>
        <v>4580</v>
      </c>
      <c r="N584" s="1625">
        <f t="shared" si="293"/>
        <v>3945.9543941676147</v>
      </c>
      <c r="O584" s="1629">
        <v>0.57030000000000003</v>
      </c>
      <c r="P584" s="1629">
        <v>0.42970000000000003</v>
      </c>
      <c r="Q584" s="1625">
        <f t="shared" si="294"/>
        <v>2250.3777909937908</v>
      </c>
      <c r="R584" s="1628">
        <f t="shared" si="295"/>
        <v>1695.5766031738242</v>
      </c>
      <c r="S584" s="1627">
        <f t="shared" si="296"/>
        <v>2123.6666031738241</v>
      </c>
      <c r="T584" s="1627">
        <f t="shared" si="297"/>
        <v>2456.3333968261759</v>
      </c>
      <c r="U584" s="1626">
        <f t="shared" si="298"/>
        <v>530.91665079345603</v>
      </c>
      <c r="V584" s="1626">
        <f t="shared" si="299"/>
        <v>614.08334920654397</v>
      </c>
      <c r="W584" s="1625">
        <f t="shared" si="300"/>
        <v>1145</v>
      </c>
      <c r="X584" s="1614"/>
      <c r="Y584" s="1613"/>
      <c r="Z584" s="1612">
        <f t="shared" si="301"/>
        <v>0.5371832628066906</v>
      </c>
      <c r="AA584" s="1611"/>
      <c r="AB584" s="1611"/>
      <c r="AC584" s="1611"/>
      <c r="AD584" s="1611"/>
      <c r="AE584" s="1611"/>
      <c r="AF584" s="1611"/>
      <c r="AG584" s="1611"/>
      <c r="AH584" s="1611"/>
      <c r="AI584" s="1611"/>
      <c r="AJ584" s="1611"/>
      <c r="AK584" s="1611"/>
      <c r="AL584" s="1611"/>
      <c r="AM584" s="1611"/>
      <c r="AN584" s="1611"/>
      <c r="AO584" s="1611"/>
      <c r="AP584" s="1611"/>
      <c r="AQ584" s="1611"/>
    </row>
    <row r="585" spans="1:43" outlineLevel="2">
      <c r="A585" s="1638" t="s">
        <v>319</v>
      </c>
      <c r="B585" s="1637" t="s">
        <v>130</v>
      </c>
      <c r="C585" s="1636"/>
      <c r="D585" s="1635">
        <v>11</v>
      </c>
      <c r="E585" s="1634" t="s">
        <v>917</v>
      </c>
      <c r="F585" s="1633" t="s">
        <v>979</v>
      </c>
      <c r="G585" s="1632">
        <v>4374.0443941676149</v>
      </c>
      <c r="H585" s="1632">
        <v>4151.91</v>
      </c>
      <c r="I585" s="1630">
        <f t="shared" si="289"/>
        <v>8525.9543941676147</v>
      </c>
      <c r="J585" s="1630">
        <f t="shared" si="290"/>
        <v>93785.49833584376</v>
      </c>
      <c r="K585" s="1631">
        <v>4580</v>
      </c>
      <c r="L585" s="1630">
        <f t="shared" si="291"/>
        <v>4580</v>
      </c>
      <c r="M585" s="1630">
        <f t="shared" si="292"/>
        <v>50380</v>
      </c>
      <c r="N585" s="1625">
        <f t="shared" si="293"/>
        <v>43405.49833584376</v>
      </c>
      <c r="O585" s="1629">
        <v>0.57030000000000003</v>
      </c>
      <c r="P585" s="1629">
        <v>0.42970000000000003</v>
      </c>
      <c r="Q585" s="1625">
        <f t="shared" si="294"/>
        <v>24754.155700931697</v>
      </c>
      <c r="R585" s="1628">
        <f t="shared" si="295"/>
        <v>18651.342634912064</v>
      </c>
      <c r="S585" s="1627">
        <f t="shared" si="296"/>
        <v>23360.332634912069</v>
      </c>
      <c r="T585" s="1627">
        <f t="shared" si="297"/>
        <v>27019.667365087931</v>
      </c>
      <c r="U585" s="1626">
        <f t="shared" si="298"/>
        <v>5840.0831587280172</v>
      </c>
      <c r="V585" s="1626">
        <f t="shared" si="299"/>
        <v>6754.9168412719828</v>
      </c>
      <c r="W585" s="1625">
        <f t="shared" si="300"/>
        <v>12595</v>
      </c>
      <c r="X585" s="1614"/>
      <c r="Y585" s="1613"/>
      <c r="Z585" s="1612">
        <f t="shared" si="301"/>
        <v>0.5371832628066906</v>
      </c>
      <c r="AA585" s="1611"/>
      <c r="AB585" s="1611"/>
      <c r="AC585" s="1611"/>
      <c r="AD585" s="1611"/>
      <c r="AE585" s="1611"/>
      <c r="AF585" s="1611"/>
      <c r="AG585" s="1611"/>
      <c r="AH585" s="1611"/>
      <c r="AI585" s="1611"/>
      <c r="AJ585" s="1611"/>
      <c r="AK585" s="1611"/>
      <c r="AL585" s="1611"/>
      <c r="AM585" s="1611"/>
      <c r="AN585" s="1611"/>
      <c r="AO585" s="1611"/>
      <c r="AP585" s="1611"/>
      <c r="AQ585" s="1611"/>
    </row>
    <row r="586" spans="1:43" outlineLevel="2">
      <c r="A586" s="1638" t="s">
        <v>319</v>
      </c>
      <c r="B586" s="1637" t="s">
        <v>130</v>
      </c>
      <c r="C586" s="1636"/>
      <c r="D586" s="1635">
        <v>16</v>
      </c>
      <c r="E586" s="1634" t="s">
        <v>941</v>
      </c>
      <c r="F586" s="1633" t="s">
        <v>1064</v>
      </c>
      <c r="G586" s="1632">
        <v>4374.0443941676149</v>
      </c>
      <c r="H586" s="1632">
        <v>4151.91</v>
      </c>
      <c r="I586" s="1630">
        <f t="shared" si="289"/>
        <v>8525.9543941676147</v>
      </c>
      <c r="J586" s="1630">
        <f t="shared" si="290"/>
        <v>136415.27030668184</v>
      </c>
      <c r="K586" s="1631">
        <v>6600</v>
      </c>
      <c r="L586" s="1630">
        <f t="shared" si="291"/>
        <v>6600</v>
      </c>
      <c r="M586" s="1630">
        <f t="shared" si="292"/>
        <v>105600</v>
      </c>
      <c r="N586" s="1625">
        <f t="shared" si="293"/>
        <v>30815.270306681836</v>
      </c>
      <c r="O586" s="1629">
        <v>0.57030000000000003</v>
      </c>
      <c r="P586" s="1629">
        <v>0.42970000000000003</v>
      </c>
      <c r="Q586" s="1625">
        <f t="shared" si="294"/>
        <v>17573.948655900651</v>
      </c>
      <c r="R586" s="1628">
        <f t="shared" si="295"/>
        <v>13241.321650781185</v>
      </c>
      <c r="S586" s="1627">
        <f t="shared" si="296"/>
        <v>52410.761650781191</v>
      </c>
      <c r="T586" s="1627">
        <f t="shared" si="297"/>
        <v>53189.238349218809</v>
      </c>
      <c r="U586" s="1626">
        <f t="shared" si="298"/>
        <v>13102.690412695298</v>
      </c>
      <c r="V586" s="1626">
        <f t="shared" si="299"/>
        <v>13297.309587304702</v>
      </c>
      <c r="W586" s="1625">
        <f t="shared" si="300"/>
        <v>26400</v>
      </c>
      <c r="X586" s="1614"/>
      <c r="Y586" s="1613"/>
      <c r="Z586" s="1612">
        <f t="shared" si="301"/>
        <v>0.77410688526728333</v>
      </c>
      <c r="AA586" s="1611"/>
      <c r="AB586" s="1611"/>
      <c r="AC586" s="1611"/>
      <c r="AD586" s="1611"/>
      <c r="AE586" s="1611"/>
      <c r="AF586" s="1611"/>
      <c r="AG586" s="1611"/>
      <c r="AH586" s="1611"/>
      <c r="AI586" s="1611"/>
      <c r="AJ586" s="1611"/>
      <c r="AK586" s="1611"/>
      <c r="AL586" s="1611"/>
      <c r="AM586" s="1611"/>
      <c r="AN586" s="1611"/>
      <c r="AO586" s="1611"/>
      <c r="AP586" s="1611"/>
      <c r="AQ586" s="1611"/>
    </row>
    <row r="587" spans="1:43" outlineLevel="2">
      <c r="A587" s="1638" t="s">
        <v>319</v>
      </c>
      <c r="B587" s="1637" t="s">
        <v>130</v>
      </c>
      <c r="C587" s="1636"/>
      <c r="D587" s="1635">
        <v>2</v>
      </c>
      <c r="E587" s="1634" t="s">
        <v>941</v>
      </c>
      <c r="F587" s="1633" t="s">
        <v>1063</v>
      </c>
      <c r="G587" s="1632">
        <v>4374.0443941676149</v>
      </c>
      <c r="H587" s="1632">
        <v>4151.91</v>
      </c>
      <c r="I587" s="1630">
        <f t="shared" si="289"/>
        <v>8525.9543941676147</v>
      </c>
      <c r="J587" s="1630">
        <f t="shared" si="290"/>
        <v>17051.908788335229</v>
      </c>
      <c r="K587" s="1631">
        <v>6600</v>
      </c>
      <c r="L587" s="1630">
        <f t="shared" si="291"/>
        <v>6600</v>
      </c>
      <c r="M587" s="1630">
        <f t="shared" si="292"/>
        <v>13200</v>
      </c>
      <c r="N587" s="1625">
        <f t="shared" si="293"/>
        <v>3851.9087883352295</v>
      </c>
      <c r="O587" s="1629">
        <v>0.57030000000000003</v>
      </c>
      <c r="P587" s="1629">
        <v>0.42970000000000003</v>
      </c>
      <c r="Q587" s="1625">
        <f t="shared" si="294"/>
        <v>2196.7435819875814</v>
      </c>
      <c r="R587" s="1628">
        <f t="shared" si="295"/>
        <v>1655.1652063476481</v>
      </c>
      <c r="S587" s="1627">
        <f t="shared" si="296"/>
        <v>6551.3452063476489</v>
      </c>
      <c r="T587" s="1627">
        <f t="shared" si="297"/>
        <v>6648.6547936523511</v>
      </c>
      <c r="U587" s="1626">
        <f t="shared" si="298"/>
        <v>1637.8363015869122</v>
      </c>
      <c r="V587" s="1626">
        <f t="shared" si="299"/>
        <v>1662.1636984130878</v>
      </c>
      <c r="W587" s="1625">
        <f t="shared" si="300"/>
        <v>3300</v>
      </c>
      <c r="X587" s="1614"/>
      <c r="Y587" s="1613"/>
      <c r="Z587" s="1612">
        <f t="shared" si="301"/>
        <v>0.77410688526728333</v>
      </c>
      <c r="AA587" s="1611"/>
      <c r="AB587" s="1611"/>
      <c r="AC587" s="1611"/>
      <c r="AD587" s="1611"/>
      <c r="AE587" s="1611"/>
      <c r="AF587" s="1611"/>
      <c r="AG587" s="1611"/>
      <c r="AH587" s="1611"/>
      <c r="AI587" s="1611"/>
      <c r="AJ587" s="1611"/>
      <c r="AK587" s="1611"/>
      <c r="AL587" s="1611"/>
      <c r="AM587" s="1611"/>
      <c r="AN587" s="1611"/>
      <c r="AO587" s="1611"/>
      <c r="AP587" s="1611"/>
      <c r="AQ587" s="1611"/>
    </row>
    <row r="588" spans="1:43" outlineLevel="2">
      <c r="A588" s="1638" t="s">
        <v>319</v>
      </c>
      <c r="B588" s="1637" t="s">
        <v>130</v>
      </c>
      <c r="C588" s="1636"/>
      <c r="D588" s="1635">
        <v>3</v>
      </c>
      <c r="E588" s="1634" t="s">
        <v>941</v>
      </c>
      <c r="F588" s="1633" t="s">
        <v>1066</v>
      </c>
      <c r="G588" s="1632">
        <v>4374.0443941676149</v>
      </c>
      <c r="H588" s="1632">
        <v>4151.91</v>
      </c>
      <c r="I588" s="1630">
        <f t="shared" si="289"/>
        <v>8525.9543941676147</v>
      </c>
      <c r="J588" s="1630">
        <f t="shared" si="290"/>
        <v>25577.863182502842</v>
      </c>
      <c r="K588" s="1631">
        <v>6600</v>
      </c>
      <c r="L588" s="1630">
        <f t="shared" si="291"/>
        <v>6600</v>
      </c>
      <c r="M588" s="1630">
        <f t="shared" si="292"/>
        <v>19800</v>
      </c>
      <c r="N588" s="1625">
        <f t="shared" si="293"/>
        <v>5777.8631825028424</v>
      </c>
      <c r="O588" s="1629">
        <v>0.57030000000000003</v>
      </c>
      <c r="P588" s="1629">
        <v>0.42970000000000003</v>
      </c>
      <c r="Q588" s="1625">
        <f t="shared" si="294"/>
        <v>3295.1153729813714</v>
      </c>
      <c r="R588" s="1628">
        <f t="shared" si="295"/>
        <v>2482.7478095214715</v>
      </c>
      <c r="S588" s="1627">
        <f t="shared" si="296"/>
        <v>9827.0178095214724</v>
      </c>
      <c r="T588" s="1627">
        <f t="shared" si="297"/>
        <v>9972.9821904785276</v>
      </c>
      <c r="U588" s="1626">
        <f t="shared" si="298"/>
        <v>2456.7544523803681</v>
      </c>
      <c r="V588" s="1626">
        <f t="shared" si="299"/>
        <v>2493.2455476196319</v>
      </c>
      <c r="W588" s="1625">
        <f t="shared" si="300"/>
        <v>4950</v>
      </c>
      <c r="X588" s="1614"/>
      <c r="Y588" s="1613"/>
      <c r="Z588" s="1612">
        <f t="shared" si="301"/>
        <v>0.77410688526728333</v>
      </c>
      <c r="AA588" s="1611"/>
      <c r="AB588" s="1611"/>
      <c r="AC588" s="1611"/>
      <c r="AD588" s="1611"/>
      <c r="AE588" s="1611"/>
      <c r="AF588" s="1611"/>
      <c r="AG588" s="1611"/>
      <c r="AH588" s="1611"/>
      <c r="AI588" s="1611"/>
      <c r="AJ588" s="1611"/>
      <c r="AK588" s="1611"/>
      <c r="AL588" s="1611"/>
      <c r="AM588" s="1611"/>
      <c r="AN588" s="1611"/>
      <c r="AO588" s="1611"/>
      <c r="AP588" s="1611"/>
      <c r="AQ588" s="1611"/>
    </row>
    <row r="589" spans="1:43" outlineLevel="2">
      <c r="A589" s="1638" t="s">
        <v>319</v>
      </c>
      <c r="B589" s="1637" t="s">
        <v>130</v>
      </c>
      <c r="C589" s="1636"/>
      <c r="D589" s="1635">
        <v>13</v>
      </c>
      <c r="E589" s="1634" t="s">
        <v>968</v>
      </c>
      <c r="F589" s="1633" t="s">
        <v>1070</v>
      </c>
      <c r="G589" s="1632">
        <v>4374.0443941676149</v>
      </c>
      <c r="H589" s="1632">
        <v>4151.91</v>
      </c>
      <c r="I589" s="1630">
        <f t="shared" si="289"/>
        <v>8525.9543941676147</v>
      </c>
      <c r="J589" s="1630">
        <f t="shared" si="290"/>
        <v>110837.40712417899</v>
      </c>
      <c r="K589" s="1631">
        <v>8520</v>
      </c>
      <c r="L589" s="1630">
        <f t="shared" si="291"/>
        <v>8520</v>
      </c>
      <c r="M589" s="1630">
        <f t="shared" si="292"/>
        <v>110760</v>
      </c>
      <c r="N589" s="1625">
        <f t="shared" si="293"/>
        <v>77.407124178993399</v>
      </c>
      <c r="O589" s="1629">
        <v>0.57030000000000003</v>
      </c>
      <c r="P589" s="1629">
        <v>0.42970000000000003</v>
      </c>
      <c r="Q589" s="1625">
        <f t="shared" si="294"/>
        <v>44.145282919279936</v>
      </c>
      <c r="R589" s="1628">
        <f t="shared" si="295"/>
        <v>33.261841259713464</v>
      </c>
      <c r="S589" s="1627">
        <f t="shared" si="296"/>
        <v>56818.431841259713</v>
      </c>
      <c r="T589" s="1627">
        <f t="shared" si="297"/>
        <v>53941.568158740287</v>
      </c>
      <c r="U589" s="1626">
        <f t="shared" si="298"/>
        <v>14204.607960314928</v>
      </c>
      <c r="V589" s="1626">
        <f t="shared" si="299"/>
        <v>13485.392039685072</v>
      </c>
      <c r="W589" s="1625">
        <f t="shared" si="300"/>
        <v>27690</v>
      </c>
      <c r="X589" s="1614"/>
      <c r="Y589" s="1613"/>
      <c r="Z589" s="1612">
        <f t="shared" si="301"/>
        <v>0.9993016155268567</v>
      </c>
      <c r="AA589" s="1611"/>
      <c r="AB589" s="1611"/>
      <c r="AC589" s="1611"/>
      <c r="AD589" s="1611"/>
      <c r="AE589" s="1611"/>
      <c r="AF589" s="1611"/>
      <c r="AG589" s="1611"/>
      <c r="AH589" s="1611"/>
      <c r="AI589" s="1611"/>
      <c r="AJ589" s="1611"/>
      <c r="AK589" s="1611"/>
      <c r="AL589" s="1611"/>
      <c r="AM589" s="1611"/>
      <c r="AN589" s="1611"/>
      <c r="AO589" s="1611"/>
      <c r="AP589" s="1611"/>
      <c r="AQ589" s="1611"/>
    </row>
    <row r="590" spans="1:43" outlineLevel="2">
      <c r="A590" s="1638" t="s">
        <v>319</v>
      </c>
      <c r="B590" s="1637" t="s">
        <v>130</v>
      </c>
      <c r="C590" s="1636"/>
      <c r="D590" s="1635">
        <v>11</v>
      </c>
      <c r="E590" s="1634" t="s">
        <v>968</v>
      </c>
      <c r="F590" s="1633" t="s">
        <v>1069</v>
      </c>
      <c r="G590" s="1632">
        <v>4374.0443941676149</v>
      </c>
      <c r="H590" s="1632">
        <v>4151.91</v>
      </c>
      <c r="I590" s="1630">
        <f t="shared" si="289"/>
        <v>8525.9543941676147</v>
      </c>
      <c r="J590" s="1630">
        <f t="shared" si="290"/>
        <v>93785.49833584376</v>
      </c>
      <c r="K590" s="1631">
        <v>8520</v>
      </c>
      <c r="L590" s="1630">
        <f t="shared" si="291"/>
        <v>8520</v>
      </c>
      <c r="M590" s="1630">
        <f t="shared" si="292"/>
        <v>93720</v>
      </c>
      <c r="N590" s="1625">
        <f t="shared" si="293"/>
        <v>65.498335843760287</v>
      </c>
      <c r="O590" s="1629">
        <v>0.57030000000000003</v>
      </c>
      <c r="P590" s="1629">
        <v>0.42970000000000003</v>
      </c>
      <c r="Q590" s="1625">
        <f t="shared" si="294"/>
        <v>37.353700931696494</v>
      </c>
      <c r="R590" s="1628">
        <f t="shared" si="295"/>
        <v>28.144634912063797</v>
      </c>
      <c r="S590" s="1627">
        <f t="shared" si="296"/>
        <v>48077.134634912072</v>
      </c>
      <c r="T590" s="1627">
        <f t="shared" si="297"/>
        <v>45642.865365087928</v>
      </c>
      <c r="U590" s="1626">
        <f t="shared" si="298"/>
        <v>12019.283658728018</v>
      </c>
      <c r="V590" s="1626">
        <f t="shared" si="299"/>
        <v>11410.716341271982</v>
      </c>
      <c r="W590" s="1625">
        <f t="shared" si="300"/>
        <v>23430</v>
      </c>
      <c r="X590" s="1614"/>
      <c r="Y590" s="1613"/>
      <c r="Z590" s="1612">
        <f t="shared" si="301"/>
        <v>0.9993016155268567</v>
      </c>
      <c r="AA590" s="1611"/>
      <c r="AB590" s="1611"/>
      <c r="AC590" s="1611"/>
      <c r="AD590" s="1611"/>
      <c r="AE590" s="1611"/>
      <c r="AF590" s="1611"/>
      <c r="AG590" s="1611"/>
      <c r="AH590" s="1611"/>
      <c r="AI590" s="1611"/>
      <c r="AJ590" s="1611"/>
      <c r="AK590" s="1611"/>
      <c r="AL590" s="1611"/>
      <c r="AM590" s="1611"/>
      <c r="AN590" s="1611"/>
      <c r="AO590" s="1611"/>
      <c r="AP590" s="1611"/>
      <c r="AQ590" s="1611"/>
    </row>
    <row r="591" spans="1:43" outlineLevel="2">
      <c r="A591" s="1638" t="s">
        <v>319</v>
      </c>
      <c r="B591" s="1637" t="s">
        <v>130</v>
      </c>
      <c r="C591" s="1636"/>
      <c r="D591" s="1635">
        <v>12</v>
      </c>
      <c r="E591" s="1634" t="s">
        <v>968</v>
      </c>
      <c r="F591" s="1633" t="s">
        <v>1068</v>
      </c>
      <c r="G591" s="1632">
        <v>4374.0443941676149</v>
      </c>
      <c r="H591" s="1632">
        <v>4151.91</v>
      </c>
      <c r="I591" s="1630">
        <f t="shared" si="289"/>
        <v>8525.9543941676147</v>
      </c>
      <c r="J591" s="1630">
        <f t="shared" si="290"/>
        <v>102311.45273001137</v>
      </c>
      <c r="K591" s="1631">
        <v>8520</v>
      </c>
      <c r="L591" s="1630">
        <f t="shared" si="291"/>
        <v>8520</v>
      </c>
      <c r="M591" s="1630">
        <f t="shared" si="292"/>
        <v>102240</v>
      </c>
      <c r="N591" s="1625">
        <f t="shared" si="293"/>
        <v>71.452730011369567</v>
      </c>
      <c r="O591" s="1629">
        <v>0.57030000000000003</v>
      </c>
      <c r="P591" s="1629">
        <v>0.42970000000000003</v>
      </c>
      <c r="Q591" s="1625">
        <f t="shared" si="294"/>
        <v>40.749491925484065</v>
      </c>
      <c r="R591" s="1628">
        <f t="shared" si="295"/>
        <v>30.703238085885506</v>
      </c>
      <c r="S591" s="1627">
        <f t="shared" si="296"/>
        <v>52447.783238085896</v>
      </c>
      <c r="T591" s="1627">
        <f t="shared" si="297"/>
        <v>49792.216761914111</v>
      </c>
      <c r="U591" s="1626">
        <f t="shared" si="298"/>
        <v>13111.945809521474</v>
      </c>
      <c r="V591" s="1626">
        <f t="shared" si="299"/>
        <v>12448.054190478528</v>
      </c>
      <c r="W591" s="1625">
        <f t="shared" si="300"/>
        <v>25560</v>
      </c>
      <c r="X591" s="1614"/>
      <c r="Y591" s="1613"/>
      <c r="Z591" s="1612">
        <f t="shared" si="301"/>
        <v>0.9993016155268567</v>
      </c>
      <c r="AA591" s="1611"/>
      <c r="AB591" s="1611"/>
      <c r="AC591" s="1611"/>
      <c r="AD591" s="1611"/>
      <c r="AE591" s="1611"/>
      <c r="AF591" s="1611"/>
      <c r="AG591" s="1611"/>
      <c r="AH591" s="1611"/>
      <c r="AI591" s="1611"/>
      <c r="AJ591" s="1611"/>
      <c r="AK591" s="1611"/>
      <c r="AL591" s="1611"/>
      <c r="AM591" s="1611"/>
      <c r="AN591" s="1611"/>
      <c r="AO591" s="1611"/>
      <c r="AP591" s="1611"/>
      <c r="AQ591" s="1611"/>
    </row>
    <row r="592" spans="1:43" outlineLevel="2">
      <c r="A592" s="1638" t="s">
        <v>319</v>
      </c>
      <c r="B592" s="1637" t="s">
        <v>130</v>
      </c>
      <c r="C592" s="1636"/>
      <c r="D592" s="1635">
        <v>12</v>
      </c>
      <c r="E592" s="1634" t="s">
        <v>968</v>
      </c>
      <c r="F592" s="1633" t="s">
        <v>1071</v>
      </c>
      <c r="G592" s="1632">
        <v>4374.0443941676149</v>
      </c>
      <c r="H592" s="1632">
        <v>4151.91</v>
      </c>
      <c r="I592" s="1630">
        <f t="shared" si="289"/>
        <v>8525.9543941676147</v>
      </c>
      <c r="J592" s="1630">
        <f t="shared" si="290"/>
        <v>102311.45273001137</v>
      </c>
      <c r="K592" s="1631">
        <v>8520</v>
      </c>
      <c r="L592" s="1630">
        <f t="shared" si="291"/>
        <v>8520</v>
      </c>
      <c r="M592" s="1630">
        <f t="shared" si="292"/>
        <v>102240</v>
      </c>
      <c r="N592" s="1625">
        <f t="shared" si="293"/>
        <v>71.452730011369567</v>
      </c>
      <c r="O592" s="1629">
        <v>0.57030000000000003</v>
      </c>
      <c r="P592" s="1629">
        <v>0.42970000000000003</v>
      </c>
      <c r="Q592" s="1625">
        <f t="shared" si="294"/>
        <v>40.749491925484065</v>
      </c>
      <c r="R592" s="1628">
        <f t="shared" si="295"/>
        <v>30.703238085885506</v>
      </c>
      <c r="S592" s="1627">
        <f t="shared" si="296"/>
        <v>52447.783238085896</v>
      </c>
      <c r="T592" s="1627">
        <f t="shared" si="297"/>
        <v>49792.216761914111</v>
      </c>
      <c r="U592" s="1626">
        <f t="shared" si="298"/>
        <v>13111.945809521474</v>
      </c>
      <c r="V592" s="1626">
        <f t="shared" si="299"/>
        <v>12448.054190478528</v>
      </c>
      <c r="W592" s="1625">
        <f t="shared" si="300"/>
        <v>25560</v>
      </c>
      <c r="X592" s="1614"/>
      <c r="Y592" s="1613"/>
      <c r="Z592" s="1612">
        <f t="shared" si="301"/>
        <v>0.9993016155268567</v>
      </c>
      <c r="AA592" s="1611"/>
      <c r="AB592" s="1611"/>
      <c r="AC592" s="1611"/>
      <c r="AD592" s="1611"/>
      <c r="AE592" s="1611"/>
      <c r="AF592" s="1611"/>
      <c r="AG592" s="1611"/>
      <c r="AH592" s="1611"/>
      <c r="AI592" s="1611"/>
      <c r="AJ592" s="1611"/>
      <c r="AK592" s="1611"/>
      <c r="AL592" s="1611"/>
      <c r="AM592" s="1611"/>
      <c r="AN592" s="1611"/>
      <c r="AO592" s="1611"/>
      <c r="AP592" s="1611"/>
      <c r="AQ592" s="1611"/>
    </row>
    <row r="593" spans="1:43" outlineLevel="2">
      <c r="A593" s="1638" t="s">
        <v>319</v>
      </c>
      <c r="B593" s="1637" t="s">
        <v>130</v>
      </c>
      <c r="C593" s="1636"/>
      <c r="D593" s="1635">
        <v>14</v>
      </c>
      <c r="E593" s="1634" t="s">
        <v>968</v>
      </c>
      <c r="F593" s="1633" t="s">
        <v>979</v>
      </c>
      <c r="G593" s="1632">
        <v>4374.0443941676149</v>
      </c>
      <c r="H593" s="1632">
        <v>4151.91</v>
      </c>
      <c r="I593" s="1630">
        <f t="shared" si="289"/>
        <v>8525.9543941676147</v>
      </c>
      <c r="J593" s="1630">
        <f t="shared" si="290"/>
        <v>119363.3615183466</v>
      </c>
      <c r="K593" s="1631">
        <v>8520</v>
      </c>
      <c r="L593" s="1630">
        <f t="shared" si="291"/>
        <v>8520</v>
      </c>
      <c r="M593" s="1630">
        <f t="shared" si="292"/>
        <v>119280</v>
      </c>
      <c r="N593" s="1625">
        <f t="shared" si="293"/>
        <v>83.361518346602679</v>
      </c>
      <c r="O593" s="1629">
        <v>0.57030000000000003</v>
      </c>
      <c r="P593" s="1629">
        <v>0.42970000000000003</v>
      </c>
      <c r="Q593" s="1625">
        <f t="shared" si="294"/>
        <v>47.541073913067507</v>
      </c>
      <c r="R593" s="1628">
        <f t="shared" si="295"/>
        <v>35.820444433535172</v>
      </c>
      <c r="S593" s="1627">
        <f t="shared" si="296"/>
        <v>61189.080444433544</v>
      </c>
      <c r="T593" s="1627">
        <f t="shared" si="297"/>
        <v>58090.919555566463</v>
      </c>
      <c r="U593" s="1626">
        <f t="shared" si="298"/>
        <v>15297.270111108386</v>
      </c>
      <c r="V593" s="1626">
        <f t="shared" si="299"/>
        <v>14522.729888891616</v>
      </c>
      <c r="W593" s="1625">
        <f t="shared" si="300"/>
        <v>29820</v>
      </c>
      <c r="X593" s="1614"/>
      <c r="Y593" s="1613"/>
      <c r="Z593" s="1612">
        <f t="shared" si="301"/>
        <v>0.9993016155268567</v>
      </c>
      <c r="AA593" s="1611"/>
      <c r="AB593" s="1611"/>
      <c r="AC593" s="1611"/>
      <c r="AD593" s="1611"/>
      <c r="AE593" s="1611"/>
      <c r="AF593" s="1611"/>
      <c r="AG593" s="1611"/>
      <c r="AH593" s="1611"/>
      <c r="AI593" s="1611"/>
      <c r="AJ593" s="1611"/>
      <c r="AK593" s="1611"/>
      <c r="AL593" s="1611"/>
      <c r="AM593" s="1611"/>
      <c r="AN593" s="1611"/>
      <c r="AO593" s="1611"/>
      <c r="AP593" s="1611"/>
      <c r="AQ593" s="1611"/>
    </row>
    <row r="594" spans="1:43" outlineLevel="2">
      <c r="A594" s="1638" t="s">
        <v>319</v>
      </c>
      <c r="B594" s="1637" t="s">
        <v>130</v>
      </c>
      <c r="C594" s="1636"/>
      <c r="D594" s="1635">
        <v>15</v>
      </c>
      <c r="E594" s="1634" t="s">
        <v>956</v>
      </c>
      <c r="F594" s="1633" t="s">
        <v>1070</v>
      </c>
      <c r="G594" s="1632">
        <v>4374.0443941676149</v>
      </c>
      <c r="H594" s="1632">
        <v>4151.91</v>
      </c>
      <c r="I594" s="1630">
        <f t="shared" si="289"/>
        <v>8525.9543941676147</v>
      </c>
      <c r="J594" s="1630">
        <f t="shared" si="290"/>
        <v>127889.31591251423</v>
      </c>
      <c r="K594" s="1631">
        <v>7400</v>
      </c>
      <c r="L594" s="1630">
        <f t="shared" si="291"/>
        <v>7400</v>
      </c>
      <c r="M594" s="1630">
        <f t="shared" si="292"/>
        <v>111000</v>
      </c>
      <c r="N594" s="1625">
        <f t="shared" si="293"/>
        <v>16889.315912514227</v>
      </c>
      <c r="O594" s="1629">
        <v>0.57030000000000003</v>
      </c>
      <c r="P594" s="1629">
        <v>0.42970000000000003</v>
      </c>
      <c r="Q594" s="1625">
        <f t="shared" si="294"/>
        <v>9631.9768649068646</v>
      </c>
      <c r="R594" s="1628">
        <f t="shared" si="295"/>
        <v>7257.3390476073637</v>
      </c>
      <c r="S594" s="1627">
        <f t="shared" si="296"/>
        <v>55978.689047607353</v>
      </c>
      <c r="T594" s="1627">
        <f t="shared" si="297"/>
        <v>55021.310952392632</v>
      </c>
      <c r="U594" s="1626">
        <f t="shared" si="298"/>
        <v>13994.672261901838</v>
      </c>
      <c r="V594" s="1626">
        <f t="shared" si="299"/>
        <v>13755.327738098158</v>
      </c>
      <c r="W594" s="1625">
        <f t="shared" si="300"/>
        <v>27749.999999999996</v>
      </c>
      <c r="X594" s="1614"/>
      <c r="Y594" s="1613"/>
      <c r="Z594" s="1612">
        <f t="shared" si="301"/>
        <v>0.86793802287543886</v>
      </c>
      <c r="AA594" s="1611"/>
      <c r="AB594" s="1611"/>
      <c r="AC594" s="1611"/>
      <c r="AD594" s="1611"/>
      <c r="AE594" s="1611"/>
      <c r="AF594" s="1611"/>
      <c r="AG594" s="1611"/>
      <c r="AH594" s="1611"/>
      <c r="AI594" s="1611"/>
      <c r="AJ594" s="1611"/>
      <c r="AK594" s="1611"/>
      <c r="AL594" s="1611"/>
      <c r="AM594" s="1611"/>
      <c r="AN594" s="1611"/>
      <c r="AO594" s="1611"/>
      <c r="AP594" s="1611"/>
      <c r="AQ594" s="1611"/>
    </row>
    <row r="595" spans="1:43" outlineLevel="2">
      <c r="A595" s="1638" t="s">
        <v>319</v>
      </c>
      <c r="B595" s="1637" t="s">
        <v>130</v>
      </c>
      <c r="C595" s="1636"/>
      <c r="D595" s="1635">
        <v>12</v>
      </c>
      <c r="E595" s="1634" t="s">
        <v>956</v>
      </c>
      <c r="F595" s="1633" t="s">
        <v>1069</v>
      </c>
      <c r="G595" s="1632">
        <v>4374.0443941676149</v>
      </c>
      <c r="H595" s="1632">
        <v>4151.91</v>
      </c>
      <c r="I595" s="1630">
        <f t="shared" si="289"/>
        <v>8525.9543941676147</v>
      </c>
      <c r="J595" s="1630">
        <f t="shared" si="290"/>
        <v>102311.45273001137</v>
      </c>
      <c r="K595" s="1631">
        <v>7400</v>
      </c>
      <c r="L595" s="1630">
        <f t="shared" si="291"/>
        <v>7400</v>
      </c>
      <c r="M595" s="1630">
        <f t="shared" si="292"/>
        <v>88800</v>
      </c>
      <c r="N595" s="1625">
        <f t="shared" si="293"/>
        <v>13511.45273001137</v>
      </c>
      <c r="O595" s="1629">
        <v>0.57030000000000003</v>
      </c>
      <c r="P595" s="1629">
        <v>0.42970000000000003</v>
      </c>
      <c r="Q595" s="1625">
        <f t="shared" si="294"/>
        <v>7705.5814919254844</v>
      </c>
      <c r="R595" s="1628">
        <f t="shared" si="295"/>
        <v>5805.871238085886</v>
      </c>
      <c r="S595" s="1627">
        <f t="shared" si="296"/>
        <v>44782.951238085894</v>
      </c>
      <c r="T595" s="1627">
        <f t="shared" si="297"/>
        <v>44017.048761914113</v>
      </c>
      <c r="U595" s="1626">
        <f t="shared" si="298"/>
        <v>11195.737809521474</v>
      </c>
      <c r="V595" s="1626">
        <f t="shared" si="299"/>
        <v>11004.262190478528</v>
      </c>
      <c r="W595" s="1625">
        <f t="shared" si="300"/>
        <v>22200</v>
      </c>
      <c r="X595" s="1614"/>
      <c r="Y595" s="1613"/>
      <c r="Z595" s="1612">
        <f t="shared" si="301"/>
        <v>0.86793802287543886</v>
      </c>
      <c r="AA595" s="1611"/>
      <c r="AB595" s="1611"/>
      <c r="AC595" s="1611"/>
      <c r="AD595" s="1611"/>
      <c r="AE595" s="1611"/>
      <c r="AF595" s="1611"/>
      <c r="AG595" s="1611"/>
      <c r="AH595" s="1611"/>
      <c r="AI595" s="1611"/>
      <c r="AJ595" s="1611"/>
      <c r="AK595" s="1611"/>
      <c r="AL595" s="1611"/>
      <c r="AM595" s="1611"/>
      <c r="AN595" s="1611"/>
      <c r="AO595" s="1611"/>
      <c r="AP595" s="1611"/>
      <c r="AQ595" s="1611"/>
    </row>
    <row r="596" spans="1:43" outlineLevel="2">
      <c r="A596" s="1638" t="s">
        <v>319</v>
      </c>
      <c r="B596" s="1637" t="s">
        <v>130</v>
      </c>
      <c r="C596" s="1636"/>
      <c r="D596" s="1635">
        <v>9</v>
      </c>
      <c r="E596" s="1634" t="s">
        <v>956</v>
      </c>
      <c r="F596" s="1633" t="s">
        <v>1068</v>
      </c>
      <c r="G596" s="1632">
        <v>4374.0443941676149</v>
      </c>
      <c r="H596" s="1632">
        <v>4151.91</v>
      </c>
      <c r="I596" s="1630">
        <f t="shared" si="289"/>
        <v>8525.9543941676147</v>
      </c>
      <c r="J596" s="1630">
        <f t="shared" si="290"/>
        <v>76733.589547508527</v>
      </c>
      <c r="K596" s="1631">
        <v>7400</v>
      </c>
      <c r="L596" s="1630">
        <f t="shared" si="291"/>
        <v>7400</v>
      </c>
      <c r="M596" s="1630">
        <f t="shared" si="292"/>
        <v>66600</v>
      </c>
      <c r="N596" s="1625">
        <f t="shared" si="293"/>
        <v>10133.589547508527</v>
      </c>
      <c r="O596" s="1629">
        <v>0.57030000000000003</v>
      </c>
      <c r="P596" s="1629">
        <v>0.42970000000000003</v>
      </c>
      <c r="Q596" s="1625">
        <f t="shared" si="294"/>
        <v>5779.1861189441133</v>
      </c>
      <c r="R596" s="1628">
        <f t="shared" si="295"/>
        <v>4354.4034285644148</v>
      </c>
      <c r="S596" s="1627">
        <f t="shared" si="296"/>
        <v>33587.213428564421</v>
      </c>
      <c r="T596" s="1627">
        <f t="shared" si="297"/>
        <v>33012.786571435587</v>
      </c>
      <c r="U596" s="1626">
        <f t="shared" si="298"/>
        <v>8396.8033571411052</v>
      </c>
      <c r="V596" s="1626">
        <f t="shared" si="299"/>
        <v>8253.1966428588967</v>
      </c>
      <c r="W596" s="1625">
        <f t="shared" si="300"/>
        <v>16650</v>
      </c>
      <c r="X596" s="1614"/>
      <c r="Y596" s="1613"/>
      <c r="Z596" s="1612">
        <f t="shared" si="301"/>
        <v>0.86793802287543886</v>
      </c>
      <c r="AA596" s="1611"/>
      <c r="AB596" s="1611"/>
      <c r="AC596" s="1611"/>
      <c r="AD596" s="1611"/>
      <c r="AE596" s="1611"/>
      <c r="AF596" s="1611"/>
      <c r="AG596" s="1611"/>
      <c r="AH596" s="1611"/>
      <c r="AI596" s="1611"/>
      <c r="AJ596" s="1611"/>
      <c r="AK596" s="1611"/>
      <c r="AL596" s="1611"/>
      <c r="AM596" s="1611"/>
      <c r="AN596" s="1611"/>
      <c r="AO596" s="1611"/>
      <c r="AP596" s="1611"/>
      <c r="AQ596" s="1611"/>
    </row>
    <row r="597" spans="1:43" outlineLevel="2">
      <c r="A597" s="1638" t="s">
        <v>319</v>
      </c>
      <c r="B597" s="1637" t="s">
        <v>130</v>
      </c>
      <c r="C597" s="1636"/>
      <c r="D597" s="1635">
        <v>1</v>
      </c>
      <c r="E597" s="1634" t="s">
        <v>956</v>
      </c>
      <c r="F597" s="1633" t="s">
        <v>1071</v>
      </c>
      <c r="G597" s="1632">
        <v>4374.0443941676149</v>
      </c>
      <c r="H597" s="1632">
        <v>4151.91</v>
      </c>
      <c r="I597" s="1630">
        <f t="shared" si="289"/>
        <v>8525.9543941676147</v>
      </c>
      <c r="J597" s="1630">
        <f t="shared" si="290"/>
        <v>8525.9543941676147</v>
      </c>
      <c r="K597" s="1631">
        <v>7400</v>
      </c>
      <c r="L597" s="1630">
        <f t="shared" si="291"/>
        <v>7400</v>
      </c>
      <c r="M597" s="1630">
        <f t="shared" si="292"/>
        <v>7400</v>
      </c>
      <c r="N597" s="1625">
        <f t="shared" si="293"/>
        <v>1125.9543941676147</v>
      </c>
      <c r="O597" s="1629">
        <v>0.57030000000000003</v>
      </c>
      <c r="P597" s="1629">
        <v>0.42970000000000003</v>
      </c>
      <c r="Q597" s="1625">
        <f t="shared" si="294"/>
        <v>642.13179099379067</v>
      </c>
      <c r="R597" s="1628">
        <f t="shared" si="295"/>
        <v>483.82260317382406</v>
      </c>
      <c r="S597" s="1627">
        <f t="shared" si="296"/>
        <v>3731.9126031738242</v>
      </c>
      <c r="T597" s="1627">
        <f t="shared" si="297"/>
        <v>3668.0873968261758</v>
      </c>
      <c r="U597" s="1626">
        <f t="shared" si="298"/>
        <v>932.97815079345605</v>
      </c>
      <c r="V597" s="1626">
        <f t="shared" si="299"/>
        <v>917.02184920654395</v>
      </c>
      <c r="W597" s="1625">
        <f t="shared" si="300"/>
        <v>1850</v>
      </c>
      <c r="X597" s="1614"/>
      <c r="Y597" s="1613"/>
      <c r="Z597" s="1612">
        <f t="shared" si="301"/>
        <v>0.86793802287543886</v>
      </c>
      <c r="AA597" s="1611"/>
      <c r="AB597" s="1611"/>
      <c r="AC597" s="1611"/>
      <c r="AD597" s="1611"/>
      <c r="AE597" s="1611"/>
      <c r="AF597" s="1611"/>
      <c r="AG597" s="1611"/>
      <c r="AH597" s="1611"/>
      <c r="AI597" s="1611"/>
      <c r="AJ597" s="1611"/>
      <c r="AK597" s="1611"/>
      <c r="AL597" s="1611"/>
      <c r="AM597" s="1611"/>
      <c r="AN597" s="1611"/>
      <c r="AO597" s="1611"/>
      <c r="AP597" s="1611"/>
      <c r="AQ597" s="1611"/>
    </row>
    <row r="598" spans="1:43" outlineLevel="2">
      <c r="A598" s="1638" t="s">
        <v>319</v>
      </c>
      <c r="B598" s="1637" t="s">
        <v>130</v>
      </c>
      <c r="C598" s="1636"/>
      <c r="D598" s="1635">
        <v>16</v>
      </c>
      <c r="E598" s="1634" t="s">
        <v>956</v>
      </c>
      <c r="F598" s="1633" t="s">
        <v>979</v>
      </c>
      <c r="G598" s="1632">
        <v>4374.0443941676149</v>
      </c>
      <c r="H598" s="1632">
        <v>4151.91</v>
      </c>
      <c r="I598" s="1630">
        <f t="shared" si="289"/>
        <v>8525.9543941676147</v>
      </c>
      <c r="J598" s="1630">
        <f t="shared" si="290"/>
        <v>136415.27030668184</v>
      </c>
      <c r="K598" s="1631">
        <v>7400</v>
      </c>
      <c r="L598" s="1630">
        <f t="shared" si="291"/>
        <v>7400</v>
      </c>
      <c r="M598" s="1630">
        <f t="shared" si="292"/>
        <v>118400</v>
      </c>
      <c r="N598" s="1625">
        <f t="shared" si="293"/>
        <v>18015.270306681836</v>
      </c>
      <c r="O598" s="1629">
        <v>0.57030000000000003</v>
      </c>
      <c r="P598" s="1629">
        <v>0.42970000000000003</v>
      </c>
      <c r="Q598" s="1625">
        <f t="shared" si="294"/>
        <v>10274.108655900651</v>
      </c>
      <c r="R598" s="1628">
        <f t="shared" si="295"/>
        <v>7741.161650781185</v>
      </c>
      <c r="S598" s="1627">
        <f t="shared" si="296"/>
        <v>59710.601650781187</v>
      </c>
      <c r="T598" s="1627">
        <f t="shared" si="297"/>
        <v>58689.398349218813</v>
      </c>
      <c r="U598" s="1626">
        <f t="shared" si="298"/>
        <v>14927.650412695297</v>
      </c>
      <c r="V598" s="1626">
        <f t="shared" si="299"/>
        <v>14672.349587304703</v>
      </c>
      <c r="W598" s="1625">
        <f t="shared" si="300"/>
        <v>29600</v>
      </c>
      <c r="X598" s="1614"/>
      <c r="Y598" s="1613"/>
      <c r="Z598" s="1612">
        <f t="shared" si="301"/>
        <v>0.86793802287543886</v>
      </c>
      <c r="AA598" s="1611"/>
      <c r="AB598" s="1611"/>
      <c r="AC598" s="1611"/>
      <c r="AD598" s="1611"/>
      <c r="AE598" s="1611"/>
      <c r="AF598" s="1611"/>
      <c r="AG598" s="1611"/>
      <c r="AH598" s="1611"/>
      <c r="AI598" s="1611"/>
      <c r="AJ598" s="1611"/>
      <c r="AK598" s="1611"/>
      <c r="AL598" s="1611"/>
      <c r="AM598" s="1611"/>
      <c r="AN598" s="1611"/>
      <c r="AO598" s="1611"/>
      <c r="AP598" s="1611"/>
      <c r="AQ598" s="1611"/>
    </row>
    <row r="599" spans="1:43" outlineLevel="2">
      <c r="A599" s="1638" t="s">
        <v>319</v>
      </c>
      <c r="B599" s="1637" t="s">
        <v>130</v>
      </c>
      <c r="C599" s="1636"/>
      <c r="D599" s="1635">
        <v>2</v>
      </c>
      <c r="E599" s="1634" t="s">
        <v>972</v>
      </c>
      <c r="F599" s="1633" t="s">
        <v>1070</v>
      </c>
      <c r="G599" s="1632">
        <v>4374.0443941676149</v>
      </c>
      <c r="H599" s="1632">
        <v>4151.91</v>
      </c>
      <c r="I599" s="1630">
        <f t="shared" si="289"/>
        <v>8525.9543941676147</v>
      </c>
      <c r="J599" s="1630">
        <f t="shared" si="290"/>
        <v>17051.908788335229</v>
      </c>
      <c r="K599" s="1631">
        <v>8200</v>
      </c>
      <c r="L599" s="1630">
        <f t="shared" si="291"/>
        <v>8200</v>
      </c>
      <c r="M599" s="1630">
        <f t="shared" si="292"/>
        <v>16400</v>
      </c>
      <c r="N599" s="1625">
        <f t="shared" si="293"/>
        <v>651.90878833522947</v>
      </c>
      <c r="O599" s="1629">
        <v>0.57030000000000003</v>
      </c>
      <c r="P599" s="1629">
        <v>0.42970000000000003</v>
      </c>
      <c r="Q599" s="1625">
        <f t="shared" si="294"/>
        <v>371.78358198758139</v>
      </c>
      <c r="R599" s="1628">
        <f t="shared" si="295"/>
        <v>280.12520634764815</v>
      </c>
      <c r="S599" s="1627">
        <f t="shared" si="296"/>
        <v>8376.305206347648</v>
      </c>
      <c r="T599" s="1627">
        <f t="shared" si="297"/>
        <v>8023.694793652352</v>
      </c>
      <c r="U599" s="1626">
        <f t="shared" si="298"/>
        <v>2094.076301586912</v>
      </c>
      <c r="V599" s="1626">
        <f t="shared" si="299"/>
        <v>2005.923698413088</v>
      </c>
      <c r="W599" s="1625">
        <f t="shared" si="300"/>
        <v>4100</v>
      </c>
      <c r="X599" s="1614"/>
      <c r="Y599" s="1613"/>
      <c r="Z599" s="1612">
        <f t="shared" si="301"/>
        <v>0.96176916048359451</v>
      </c>
      <c r="AA599" s="1611"/>
      <c r="AB599" s="1611"/>
      <c r="AC599" s="1611"/>
      <c r="AD599" s="1611"/>
      <c r="AE599" s="1611"/>
      <c r="AF599" s="1611"/>
      <c r="AG599" s="1611"/>
      <c r="AH599" s="1611"/>
      <c r="AI599" s="1611"/>
      <c r="AJ599" s="1611"/>
      <c r="AK599" s="1611"/>
      <c r="AL599" s="1611"/>
      <c r="AM599" s="1611"/>
      <c r="AN599" s="1611"/>
      <c r="AO599" s="1611"/>
      <c r="AP599" s="1611"/>
      <c r="AQ599" s="1611"/>
    </row>
    <row r="600" spans="1:43" outlineLevel="2">
      <c r="A600" s="1638" t="s">
        <v>319</v>
      </c>
      <c r="B600" s="1637" t="s">
        <v>130</v>
      </c>
      <c r="C600" s="1636"/>
      <c r="D600" s="1635">
        <v>2</v>
      </c>
      <c r="E600" s="1634" t="s">
        <v>972</v>
      </c>
      <c r="F600" s="1633" t="s">
        <v>1069</v>
      </c>
      <c r="G600" s="1632">
        <v>4374.0443941676149</v>
      </c>
      <c r="H600" s="1632">
        <v>4151.91</v>
      </c>
      <c r="I600" s="1630">
        <f t="shared" si="289"/>
        <v>8525.9543941676147</v>
      </c>
      <c r="J600" s="1630">
        <f t="shared" si="290"/>
        <v>17051.908788335229</v>
      </c>
      <c r="K600" s="1631">
        <v>8200</v>
      </c>
      <c r="L600" s="1630">
        <f t="shared" si="291"/>
        <v>8200</v>
      </c>
      <c r="M600" s="1630">
        <f t="shared" si="292"/>
        <v>16400</v>
      </c>
      <c r="N600" s="1625">
        <f t="shared" si="293"/>
        <v>651.90878833522947</v>
      </c>
      <c r="O600" s="1629">
        <v>0.57030000000000003</v>
      </c>
      <c r="P600" s="1629">
        <v>0.42970000000000003</v>
      </c>
      <c r="Q600" s="1625">
        <f t="shared" si="294"/>
        <v>371.78358198758139</v>
      </c>
      <c r="R600" s="1628">
        <f t="shared" si="295"/>
        <v>280.12520634764815</v>
      </c>
      <c r="S600" s="1627">
        <f t="shared" si="296"/>
        <v>8376.305206347648</v>
      </c>
      <c r="T600" s="1627">
        <f t="shared" si="297"/>
        <v>8023.694793652352</v>
      </c>
      <c r="U600" s="1626">
        <f t="shared" si="298"/>
        <v>2094.076301586912</v>
      </c>
      <c r="V600" s="1626">
        <f t="shared" si="299"/>
        <v>2005.923698413088</v>
      </c>
      <c r="W600" s="1625">
        <f t="shared" si="300"/>
        <v>4100</v>
      </c>
      <c r="X600" s="1614"/>
      <c r="Y600" s="1613"/>
      <c r="Z600" s="1612">
        <f t="shared" si="301"/>
        <v>0.96176916048359451</v>
      </c>
      <c r="AA600" s="1611"/>
      <c r="AB600" s="1611"/>
      <c r="AC600" s="1611"/>
      <c r="AD600" s="1611"/>
      <c r="AE600" s="1611"/>
      <c r="AF600" s="1611"/>
      <c r="AG600" s="1611"/>
      <c r="AH600" s="1611"/>
      <c r="AI600" s="1611"/>
      <c r="AJ600" s="1611"/>
      <c r="AK600" s="1611"/>
      <c r="AL600" s="1611"/>
      <c r="AM600" s="1611"/>
      <c r="AN600" s="1611"/>
      <c r="AO600" s="1611"/>
      <c r="AP600" s="1611"/>
      <c r="AQ600" s="1611"/>
    </row>
    <row r="601" spans="1:43" outlineLevel="2">
      <c r="A601" s="1638" t="s">
        <v>319</v>
      </c>
      <c r="B601" s="1637" t="s">
        <v>130</v>
      </c>
      <c r="C601" s="1636"/>
      <c r="D601" s="1635">
        <v>2</v>
      </c>
      <c r="E601" s="1634" t="s">
        <v>972</v>
      </c>
      <c r="F601" s="1633" t="s">
        <v>1068</v>
      </c>
      <c r="G601" s="1632">
        <v>4374.0443941676149</v>
      </c>
      <c r="H601" s="1632">
        <v>4151.91</v>
      </c>
      <c r="I601" s="1630">
        <f t="shared" si="289"/>
        <v>8525.9543941676147</v>
      </c>
      <c r="J601" s="1630">
        <f t="shared" si="290"/>
        <v>17051.908788335229</v>
      </c>
      <c r="K601" s="1631">
        <v>8200</v>
      </c>
      <c r="L601" s="1630">
        <f t="shared" si="291"/>
        <v>8200</v>
      </c>
      <c r="M601" s="1630">
        <f t="shared" si="292"/>
        <v>16400</v>
      </c>
      <c r="N601" s="1625">
        <f t="shared" si="293"/>
        <v>651.90878833522947</v>
      </c>
      <c r="O601" s="1629">
        <v>0.57030000000000003</v>
      </c>
      <c r="P601" s="1629">
        <v>0.42970000000000003</v>
      </c>
      <c r="Q601" s="1625">
        <f t="shared" si="294"/>
        <v>371.78358198758139</v>
      </c>
      <c r="R601" s="1628">
        <f t="shared" si="295"/>
        <v>280.12520634764815</v>
      </c>
      <c r="S601" s="1627">
        <f t="shared" si="296"/>
        <v>8376.305206347648</v>
      </c>
      <c r="T601" s="1627">
        <f t="shared" si="297"/>
        <v>8023.694793652352</v>
      </c>
      <c r="U601" s="1626">
        <f t="shared" si="298"/>
        <v>2094.076301586912</v>
      </c>
      <c r="V601" s="1626">
        <f t="shared" si="299"/>
        <v>2005.923698413088</v>
      </c>
      <c r="W601" s="1625">
        <f t="shared" si="300"/>
        <v>4100</v>
      </c>
      <c r="X601" s="1614"/>
      <c r="Y601" s="1613"/>
      <c r="Z601" s="1612">
        <f t="shared" si="301"/>
        <v>0.96176916048359451</v>
      </c>
      <c r="AA601" s="1611"/>
      <c r="AB601" s="1611"/>
      <c r="AC601" s="1611"/>
      <c r="AD601" s="1611"/>
      <c r="AE601" s="1611"/>
      <c r="AF601" s="1611"/>
      <c r="AG601" s="1611"/>
      <c r="AH601" s="1611"/>
      <c r="AI601" s="1611"/>
      <c r="AJ601" s="1611"/>
      <c r="AK601" s="1611"/>
      <c r="AL601" s="1611"/>
      <c r="AM601" s="1611"/>
      <c r="AN601" s="1611"/>
      <c r="AO601" s="1611"/>
      <c r="AP601" s="1611"/>
      <c r="AQ601" s="1611"/>
    </row>
    <row r="602" spans="1:43" outlineLevel="2">
      <c r="A602" s="1638" t="s">
        <v>319</v>
      </c>
      <c r="B602" s="1637" t="s">
        <v>130</v>
      </c>
      <c r="C602" s="1636"/>
      <c r="D602" s="1635">
        <v>1</v>
      </c>
      <c r="E602" s="1634" t="s">
        <v>972</v>
      </c>
      <c r="F602" s="1633" t="s">
        <v>1071</v>
      </c>
      <c r="G602" s="1632">
        <v>4374.0443941676149</v>
      </c>
      <c r="H602" s="1632">
        <v>4151.91</v>
      </c>
      <c r="I602" s="1630">
        <f t="shared" si="289"/>
        <v>8525.9543941676147</v>
      </c>
      <c r="J602" s="1630">
        <f t="shared" si="290"/>
        <v>8525.9543941676147</v>
      </c>
      <c r="K602" s="1631">
        <v>8200</v>
      </c>
      <c r="L602" s="1630">
        <f t="shared" si="291"/>
        <v>8200</v>
      </c>
      <c r="M602" s="1630">
        <f t="shared" si="292"/>
        <v>8200</v>
      </c>
      <c r="N602" s="1625">
        <f t="shared" si="293"/>
        <v>325.95439416761474</v>
      </c>
      <c r="O602" s="1629">
        <v>0.57030000000000003</v>
      </c>
      <c r="P602" s="1629">
        <v>0.42970000000000003</v>
      </c>
      <c r="Q602" s="1625">
        <f t="shared" si="294"/>
        <v>185.89179099379069</v>
      </c>
      <c r="R602" s="1628">
        <f t="shared" si="295"/>
        <v>140.06260317382407</v>
      </c>
      <c r="S602" s="1627">
        <f t="shared" si="296"/>
        <v>4188.152603173824</v>
      </c>
      <c r="T602" s="1627">
        <f t="shared" si="297"/>
        <v>4011.847396826176</v>
      </c>
      <c r="U602" s="1626">
        <f t="shared" si="298"/>
        <v>1047.038150793456</v>
      </c>
      <c r="V602" s="1626">
        <f t="shared" si="299"/>
        <v>1002.961849206544</v>
      </c>
      <c r="W602" s="1625">
        <f t="shared" si="300"/>
        <v>2050</v>
      </c>
      <c r="X602" s="1614"/>
      <c r="Y602" s="1613"/>
      <c r="Z602" s="1612">
        <f t="shared" si="301"/>
        <v>0.96176916048359451</v>
      </c>
      <c r="AA602" s="1611"/>
      <c r="AB602" s="1611"/>
      <c r="AC602" s="1611"/>
      <c r="AD602" s="1611"/>
      <c r="AE602" s="1611"/>
      <c r="AF602" s="1611"/>
      <c r="AG602" s="1611"/>
      <c r="AH602" s="1611"/>
      <c r="AI602" s="1611"/>
      <c r="AJ602" s="1611"/>
      <c r="AK602" s="1611"/>
      <c r="AL602" s="1611"/>
      <c r="AM602" s="1611"/>
      <c r="AN602" s="1611"/>
      <c r="AO602" s="1611"/>
      <c r="AP602" s="1611"/>
      <c r="AQ602" s="1611"/>
    </row>
    <row r="603" spans="1:43" outlineLevel="2">
      <c r="A603" s="1638" t="s">
        <v>319</v>
      </c>
      <c r="B603" s="1637" t="s">
        <v>130</v>
      </c>
      <c r="C603" s="1636"/>
      <c r="D603" s="1635">
        <v>1</v>
      </c>
      <c r="E603" s="1634" t="s">
        <v>972</v>
      </c>
      <c r="F603" s="1633" t="s">
        <v>1065</v>
      </c>
      <c r="G603" s="1632">
        <v>4374.0443941676149</v>
      </c>
      <c r="H603" s="1632">
        <v>4151.91</v>
      </c>
      <c r="I603" s="1630">
        <f t="shared" si="289"/>
        <v>8525.9543941676147</v>
      </c>
      <c r="J603" s="1630">
        <f t="shared" si="290"/>
        <v>8525.9543941676147</v>
      </c>
      <c r="K603" s="1631">
        <v>8200</v>
      </c>
      <c r="L603" s="1630">
        <f t="shared" si="291"/>
        <v>8200</v>
      </c>
      <c r="M603" s="1630">
        <f t="shared" si="292"/>
        <v>8200</v>
      </c>
      <c r="N603" s="1625">
        <f t="shared" si="293"/>
        <v>325.95439416761474</v>
      </c>
      <c r="O603" s="1629">
        <v>0.57030000000000003</v>
      </c>
      <c r="P603" s="1629">
        <v>0.42970000000000003</v>
      </c>
      <c r="Q603" s="1625">
        <f t="shared" si="294"/>
        <v>185.89179099379069</v>
      </c>
      <c r="R603" s="1628">
        <f t="shared" si="295"/>
        <v>140.06260317382407</v>
      </c>
      <c r="S603" s="1627">
        <f t="shared" si="296"/>
        <v>4188.152603173824</v>
      </c>
      <c r="T603" s="1627">
        <f t="shared" si="297"/>
        <v>4011.847396826176</v>
      </c>
      <c r="U603" s="1626">
        <f t="shared" si="298"/>
        <v>1047.038150793456</v>
      </c>
      <c r="V603" s="1626">
        <f t="shared" si="299"/>
        <v>1002.961849206544</v>
      </c>
      <c r="W603" s="1625">
        <f t="shared" si="300"/>
        <v>2050</v>
      </c>
      <c r="X603" s="1614"/>
      <c r="Y603" s="1613"/>
      <c r="Z603" s="1612">
        <f t="shared" si="301"/>
        <v>0.96176916048359451</v>
      </c>
      <c r="AA603" s="1611"/>
      <c r="AB603" s="1611"/>
      <c r="AC603" s="1611"/>
      <c r="AD603" s="1611"/>
      <c r="AE603" s="1611"/>
      <c r="AF603" s="1611"/>
      <c r="AG603" s="1611"/>
      <c r="AH603" s="1611"/>
      <c r="AI603" s="1611"/>
      <c r="AJ603" s="1611"/>
      <c r="AK603" s="1611"/>
      <c r="AL603" s="1611"/>
      <c r="AM603" s="1611"/>
      <c r="AN603" s="1611"/>
      <c r="AO603" s="1611"/>
      <c r="AP603" s="1611"/>
      <c r="AQ603" s="1611"/>
    </row>
    <row r="604" spans="1:43" outlineLevel="2">
      <c r="A604" s="1638" t="s">
        <v>319</v>
      </c>
      <c r="B604" s="1637" t="s">
        <v>130</v>
      </c>
      <c r="C604" s="1636"/>
      <c r="D604" s="1635">
        <v>2</v>
      </c>
      <c r="E604" s="1634" t="s">
        <v>972</v>
      </c>
      <c r="F604" s="1633" t="s">
        <v>1064</v>
      </c>
      <c r="G604" s="1632">
        <v>4374.0443941676149</v>
      </c>
      <c r="H604" s="1632">
        <v>4151.91</v>
      </c>
      <c r="I604" s="1630">
        <f t="shared" si="289"/>
        <v>8525.9543941676147</v>
      </c>
      <c r="J604" s="1630">
        <f t="shared" si="290"/>
        <v>17051.908788335229</v>
      </c>
      <c r="K604" s="1631">
        <v>8200</v>
      </c>
      <c r="L604" s="1630">
        <f t="shared" si="291"/>
        <v>8200</v>
      </c>
      <c r="M604" s="1630">
        <f t="shared" si="292"/>
        <v>16400</v>
      </c>
      <c r="N604" s="1625">
        <f t="shared" si="293"/>
        <v>651.90878833522947</v>
      </c>
      <c r="O604" s="1629">
        <v>0.57030000000000003</v>
      </c>
      <c r="P604" s="1629">
        <v>0.42970000000000003</v>
      </c>
      <c r="Q604" s="1625">
        <f t="shared" si="294"/>
        <v>371.78358198758139</v>
      </c>
      <c r="R604" s="1628">
        <f t="shared" si="295"/>
        <v>280.12520634764815</v>
      </c>
      <c r="S604" s="1627">
        <f t="shared" si="296"/>
        <v>8376.305206347648</v>
      </c>
      <c r="T604" s="1627">
        <f t="shared" si="297"/>
        <v>8023.694793652352</v>
      </c>
      <c r="U604" s="1626">
        <f t="shared" si="298"/>
        <v>2094.076301586912</v>
      </c>
      <c r="V604" s="1626">
        <f t="shared" si="299"/>
        <v>2005.923698413088</v>
      </c>
      <c r="W604" s="1625">
        <f t="shared" si="300"/>
        <v>4100</v>
      </c>
      <c r="X604" s="1614"/>
      <c r="Y604" s="1613"/>
      <c r="Z604" s="1612">
        <f t="shared" si="301"/>
        <v>0.96176916048359451</v>
      </c>
      <c r="AA604" s="1611"/>
      <c r="AB604" s="1611"/>
      <c r="AC604" s="1611"/>
      <c r="AD604" s="1611"/>
      <c r="AE604" s="1611"/>
      <c r="AF604" s="1611"/>
      <c r="AG604" s="1611"/>
      <c r="AH604" s="1611"/>
      <c r="AI604" s="1611"/>
      <c r="AJ604" s="1611"/>
      <c r="AK604" s="1611"/>
      <c r="AL604" s="1611"/>
      <c r="AM604" s="1611"/>
      <c r="AN604" s="1611"/>
      <c r="AO604" s="1611"/>
      <c r="AP604" s="1611"/>
      <c r="AQ604" s="1611"/>
    </row>
    <row r="605" spans="1:43" outlineLevel="2">
      <c r="A605" s="1638" t="s">
        <v>319</v>
      </c>
      <c r="B605" s="1637" t="s">
        <v>130</v>
      </c>
      <c r="C605" s="1636"/>
      <c r="D605" s="1635">
        <v>2</v>
      </c>
      <c r="E605" s="1634" t="s">
        <v>972</v>
      </c>
      <c r="F605" s="1633" t="s">
        <v>1063</v>
      </c>
      <c r="G605" s="1632">
        <v>4374.0443941676149</v>
      </c>
      <c r="H605" s="1632">
        <v>4151.91</v>
      </c>
      <c r="I605" s="1630">
        <f t="shared" si="289"/>
        <v>8525.9543941676147</v>
      </c>
      <c r="J605" s="1630">
        <f t="shared" si="290"/>
        <v>17051.908788335229</v>
      </c>
      <c r="K605" s="1631">
        <v>8200</v>
      </c>
      <c r="L605" s="1630">
        <f t="shared" si="291"/>
        <v>8200</v>
      </c>
      <c r="M605" s="1630">
        <f t="shared" si="292"/>
        <v>16400</v>
      </c>
      <c r="N605" s="1625">
        <f t="shared" si="293"/>
        <v>651.90878833522947</v>
      </c>
      <c r="O605" s="1629">
        <v>0.57030000000000003</v>
      </c>
      <c r="P605" s="1629">
        <v>0.42970000000000003</v>
      </c>
      <c r="Q605" s="1625">
        <f t="shared" si="294"/>
        <v>371.78358198758139</v>
      </c>
      <c r="R605" s="1628">
        <f t="shared" si="295"/>
        <v>280.12520634764815</v>
      </c>
      <c r="S605" s="1627">
        <f t="shared" si="296"/>
        <v>8376.305206347648</v>
      </c>
      <c r="T605" s="1627">
        <f t="shared" si="297"/>
        <v>8023.694793652352</v>
      </c>
      <c r="U605" s="1626">
        <f t="shared" si="298"/>
        <v>2094.076301586912</v>
      </c>
      <c r="V605" s="1626">
        <f t="shared" si="299"/>
        <v>2005.923698413088</v>
      </c>
      <c r="W605" s="1625">
        <f t="shared" si="300"/>
        <v>4100</v>
      </c>
      <c r="X605" s="1614"/>
      <c r="Y605" s="1613"/>
      <c r="Z605" s="1612">
        <f t="shared" si="301"/>
        <v>0.96176916048359451</v>
      </c>
      <c r="AA605" s="1611"/>
      <c r="AB605" s="1611"/>
      <c r="AC605" s="1611"/>
      <c r="AD605" s="1611"/>
      <c r="AE605" s="1611"/>
      <c r="AF605" s="1611"/>
      <c r="AG605" s="1611"/>
      <c r="AH605" s="1611"/>
      <c r="AI605" s="1611"/>
      <c r="AJ605" s="1611"/>
      <c r="AK605" s="1611"/>
      <c r="AL605" s="1611"/>
      <c r="AM605" s="1611"/>
      <c r="AN605" s="1611"/>
      <c r="AO605" s="1611"/>
      <c r="AP605" s="1611"/>
      <c r="AQ605" s="1611"/>
    </row>
    <row r="606" spans="1:43" outlineLevel="2">
      <c r="A606" s="1638" t="s">
        <v>319</v>
      </c>
      <c r="B606" s="1637" t="s">
        <v>130</v>
      </c>
      <c r="C606" s="1636"/>
      <c r="D606" s="1635">
        <v>2</v>
      </c>
      <c r="E606" s="1634" t="s">
        <v>971</v>
      </c>
      <c r="F606" s="1633" t="s">
        <v>1070</v>
      </c>
      <c r="G606" s="1632">
        <v>4374.0443941676149</v>
      </c>
      <c r="H606" s="1632">
        <v>4151.91</v>
      </c>
      <c r="I606" s="1630">
        <f t="shared" si="289"/>
        <v>8525.9543941676147</v>
      </c>
      <c r="J606" s="1630">
        <f t="shared" si="290"/>
        <v>17051.908788335229</v>
      </c>
      <c r="K606" s="1631">
        <v>6300</v>
      </c>
      <c r="L606" s="1630">
        <f t="shared" si="291"/>
        <v>6300</v>
      </c>
      <c r="M606" s="1630">
        <f t="shared" si="292"/>
        <v>12600</v>
      </c>
      <c r="N606" s="1625">
        <f t="shared" si="293"/>
        <v>4451.9087883352295</v>
      </c>
      <c r="O606" s="1629">
        <v>0.57030000000000003</v>
      </c>
      <c r="P606" s="1629">
        <v>0.42970000000000003</v>
      </c>
      <c r="Q606" s="1625">
        <f t="shared" si="294"/>
        <v>2538.9235819875817</v>
      </c>
      <c r="R606" s="1628">
        <f t="shared" si="295"/>
        <v>1912.9852063476483</v>
      </c>
      <c r="S606" s="1627">
        <f t="shared" si="296"/>
        <v>6209.1652063476486</v>
      </c>
      <c r="T606" s="1627">
        <f t="shared" si="297"/>
        <v>6390.8347936523514</v>
      </c>
      <c r="U606" s="1626">
        <f t="shared" si="298"/>
        <v>1552.2913015869121</v>
      </c>
      <c r="V606" s="1626">
        <f t="shared" si="299"/>
        <v>1597.7086984130879</v>
      </c>
      <c r="W606" s="1625">
        <f t="shared" si="300"/>
        <v>3150</v>
      </c>
      <c r="X606" s="1614"/>
      <c r="Y606" s="1613"/>
      <c r="Z606" s="1612">
        <f t="shared" si="301"/>
        <v>0.73892020866422503</v>
      </c>
      <c r="AA606" s="1611"/>
      <c r="AB606" s="1611"/>
      <c r="AC606" s="1611"/>
      <c r="AD606" s="1611"/>
      <c r="AE606" s="1611"/>
      <c r="AF606" s="1611"/>
      <c r="AG606" s="1611"/>
      <c r="AH606" s="1611"/>
      <c r="AI606" s="1611"/>
      <c r="AJ606" s="1611"/>
      <c r="AK606" s="1611"/>
      <c r="AL606" s="1611"/>
      <c r="AM606" s="1611"/>
      <c r="AN606" s="1611"/>
      <c r="AO606" s="1611"/>
      <c r="AP606" s="1611"/>
      <c r="AQ606" s="1611"/>
    </row>
    <row r="607" spans="1:43" outlineLevel="2">
      <c r="A607" s="1638" t="s">
        <v>319</v>
      </c>
      <c r="B607" s="1637" t="s">
        <v>130</v>
      </c>
      <c r="C607" s="1636"/>
      <c r="D607" s="1635">
        <v>2</v>
      </c>
      <c r="E607" s="1634" t="s">
        <v>971</v>
      </c>
      <c r="F607" s="1633" t="s">
        <v>1068</v>
      </c>
      <c r="G607" s="1632">
        <v>4374.0443941676149</v>
      </c>
      <c r="H607" s="1632">
        <v>4151.91</v>
      </c>
      <c r="I607" s="1630">
        <f t="shared" si="289"/>
        <v>8525.9543941676147</v>
      </c>
      <c r="J607" s="1630">
        <f t="shared" si="290"/>
        <v>17051.908788335229</v>
      </c>
      <c r="K607" s="1631">
        <v>8200</v>
      </c>
      <c r="L607" s="1630">
        <f t="shared" si="291"/>
        <v>8200</v>
      </c>
      <c r="M607" s="1630">
        <f t="shared" si="292"/>
        <v>16400</v>
      </c>
      <c r="N607" s="1625">
        <f t="shared" si="293"/>
        <v>651.90878833522947</v>
      </c>
      <c r="O607" s="1629">
        <v>0.57030000000000003</v>
      </c>
      <c r="P607" s="1629">
        <v>0.42970000000000003</v>
      </c>
      <c r="Q607" s="1625">
        <f t="shared" si="294"/>
        <v>371.78358198758139</v>
      </c>
      <c r="R607" s="1628">
        <f t="shared" si="295"/>
        <v>280.12520634764815</v>
      </c>
      <c r="S607" s="1627">
        <f t="shared" si="296"/>
        <v>8376.305206347648</v>
      </c>
      <c r="T607" s="1627">
        <f t="shared" si="297"/>
        <v>8023.694793652352</v>
      </c>
      <c r="U607" s="1626">
        <f t="shared" si="298"/>
        <v>2094.076301586912</v>
      </c>
      <c r="V607" s="1626">
        <f t="shared" si="299"/>
        <v>2005.923698413088</v>
      </c>
      <c r="W607" s="1625">
        <f t="shared" si="300"/>
        <v>4100</v>
      </c>
      <c r="X607" s="1614"/>
      <c r="Y607" s="1613"/>
      <c r="Z607" s="1612">
        <f t="shared" si="301"/>
        <v>0.96176916048359451</v>
      </c>
      <c r="AA607" s="1611"/>
      <c r="AB607" s="1611"/>
      <c r="AC607" s="1611"/>
      <c r="AD607" s="1611"/>
      <c r="AE607" s="1611"/>
      <c r="AF607" s="1611"/>
      <c r="AG607" s="1611"/>
      <c r="AH607" s="1611"/>
      <c r="AI607" s="1611"/>
      <c r="AJ607" s="1611"/>
      <c r="AK607" s="1611"/>
      <c r="AL607" s="1611"/>
      <c r="AM607" s="1611"/>
      <c r="AN607" s="1611"/>
      <c r="AO607" s="1611"/>
      <c r="AP607" s="1611"/>
      <c r="AQ607" s="1611"/>
    </row>
    <row r="608" spans="1:43" outlineLevel="2">
      <c r="A608" s="1638" t="s">
        <v>319</v>
      </c>
      <c r="B608" s="1637" t="s">
        <v>130</v>
      </c>
      <c r="C608" s="1636"/>
      <c r="D608" s="1635">
        <v>3</v>
      </c>
      <c r="E608" s="1634" t="s">
        <v>971</v>
      </c>
      <c r="F608" s="1633" t="s">
        <v>1071</v>
      </c>
      <c r="G608" s="1632">
        <v>4374.0443941676149</v>
      </c>
      <c r="H608" s="1632">
        <v>4151.91</v>
      </c>
      <c r="I608" s="1630">
        <f t="shared" si="289"/>
        <v>8525.9543941676147</v>
      </c>
      <c r="J608" s="1630">
        <f t="shared" si="290"/>
        <v>25577.863182502842</v>
      </c>
      <c r="K608" s="1631">
        <v>8200</v>
      </c>
      <c r="L608" s="1630">
        <f t="shared" si="291"/>
        <v>8200</v>
      </c>
      <c r="M608" s="1630">
        <f t="shared" si="292"/>
        <v>24600</v>
      </c>
      <c r="N608" s="1625">
        <f t="shared" si="293"/>
        <v>977.86318250284239</v>
      </c>
      <c r="O608" s="1629">
        <v>0.57030000000000003</v>
      </c>
      <c r="P608" s="1629">
        <v>0.42970000000000003</v>
      </c>
      <c r="Q608" s="1625">
        <f t="shared" si="294"/>
        <v>557.67537298137108</v>
      </c>
      <c r="R608" s="1628">
        <f t="shared" si="295"/>
        <v>420.18780952147142</v>
      </c>
      <c r="S608" s="1627">
        <f t="shared" si="296"/>
        <v>12564.457809521473</v>
      </c>
      <c r="T608" s="1627">
        <f t="shared" si="297"/>
        <v>12035.542190478529</v>
      </c>
      <c r="U608" s="1626">
        <f t="shared" si="298"/>
        <v>3141.1144523803682</v>
      </c>
      <c r="V608" s="1626">
        <f t="shared" si="299"/>
        <v>3008.8855476196322</v>
      </c>
      <c r="W608" s="1625">
        <f t="shared" si="300"/>
        <v>6150</v>
      </c>
      <c r="X608" s="1614"/>
      <c r="Y608" s="1613"/>
      <c r="Z608" s="1612">
        <f t="shared" si="301"/>
        <v>0.96176916048359451</v>
      </c>
      <c r="AA608" s="1611"/>
      <c r="AB608" s="1611"/>
      <c r="AC608" s="1611"/>
      <c r="AD608" s="1611"/>
      <c r="AE608" s="1611"/>
      <c r="AF608" s="1611"/>
      <c r="AG608" s="1611"/>
      <c r="AH608" s="1611"/>
      <c r="AI608" s="1611"/>
      <c r="AJ608" s="1611"/>
      <c r="AK608" s="1611"/>
      <c r="AL608" s="1611"/>
      <c r="AM608" s="1611"/>
      <c r="AN608" s="1611"/>
      <c r="AO608" s="1611"/>
      <c r="AP608" s="1611"/>
      <c r="AQ608" s="1611"/>
    </row>
    <row r="609" spans="1:43" outlineLevel="2">
      <c r="A609" s="1638" t="s">
        <v>319</v>
      </c>
      <c r="B609" s="1637" t="s">
        <v>130</v>
      </c>
      <c r="C609" s="1636"/>
      <c r="D609" s="1635">
        <v>4</v>
      </c>
      <c r="E609" s="1634" t="s">
        <v>971</v>
      </c>
      <c r="F609" s="1633" t="s">
        <v>1064</v>
      </c>
      <c r="G609" s="1632">
        <v>4374.0443941676149</v>
      </c>
      <c r="H609" s="1632">
        <v>4151.91</v>
      </c>
      <c r="I609" s="1630">
        <f t="shared" si="289"/>
        <v>8525.9543941676147</v>
      </c>
      <c r="J609" s="1630">
        <f t="shared" si="290"/>
        <v>34103.817576670459</v>
      </c>
      <c r="K609" s="1631">
        <v>8200</v>
      </c>
      <c r="L609" s="1630">
        <f t="shared" si="291"/>
        <v>8200</v>
      </c>
      <c r="M609" s="1630">
        <f t="shared" si="292"/>
        <v>32800</v>
      </c>
      <c r="N609" s="1625">
        <f t="shared" si="293"/>
        <v>1303.8175766704589</v>
      </c>
      <c r="O609" s="1629">
        <v>0.57030000000000003</v>
      </c>
      <c r="P609" s="1629">
        <v>0.42970000000000003</v>
      </c>
      <c r="Q609" s="1625">
        <f t="shared" si="294"/>
        <v>743.56716397516277</v>
      </c>
      <c r="R609" s="1628">
        <f t="shared" si="295"/>
        <v>560.25041269529629</v>
      </c>
      <c r="S609" s="1627">
        <f t="shared" si="296"/>
        <v>16752.610412695296</v>
      </c>
      <c r="T609" s="1627">
        <f t="shared" si="297"/>
        <v>16047.389587304704</v>
      </c>
      <c r="U609" s="1626">
        <f t="shared" si="298"/>
        <v>4188.152603173824</v>
      </c>
      <c r="V609" s="1626">
        <f t="shared" si="299"/>
        <v>4011.847396826176</v>
      </c>
      <c r="W609" s="1625">
        <f t="shared" si="300"/>
        <v>8200</v>
      </c>
      <c r="X609" s="1614"/>
      <c r="Y609" s="1613"/>
      <c r="Z609" s="1612">
        <f t="shared" si="301"/>
        <v>0.96176916048359451</v>
      </c>
      <c r="AA609" s="1611"/>
      <c r="AB609" s="1611"/>
      <c r="AC609" s="1611"/>
      <c r="AD609" s="1611"/>
      <c r="AE609" s="1611"/>
      <c r="AF609" s="1611"/>
      <c r="AG609" s="1611"/>
      <c r="AH609" s="1611"/>
      <c r="AI609" s="1611"/>
      <c r="AJ609" s="1611"/>
      <c r="AK609" s="1611"/>
      <c r="AL609" s="1611"/>
      <c r="AM609" s="1611"/>
      <c r="AN609" s="1611"/>
      <c r="AO609" s="1611"/>
      <c r="AP609" s="1611"/>
      <c r="AQ609" s="1611"/>
    </row>
    <row r="610" spans="1:43" outlineLevel="2">
      <c r="A610" s="1638" t="s">
        <v>319</v>
      </c>
      <c r="B610" s="1637" t="s">
        <v>130</v>
      </c>
      <c r="C610" s="1636"/>
      <c r="D610" s="1635">
        <v>3</v>
      </c>
      <c r="E610" s="1634" t="s">
        <v>971</v>
      </c>
      <c r="F610" s="1633" t="s">
        <v>1063</v>
      </c>
      <c r="G610" s="1632">
        <v>4374.0443941676149</v>
      </c>
      <c r="H610" s="1632">
        <v>4151.91</v>
      </c>
      <c r="I610" s="1630">
        <f t="shared" si="289"/>
        <v>8525.9543941676147</v>
      </c>
      <c r="J610" s="1630">
        <f t="shared" si="290"/>
        <v>25577.863182502842</v>
      </c>
      <c r="K610" s="1631">
        <v>8200</v>
      </c>
      <c r="L610" s="1630">
        <f t="shared" si="291"/>
        <v>8200</v>
      </c>
      <c r="M610" s="1630">
        <f t="shared" si="292"/>
        <v>24600</v>
      </c>
      <c r="N610" s="1625">
        <f t="shared" si="293"/>
        <v>977.86318250284239</v>
      </c>
      <c r="O610" s="1629">
        <v>0.57030000000000003</v>
      </c>
      <c r="P610" s="1629">
        <v>0.42970000000000003</v>
      </c>
      <c r="Q610" s="1625">
        <f t="shared" si="294"/>
        <v>557.67537298137108</v>
      </c>
      <c r="R610" s="1628">
        <f t="shared" si="295"/>
        <v>420.18780952147142</v>
      </c>
      <c r="S610" s="1627">
        <f t="shared" si="296"/>
        <v>12564.457809521473</v>
      </c>
      <c r="T610" s="1627">
        <f t="shared" si="297"/>
        <v>12035.542190478529</v>
      </c>
      <c r="U610" s="1626">
        <f t="shared" si="298"/>
        <v>3141.1144523803682</v>
      </c>
      <c r="V610" s="1626">
        <f t="shared" si="299"/>
        <v>3008.8855476196322</v>
      </c>
      <c r="W610" s="1625">
        <f t="shared" si="300"/>
        <v>6150</v>
      </c>
      <c r="X610" s="1614"/>
      <c r="Y610" s="1613"/>
      <c r="Z610" s="1612">
        <f t="shared" si="301"/>
        <v>0.96176916048359451</v>
      </c>
      <c r="AA610" s="1611"/>
      <c r="AB610" s="1611"/>
      <c r="AC610" s="1611"/>
      <c r="AD610" s="1611"/>
      <c r="AE610" s="1611"/>
      <c r="AF610" s="1611"/>
      <c r="AG610" s="1611"/>
      <c r="AH610" s="1611"/>
      <c r="AI610" s="1611"/>
      <c r="AJ610" s="1611"/>
      <c r="AK610" s="1611"/>
      <c r="AL610" s="1611"/>
      <c r="AM610" s="1611"/>
      <c r="AN610" s="1611"/>
      <c r="AO610" s="1611"/>
      <c r="AP610" s="1611"/>
      <c r="AQ610" s="1611"/>
    </row>
    <row r="611" spans="1:43" outlineLevel="2">
      <c r="A611" s="1638" t="s">
        <v>319</v>
      </c>
      <c r="B611" s="1637" t="s">
        <v>130</v>
      </c>
      <c r="C611" s="1636"/>
      <c r="D611" s="1635">
        <v>2</v>
      </c>
      <c r="E611" s="1634" t="s">
        <v>964</v>
      </c>
      <c r="F611" s="1633" t="s">
        <v>1072</v>
      </c>
      <c r="G611" s="1632">
        <v>4374.0443941676149</v>
      </c>
      <c r="H611" s="1632">
        <v>4151.91</v>
      </c>
      <c r="I611" s="1630">
        <f t="shared" si="289"/>
        <v>8525.9543941676147</v>
      </c>
      <c r="J611" s="1630">
        <f t="shared" si="290"/>
        <v>17051.908788335229</v>
      </c>
      <c r="K611" s="1631">
        <v>6865</v>
      </c>
      <c r="L611" s="1630">
        <f t="shared" si="291"/>
        <v>6865</v>
      </c>
      <c r="M611" s="1630">
        <f t="shared" si="292"/>
        <v>13730</v>
      </c>
      <c r="N611" s="1625">
        <f t="shared" si="293"/>
        <v>3321.9087883352295</v>
      </c>
      <c r="O611" s="1629">
        <v>0.57030000000000003</v>
      </c>
      <c r="P611" s="1629">
        <v>0.42970000000000003</v>
      </c>
      <c r="Q611" s="1625">
        <f t="shared" si="294"/>
        <v>1894.4845819875816</v>
      </c>
      <c r="R611" s="1628">
        <f t="shared" si="295"/>
        <v>1427.4242063476481</v>
      </c>
      <c r="S611" s="1627">
        <f t="shared" si="296"/>
        <v>6853.604206347648</v>
      </c>
      <c r="T611" s="1627">
        <f t="shared" si="297"/>
        <v>6876.3957936523511</v>
      </c>
      <c r="U611" s="1626">
        <f t="shared" si="298"/>
        <v>1713.401051586912</v>
      </c>
      <c r="V611" s="1626">
        <f t="shared" si="299"/>
        <v>1719.0989484130878</v>
      </c>
      <c r="W611" s="1625">
        <f t="shared" si="300"/>
        <v>3432.5</v>
      </c>
      <c r="X611" s="1614"/>
      <c r="Y611" s="1613"/>
      <c r="Z611" s="1612">
        <f t="shared" si="301"/>
        <v>0.80518844959998492</v>
      </c>
      <c r="AA611" s="1611"/>
      <c r="AB611" s="1611"/>
      <c r="AC611" s="1611"/>
      <c r="AD611" s="1611"/>
      <c r="AE611" s="1611"/>
      <c r="AF611" s="1611"/>
      <c r="AG611" s="1611"/>
      <c r="AH611" s="1611"/>
      <c r="AI611" s="1611"/>
      <c r="AJ611" s="1611"/>
      <c r="AK611" s="1611"/>
      <c r="AL611" s="1611"/>
      <c r="AM611" s="1611"/>
      <c r="AN611" s="1611"/>
      <c r="AO611" s="1611"/>
      <c r="AP611" s="1611"/>
      <c r="AQ611" s="1611"/>
    </row>
    <row r="612" spans="1:43" outlineLevel="2">
      <c r="A612" s="1638" t="s">
        <v>319</v>
      </c>
      <c r="B612" s="1637" t="s">
        <v>130</v>
      </c>
      <c r="C612" s="1636"/>
      <c r="D612" s="1635">
        <v>10</v>
      </c>
      <c r="E612" s="1634" t="s">
        <v>954</v>
      </c>
      <c r="F612" s="1633" t="s">
        <v>1070</v>
      </c>
      <c r="G612" s="1632">
        <v>4374.0443941676149</v>
      </c>
      <c r="H612" s="1632">
        <v>4151.91</v>
      </c>
      <c r="I612" s="1630">
        <f t="shared" si="289"/>
        <v>8525.9543941676147</v>
      </c>
      <c r="J612" s="1630">
        <f t="shared" si="290"/>
        <v>85259.543941676151</v>
      </c>
      <c r="K612" s="1631">
        <v>4540</v>
      </c>
      <c r="L612" s="1630">
        <f t="shared" si="291"/>
        <v>4540</v>
      </c>
      <c r="M612" s="1630">
        <f t="shared" si="292"/>
        <v>45400</v>
      </c>
      <c r="N612" s="1625">
        <f t="shared" si="293"/>
        <v>39859.543941676151</v>
      </c>
      <c r="O612" s="1629">
        <v>0.57030000000000003</v>
      </c>
      <c r="P612" s="1629">
        <v>0.42970000000000003</v>
      </c>
      <c r="Q612" s="1625">
        <f t="shared" si="294"/>
        <v>22731.89790993791</v>
      </c>
      <c r="R612" s="1628">
        <f t="shared" si="295"/>
        <v>17127.646031738244</v>
      </c>
      <c r="S612" s="1627">
        <f t="shared" si="296"/>
        <v>21008.546031738235</v>
      </c>
      <c r="T612" s="1627">
        <f t="shared" si="297"/>
        <v>24391.453968261754</v>
      </c>
      <c r="U612" s="1626">
        <f t="shared" si="298"/>
        <v>5252.1365079345587</v>
      </c>
      <c r="V612" s="1626">
        <f t="shared" si="299"/>
        <v>6097.8634920654385</v>
      </c>
      <c r="W612" s="1625">
        <f t="shared" si="300"/>
        <v>11349.999999999996</v>
      </c>
      <c r="X612" s="1614"/>
      <c r="Y612" s="1613"/>
      <c r="Z612" s="1612">
        <f t="shared" si="301"/>
        <v>0.53249170592628281</v>
      </c>
      <c r="AA612" s="1611"/>
      <c r="AB612" s="1611"/>
      <c r="AC612" s="1611"/>
      <c r="AD612" s="1611"/>
      <c r="AE612" s="1611"/>
      <c r="AF612" s="1611"/>
      <c r="AG612" s="1611"/>
      <c r="AH612" s="1611"/>
      <c r="AI612" s="1611"/>
      <c r="AJ612" s="1611"/>
      <c r="AK612" s="1611"/>
      <c r="AL612" s="1611"/>
      <c r="AM612" s="1611"/>
      <c r="AN612" s="1611"/>
      <c r="AO612" s="1611"/>
      <c r="AP612" s="1611"/>
      <c r="AQ612" s="1611"/>
    </row>
    <row r="613" spans="1:43" outlineLevel="2">
      <c r="A613" s="1638" t="s">
        <v>319</v>
      </c>
      <c r="B613" s="1637" t="s">
        <v>130</v>
      </c>
      <c r="C613" s="1636"/>
      <c r="D613" s="1635">
        <v>8</v>
      </c>
      <c r="E613" s="1634" t="s">
        <v>954</v>
      </c>
      <c r="F613" s="1633" t="s">
        <v>1069</v>
      </c>
      <c r="G613" s="1632">
        <v>4374.0443941676149</v>
      </c>
      <c r="H613" s="1632">
        <v>4151.91</v>
      </c>
      <c r="I613" s="1630">
        <f t="shared" si="289"/>
        <v>8525.9543941676147</v>
      </c>
      <c r="J613" s="1630">
        <f t="shared" si="290"/>
        <v>68207.635153340918</v>
      </c>
      <c r="K613" s="1631">
        <v>4540</v>
      </c>
      <c r="L613" s="1630">
        <f t="shared" si="291"/>
        <v>4540</v>
      </c>
      <c r="M613" s="1630">
        <f t="shared" si="292"/>
        <v>36320</v>
      </c>
      <c r="N613" s="1625">
        <f t="shared" si="293"/>
        <v>31887.635153340918</v>
      </c>
      <c r="O613" s="1629">
        <v>0.57030000000000003</v>
      </c>
      <c r="P613" s="1629">
        <v>0.42970000000000003</v>
      </c>
      <c r="Q613" s="1625">
        <f t="shared" si="294"/>
        <v>18185.518327950325</v>
      </c>
      <c r="R613" s="1628">
        <f t="shared" si="295"/>
        <v>13702.116825390593</v>
      </c>
      <c r="S613" s="1627">
        <f t="shared" si="296"/>
        <v>16806.836825390594</v>
      </c>
      <c r="T613" s="1627">
        <f t="shared" si="297"/>
        <v>19513.163174609406</v>
      </c>
      <c r="U613" s="1626">
        <f t="shared" si="298"/>
        <v>4201.7092063476484</v>
      </c>
      <c r="V613" s="1626">
        <f t="shared" si="299"/>
        <v>4878.2907936523516</v>
      </c>
      <c r="W613" s="1625">
        <f t="shared" si="300"/>
        <v>9080</v>
      </c>
      <c r="X613" s="1614"/>
      <c r="Y613" s="1613"/>
      <c r="Z613" s="1612">
        <f t="shared" si="301"/>
        <v>0.53249170592628281</v>
      </c>
      <c r="AA613" s="1611"/>
      <c r="AB613" s="1611"/>
      <c r="AC613" s="1611"/>
      <c r="AD613" s="1611"/>
      <c r="AE613" s="1611"/>
      <c r="AF613" s="1611"/>
      <c r="AG613" s="1611"/>
      <c r="AH613" s="1611"/>
      <c r="AI613" s="1611"/>
      <c r="AJ613" s="1611"/>
      <c r="AK613" s="1611"/>
      <c r="AL613" s="1611"/>
      <c r="AM613" s="1611"/>
      <c r="AN613" s="1611"/>
      <c r="AO613" s="1611"/>
      <c r="AP613" s="1611"/>
      <c r="AQ613" s="1611"/>
    </row>
    <row r="614" spans="1:43" outlineLevel="2">
      <c r="A614" s="1638" t="s">
        <v>319</v>
      </c>
      <c r="B614" s="1637" t="s">
        <v>130</v>
      </c>
      <c r="C614" s="1636"/>
      <c r="D614" s="1635">
        <v>9</v>
      </c>
      <c r="E614" s="1634" t="s">
        <v>954</v>
      </c>
      <c r="F614" s="1633" t="s">
        <v>1068</v>
      </c>
      <c r="G614" s="1632">
        <v>4374.0443941676149</v>
      </c>
      <c r="H614" s="1632">
        <v>4151.91</v>
      </c>
      <c r="I614" s="1630">
        <f t="shared" si="289"/>
        <v>8525.9543941676147</v>
      </c>
      <c r="J614" s="1630">
        <f t="shared" si="290"/>
        <v>76733.589547508527</v>
      </c>
      <c r="K614" s="1631">
        <v>4540</v>
      </c>
      <c r="L614" s="1630">
        <f t="shared" si="291"/>
        <v>4540</v>
      </c>
      <c r="M614" s="1630">
        <f t="shared" si="292"/>
        <v>40860</v>
      </c>
      <c r="N614" s="1625">
        <f t="shared" si="293"/>
        <v>35873.589547508527</v>
      </c>
      <c r="O614" s="1629">
        <v>0.57030000000000003</v>
      </c>
      <c r="P614" s="1629">
        <v>0.42970000000000003</v>
      </c>
      <c r="Q614" s="1625">
        <f t="shared" si="294"/>
        <v>20458.708118944112</v>
      </c>
      <c r="R614" s="1628">
        <f t="shared" si="295"/>
        <v>15414.881428564415</v>
      </c>
      <c r="S614" s="1627">
        <f t="shared" si="296"/>
        <v>18907.69142856442</v>
      </c>
      <c r="T614" s="1627">
        <f t="shared" si="297"/>
        <v>21952.308571435588</v>
      </c>
      <c r="U614" s="1626">
        <f t="shared" si="298"/>
        <v>4726.9228571411049</v>
      </c>
      <c r="V614" s="1626">
        <f t="shared" si="299"/>
        <v>5488.0771428588969</v>
      </c>
      <c r="W614" s="1625">
        <f t="shared" si="300"/>
        <v>10215.000000000002</v>
      </c>
      <c r="X614" s="1614"/>
      <c r="Y614" s="1613"/>
      <c r="Z614" s="1612">
        <f t="shared" si="301"/>
        <v>0.53249170592628281</v>
      </c>
      <c r="AA614" s="1611"/>
      <c r="AB614" s="1611"/>
      <c r="AC614" s="1611"/>
      <c r="AD614" s="1611"/>
      <c r="AE614" s="1611"/>
      <c r="AF614" s="1611"/>
      <c r="AG614" s="1611"/>
      <c r="AH614" s="1611"/>
      <c r="AI614" s="1611"/>
      <c r="AJ614" s="1611"/>
      <c r="AK614" s="1611"/>
      <c r="AL614" s="1611"/>
      <c r="AM614" s="1611"/>
      <c r="AN614" s="1611"/>
      <c r="AO614" s="1611"/>
      <c r="AP614" s="1611"/>
      <c r="AQ614" s="1611"/>
    </row>
    <row r="615" spans="1:43" outlineLevel="2">
      <c r="A615" s="1638" t="s">
        <v>319</v>
      </c>
      <c r="B615" s="1637" t="s">
        <v>130</v>
      </c>
      <c r="C615" s="1636"/>
      <c r="D615" s="1635">
        <v>9</v>
      </c>
      <c r="E615" s="1634" t="s">
        <v>954</v>
      </c>
      <c r="F615" s="1633" t="s">
        <v>1071</v>
      </c>
      <c r="G615" s="1632">
        <v>4374.0443941676149</v>
      </c>
      <c r="H615" s="1632">
        <v>4151.91</v>
      </c>
      <c r="I615" s="1630">
        <f t="shared" si="289"/>
        <v>8525.9543941676147</v>
      </c>
      <c r="J615" s="1630">
        <f t="shared" si="290"/>
        <v>76733.589547508527</v>
      </c>
      <c r="K615" s="1631">
        <v>4540</v>
      </c>
      <c r="L615" s="1630">
        <f t="shared" si="291"/>
        <v>4540</v>
      </c>
      <c r="M615" s="1630">
        <f t="shared" si="292"/>
        <v>40860</v>
      </c>
      <c r="N615" s="1625">
        <f t="shared" si="293"/>
        <v>35873.589547508527</v>
      </c>
      <c r="O615" s="1629">
        <v>0.57030000000000003</v>
      </c>
      <c r="P615" s="1629">
        <v>0.42970000000000003</v>
      </c>
      <c r="Q615" s="1625">
        <f t="shared" si="294"/>
        <v>20458.708118944112</v>
      </c>
      <c r="R615" s="1628">
        <f t="shared" si="295"/>
        <v>15414.881428564415</v>
      </c>
      <c r="S615" s="1627">
        <f t="shared" si="296"/>
        <v>18907.69142856442</v>
      </c>
      <c r="T615" s="1627">
        <f t="shared" si="297"/>
        <v>21952.308571435588</v>
      </c>
      <c r="U615" s="1626">
        <f t="shared" si="298"/>
        <v>4726.9228571411049</v>
      </c>
      <c r="V615" s="1626">
        <f t="shared" si="299"/>
        <v>5488.0771428588969</v>
      </c>
      <c r="W615" s="1625">
        <f t="shared" si="300"/>
        <v>10215.000000000002</v>
      </c>
      <c r="X615" s="1614"/>
      <c r="Y615" s="1613"/>
      <c r="Z615" s="1612">
        <f t="shared" si="301"/>
        <v>0.53249170592628281</v>
      </c>
      <c r="AA615" s="1611"/>
      <c r="AB615" s="1611"/>
      <c r="AC615" s="1611"/>
      <c r="AD615" s="1611"/>
      <c r="AE615" s="1611"/>
      <c r="AF615" s="1611"/>
      <c r="AG615" s="1611"/>
      <c r="AH615" s="1611"/>
      <c r="AI615" s="1611"/>
      <c r="AJ615" s="1611"/>
      <c r="AK615" s="1611"/>
      <c r="AL615" s="1611"/>
      <c r="AM615" s="1611"/>
      <c r="AN615" s="1611"/>
      <c r="AO615" s="1611"/>
      <c r="AP615" s="1611"/>
      <c r="AQ615" s="1611"/>
    </row>
    <row r="616" spans="1:43" outlineLevel="2">
      <c r="A616" s="1638" t="s">
        <v>319</v>
      </c>
      <c r="B616" s="1637" t="s">
        <v>130</v>
      </c>
      <c r="C616" s="1636"/>
      <c r="D616" s="1635">
        <v>2</v>
      </c>
      <c r="E616" s="1634" t="s">
        <v>954</v>
      </c>
      <c r="F616" s="1633" t="s">
        <v>1065</v>
      </c>
      <c r="G616" s="1632">
        <v>4374.0443941676149</v>
      </c>
      <c r="H616" s="1632">
        <v>4151.91</v>
      </c>
      <c r="I616" s="1630">
        <f t="shared" si="289"/>
        <v>8525.9543941676147</v>
      </c>
      <c r="J616" s="1630">
        <f t="shared" si="290"/>
        <v>17051.908788335229</v>
      </c>
      <c r="K616" s="1631">
        <v>4540</v>
      </c>
      <c r="L616" s="1630">
        <f t="shared" si="291"/>
        <v>4540</v>
      </c>
      <c r="M616" s="1630">
        <f t="shared" si="292"/>
        <v>9080</v>
      </c>
      <c r="N616" s="1625">
        <f t="shared" si="293"/>
        <v>7971.9087883352295</v>
      </c>
      <c r="O616" s="1629">
        <v>0.57030000000000003</v>
      </c>
      <c r="P616" s="1629">
        <v>0.42970000000000003</v>
      </c>
      <c r="Q616" s="1625">
        <f t="shared" si="294"/>
        <v>4546.3795819875813</v>
      </c>
      <c r="R616" s="1628">
        <f t="shared" si="295"/>
        <v>3425.5292063476481</v>
      </c>
      <c r="S616" s="1627">
        <f t="shared" si="296"/>
        <v>4201.7092063476484</v>
      </c>
      <c r="T616" s="1627">
        <f t="shared" si="297"/>
        <v>4878.2907936523516</v>
      </c>
      <c r="U616" s="1626">
        <f t="shared" si="298"/>
        <v>1050.4273015869121</v>
      </c>
      <c r="V616" s="1626">
        <f t="shared" si="299"/>
        <v>1219.5726984130879</v>
      </c>
      <c r="W616" s="1625">
        <f t="shared" si="300"/>
        <v>2270</v>
      </c>
      <c r="X616" s="1614"/>
      <c r="Y616" s="1613"/>
      <c r="Z616" s="1612">
        <f t="shared" si="301"/>
        <v>0.53249170592628281</v>
      </c>
      <c r="AA616" s="1611"/>
      <c r="AB616" s="1611"/>
      <c r="AC616" s="1611"/>
      <c r="AD616" s="1611"/>
      <c r="AE616" s="1611"/>
      <c r="AF616" s="1611"/>
      <c r="AG616" s="1611"/>
      <c r="AH616" s="1611"/>
      <c r="AI616" s="1611"/>
      <c r="AJ616" s="1611"/>
      <c r="AK616" s="1611"/>
      <c r="AL616" s="1611"/>
      <c r="AM616" s="1611"/>
      <c r="AN616" s="1611"/>
      <c r="AO616" s="1611"/>
      <c r="AP616" s="1611"/>
      <c r="AQ616" s="1611"/>
    </row>
    <row r="617" spans="1:43" outlineLevel="2">
      <c r="A617" s="1638" t="s">
        <v>319</v>
      </c>
      <c r="B617" s="1637" t="s">
        <v>130</v>
      </c>
      <c r="C617" s="1636"/>
      <c r="D617" s="1635">
        <v>10</v>
      </c>
      <c r="E617" s="1634" t="s">
        <v>954</v>
      </c>
      <c r="F617" s="1633" t="s">
        <v>979</v>
      </c>
      <c r="G617" s="1632">
        <v>4374.0443941676149</v>
      </c>
      <c r="H617" s="1632">
        <v>4151.91</v>
      </c>
      <c r="I617" s="1630">
        <f t="shared" si="289"/>
        <v>8525.9543941676147</v>
      </c>
      <c r="J617" s="1630">
        <f t="shared" si="290"/>
        <v>85259.543941676151</v>
      </c>
      <c r="K617" s="1631">
        <v>4540</v>
      </c>
      <c r="L617" s="1630">
        <f t="shared" si="291"/>
        <v>4540</v>
      </c>
      <c r="M617" s="1630">
        <f t="shared" si="292"/>
        <v>45400</v>
      </c>
      <c r="N617" s="1625">
        <f t="shared" si="293"/>
        <v>39859.543941676151</v>
      </c>
      <c r="O617" s="1629">
        <v>0.57030000000000003</v>
      </c>
      <c r="P617" s="1629">
        <v>0.42970000000000003</v>
      </c>
      <c r="Q617" s="1625">
        <f t="shared" si="294"/>
        <v>22731.89790993791</v>
      </c>
      <c r="R617" s="1628">
        <f t="shared" si="295"/>
        <v>17127.646031738244</v>
      </c>
      <c r="S617" s="1627">
        <f t="shared" si="296"/>
        <v>21008.546031738235</v>
      </c>
      <c r="T617" s="1627">
        <f t="shared" si="297"/>
        <v>24391.453968261754</v>
      </c>
      <c r="U617" s="1626">
        <f t="shared" si="298"/>
        <v>5252.1365079345587</v>
      </c>
      <c r="V617" s="1626">
        <f t="shared" si="299"/>
        <v>6097.8634920654385</v>
      </c>
      <c r="W617" s="1625">
        <f t="shared" si="300"/>
        <v>11349.999999999996</v>
      </c>
      <c r="X617" s="1614"/>
      <c r="Y617" s="1613"/>
      <c r="Z617" s="1612">
        <f t="shared" si="301"/>
        <v>0.53249170592628281</v>
      </c>
      <c r="AA617" s="1611"/>
      <c r="AB617" s="1611"/>
      <c r="AC617" s="1611"/>
      <c r="AD617" s="1611"/>
      <c r="AE617" s="1611"/>
      <c r="AF617" s="1611"/>
      <c r="AG617" s="1611"/>
      <c r="AH617" s="1611"/>
      <c r="AI617" s="1611"/>
      <c r="AJ617" s="1611"/>
      <c r="AK617" s="1611"/>
      <c r="AL617" s="1611"/>
      <c r="AM617" s="1611"/>
      <c r="AN617" s="1611"/>
      <c r="AO617" s="1611"/>
      <c r="AP617" s="1611"/>
      <c r="AQ617" s="1611"/>
    </row>
    <row r="618" spans="1:43" outlineLevel="2">
      <c r="A618" s="1638" t="s">
        <v>319</v>
      </c>
      <c r="B618" s="1637" t="s">
        <v>130</v>
      </c>
      <c r="C618" s="1636"/>
      <c r="D618" s="1635">
        <v>8</v>
      </c>
      <c r="E618" s="1634" t="s">
        <v>951</v>
      </c>
      <c r="F618" s="1633" t="s">
        <v>1070</v>
      </c>
      <c r="G618" s="1632">
        <v>4374.0443941676149</v>
      </c>
      <c r="H618" s="1632">
        <v>4151.91</v>
      </c>
      <c r="I618" s="1630">
        <f t="shared" si="289"/>
        <v>8525.9543941676147</v>
      </c>
      <c r="J618" s="1630">
        <f t="shared" si="290"/>
        <v>68207.635153340918</v>
      </c>
      <c r="K618" s="1631">
        <v>5025</v>
      </c>
      <c r="L618" s="1630">
        <f t="shared" si="291"/>
        <v>5025</v>
      </c>
      <c r="M618" s="1630">
        <f t="shared" si="292"/>
        <v>40200</v>
      </c>
      <c r="N618" s="1625">
        <f t="shared" si="293"/>
        <v>28007.635153340918</v>
      </c>
      <c r="O618" s="1629">
        <v>0.57030000000000003</v>
      </c>
      <c r="P618" s="1629">
        <v>0.42970000000000003</v>
      </c>
      <c r="Q618" s="1625">
        <f t="shared" si="294"/>
        <v>15972.754327950326</v>
      </c>
      <c r="R618" s="1628">
        <f t="shared" si="295"/>
        <v>12034.880825390594</v>
      </c>
      <c r="S618" s="1627">
        <f t="shared" si="296"/>
        <v>19019.600825390593</v>
      </c>
      <c r="T618" s="1627">
        <f t="shared" si="297"/>
        <v>21180.399174609403</v>
      </c>
      <c r="U618" s="1626">
        <f t="shared" si="298"/>
        <v>4754.9002063476482</v>
      </c>
      <c r="V618" s="1626">
        <f t="shared" si="299"/>
        <v>5295.0997936523509</v>
      </c>
      <c r="W618" s="1625">
        <f t="shared" si="300"/>
        <v>10050</v>
      </c>
      <c r="X618" s="1614"/>
      <c r="Y618" s="1613"/>
      <c r="Z618" s="1612">
        <f t="shared" si="301"/>
        <v>0.58937683310122713</v>
      </c>
      <c r="AA618" s="1611"/>
      <c r="AB618" s="1611"/>
      <c r="AC618" s="1611"/>
      <c r="AD618" s="1611"/>
      <c r="AE618" s="1611"/>
      <c r="AF618" s="1611"/>
      <c r="AG618" s="1611"/>
      <c r="AH618" s="1611"/>
      <c r="AI618" s="1611"/>
      <c r="AJ618" s="1611"/>
      <c r="AK618" s="1611"/>
      <c r="AL618" s="1611"/>
      <c r="AM618" s="1611"/>
      <c r="AN618" s="1611"/>
      <c r="AO618" s="1611"/>
      <c r="AP618" s="1611"/>
      <c r="AQ618" s="1611"/>
    </row>
    <row r="619" spans="1:43" outlineLevel="2">
      <c r="A619" s="1638" t="s">
        <v>319</v>
      </c>
      <c r="B619" s="1637" t="s">
        <v>130</v>
      </c>
      <c r="C619" s="1636"/>
      <c r="D619" s="1635">
        <v>11</v>
      </c>
      <c r="E619" s="1634" t="s">
        <v>951</v>
      </c>
      <c r="F619" s="1633" t="s">
        <v>1069</v>
      </c>
      <c r="G619" s="1632">
        <v>4374.0443941676149</v>
      </c>
      <c r="H619" s="1632">
        <v>4151.91</v>
      </c>
      <c r="I619" s="1630">
        <f t="shared" si="289"/>
        <v>8525.9543941676147</v>
      </c>
      <c r="J619" s="1630">
        <f t="shared" si="290"/>
        <v>93785.49833584376</v>
      </c>
      <c r="K619" s="1631">
        <v>5025</v>
      </c>
      <c r="L619" s="1630">
        <f t="shared" si="291"/>
        <v>5025</v>
      </c>
      <c r="M619" s="1630">
        <f t="shared" si="292"/>
        <v>55275</v>
      </c>
      <c r="N619" s="1625">
        <f t="shared" si="293"/>
        <v>38510.49833584376</v>
      </c>
      <c r="O619" s="1629">
        <v>0.57030000000000003</v>
      </c>
      <c r="P619" s="1629">
        <v>0.42970000000000003</v>
      </c>
      <c r="Q619" s="1625">
        <f t="shared" si="294"/>
        <v>21962.537200931696</v>
      </c>
      <c r="R619" s="1628">
        <f t="shared" si="295"/>
        <v>16547.961134912064</v>
      </c>
      <c r="S619" s="1627">
        <f t="shared" si="296"/>
        <v>26151.951134912069</v>
      </c>
      <c r="T619" s="1627">
        <f t="shared" si="297"/>
        <v>29123.048865087931</v>
      </c>
      <c r="U619" s="1626">
        <f t="shared" si="298"/>
        <v>6537.9877837280173</v>
      </c>
      <c r="V619" s="1626">
        <f t="shared" si="299"/>
        <v>7280.7622162719827</v>
      </c>
      <c r="W619" s="1625">
        <f t="shared" si="300"/>
        <v>13818.75</v>
      </c>
      <c r="X619" s="1614"/>
      <c r="Y619" s="1613"/>
      <c r="Z619" s="1612">
        <f t="shared" si="301"/>
        <v>0.58937683310122713</v>
      </c>
      <c r="AA619" s="1611"/>
      <c r="AB619" s="1611"/>
      <c r="AC619" s="1611"/>
      <c r="AD619" s="1611"/>
      <c r="AE619" s="1611"/>
      <c r="AF619" s="1611"/>
      <c r="AG619" s="1611"/>
      <c r="AH619" s="1611"/>
      <c r="AI619" s="1611"/>
      <c r="AJ619" s="1611"/>
      <c r="AK619" s="1611"/>
      <c r="AL619" s="1611"/>
      <c r="AM619" s="1611"/>
      <c r="AN619" s="1611"/>
      <c r="AO619" s="1611"/>
      <c r="AP619" s="1611"/>
      <c r="AQ619" s="1611"/>
    </row>
    <row r="620" spans="1:43" outlineLevel="2">
      <c r="A620" s="1638" t="s">
        <v>319</v>
      </c>
      <c r="B620" s="1637" t="s">
        <v>130</v>
      </c>
      <c r="C620" s="1636"/>
      <c r="D620" s="1635">
        <v>11</v>
      </c>
      <c r="E620" s="1634" t="s">
        <v>951</v>
      </c>
      <c r="F620" s="1633" t="s">
        <v>1068</v>
      </c>
      <c r="G620" s="1632">
        <v>4374.0443941676149</v>
      </c>
      <c r="H620" s="1632">
        <v>4151.91</v>
      </c>
      <c r="I620" s="1630">
        <f t="shared" si="289"/>
        <v>8525.9543941676147</v>
      </c>
      <c r="J620" s="1630">
        <f t="shared" si="290"/>
        <v>93785.49833584376</v>
      </c>
      <c r="K620" s="1631">
        <v>5025</v>
      </c>
      <c r="L620" s="1630">
        <f t="shared" si="291"/>
        <v>5025</v>
      </c>
      <c r="M620" s="1630">
        <f t="shared" si="292"/>
        <v>55275</v>
      </c>
      <c r="N620" s="1625">
        <f t="shared" si="293"/>
        <v>38510.49833584376</v>
      </c>
      <c r="O620" s="1629">
        <v>0.57030000000000003</v>
      </c>
      <c r="P620" s="1629">
        <v>0.42970000000000003</v>
      </c>
      <c r="Q620" s="1625">
        <f t="shared" si="294"/>
        <v>21962.537200931696</v>
      </c>
      <c r="R620" s="1628">
        <f t="shared" si="295"/>
        <v>16547.961134912064</v>
      </c>
      <c r="S620" s="1627">
        <f t="shared" si="296"/>
        <v>26151.951134912069</v>
      </c>
      <c r="T620" s="1627">
        <f t="shared" si="297"/>
        <v>29123.048865087931</v>
      </c>
      <c r="U620" s="1626">
        <f t="shared" si="298"/>
        <v>6537.9877837280173</v>
      </c>
      <c r="V620" s="1626">
        <f t="shared" si="299"/>
        <v>7280.7622162719827</v>
      </c>
      <c r="W620" s="1625">
        <f t="shared" si="300"/>
        <v>13818.75</v>
      </c>
      <c r="X620" s="1614"/>
      <c r="Y620" s="1613"/>
      <c r="Z620" s="1612">
        <f t="shared" si="301"/>
        <v>0.58937683310122713</v>
      </c>
      <c r="AA620" s="1611"/>
      <c r="AB620" s="1611"/>
      <c r="AC620" s="1611"/>
      <c r="AD620" s="1611"/>
      <c r="AE620" s="1611"/>
      <c r="AF620" s="1611"/>
      <c r="AG620" s="1611"/>
      <c r="AH620" s="1611"/>
      <c r="AI620" s="1611"/>
      <c r="AJ620" s="1611"/>
      <c r="AK620" s="1611"/>
      <c r="AL620" s="1611"/>
      <c r="AM620" s="1611"/>
      <c r="AN620" s="1611"/>
      <c r="AO620" s="1611"/>
      <c r="AP620" s="1611"/>
      <c r="AQ620" s="1611"/>
    </row>
    <row r="621" spans="1:43" outlineLevel="2">
      <c r="A621" s="1638" t="s">
        <v>319</v>
      </c>
      <c r="B621" s="1637" t="s">
        <v>130</v>
      </c>
      <c r="C621" s="1636"/>
      <c r="D621" s="1635">
        <v>6</v>
      </c>
      <c r="E621" s="1634" t="s">
        <v>951</v>
      </c>
      <c r="F621" s="1633" t="s">
        <v>1071</v>
      </c>
      <c r="G621" s="1632">
        <v>4374.0443941676149</v>
      </c>
      <c r="H621" s="1632">
        <v>4151.91</v>
      </c>
      <c r="I621" s="1630">
        <f t="shared" si="289"/>
        <v>8525.9543941676147</v>
      </c>
      <c r="J621" s="1630">
        <f t="shared" si="290"/>
        <v>51155.726365005685</v>
      </c>
      <c r="K621" s="1631">
        <v>5025</v>
      </c>
      <c r="L621" s="1630">
        <f t="shared" si="291"/>
        <v>5025</v>
      </c>
      <c r="M621" s="1630">
        <f t="shared" si="292"/>
        <v>30150</v>
      </c>
      <c r="N621" s="1625">
        <f t="shared" si="293"/>
        <v>21005.726365005685</v>
      </c>
      <c r="O621" s="1629">
        <v>0.57030000000000003</v>
      </c>
      <c r="P621" s="1629">
        <v>0.42970000000000003</v>
      </c>
      <c r="Q621" s="1625">
        <f t="shared" si="294"/>
        <v>11979.565745962742</v>
      </c>
      <c r="R621" s="1628">
        <f t="shared" si="295"/>
        <v>9026.1606190429429</v>
      </c>
      <c r="S621" s="1627">
        <f t="shared" si="296"/>
        <v>14264.700619042947</v>
      </c>
      <c r="T621" s="1627">
        <f t="shared" si="297"/>
        <v>15885.299380957056</v>
      </c>
      <c r="U621" s="1626">
        <f t="shared" si="298"/>
        <v>3566.1751547607369</v>
      </c>
      <c r="V621" s="1626">
        <f t="shared" si="299"/>
        <v>3971.3248452392641</v>
      </c>
      <c r="W621" s="1625">
        <f t="shared" si="300"/>
        <v>7537.5000000000009</v>
      </c>
      <c r="X621" s="1614"/>
      <c r="Y621" s="1613"/>
      <c r="Z621" s="1612">
        <f t="shared" si="301"/>
        <v>0.58937683310122713</v>
      </c>
      <c r="AA621" s="1611"/>
      <c r="AB621" s="1611"/>
      <c r="AC621" s="1611"/>
      <c r="AD621" s="1611"/>
      <c r="AE621" s="1611"/>
      <c r="AF621" s="1611"/>
      <c r="AG621" s="1611"/>
      <c r="AH621" s="1611"/>
      <c r="AI621" s="1611"/>
      <c r="AJ621" s="1611"/>
      <c r="AK621" s="1611"/>
      <c r="AL621" s="1611"/>
      <c r="AM621" s="1611"/>
      <c r="AN621" s="1611"/>
      <c r="AO621" s="1611"/>
      <c r="AP621" s="1611"/>
      <c r="AQ621" s="1611"/>
    </row>
    <row r="622" spans="1:43" outlineLevel="2">
      <c r="A622" s="1638" t="s">
        <v>319</v>
      </c>
      <c r="B622" s="1637" t="s">
        <v>130</v>
      </c>
      <c r="C622" s="1636"/>
      <c r="D622" s="1635">
        <v>7</v>
      </c>
      <c r="E622" s="1634" t="s">
        <v>951</v>
      </c>
      <c r="F622" s="1633" t="s">
        <v>1065</v>
      </c>
      <c r="G622" s="1632">
        <v>4374.0443941676149</v>
      </c>
      <c r="H622" s="1632">
        <v>4151.91</v>
      </c>
      <c r="I622" s="1630">
        <f t="shared" si="289"/>
        <v>8525.9543941676147</v>
      </c>
      <c r="J622" s="1630">
        <f t="shared" si="290"/>
        <v>59681.680759173301</v>
      </c>
      <c r="K622" s="1631">
        <v>5025</v>
      </c>
      <c r="L622" s="1630">
        <f t="shared" si="291"/>
        <v>5025</v>
      </c>
      <c r="M622" s="1630">
        <f t="shared" si="292"/>
        <v>35175</v>
      </c>
      <c r="N622" s="1625">
        <f t="shared" si="293"/>
        <v>24506.680759173301</v>
      </c>
      <c r="O622" s="1629">
        <v>0.57030000000000003</v>
      </c>
      <c r="P622" s="1629">
        <v>0.42970000000000003</v>
      </c>
      <c r="Q622" s="1625">
        <f t="shared" si="294"/>
        <v>13976.160036956535</v>
      </c>
      <c r="R622" s="1628">
        <f t="shared" si="295"/>
        <v>10530.520722216768</v>
      </c>
      <c r="S622" s="1627">
        <f t="shared" si="296"/>
        <v>16642.150722216771</v>
      </c>
      <c r="T622" s="1627">
        <f t="shared" si="297"/>
        <v>18532.849277783229</v>
      </c>
      <c r="U622" s="1626">
        <f t="shared" si="298"/>
        <v>4160.5376805541928</v>
      </c>
      <c r="V622" s="1626">
        <f t="shared" si="299"/>
        <v>4633.2123194458072</v>
      </c>
      <c r="W622" s="1625">
        <f t="shared" si="300"/>
        <v>8793.75</v>
      </c>
      <c r="X622" s="1614"/>
      <c r="Y622" s="1613"/>
      <c r="Z622" s="1612">
        <f t="shared" si="301"/>
        <v>0.58937683310122713</v>
      </c>
      <c r="AA622" s="1611"/>
      <c r="AB622" s="1611"/>
      <c r="AC622" s="1611"/>
      <c r="AD622" s="1611"/>
      <c r="AE622" s="1611"/>
      <c r="AF622" s="1611"/>
      <c r="AG622" s="1611"/>
      <c r="AH622" s="1611"/>
      <c r="AI622" s="1611"/>
      <c r="AJ622" s="1611"/>
      <c r="AK622" s="1611"/>
      <c r="AL622" s="1611"/>
      <c r="AM622" s="1611"/>
      <c r="AN622" s="1611"/>
      <c r="AO622" s="1611"/>
      <c r="AP622" s="1611"/>
      <c r="AQ622" s="1611"/>
    </row>
    <row r="623" spans="1:43" outlineLevel="2">
      <c r="A623" s="1638" t="s">
        <v>319</v>
      </c>
      <c r="B623" s="1637" t="s">
        <v>130</v>
      </c>
      <c r="C623" s="1636"/>
      <c r="D623" s="1635">
        <v>2</v>
      </c>
      <c r="E623" s="1634" t="s">
        <v>951</v>
      </c>
      <c r="F623" s="1633" t="s">
        <v>1064</v>
      </c>
      <c r="G623" s="1632">
        <v>4374.0443941676149</v>
      </c>
      <c r="H623" s="1632">
        <v>4151.91</v>
      </c>
      <c r="I623" s="1630">
        <f t="shared" si="289"/>
        <v>8525.9543941676147</v>
      </c>
      <c r="J623" s="1630">
        <f t="shared" si="290"/>
        <v>17051.908788335229</v>
      </c>
      <c r="K623" s="1631">
        <v>5025</v>
      </c>
      <c r="L623" s="1630">
        <f t="shared" si="291"/>
        <v>5025</v>
      </c>
      <c r="M623" s="1630">
        <f t="shared" si="292"/>
        <v>10050</v>
      </c>
      <c r="N623" s="1625">
        <f t="shared" si="293"/>
        <v>7001.9087883352295</v>
      </c>
      <c r="O623" s="1629">
        <v>0.57030000000000003</v>
      </c>
      <c r="P623" s="1629">
        <v>0.42970000000000003</v>
      </c>
      <c r="Q623" s="1625">
        <f t="shared" si="294"/>
        <v>3993.1885819875815</v>
      </c>
      <c r="R623" s="1628">
        <f t="shared" si="295"/>
        <v>3008.7202063476484</v>
      </c>
      <c r="S623" s="1627">
        <f t="shared" si="296"/>
        <v>4754.9002063476482</v>
      </c>
      <c r="T623" s="1627">
        <f t="shared" si="297"/>
        <v>5295.0997936523509</v>
      </c>
      <c r="U623" s="1626">
        <f t="shared" si="298"/>
        <v>1188.7250515869121</v>
      </c>
      <c r="V623" s="1626">
        <f t="shared" si="299"/>
        <v>1323.7749484130877</v>
      </c>
      <c r="W623" s="1625">
        <f t="shared" si="300"/>
        <v>2512.5</v>
      </c>
      <c r="X623" s="1614"/>
      <c r="Y623" s="1613"/>
      <c r="Z623" s="1612">
        <f t="shared" si="301"/>
        <v>0.58937683310122713</v>
      </c>
      <c r="AA623" s="1611"/>
      <c r="AB623" s="1611"/>
      <c r="AC623" s="1611"/>
      <c r="AD623" s="1611"/>
      <c r="AE623" s="1611"/>
      <c r="AF623" s="1611"/>
      <c r="AG623" s="1611"/>
      <c r="AH623" s="1611"/>
      <c r="AI623" s="1611"/>
      <c r="AJ623" s="1611"/>
      <c r="AK623" s="1611"/>
      <c r="AL623" s="1611"/>
      <c r="AM623" s="1611"/>
      <c r="AN623" s="1611"/>
      <c r="AO623" s="1611"/>
      <c r="AP623" s="1611"/>
      <c r="AQ623" s="1611"/>
    </row>
    <row r="624" spans="1:43" outlineLevel="2">
      <c r="A624" s="1638" t="s">
        <v>319</v>
      </c>
      <c r="B624" s="1637" t="s">
        <v>130</v>
      </c>
      <c r="C624" s="1636"/>
      <c r="D624" s="1635">
        <v>5</v>
      </c>
      <c r="E624" s="1634" t="s">
        <v>951</v>
      </c>
      <c r="F624" s="1633" t="s">
        <v>1063</v>
      </c>
      <c r="G624" s="1632">
        <v>4374.0443941676149</v>
      </c>
      <c r="H624" s="1632">
        <v>4151.91</v>
      </c>
      <c r="I624" s="1630">
        <f t="shared" si="289"/>
        <v>8525.9543941676147</v>
      </c>
      <c r="J624" s="1630">
        <f t="shared" si="290"/>
        <v>42629.771970838076</v>
      </c>
      <c r="K624" s="1631">
        <v>5025</v>
      </c>
      <c r="L624" s="1630">
        <f t="shared" si="291"/>
        <v>5025</v>
      </c>
      <c r="M624" s="1630">
        <f t="shared" si="292"/>
        <v>25125</v>
      </c>
      <c r="N624" s="1625">
        <f t="shared" si="293"/>
        <v>17504.771970838076</v>
      </c>
      <c r="O624" s="1629">
        <v>0.57030000000000003</v>
      </c>
      <c r="P624" s="1629">
        <v>0.42970000000000003</v>
      </c>
      <c r="Q624" s="1625">
        <f t="shared" si="294"/>
        <v>9982.9714549689543</v>
      </c>
      <c r="R624" s="1628">
        <f t="shared" si="295"/>
        <v>7521.8005158691212</v>
      </c>
      <c r="S624" s="1627">
        <f t="shared" si="296"/>
        <v>11887.250515869118</v>
      </c>
      <c r="T624" s="1627">
        <f t="shared" si="297"/>
        <v>13237.749484130878</v>
      </c>
      <c r="U624" s="1626">
        <f t="shared" si="298"/>
        <v>2971.8126289672796</v>
      </c>
      <c r="V624" s="1626">
        <f t="shared" si="299"/>
        <v>3309.4373710327195</v>
      </c>
      <c r="W624" s="1625">
        <f t="shared" si="300"/>
        <v>6281.2499999999991</v>
      </c>
      <c r="X624" s="1614"/>
      <c r="Y624" s="1613"/>
      <c r="Z624" s="1612">
        <f t="shared" si="301"/>
        <v>0.58937683310122713</v>
      </c>
      <c r="AA624" s="1611"/>
      <c r="AB624" s="1611"/>
      <c r="AC624" s="1611"/>
      <c r="AD624" s="1611"/>
      <c r="AE624" s="1611"/>
      <c r="AF624" s="1611"/>
      <c r="AG624" s="1611"/>
      <c r="AH624" s="1611"/>
      <c r="AI624" s="1611"/>
      <c r="AJ624" s="1611"/>
      <c r="AK624" s="1611"/>
      <c r="AL624" s="1611"/>
      <c r="AM624" s="1611"/>
      <c r="AN624" s="1611"/>
      <c r="AO624" s="1611"/>
      <c r="AP624" s="1611"/>
      <c r="AQ624" s="1611"/>
    </row>
    <row r="625" spans="1:43" outlineLevel="2">
      <c r="A625" s="1638" t="s">
        <v>319</v>
      </c>
      <c r="B625" s="1637" t="s">
        <v>130</v>
      </c>
      <c r="C625" s="1636"/>
      <c r="D625" s="1635">
        <v>8</v>
      </c>
      <c r="E625" s="1634" t="s">
        <v>951</v>
      </c>
      <c r="F625" s="1633" t="s">
        <v>979</v>
      </c>
      <c r="G625" s="1632">
        <v>4374.0443941676149</v>
      </c>
      <c r="H625" s="1632">
        <v>4151.91</v>
      </c>
      <c r="I625" s="1630">
        <f t="shared" si="289"/>
        <v>8525.9543941676147</v>
      </c>
      <c r="J625" s="1630">
        <f t="shared" si="290"/>
        <v>68207.635153340918</v>
      </c>
      <c r="K625" s="1631">
        <v>5025</v>
      </c>
      <c r="L625" s="1630">
        <f t="shared" si="291"/>
        <v>5025</v>
      </c>
      <c r="M625" s="1630">
        <f t="shared" si="292"/>
        <v>40200</v>
      </c>
      <c r="N625" s="1625">
        <f t="shared" si="293"/>
        <v>28007.635153340918</v>
      </c>
      <c r="O625" s="1629">
        <v>0.57030000000000003</v>
      </c>
      <c r="P625" s="1629">
        <v>0.42970000000000003</v>
      </c>
      <c r="Q625" s="1625">
        <f t="shared" si="294"/>
        <v>15972.754327950326</v>
      </c>
      <c r="R625" s="1628">
        <f t="shared" si="295"/>
        <v>12034.880825390594</v>
      </c>
      <c r="S625" s="1627">
        <f t="shared" si="296"/>
        <v>19019.600825390593</v>
      </c>
      <c r="T625" s="1627">
        <f t="shared" si="297"/>
        <v>21180.399174609403</v>
      </c>
      <c r="U625" s="1626">
        <f t="shared" si="298"/>
        <v>4754.9002063476482</v>
      </c>
      <c r="V625" s="1626">
        <f t="shared" si="299"/>
        <v>5295.0997936523509</v>
      </c>
      <c r="W625" s="1625">
        <f t="shared" si="300"/>
        <v>10050</v>
      </c>
      <c r="X625" s="1614"/>
      <c r="Y625" s="1613"/>
      <c r="Z625" s="1612">
        <f t="shared" si="301"/>
        <v>0.58937683310122713</v>
      </c>
      <c r="AA625" s="1611"/>
      <c r="AB625" s="1611"/>
      <c r="AC625" s="1611"/>
      <c r="AD625" s="1611"/>
      <c r="AE625" s="1611"/>
      <c r="AF625" s="1611"/>
      <c r="AG625" s="1611"/>
      <c r="AH625" s="1611"/>
      <c r="AI625" s="1611"/>
      <c r="AJ625" s="1611"/>
      <c r="AK625" s="1611"/>
      <c r="AL625" s="1611"/>
      <c r="AM625" s="1611"/>
      <c r="AN625" s="1611"/>
      <c r="AO625" s="1611"/>
      <c r="AP625" s="1611"/>
      <c r="AQ625" s="1611"/>
    </row>
    <row r="626" spans="1:43" outlineLevel="2">
      <c r="A626" s="1638" t="s">
        <v>319</v>
      </c>
      <c r="B626" s="1637" t="s">
        <v>130</v>
      </c>
      <c r="C626" s="1636"/>
      <c r="D626" s="1635">
        <v>1</v>
      </c>
      <c r="E626" s="1634" t="s">
        <v>935</v>
      </c>
      <c r="F626" s="1633" t="s">
        <v>979</v>
      </c>
      <c r="G626" s="1632">
        <v>4374.0443941676149</v>
      </c>
      <c r="H626" s="1632">
        <v>4151.91</v>
      </c>
      <c r="I626" s="1630">
        <f t="shared" si="289"/>
        <v>8525.9543941676147</v>
      </c>
      <c r="J626" s="1630">
        <f t="shared" si="290"/>
        <v>8525.9543941676147</v>
      </c>
      <c r="K626" s="1631">
        <v>3020</v>
      </c>
      <c r="L626" s="1630">
        <f t="shared" si="291"/>
        <v>3020</v>
      </c>
      <c r="M626" s="1630">
        <f t="shared" si="292"/>
        <v>3020</v>
      </c>
      <c r="N626" s="1625">
        <f t="shared" si="293"/>
        <v>5505.9543941676147</v>
      </c>
      <c r="O626" s="1629">
        <v>0.57030000000000003</v>
      </c>
      <c r="P626" s="1629">
        <v>0.42970000000000003</v>
      </c>
      <c r="Q626" s="1625">
        <f t="shared" si="294"/>
        <v>3140.0457909937909</v>
      </c>
      <c r="R626" s="1628">
        <f t="shared" si="295"/>
        <v>2365.9086031738243</v>
      </c>
      <c r="S626" s="1627">
        <f t="shared" si="296"/>
        <v>1233.998603173824</v>
      </c>
      <c r="T626" s="1627">
        <f t="shared" si="297"/>
        <v>1786.0013968261756</v>
      </c>
      <c r="U626" s="1626">
        <f t="shared" si="298"/>
        <v>308.499650793456</v>
      </c>
      <c r="V626" s="1626">
        <f t="shared" si="299"/>
        <v>446.50034920654389</v>
      </c>
      <c r="W626" s="1625">
        <f t="shared" si="300"/>
        <v>754.99999999999989</v>
      </c>
      <c r="X626" s="1614"/>
      <c r="Y626" s="1613"/>
      <c r="Z626" s="1612">
        <f t="shared" si="301"/>
        <v>0.35421254447078721</v>
      </c>
      <c r="AA626" s="1611"/>
      <c r="AB626" s="1611"/>
      <c r="AC626" s="1611"/>
      <c r="AD626" s="1611"/>
      <c r="AE626" s="1611"/>
      <c r="AF626" s="1611"/>
      <c r="AG626" s="1611"/>
      <c r="AH626" s="1611"/>
      <c r="AI626" s="1611"/>
      <c r="AJ626" s="1611"/>
      <c r="AK626" s="1611"/>
      <c r="AL626" s="1611"/>
      <c r="AM626" s="1611"/>
      <c r="AN626" s="1611"/>
      <c r="AO626" s="1611"/>
      <c r="AP626" s="1611"/>
      <c r="AQ626" s="1611"/>
    </row>
    <row r="627" spans="1:43" outlineLevel="2">
      <c r="A627" s="1638" t="s">
        <v>319</v>
      </c>
      <c r="B627" s="1637" t="s">
        <v>130</v>
      </c>
      <c r="C627" s="1636"/>
      <c r="D627" s="1635">
        <v>1</v>
      </c>
      <c r="E627" s="1634" t="s">
        <v>947</v>
      </c>
      <c r="F627" s="1633" t="s">
        <v>979</v>
      </c>
      <c r="G627" s="1632">
        <v>4374.0443941676149</v>
      </c>
      <c r="H627" s="1632">
        <v>4151.91</v>
      </c>
      <c r="I627" s="1630">
        <f t="shared" si="289"/>
        <v>8525.9543941676147</v>
      </c>
      <c r="J627" s="1630">
        <f t="shared" si="290"/>
        <v>8525.9543941676147</v>
      </c>
      <c r="K627" s="1631">
        <v>4050</v>
      </c>
      <c r="L627" s="1630">
        <f t="shared" si="291"/>
        <v>4050</v>
      </c>
      <c r="M627" s="1630">
        <f t="shared" si="292"/>
        <v>4050</v>
      </c>
      <c r="N627" s="1625">
        <f t="shared" si="293"/>
        <v>4475.9543941676147</v>
      </c>
      <c r="O627" s="1629">
        <v>0.57030000000000003</v>
      </c>
      <c r="P627" s="1629">
        <v>0.42970000000000003</v>
      </c>
      <c r="Q627" s="1625">
        <f t="shared" si="294"/>
        <v>2552.6367909937908</v>
      </c>
      <c r="R627" s="1628">
        <f t="shared" si="295"/>
        <v>1923.3176031738242</v>
      </c>
      <c r="S627" s="1627">
        <f t="shared" si="296"/>
        <v>1821.4076031738241</v>
      </c>
      <c r="T627" s="1627">
        <f t="shared" si="297"/>
        <v>2228.5923968261759</v>
      </c>
      <c r="U627" s="1626">
        <f t="shared" si="298"/>
        <v>455.35190079345602</v>
      </c>
      <c r="V627" s="1626">
        <f t="shared" si="299"/>
        <v>557.14809920654398</v>
      </c>
      <c r="W627" s="1625">
        <f t="shared" si="300"/>
        <v>1012.5</v>
      </c>
      <c r="X627" s="1614"/>
      <c r="Y627" s="1613"/>
      <c r="Z627" s="1612">
        <f t="shared" si="301"/>
        <v>0.47502013414128752</v>
      </c>
      <c r="AA627" s="1611"/>
      <c r="AB627" s="1611"/>
      <c r="AC627" s="1611"/>
      <c r="AD627" s="1611"/>
      <c r="AE627" s="1611"/>
      <c r="AF627" s="1611"/>
      <c r="AG627" s="1611"/>
      <c r="AH627" s="1611"/>
      <c r="AI627" s="1611"/>
      <c r="AJ627" s="1611"/>
      <c r="AK627" s="1611"/>
      <c r="AL627" s="1611"/>
      <c r="AM627" s="1611"/>
      <c r="AN627" s="1611"/>
      <c r="AO627" s="1611"/>
      <c r="AP627" s="1611"/>
      <c r="AQ627" s="1611"/>
    </row>
    <row r="628" spans="1:43" outlineLevel="2">
      <c r="A628" s="1638" t="s">
        <v>319</v>
      </c>
      <c r="B628" s="1637" t="s">
        <v>130</v>
      </c>
      <c r="C628" s="1636"/>
      <c r="D628" s="1635">
        <v>27</v>
      </c>
      <c r="E628" s="1634" t="s">
        <v>922</v>
      </c>
      <c r="F628" s="1633" t="s">
        <v>1070</v>
      </c>
      <c r="G628" s="1632">
        <v>4374.0443941676149</v>
      </c>
      <c r="H628" s="1632">
        <v>4151.91</v>
      </c>
      <c r="I628" s="1630">
        <f t="shared" si="289"/>
        <v>8525.9543941676147</v>
      </c>
      <c r="J628" s="1630">
        <f t="shared" si="290"/>
        <v>230200.7686425256</v>
      </c>
      <c r="K628" s="1631">
        <v>5082</v>
      </c>
      <c r="L628" s="1630">
        <f t="shared" si="291"/>
        <v>5082</v>
      </c>
      <c r="M628" s="1630">
        <f t="shared" si="292"/>
        <v>137214</v>
      </c>
      <c r="N628" s="1625">
        <f t="shared" si="293"/>
        <v>92986.768642525596</v>
      </c>
      <c r="O628" s="1629">
        <v>0.57030000000000003</v>
      </c>
      <c r="P628" s="1629">
        <v>0.42970000000000003</v>
      </c>
      <c r="Q628" s="1625">
        <f t="shared" si="294"/>
        <v>53030.354156832349</v>
      </c>
      <c r="R628" s="1628">
        <f t="shared" si="295"/>
        <v>39956.414485693254</v>
      </c>
      <c r="S628" s="1627">
        <f t="shared" si="296"/>
        <v>65068.844485693255</v>
      </c>
      <c r="T628" s="1627">
        <f t="shared" si="297"/>
        <v>72145.155514306738</v>
      </c>
      <c r="U628" s="1626">
        <f t="shared" si="298"/>
        <v>16267.211121423314</v>
      </c>
      <c r="V628" s="1626">
        <f t="shared" si="299"/>
        <v>18036.288878576685</v>
      </c>
      <c r="W628" s="1625">
        <f t="shared" si="300"/>
        <v>34303.5</v>
      </c>
      <c r="X628" s="1614"/>
      <c r="Y628" s="1613"/>
      <c r="Z628" s="1612">
        <f t="shared" si="301"/>
        <v>0.5960623016558082</v>
      </c>
      <c r="AA628" s="1611"/>
      <c r="AB628" s="1611"/>
      <c r="AC628" s="1611"/>
      <c r="AD628" s="1611"/>
      <c r="AE628" s="1611"/>
      <c r="AF628" s="1611"/>
      <c r="AG628" s="1611"/>
      <c r="AH628" s="1611"/>
      <c r="AI628" s="1611"/>
      <c r="AJ628" s="1611"/>
      <c r="AK628" s="1611"/>
      <c r="AL628" s="1611"/>
      <c r="AM628" s="1611"/>
      <c r="AN628" s="1611"/>
      <c r="AO628" s="1611"/>
      <c r="AP628" s="1611"/>
      <c r="AQ628" s="1611"/>
    </row>
    <row r="629" spans="1:43" outlineLevel="2">
      <c r="A629" s="1638" t="s">
        <v>319</v>
      </c>
      <c r="B629" s="1637" t="s">
        <v>130</v>
      </c>
      <c r="C629" s="1636"/>
      <c r="D629" s="1635">
        <v>10</v>
      </c>
      <c r="E629" s="1634" t="s">
        <v>922</v>
      </c>
      <c r="F629" s="1633" t="s">
        <v>1069</v>
      </c>
      <c r="G629" s="1632">
        <v>4374.0443941676149</v>
      </c>
      <c r="H629" s="1632">
        <v>4151.91</v>
      </c>
      <c r="I629" s="1630">
        <f t="shared" si="289"/>
        <v>8525.9543941676147</v>
      </c>
      <c r="J629" s="1630">
        <f t="shared" si="290"/>
        <v>85259.543941676151</v>
      </c>
      <c r="K629" s="1631">
        <v>5082</v>
      </c>
      <c r="L629" s="1630">
        <f t="shared" si="291"/>
        <v>5082</v>
      </c>
      <c r="M629" s="1630">
        <f t="shared" si="292"/>
        <v>50820</v>
      </c>
      <c r="N629" s="1625">
        <f t="shared" si="293"/>
        <v>34439.543941676151</v>
      </c>
      <c r="O629" s="1629">
        <v>0.57030000000000003</v>
      </c>
      <c r="P629" s="1629">
        <v>0.42970000000000003</v>
      </c>
      <c r="Q629" s="1625">
        <f t="shared" si="294"/>
        <v>19640.871909937909</v>
      </c>
      <c r="R629" s="1628">
        <f t="shared" si="295"/>
        <v>14798.672031738242</v>
      </c>
      <c r="S629" s="1627">
        <f t="shared" si="296"/>
        <v>24099.572031738237</v>
      </c>
      <c r="T629" s="1627">
        <f t="shared" si="297"/>
        <v>26720.427968261756</v>
      </c>
      <c r="U629" s="1626">
        <f t="shared" si="298"/>
        <v>6024.8930079345591</v>
      </c>
      <c r="V629" s="1626">
        <f t="shared" si="299"/>
        <v>6680.106992065439</v>
      </c>
      <c r="W629" s="1625">
        <f t="shared" si="300"/>
        <v>12704.999999999998</v>
      </c>
      <c r="X629" s="1614"/>
      <c r="Y629" s="1613"/>
      <c r="Z629" s="1612">
        <f t="shared" si="301"/>
        <v>0.5960623016558082</v>
      </c>
      <c r="AA629" s="1611"/>
      <c r="AB629" s="1611"/>
      <c r="AC629" s="1611"/>
      <c r="AD629" s="1611"/>
      <c r="AE629" s="1611"/>
      <c r="AF629" s="1611"/>
      <c r="AG629" s="1611"/>
      <c r="AH629" s="1611"/>
      <c r="AI629" s="1611"/>
      <c r="AJ629" s="1611"/>
      <c r="AK629" s="1611"/>
      <c r="AL629" s="1611"/>
      <c r="AM629" s="1611"/>
      <c r="AN629" s="1611"/>
      <c r="AO629" s="1611"/>
      <c r="AP629" s="1611"/>
      <c r="AQ629" s="1611"/>
    </row>
    <row r="630" spans="1:43" outlineLevel="2">
      <c r="A630" s="1638" t="s">
        <v>319</v>
      </c>
      <c r="B630" s="1637" t="s">
        <v>130</v>
      </c>
      <c r="C630" s="1636"/>
      <c r="D630" s="1635">
        <v>13</v>
      </c>
      <c r="E630" s="1634" t="s">
        <v>922</v>
      </c>
      <c r="F630" s="1633" t="s">
        <v>1068</v>
      </c>
      <c r="G630" s="1632">
        <v>4374.0443941676149</v>
      </c>
      <c r="H630" s="1632">
        <v>4151.91</v>
      </c>
      <c r="I630" s="1630">
        <f t="shared" si="289"/>
        <v>8525.9543941676147</v>
      </c>
      <c r="J630" s="1630">
        <f t="shared" si="290"/>
        <v>110837.40712417899</v>
      </c>
      <c r="K630" s="1631">
        <v>5082</v>
      </c>
      <c r="L630" s="1630">
        <f t="shared" si="291"/>
        <v>5082</v>
      </c>
      <c r="M630" s="1630">
        <f t="shared" si="292"/>
        <v>66066</v>
      </c>
      <c r="N630" s="1625">
        <f t="shared" si="293"/>
        <v>44771.407124178993</v>
      </c>
      <c r="O630" s="1629">
        <v>0.57030000000000003</v>
      </c>
      <c r="P630" s="1629">
        <v>0.42970000000000003</v>
      </c>
      <c r="Q630" s="1625">
        <f t="shared" si="294"/>
        <v>25533.133482919282</v>
      </c>
      <c r="R630" s="1628">
        <f t="shared" si="295"/>
        <v>19238.273641259715</v>
      </c>
      <c r="S630" s="1627">
        <f t="shared" si="296"/>
        <v>31329.44364125971</v>
      </c>
      <c r="T630" s="1627">
        <f t="shared" si="297"/>
        <v>34736.556358740287</v>
      </c>
      <c r="U630" s="1626">
        <f t="shared" si="298"/>
        <v>7832.3609103149274</v>
      </c>
      <c r="V630" s="1626">
        <f t="shared" si="299"/>
        <v>8684.1390896850717</v>
      </c>
      <c r="W630" s="1625">
        <f t="shared" si="300"/>
        <v>16516.5</v>
      </c>
      <c r="X630" s="1614"/>
      <c r="Y630" s="1613"/>
      <c r="Z630" s="1612">
        <f t="shared" si="301"/>
        <v>0.5960623016558082</v>
      </c>
      <c r="AA630" s="1611"/>
      <c r="AB630" s="1611"/>
      <c r="AC630" s="1611"/>
      <c r="AD630" s="1611"/>
      <c r="AE630" s="1611"/>
      <c r="AF630" s="1611"/>
      <c r="AG630" s="1611"/>
      <c r="AH630" s="1611"/>
      <c r="AI630" s="1611"/>
      <c r="AJ630" s="1611"/>
      <c r="AK630" s="1611"/>
      <c r="AL630" s="1611"/>
      <c r="AM630" s="1611"/>
      <c r="AN630" s="1611"/>
      <c r="AO630" s="1611"/>
      <c r="AP630" s="1611"/>
      <c r="AQ630" s="1611"/>
    </row>
    <row r="631" spans="1:43" outlineLevel="2">
      <c r="A631" s="1638" t="s">
        <v>319</v>
      </c>
      <c r="B631" s="1637" t="s">
        <v>130</v>
      </c>
      <c r="C631" s="1636"/>
      <c r="D631" s="1635">
        <v>10</v>
      </c>
      <c r="E631" s="1634" t="s">
        <v>922</v>
      </c>
      <c r="F631" s="1633" t="s">
        <v>1071</v>
      </c>
      <c r="G631" s="1632">
        <v>4374.0443941676149</v>
      </c>
      <c r="H631" s="1632">
        <v>4151.91</v>
      </c>
      <c r="I631" s="1630">
        <f t="shared" si="289"/>
        <v>8525.9543941676147</v>
      </c>
      <c r="J631" s="1630">
        <f t="shared" si="290"/>
        <v>85259.543941676151</v>
      </c>
      <c r="K631" s="1631">
        <v>5082</v>
      </c>
      <c r="L631" s="1630">
        <f t="shared" si="291"/>
        <v>5082</v>
      </c>
      <c r="M631" s="1630">
        <f t="shared" si="292"/>
        <v>50820</v>
      </c>
      <c r="N631" s="1625">
        <f t="shared" si="293"/>
        <v>34439.543941676151</v>
      </c>
      <c r="O631" s="1629">
        <v>0.57030000000000003</v>
      </c>
      <c r="P631" s="1629">
        <v>0.42970000000000003</v>
      </c>
      <c r="Q631" s="1625">
        <f t="shared" si="294"/>
        <v>19640.871909937909</v>
      </c>
      <c r="R631" s="1628">
        <f t="shared" si="295"/>
        <v>14798.672031738242</v>
      </c>
      <c r="S631" s="1627">
        <f t="shared" si="296"/>
        <v>24099.572031738237</v>
      </c>
      <c r="T631" s="1627">
        <f t="shared" si="297"/>
        <v>26720.427968261756</v>
      </c>
      <c r="U631" s="1626">
        <f t="shared" si="298"/>
        <v>6024.8930079345591</v>
      </c>
      <c r="V631" s="1626">
        <f t="shared" si="299"/>
        <v>6680.106992065439</v>
      </c>
      <c r="W631" s="1625">
        <f t="shared" si="300"/>
        <v>12704.999999999998</v>
      </c>
      <c r="X631" s="1614"/>
      <c r="Y631" s="1613"/>
      <c r="Z631" s="1612">
        <f t="shared" si="301"/>
        <v>0.5960623016558082</v>
      </c>
      <c r="AA631" s="1611"/>
      <c r="AB631" s="1611"/>
      <c r="AC631" s="1611"/>
      <c r="AD631" s="1611"/>
      <c r="AE631" s="1611"/>
      <c r="AF631" s="1611"/>
      <c r="AG631" s="1611"/>
      <c r="AH631" s="1611"/>
      <c r="AI631" s="1611"/>
      <c r="AJ631" s="1611"/>
      <c r="AK631" s="1611"/>
      <c r="AL631" s="1611"/>
      <c r="AM631" s="1611"/>
      <c r="AN631" s="1611"/>
      <c r="AO631" s="1611"/>
      <c r="AP631" s="1611"/>
      <c r="AQ631" s="1611"/>
    </row>
    <row r="632" spans="1:43" outlineLevel="2">
      <c r="A632" s="1638" t="s">
        <v>319</v>
      </c>
      <c r="B632" s="1637" t="s">
        <v>130</v>
      </c>
      <c r="C632" s="1636"/>
      <c r="D632" s="1635">
        <v>12</v>
      </c>
      <c r="E632" s="1634" t="s">
        <v>922</v>
      </c>
      <c r="F632" s="1633" t="s">
        <v>1065</v>
      </c>
      <c r="G632" s="1632">
        <v>4374.0443941676149</v>
      </c>
      <c r="H632" s="1632">
        <v>4151.91</v>
      </c>
      <c r="I632" s="1630">
        <f t="shared" si="289"/>
        <v>8525.9543941676147</v>
      </c>
      <c r="J632" s="1630">
        <f t="shared" si="290"/>
        <v>102311.45273001137</v>
      </c>
      <c r="K632" s="1631">
        <v>5082</v>
      </c>
      <c r="L632" s="1630">
        <f t="shared" si="291"/>
        <v>5082</v>
      </c>
      <c r="M632" s="1630">
        <f t="shared" si="292"/>
        <v>60984</v>
      </c>
      <c r="N632" s="1625">
        <f t="shared" si="293"/>
        <v>41327.45273001137</v>
      </c>
      <c r="O632" s="1629">
        <v>0.57030000000000003</v>
      </c>
      <c r="P632" s="1629">
        <v>0.42970000000000003</v>
      </c>
      <c r="Q632" s="1625">
        <f t="shared" si="294"/>
        <v>23569.046291925486</v>
      </c>
      <c r="R632" s="1628">
        <f t="shared" si="295"/>
        <v>17758.406438085887</v>
      </c>
      <c r="S632" s="1627">
        <f t="shared" si="296"/>
        <v>28919.486438085893</v>
      </c>
      <c r="T632" s="1627">
        <f t="shared" si="297"/>
        <v>32064.513561914111</v>
      </c>
      <c r="U632" s="1626">
        <f t="shared" si="298"/>
        <v>7229.8716095214731</v>
      </c>
      <c r="V632" s="1626">
        <f t="shared" si="299"/>
        <v>8016.1283904785278</v>
      </c>
      <c r="W632" s="1625">
        <f t="shared" si="300"/>
        <v>15246</v>
      </c>
      <c r="X632" s="1614"/>
      <c r="Y632" s="1613"/>
      <c r="Z632" s="1612">
        <f t="shared" si="301"/>
        <v>0.5960623016558082</v>
      </c>
      <c r="AA632" s="1611"/>
      <c r="AB632" s="1611"/>
      <c r="AC632" s="1611"/>
      <c r="AD632" s="1611"/>
      <c r="AE632" s="1611"/>
      <c r="AF632" s="1611"/>
      <c r="AG632" s="1611"/>
      <c r="AH632" s="1611"/>
      <c r="AI632" s="1611"/>
      <c r="AJ632" s="1611"/>
      <c r="AK632" s="1611"/>
      <c r="AL632" s="1611"/>
      <c r="AM632" s="1611"/>
      <c r="AN632" s="1611"/>
      <c r="AO632" s="1611"/>
      <c r="AP632" s="1611"/>
      <c r="AQ632" s="1611"/>
    </row>
    <row r="633" spans="1:43" outlineLevel="2">
      <c r="A633" s="1638" t="s">
        <v>319</v>
      </c>
      <c r="B633" s="1637" t="s">
        <v>130</v>
      </c>
      <c r="C633" s="1636"/>
      <c r="D633" s="1635">
        <v>5</v>
      </c>
      <c r="E633" s="1634" t="s">
        <v>922</v>
      </c>
      <c r="F633" s="1633" t="s">
        <v>1064</v>
      </c>
      <c r="G633" s="1632">
        <v>4374.0443941676149</v>
      </c>
      <c r="H633" s="1632">
        <v>4151.91</v>
      </c>
      <c r="I633" s="1630">
        <f t="shared" si="289"/>
        <v>8525.9543941676147</v>
      </c>
      <c r="J633" s="1630">
        <f t="shared" si="290"/>
        <v>42629.771970838076</v>
      </c>
      <c r="K633" s="1631">
        <v>5082</v>
      </c>
      <c r="L633" s="1630">
        <f t="shared" si="291"/>
        <v>5082</v>
      </c>
      <c r="M633" s="1630">
        <f t="shared" si="292"/>
        <v>25410</v>
      </c>
      <c r="N633" s="1625">
        <f t="shared" si="293"/>
        <v>17219.771970838076</v>
      </c>
      <c r="O633" s="1629">
        <v>0.57030000000000003</v>
      </c>
      <c r="P633" s="1629">
        <v>0.42970000000000003</v>
      </c>
      <c r="Q633" s="1625">
        <f t="shared" si="294"/>
        <v>9820.4359549689543</v>
      </c>
      <c r="R633" s="1628">
        <f t="shared" si="295"/>
        <v>7399.3360158691212</v>
      </c>
      <c r="S633" s="1627">
        <f t="shared" si="296"/>
        <v>12049.786015869118</v>
      </c>
      <c r="T633" s="1627">
        <f t="shared" si="297"/>
        <v>13360.213984130878</v>
      </c>
      <c r="U633" s="1626">
        <f t="shared" si="298"/>
        <v>3012.4465039672796</v>
      </c>
      <c r="V633" s="1626">
        <f t="shared" si="299"/>
        <v>3340.0534960327195</v>
      </c>
      <c r="W633" s="1625">
        <f t="shared" si="300"/>
        <v>6352.4999999999991</v>
      </c>
      <c r="X633" s="1614"/>
      <c r="Y633" s="1613"/>
      <c r="Z633" s="1612">
        <f t="shared" si="301"/>
        <v>0.5960623016558082</v>
      </c>
      <c r="AA633" s="1611"/>
      <c r="AB633" s="1611"/>
      <c r="AC633" s="1611"/>
      <c r="AD633" s="1611"/>
      <c r="AE633" s="1611"/>
      <c r="AF633" s="1611"/>
      <c r="AG633" s="1611"/>
      <c r="AH633" s="1611"/>
      <c r="AI633" s="1611"/>
      <c r="AJ633" s="1611"/>
      <c r="AK633" s="1611"/>
      <c r="AL633" s="1611"/>
      <c r="AM633" s="1611"/>
      <c r="AN633" s="1611"/>
      <c r="AO633" s="1611"/>
      <c r="AP633" s="1611"/>
      <c r="AQ633" s="1611"/>
    </row>
    <row r="634" spans="1:43" outlineLevel="2">
      <c r="A634" s="1638" t="s">
        <v>319</v>
      </c>
      <c r="B634" s="1637" t="s">
        <v>130</v>
      </c>
      <c r="C634" s="1636"/>
      <c r="D634" s="1635">
        <v>4</v>
      </c>
      <c r="E634" s="1634" t="s">
        <v>922</v>
      </c>
      <c r="F634" s="1633" t="s">
        <v>1063</v>
      </c>
      <c r="G634" s="1632">
        <v>4374.0443941676149</v>
      </c>
      <c r="H634" s="1632">
        <v>4151.91</v>
      </c>
      <c r="I634" s="1630">
        <f t="shared" ref="I634:I683" si="302">G634+H634</f>
        <v>8525.9543941676147</v>
      </c>
      <c r="J634" s="1630">
        <f t="shared" ref="J634:J683" si="303">D634*I634</f>
        <v>34103.817576670459</v>
      </c>
      <c r="K634" s="1631">
        <v>5082</v>
      </c>
      <c r="L634" s="1630">
        <f t="shared" ref="L634:L683" si="304">IF(I634&gt;K634,K634,I634)</f>
        <v>5082</v>
      </c>
      <c r="M634" s="1630">
        <f t="shared" ref="M634:M683" si="305">L634*D634</f>
        <v>20328</v>
      </c>
      <c r="N634" s="1625">
        <f t="shared" ref="N634:N683" si="306">J634-M634</f>
        <v>13775.817576670459</v>
      </c>
      <c r="O634" s="1629">
        <v>0.57030000000000003</v>
      </c>
      <c r="P634" s="1629">
        <v>0.42970000000000003</v>
      </c>
      <c r="Q634" s="1625">
        <f t="shared" ref="Q634:Q683" si="307">N634*O634</f>
        <v>7856.3487639751629</v>
      </c>
      <c r="R634" s="1628">
        <f t="shared" ref="R634:R683" si="308">N634*P634</f>
        <v>5919.4688126952969</v>
      </c>
      <c r="S634" s="1627">
        <f t="shared" ref="S634:S683" si="309">(G634*D634)-Q634</f>
        <v>9639.8288126952975</v>
      </c>
      <c r="T634" s="1627">
        <f t="shared" ref="T634:T683" si="310">(H634*D634)-R634</f>
        <v>10688.171187304702</v>
      </c>
      <c r="U634" s="1626">
        <f t="shared" ref="U634:U683" si="311">S634/4</f>
        <v>2409.9572031738244</v>
      </c>
      <c r="V634" s="1626">
        <f t="shared" ref="V634:V683" si="312">T634/4</f>
        <v>2672.0427968261756</v>
      </c>
      <c r="W634" s="1625">
        <f t="shared" ref="W634:W683" si="313">V634+U634</f>
        <v>5082</v>
      </c>
      <c r="X634" s="1614"/>
      <c r="Y634" s="1613"/>
      <c r="Z634" s="1612">
        <f t="shared" ref="Z634:Z683" si="314">K634/I634</f>
        <v>0.5960623016558082</v>
      </c>
      <c r="AA634" s="1611"/>
      <c r="AB634" s="1611"/>
      <c r="AC634" s="1611"/>
      <c r="AD634" s="1611"/>
      <c r="AE634" s="1611"/>
      <c r="AF634" s="1611"/>
      <c r="AG634" s="1611"/>
      <c r="AH634" s="1611"/>
      <c r="AI634" s="1611"/>
      <c r="AJ634" s="1611"/>
      <c r="AK634" s="1611"/>
      <c r="AL634" s="1611"/>
      <c r="AM634" s="1611"/>
      <c r="AN634" s="1611"/>
      <c r="AO634" s="1611"/>
      <c r="AP634" s="1611"/>
      <c r="AQ634" s="1611"/>
    </row>
    <row r="635" spans="1:43" outlineLevel="2">
      <c r="A635" s="1638" t="s">
        <v>319</v>
      </c>
      <c r="B635" s="1637" t="s">
        <v>130</v>
      </c>
      <c r="C635" s="1636"/>
      <c r="D635" s="1635">
        <v>21</v>
      </c>
      <c r="E635" s="1634" t="s">
        <v>922</v>
      </c>
      <c r="F635" s="1633" t="s">
        <v>979</v>
      </c>
      <c r="G635" s="1632">
        <v>4374.0443941676149</v>
      </c>
      <c r="H635" s="1632">
        <v>4151.91</v>
      </c>
      <c r="I635" s="1630">
        <f t="shared" si="302"/>
        <v>8525.9543941676147</v>
      </c>
      <c r="J635" s="1630">
        <f t="shared" si="303"/>
        <v>179045.04227751991</v>
      </c>
      <c r="K635" s="1631">
        <v>5213.25</v>
      </c>
      <c r="L635" s="1630">
        <f t="shared" si="304"/>
        <v>5213.25</v>
      </c>
      <c r="M635" s="1630">
        <f t="shared" si="305"/>
        <v>109478.25</v>
      </c>
      <c r="N635" s="1625">
        <f t="shared" si="306"/>
        <v>69566.792277519911</v>
      </c>
      <c r="O635" s="1629">
        <v>0.57030000000000003</v>
      </c>
      <c r="P635" s="1629">
        <v>0.42970000000000003</v>
      </c>
      <c r="Q635" s="1625">
        <f t="shared" si="307"/>
        <v>39673.941635869611</v>
      </c>
      <c r="R635" s="1628">
        <f t="shared" si="308"/>
        <v>29892.850641650308</v>
      </c>
      <c r="S635" s="1627">
        <f t="shared" si="309"/>
        <v>52180.9906416503</v>
      </c>
      <c r="T635" s="1627">
        <f t="shared" si="310"/>
        <v>57297.259358349693</v>
      </c>
      <c r="U635" s="1626">
        <f t="shared" si="311"/>
        <v>13045.247660412575</v>
      </c>
      <c r="V635" s="1626">
        <f t="shared" si="312"/>
        <v>14324.314839587423</v>
      </c>
      <c r="W635" s="1625">
        <f t="shared" si="313"/>
        <v>27369.5625</v>
      </c>
      <c r="X635" s="1614"/>
      <c r="Y635" s="1613"/>
      <c r="Z635" s="1612">
        <f t="shared" si="314"/>
        <v>0.6114564726696462</v>
      </c>
      <c r="AA635" s="1611"/>
      <c r="AB635" s="1611"/>
      <c r="AC635" s="1611"/>
      <c r="AD635" s="1611"/>
      <c r="AE635" s="1611"/>
      <c r="AF635" s="1611"/>
      <c r="AG635" s="1611"/>
      <c r="AH635" s="1611"/>
      <c r="AI635" s="1611"/>
      <c r="AJ635" s="1611"/>
      <c r="AK635" s="1611"/>
      <c r="AL635" s="1611"/>
      <c r="AM635" s="1611"/>
      <c r="AN635" s="1611"/>
      <c r="AO635" s="1611"/>
      <c r="AP635" s="1611"/>
      <c r="AQ635" s="1611"/>
    </row>
    <row r="636" spans="1:43" outlineLevel="2">
      <c r="A636" s="1638" t="s">
        <v>319</v>
      </c>
      <c r="B636" s="1637" t="s">
        <v>130</v>
      </c>
      <c r="C636" s="1636"/>
      <c r="D636" s="1635">
        <v>2</v>
      </c>
      <c r="E636" s="1634" t="s">
        <v>1098</v>
      </c>
      <c r="F636" s="1633" t="s">
        <v>979</v>
      </c>
      <c r="G636" s="1632">
        <v>4374.0443941676149</v>
      </c>
      <c r="H636" s="1632">
        <v>4151.91</v>
      </c>
      <c r="I636" s="1630">
        <f t="shared" si="302"/>
        <v>8525.9543941676147</v>
      </c>
      <c r="J636" s="1630">
        <f t="shared" si="303"/>
        <v>17051.908788335229</v>
      </c>
      <c r="K636" s="1631">
        <v>8827</v>
      </c>
      <c r="L636" s="1630">
        <f t="shared" si="304"/>
        <v>8525.9543941676147</v>
      </c>
      <c r="M636" s="1630">
        <f t="shared" si="305"/>
        <v>17051.908788335229</v>
      </c>
      <c r="N636" s="1625">
        <f t="shared" si="306"/>
        <v>0</v>
      </c>
      <c r="O636" s="1629">
        <v>0.57030000000000003</v>
      </c>
      <c r="P636" s="1629">
        <v>0.42970000000000003</v>
      </c>
      <c r="Q636" s="1625">
        <f t="shared" si="307"/>
        <v>0</v>
      </c>
      <c r="R636" s="1628">
        <f t="shared" si="308"/>
        <v>0</v>
      </c>
      <c r="S636" s="1627">
        <f t="shared" si="309"/>
        <v>8748.0887883352298</v>
      </c>
      <c r="T636" s="1627">
        <f t="shared" si="310"/>
        <v>8303.82</v>
      </c>
      <c r="U636" s="1626">
        <f t="shared" si="311"/>
        <v>2187.0221970838074</v>
      </c>
      <c r="V636" s="1626">
        <f t="shared" si="312"/>
        <v>2075.9549999999999</v>
      </c>
      <c r="W636" s="1625">
        <f t="shared" si="313"/>
        <v>4262.9771970838074</v>
      </c>
      <c r="X636" s="1614"/>
      <c r="Y636" s="1613"/>
      <c r="Z636" s="1612">
        <f t="shared" si="314"/>
        <v>1.0353093145839865</v>
      </c>
      <c r="AA636" s="1611"/>
      <c r="AB636" s="1611"/>
      <c r="AC636" s="1611"/>
      <c r="AD636" s="1611"/>
      <c r="AE636" s="1611"/>
      <c r="AF636" s="1611"/>
      <c r="AG636" s="1611"/>
      <c r="AH636" s="1611"/>
      <c r="AI636" s="1611"/>
      <c r="AJ636" s="1611"/>
      <c r="AK636" s="1611"/>
      <c r="AL636" s="1611"/>
      <c r="AM636" s="1611"/>
      <c r="AN636" s="1611"/>
      <c r="AO636" s="1611"/>
      <c r="AP636" s="1611"/>
      <c r="AQ636" s="1611"/>
    </row>
    <row r="637" spans="1:43" outlineLevel="2">
      <c r="A637" s="1638" t="s">
        <v>319</v>
      </c>
      <c r="B637" s="1637" t="s">
        <v>130</v>
      </c>
      <c r="C637" s="1636"/>
      <c r="D637" s="1635">
        <v>0</v>
      </c>
      <c r="E637" s="1634" t="s">
        <v>963</v>
      </c>
      <c r="F637" s="1633" t="s">
        <v>1069</v>
      </c>
      <c r="G637" s="1632">
        <v>4374.0443941676149</v>
      </c>
      <c r="H637" s="1632">
        <v>4151.91</v>
      </c>
      <c r="I637" s="1630">
        <f t="shared" si="302"/>
        <v>8525.9543941676147</v>
      </c>
      <c r="J637" s="1630">
        <f t="shared" si="303"/>
        <v>0</v>
      </c>
      <c r="K637" s="1631">
        <v>3850</v>
      </c>
      <c r="L637" s="1630">
        <f t="shared" si="304"/>
        <v>3850</v>
      </c>
      <c r="M637" s="1630">
        <f t="shared" si="305"/>
        <v>0</v>
      </c>
      <c r="N637" s="1625">
        <f t="shared" si="306"/>
        <v>0</v>
      </c>
      <c r="O637" s="1629">
        <v>0.57030000000000003</v>
      </c>
      <c r="P637" s="1629">
        <v>0.42970000000000003</v>
      </c>
      <c r="Q637" s="1625">
        <f t="shared" si="307"/>
        <v>0</v>
      </c>
      <c r="R637" s="1628">
        <f t="shared" si="308"/>
        <v>0</v>
      </c>
      <c r="S637" s="1627">
        <f t="shared" si="309"/>
        <v>0</v>
      </c>
      <c r="T637" s="1627">
        <f t="shared" si="310"/>
        <v>0</v>
      </c>
      <c r="U637" s="1626">
        <f t="shared" si="311"/>
        <v>0</v>
      </c>
      <c r="V637" s="1626">
        <f t="shared" si="312"/>
        <v>0</v>
      </c>
      <c r="W637" s="1625">
        <f t="shared" si="313"/>
        <v>0</v>
      </c>
      <c r="X637" s="1614"/>
      <c r="Y637" s="1613"/>
      <c r="Z637" s="1612">
        <f t="shared" si="314"/>
        <v>0.45156234973924864</v>
      </c>
      <c r="AA637" s="1611"/>
      <c r="AB637" s="1611"/>
      <c r="AC637" s="1611"/>
      <c r="AD637" s="1611"/>
      <c r="AE637" s="1611"/>
      <c r="AF637" s="1611"/>
      <c r="AG637" s="1611"/>
      <c r="AH637" s="1611"/>
      <c r="AI637" s="1611"/>
      <c r="AJ637" s="1611"/>
      <c r="AK637" s="1611"/>
      <c r="AL637" s="1611"/>
      <c r="AM637" s="1611"/>
      <c r="AN637" s="1611"/>
      <c r="AO637" s="1611"/>
      <c r="AP637" s="1611"/>
      <c r="AQ637" s="1611"/>
    </row>
    <row r="638" spans="1:43" outlineLevel="2">
      <c r="A638" s="1638" t="s">
        <v>319</v>
      </c>
      <c r="B638" s="1637" t="s">
        <v>130</v>
      </c>
      <c r="C638" s="1636"/>
      <c r="D638" s="1635">
        <v>2</v>
      </c>
      <c r="E638" s="1634" t="s">
        <v>963</v>
      </c>
      <c r="F638" s="1633" t="s">
        <v>1068</v>
      </c>
      <c r="G638" s="1632">
        <v>4374.0443941676149</v>
      </c>
      <c r="H638" s="1632">
        <v>4151.91</v>
      </c>
      <c r="I638" s="1630">
        <f t="shared" si="302"/>
        <v>8525.9543941676147</v>
      </c>
      <c r="J638" s="1630">
        <f t="shared" si="303"/>
        <v>17051.908788335229</v>
      </c>
      <c r="K638" s="1631">
        <v>3850</v>
      </c>
      <c r="L638" s="1630">
        <f t="shared" si="304"/>
        <v>3850</v>
      </c>
      <c r="M638" s="1630">
        <f t="shared" si="305"/>
        <v>7700</v>
      </c>
      <c r="N638" s="1625">
        <f t="shared" si="306"/>
        <v>9351.9087883352295</v>
      </c>
      <c r="O638" s="1629">
        <v>0.57030000000000003</v>
      </c>
      <c r="P638" s="1629">
        <v>0.42970000000000003</v>
      </c>
      <c r="Q638" s="1625">
        <f t="shared" si="307"/>
        <v>5333.3935819875815</v>
      </c>
      <c r="R638" s="1628">
        <f t="shared" si="308"/>
        <v>4018.5152063476485</v>
      </c>
      <c r="S638" s="1627">
        <f t="shared" si="309"/>
        <v>3414.6952063476483</v>
      </c>
      <c r="T638" s="1627">
        <f t="shared" si="310"/>
        <v>4285.3047936523508</v>
      </c>
      <c r="U638" s="1626">
        <f t="shared" si="311"/>
        <v>853.67380158691208</v>
      </c>
      <c r="V638" s="1626">
        <f t="shared" si="312"/>
        <v>1071.3261984130877</v>
      </c>
      <c r="W638" s="1625">
        <f t="shared" si="313"/>
        <v>1924.9999999999998</v>
      </c>
      <c r="X638" s="1614"/>
      <c r="Y638" s="1613"/>
      <c r="Z638" s="1612">
        <f t="shared" si="314"/>
        <v>0.45156234973924864</v>
      </c>
      <c r="AA638" s="1611"/>
      <c r="AB638" s="1611"/>
      <c r="AC638" s="1611"/>
      <c r="AD638" s="1611"/>
      <c r="AE638" s="1611"/>
      <c r="AF638" s="1611"/>
      <c r="AG638" s="1611"/>
      <c r="AH638" s="1611"/>
      <c r="AI638" s="1611"/>
      <c r="AJ638" s="1611"/>
      <c r="AK638" s="1611"/>
      <c r="AL638" s="1611"/>
      <c r="AM638" s="1611"/>
      <c r="AN638" s="1611"/>
      <c r="AO638" s="1611"/>
      <c r="AP638" s="1611"/>
      <c r="AQ638" s="1611"/>
    </row>
    <row r="639" spans="1:43" outlineLevel="2">
      <c r="A639" s="1638" t="s">
        <v>319</v>
      </c>
      <c r="B639" s="1637" t="s">
        <v>130</v>
      </c>
      <c r="C639" s="1636"/>
      <c r="D639" s="1635">
        <v>2</v>
      </c>
      <c r="E639" s="1634" t="s">
        <v>963</v>
      </c>
      <c r="F639" s="1633" t="s">
        <v>1071</v>
      </c>
      <c r="G639" s="1632">
        <v>4374.0443941676149</v>
      </c>
      <c r="H639" s="1632">
        <v>4151.91</v>
      </c>
      <c r="I639" s="1630">
        <f t="shared" si="302"/>
        <v>8525.9543941676147</v>
      </c>
      <c r="J639" s="1630">
        <f t="shared" si="303"/>
        <v>17051.908788335229</v>
      </c>
      <c r="K639" s="1631">
        <v>3850</v>
      </c>
      <c r="L639" s="1630">
        <f t="shared" si="304"/>
        <v>3850</v>
      </c>
      <c r="M639" s="1630">
        <f t="shared" si="305"/>
        <v>7700</v>
      </c>
      <c r="N639" s="1625">
        <f t="shared" si="306"/>
        <v>9351.9087883352295</v>
      </c>
      <c r="O639" s="1629">
        <v>0.57030000000000003</v>
      </c>
      <c r="P639" s="1629">
        <v>0.42970000000000003</v>
      </c>
      <c r="Q639" s="1625">
        <f t="shared" si="307"/>
        <v>5333.3935819875815</v>
      </c>
      <c r="R639" s="1628">
        <f t="shared" si="308"/>
        <v>4018.5152063476485</v>
      </c>
      <c r="S639" s="1627">
        <f t="shared" si="309"/>
        <v>3414.6952063476483</v>
      </c>
      <c r="T639" s="1627">
        <f t="shared" si="310"/>
        <v>4285.3047936523508</v>
      </c>
      <c r="U639" s="1626">
        <f t="shared" si="311"/>
        <v>853.67380158691208</v>
      </c>
      <c r="V639" s="1626">
        <f t="shared" si="312"/>
        <v>1071.3261984130877</v>
      </c>
      <c r="W639" s="1625">
        <f t="shared" si="313"/>
        <v>1924.9999999999998</v>
      </c>
      <c r="X639" s="1614"/>
      <c r="Y639" s="1613"/>
      <c r="Z639" s="1612">
        <f t="shared" si="314"/>
        <v>0.45156234973924864</v>
      </c>
      <c r="AA639" s="1611"/>
      <c r="AB639" s="1611"/>
      <c r="AC639" s="1611"/>
      <c r="AD639" s="1611"/>
      <c r="AE639" s="1611"/>
      <c r="AF639" s="1611"/>
      <c r="AG639" s="1611"/>
      <c r="AH639" s="1611"/>
      <c r="AI639" s="1611"/>
      <c r="AJ639" s="1611"/>
      <c r="AK639" s="1611"/>
      <c r="AL639" s="1611"/>
      <c r="AM639" s="1611"/>
      <c r="AN639" s="1611"/>
      <c r="AO639" s="1611"/>
      <c r="AP639" s="1611"/>
      <c r="AQ639" s="1611"/>
    </row>
    <row r="640" spans="1:43" outlineLevel="2">
      <c r="A640" s="1638" t="s">
        <v>319</v>
      </c>
      <c r="B640" s="1637" t="s">
        <v>130</v>
      </c>
      <c r="C640" s="1636"/>
      <c r="D640" s="1635">
        <v>4</v>
      </c>
      <c r="E640" s="1634" t="s">
        <v>963</v>
      </c>
      <c r="F640" s="1633" t="s">
        <v>1065</v>
      </c>
      <c r="G640" s="1632">
        <v>4374.0443941676149</v>
      </c>
      <c r="H640" s="1632">
        <v>4151.91</v>
      </c>
      <c r="I640" s="1630">
        <f t="shared" si="302"/>
        <v>8525.9543941676147</v>
      </c>
      <c r="J640" s="1630">
        <f t="shared" si="303"/>
        <v>34103.817576670459</v>
      </c>
      <c r="K640" s="1631">
        <v>3850</v>
      </c>
      <c r="L640" s="1630">
        <f t="shared" si="304"/>
        <v>3850</v>
      </c>
      <c r="M640" s="1630">
        <f t="shared" si="305"/>
        <v>15400</v>
      </c>
      <c r="N640" s="1625">
        <f t="shared" si="306"/>
        <v>18703.817576670459</v>
      </c>
      <c r="O640" s="1629">
        <v>0.57030000000000003</v>
      </c>
      <c r="P640" s="1629">
        <v>0.42970000000000003</v>
      </c>
      <c r="Q640" s="1625">
        <f t="shared" si="307"/>
        <v>10666.787163975163</v>
      </c>
      <c r="R640" s="1628">
        <f t="shared" si="308"/>
        <v>8037.0304126952969</v>
      </c>
      <c r="S640" s="1627">
        <f t="shared" si="309"/>
        <v>6829.3904126952966</v>
      </c>
      <c r="T640" s="1627">
        <f t="shared" si="310"/>
        <v>8570.6095873047016</v>
      </c>
      <c r="U640" s="1626">
        <f t="shared" si="311"/>
        <v>1707.3476031738242</v>
      </c>
      <c r="V640" s="1626">
        <f t="shared" si="312"/>
        <v>2142.6523968261754</v>
      </c>
      <c r="W640" s="1625">
        <f t="shared" si="313"/>
        <v>3849.9999999999995</v>
      </c>
      <c r="X640" s="1614"/>
      <c r="Y640" s="1613"/>
      <c r="Z640" s="1612">
        <f t="shared" si="314"/>
        <v>0.45156234973924864</v>
      </c>
      <c r="AA640" s="1611"/>
      <c r="AB640" s="1611"/>
      <c r="AC640" s="1611"/>
      <c r="AD640" s="1611"/>
      <c r="AE640" s="1611"/>
      <c r="AF640" s="1611"/>
      <c r="AG640" s="1611"/>
      <c r="AH640" s="1611"/>
      <c r="AI640" s="1611"/>
      <c r="AJ640" s="1611"/>
      <c r="AK640" s="1611"/>
      <c r="AL640" s="1611"/>
      <c r="AM640" s="1611"/>
      <c r="AN640" s="1611"/>
      <c r="AO640" s="1611"/>
      <c r="AP640" s="1611"/>
      <c r="AQ640" s="1611"/>
    </row>
    <row r="641" spans="1:43" outlineLevel="2">
      <c r="A641" s="1638" t="s">
        <v>319</v>
      </c>
      <c r="B641" s="1637" t="s">
        <v>130</v>
      </c>
      <c r="C641" s="1636"/>
      <c r="D641" s="1635">
        <v>3</v>
      </c>
      <c r="E641" s="1634" t="s">
        <v>963</v>
      </c>
      <c r="F641" s="1633" t="s">
        <v>1064</v>
      </c>
      <c r="G641" s="1632">
        <v>4374.0443941676149</v>
      </c>
      <c r="H641" s="1632">
        <v>4151.91</v>
      </c>
      <c r="I641" s="1630">
        <f t="shared" si="302"/>
        <v>8525.9543941676147</v>
      </c>
      <c r="J641" s="1630">
        <f t="shared" si="303"/>
        <v>25577.863182502842</v>
      </c>
      <c r="K641" s="1631">
        <v>3850</v>
      </c>
      <c r="L641" s="1630">
        <f t="shared" si="304"/>
        <v>3850</v>
      </c>
      <c r="M641" s="1630">
        <f t="shared" si="305"/>
        <v>11550</v>
      </c>
      <c r="N641" s="1625">
        <f t="shared" si="306"/>
        <v>14027.863182502842</v>
      </c>
      <c r="O641" s="1629">
        <v>0.57030000000000003</v>
      </c>
      <c r="P641" s="1629">
        <v>0.42970000000000003</v>
      </c>
      <c r="Q641" s="1625">
        <f t="shared" si="307"/>
        <v>8000.0903729813717</v>
      </c>
      <c r="R641" s="1628">
        <f t="shared" si="308"/>
        <v>6027.7728095214716</v>
      </c>
      <c r="S641" s="1627">
        <f t="shared" si="309"/>
        <v>5122.0428095214729</v>
      </c>
      <c r="T641" s="1627">
        <f t="shared" si="310"/>
        <v>6427.957190478528</v>
      </c>
      <c r="U641" s="1626">
        <f t="shared" si="311"/>
        <v>1280.5107023803682</v>
      </c>
      <c r="V641" s="1626">
        <f t="shared" si="312"/>
        <v>1606.989297619632</v>
      </c>
      <c r="W641" s="1625">
        <f t="shared" si="313"/>
        <v>2887.5</v>
      </c>
      <c r="X641" s="1614"/>
      <c r="Y641" s="1613"/>
      <c r="Z641" s="1612">
        <f t="shared" si="314"/>
        <v>0.45156234973924864</v>
      </c>
      <c r="AA641" s="1611"/>
      <c r="AB641" s="1611"/>
      <c r="AC641" s="1611"/>
      <c r="AD641" s="1611"/>
      <c r="AE641" s="1611"/>
      <c r="AF641" s="1611"/>
      <c r="AG641" s="1611"/>
      <c r="AH641" s="1611"/>
      <c r="AI641" s="1611"/>
      <c r="AJ641" s="1611"/>
      <c r="AK641" s="1611"/>
      <c r="AL641" s="1611"/>
      <c r="AM641" s="1611"/>
      <c r="AN641" s="1611"/>
      <c r="AO641" s="1611"/>
      <c r="AP641" s="1611"/>
      <c r="AQ641" s="1611"/>
    </row>
    <row r="642" spans="1:43" outlineLevel="2">
      <c r="A642" s="1638" t="s">
        <v>319</v>
      </c>
      <c r="B642" s="1637" t="s">
        <v>130</v>
      </c>
      <c r="C642" s="1636"/>
      <c r="D642" s="1635">
        <v>2</v>
      </c>
      <c r="E642" s="1634" t="s">
        <v>963</v>
      </c>
      <c r="F642" s="1633" t="s">
        <v>1063</v>
      </c>
      <c r="G642" s="1632">
        <v>4374.0443941676149</v>
      </c>
      <c r="H642" s="1632">
        <v>4151.91</v>
      </c>
      <c r="I642" s="1630">
        <f t="shared" si="302"/>
        <v>8525.9543941676147</v>
      </c>
      <c r="J642" s="1630">
        <f t="shared" si="303"/>
        <v>17051.908788335229</v>
      </c>
      <c r="K642" s="1631">
        <v>3850</v>
      </c>
      <c r="L642" s="1630">
        <f t="shared" si="304"/>
        <v>3850</v>
      </c>
      <c r="M642" s="1630">
        <f t="shared" si="305"/>
        <v>7700</v>
      </c>
      <c r="N642" s="1625">
        <f t="shared" si="306"/>
        <v>9351.9087883352295</v>
      </c>
      <c r="O642" s="1629">
        <v>0.57030000000000003</v>
      </c>
      <c r="P642" s="1629">
        <v>0.42970000000000003</v>
      </c>
      <c r="Q642" s="1625">
        <f t="shared" si="307"/>
        <v>5333.3935819875815</v>
      </c>
      <c r="R642" s="1628">
        <f t="shared" si="308"/>
        <v>4018.5152063476485</v>
      </c>
      <c r="S642" s="1627">
        <f t="shared" si="309"/>
        <v>3414.6952063476483</v>
      </c>
      <c r="T642" s="1627">
        <f t="shared" si="310"/>
        <v>4285.3047936523508</v>
      </c>
      <c r="U642" s="1626">
        <f t="shared" si="311"/>
        <v>853.67380158691208</v>
      </c>
      <c r="V642" s="1626">
        <f t="shared" si="312"/>
        <v>1071.3261984130877</v>
      </c>
      <c r="W642" s="1625">
        <f t="shared" si="313"/>
        <v>1924.9999999999998</v>
      </c>
      <c r="X642" s="1614"/>
      <c r="Y642" s="1613"/>
      <c r="Z642" s="1612">
        <f t="shared" si="314"/>
        <v>0.45156234973924864</v>
      </c>
      <c r="AA642" s="1611"/>
      <c r="AB642" s="1611"/>
      <c r="AC642" s="1611"/>
      <c r="AD642" s="1611"/>
      <c r="AE642" s="1611"/>
      <c r="AF642" s="1611"/>
      <c r="AG642" s="1611"/>
      <c r="AH642" s="1611"/>
      <c r="AI642" s="1611"/>
      <c r="AJ642" s="1611"/>
      <c r="AK642" s="1611"/>
      <c r="AL642" s="1611"/>
      <c r="AM642" s="1611"/>
      <c r="AN642" s="1611"/>
      <c r="AO642" s="1611"/>
      <c r="AP642" s="1611"/>
      <c r="AQ642" s="1611"/>
    </row>
    <row r="643" spans="1:43" outlineLevel="2">
      <c r="A643" s="1638" t="s">
        <v>319</v>
      </c>
      <c r="B643" s="1637" t="s">
        <v>130</v>
      </c>
      <c r="C643" s="1636"/>
      <c r="D643" s="1635">
        <v>2</v>
      </c>
      <c r="E643" s="1634" t="s">
        <v>963</v>
      </c>
      <c r="F643" s="1633" t="s">
        <v>1066</v>
      </c>
      <c r="G643" s="1632">
        <v>4374.0443941676149</v>
      </c>
      <c r="H643" s="1632">
        <v>4151.91</v>
      </c>
      <c r="I643" s="1630">
        <f t="shared" si="302"/>
        <v>8525.9543941676147</v>
      </c>
      <c r="J643" s="1630">
        <f t="shared" si="303"/>
        <v>17051.908788335229</v>
      </c>
      <c r="K643" s="1631">
        <v>3850</v>
      </c>
      <c r="L643" s="1630">
        <f t="shared" si="304"/>
        <v>3850</v>
      </c>
      <c r="M643" s="1630">
        <f t="shared" si="305"/>
        <v>7700</v>
      </c>
      <c r="N643" s="1625">
        <f t="shared" si="306"/>
        <v>9351.9087883352295</v>
      </c>
      <c r="O643" s="1629">
        <v>0.57030000000000003</v>
      </c>
      <c r="P643" s="1629">
        <v>0.42970000000000003</v>
      </c>
      <c r="Q643" s="1625">
        <f t="shared" si="307"/>
        <v>5333.3935819875815</v>
      </c>
      <c r="R643" s="1628">
        <f t="shared" si="308"/>
        <v>4018.5152063476485</v>
      </c>
      <c r="S643" s="1627">
        <f t="shared" si="309"/>
        <v>3414.6952063476483</v>
      </c>
      <c r="T643" s="1627">
        <f t="shared" si="310"/>
        <v>4285.3047936523508</v>
      </c>
      <c r="U643" s="1626">
        <f t="shared" si="311"/>
        <v>853.67380158691208</v>
      </c>
      <c r="V643" s="1626">
        <f t="shared" si="312"/>
        <v>1071.3261984130877</v>
      </c>
      <c r="W643" s="1625">
        <f t="shared" si="313"/>
        <v>1924.9999999999998</v>
      </c>
      <c r="X643" s="1614"/>
      <c r="Y643" s="1613"/>
      <c r="Z643" s="1612">
        <f t="shared" si="314"/>
        <v>0.45156234973924864</v>
      </c>
      <c r="AA643" s="1611"/>
      <c r="AB643" s="1611"/>
      <c r="AC643" s="1611"/>
      <c r="AD643" s="1611"/>
      <c r="AE643" s="1611"/>
      <c r="AF643" s="1611"/>
      <c r="AG643" s="1611"/>
      <c r="AH643" s="1611"/>
      <c r="AI643" s="1611"/>
      <c r="AJ643" s="1611"/>
      <c r="AK643" s="1611"/>
      <c r="AL643" s="1611"/>
      <c r="AM643" s="1611"/>
      <c r="AN643" s="1611"/>
      <c r="AO643" s="1611"/>
      <c r="AP643" s="1611"/>
      <c r="AQ643" s="1611"/>
    </row>
    <row r="644" spans="1:43" outlineLevel="2">
      <c r="A644" s="1638" t="s">
        <v>319</v>
      </c>
      <c r="B644" s="1637" t="s">
        <v>130</v>
      </c>
      <c r="C644" s="1636"/>
      <c r="D644" s="1635">
        <v>3</v>
      </c>
      <c r="E644" s="1634" t="s">
        <v>966</v>
      </c>
      <c r="F644" s="1633" t="s">
        <v>1070</v>
      </c>
      <c r="G644" s="1632">
        <v>4374.0443941676149</v>
      </c>
      <c r="H644" s="1632">
        <v>4151.91</v>
      </c>
      <c r="I644" s="1630">
        <f t="shared" si="302"/>
        <v>8525.9543941676147</v>
      </c>
      <c r="J644" s="1630">
        <f t="shared" si="303"/>
        <v>25577.863182502842</v>
      </c>
      <c r="K644" s="1631">
        <v>5880</v>
      </c>
      <c r="L644" s="1630">
        <f t="shared" si="304"/>
        <v>5880</v>
      </c>
      <c r="M644" s="1630">
        <f t="shared" si="305"/>
        <v>17640</v>
      </c>
      <c r="N644" s="1625">
        <f t="shared" si="306"/>
        <v>7937.8631825028424</v>
      </c>
      <c r="O644" s="1629">
        <v>0.57030000000000003</v>
      </c>
      <c r="P644" s="1629">
        <v>0.42970000000000003</v>
      </c>
      <c r="Q644" s="1625">
        <f t="shared" si="307"/>
        <v>4526.9633729813713</v>
      </c>
      <c r="R644" s="1628">
        <f t="shared" si="308"/>
        <v>3410.8998095214715</v>
      </c>
      <c r="S644" s="1627">
        <f t="shared" si="309"/>
        <v>8595.1698095214742</v>
      </c>
      <c r="T644" s="1627">
        <f t="shared" si="310"/>
        <v>9044.8301904785276</v>
      </c>
      <c r="U644" s="1626">
        <f t="shared" si="311"/>
        <v>2148.7924523803686</v>
      </c>
      <c r="V644" s="1626">
        <f t="shared" si="312"/>
        <v>2261.2075476196319</v>
      </c>
      <c r="W644" s="1625">
        <f t="shared" si="313"/>
        <v>4410</v>
      </c>
      <c r="X644" s="1614"/>
      <c r="Y644" s="1613"/>
      <c r="Z644" s="1612">
        <f t="shared" si="314"/>
        <v>0.68965886141994337</v>
      </c>
      <c r="AA644" s="1611"/>
      <c r="AB644" s="1611"/>
      <c r="AC644" s="1611"/>
      <c r="AD644" s="1611"/>
      <c r="AE644" s="1611"/>
      <c r="AF644" s="1611"/>
      <c r="AG644" s="1611"/>
      <c r="AH644" s="1611"/>
      <c r="AI644" s="1611"/>
      <c r="AJ644" s="1611"/>
      <c r="AK644" s="1611"/>
      <c r="AL644" s="1611"/>
      <c r="AM644" s="1611"/>
      <c r="AN644" s="1611"/>
      <c r="AO644" s="1611"/>
      <c r="AP644" s="1611"/>
      <c r="AQ644" s="1611"/>
    </row>
    <row r="645" spans="1:43" outlineLevel="2">
      <c r="A645" s="1638" t="s">
        <v>319</v>
      </c>
      <c r="B645" s="1637" t="s">
        <v>130</v>
      </c>
      <c r="C645" s="1636"/>
      <c r="D645" s="1635">
        <v>7</v>
      </c>
      <c r="E645" s="1634" t="s">
        <v>966</v>
      </c>
      <c r="F645" s="1633" t="s">
        <v>1069</v>
      </c>
      <c r="G645" s="1632">
        <v>4374.0443941676149</v>
      </c>
      <c r="H645" s="1632">
        <v>4151.91</v>
      </c>
      <c r="I645" s="1630">
        <f t="shared" si="302"/>
        <v>8525.9543941676147</v>
      </c>
      <c r="J645" s="1630">
        <f t="shared" si="303"/>
        <v>59681.680759173301</v>
      </c>
      <c r="K645" s="1631">
        <v>5880</v>
      </c>
      <c r="L645" s="1630">
        <f t="shared" si="304"/>
        <v>5880</v>
      </c>
      <c r="M645" s="1630">
        <f t="shared" si="305"/>
        <v>41160</v>
      </c>
      <c r="N645" s="1625">
        <f t="shared" si="306"/>
        <v>18521.680759173301</v>
      </c>
      <c r="O645" s="1629">
        <v>0.57030000000000003</v>
      </c>
      <c r="P645" s="1629">
        <v>0.42970000000000003</v>
      </c>
      <c r="Q645" s="1625">
        <f t="shared" si="307"/>
        <v>10562.914536956534</v>
      </c>
      <c r="R645" s="1628">
        <f t="shared" si="308"/>
        <v>7958.7662222167683</v>
      </c>
      <c r="S645" s="1627">
        <f t="shared" si="309"/>
        <v>20055.396222216772</v>
      </c>
      <c r="T645" s="1627">
        <f t="shared" si="310"/>
        <v>21104.603777783232</v>
      </c>
      <c r="U645" s="1626">
        <f t="shared" si="311"/>
        <v>5013.849055554193</v>
      </c>
      <c r="V645" s="1626">
        <f t="shared" si="312"/>
        <v>5276.1509444458079</v>
      </c>
      <c r="W645" s="1625">
        <f t="shared" si="313"/>
        <v>10290</v>
      </c>
      <c r="X645" s="1614"/>
      <c r="Y645" s="1613"/>
      <c r="Z645" s="1612">
        <f t="shared" si="314"/>
        <v>0.68965886141994337</v>
      </c>
      <c r="AA645" s="1611"/>
      <c r="AB645" s="1611"/>
      <c r="AC645" s="1611"/>
      <c r="AD645" s="1611"/>
      <c r="AE645" s="1611"/>
      <c r="AF645" s="1611"/>
      <c r="AG645" s="1611"/>
      <c r="AH645" s="1611"/>
      <c r="AI645" s="1611"/>
      <c r="AJ645" s="1611"/>
      <c r="AK645" s="1611"/>
      <c r="AL645" s="1611"/>
      <c r="AM645" s="1611"/>
      <c r="AN645" s="1611"/>
      <c r="AO645" s="1611"/>
      <c r="AP645" s="1611"/>
      <c r="AQ645" s="1611"/>
    </row>
    <row r="646" spans="1:43" outlineLevel="2">
      <c r="A646" s="1638" t="s">
        <v>319</v>
      </c>
      <c r="B646" s="1637" t="s">
        <v>130</v>
      </c>
      <c r="C646" s="1636"/>
      <c r="D646" s="1635">
        <v>4</v>
      </c>
      <c r="E646" s="1634" t="s">
        <v>966</v>
      </c>
      <c r="F646" s="1633" t="s">
        <v>1068</v>
      </c>
      <c r="G646" s="1632">
        <v>4374.0443941676149</v>
      </c>
      <c r="H646" s="1632">
        <v>4151.91</v>
      </c>
      <c r="I646" s="1630">
        <f t="shared" si="302"/>
        <v>8525.9543941676147</v>
      </c>
      <c r="J646" s="1630">
        <f t="shared" si="303"/>
        <v>34103.817576670459</v>
      </c>
      <c r="K646" s="1631">
        <v>5880</v>
      </c>
      <c r="L646" s="1630">
        <f t="shared" si="304"/>
        <v>5880</v>
      </c>
      <c r="M646" s="1630">
        <f t="shared" si="305"/>
        <v>23520</v>
      </c>
      <c r="N646" s="1625">
        <f t="shared" si="306"/>
        <v>10583.817576670459</v>
      </c>
      <c r="O646" s="1629">
        <v>0.57030000000000003</v>
      </c>
      <c r="P646" s="1629">
        <v>0.42970000000000003</v>
      </c>
      <c r="Q646" s="1625">
        <f t="shared" si="307"/>
        <v>6035.9511639751627</v>
      </c>
      <c r="R646" s="1628">
        <f t="shared" si="308"/>
        <v>4547.8664126952963</v>
      </c>
      <c r="S646" s="1627">
        <f t="shared" si="309"/>
        <v>11460.226412695298</v>
      </c>
      <c r="T646" s="1627">
        <f t="shared" si="310"/>
        <v>12059.773587304702</v>
      </c>
      <c r="U646" s="1626">
        <f t="shared" si="311"/>
        <v>2865.0566031738244</v>
      </c>
      <c r="V646" s="1626">
        <f t="shared" si="312"/>
        <v>3014.9433968261756</v>
      </c>
      <c r="W646" s="1625">
        <f t="shared" si="313"/>
        <v>5880</v>
      </c>
      <c r="X646" s="1614"/>
      <c r="Y646" s="1613"/>
      <c r="Z646" s="1612">
        <f t="shared" si="314"/>
        <v>0.68965886141994337</v>
      </c>
      <c r="AA646" s="1611"/>
      <c r="AB646" s="1611"/>
      <c r="AC646" s="1611"/>
      <c r="AD646" s="1611"/>
      <c r="AE646" s="1611"/>
      <c r="AF646" s="1611"/>
      <c r="AG646" s="1611"/>
      <c r="AH646" s="1611"/>
      <c r="AI646" s="1611"/>
      <c r="AJ646" s="1611"/>
      <c r="AK646" s="1611"/>
      <c r="AL646" s="1611"/>
      <c r="AM646" s="1611"/>
      <c r="AN646" s="1611"/>
      <c r="AO646" s="1611"/>
      <c r="AP646" s="1611"/>
      <c r="AQ646" s="1611"/>
    </row>
    <row r="647" spans="1:43" outlineLevel="2">
      <c r="A647" s="1638" t="s">
        <v>319</v>
      </c>
      <c r="B647" s="1637" t="s">
        <v>130</v>
      </c>
      <c r="C647" s="1636"/>
      <c r="D647" s="1635">
        <v>7</v>
      </c>
      <c r="E647" s="1634" t="s">
        <v>966</v>
      </c>
      <c r="F647" s="1633" t="s">
        <v>1071</v>
      </c>
      <c r="G647" s="1632">
        <v>4374.0443941676149</v>
      </c>
      <c r="H647" s="1632">
        <v>4151.91</v>
      </c>
      <c r="I647" s="1630">
        <f t="shared" si="302"/>
        <v>8525.9543941676147</v>
      </c>
      <c r="J647" s="1630">
        <f t="shared" si="303"/>
        <v>59681.680759173301</v>
      </c>
      <c r="K647" s="1631">
        <v>5880</v>
      </c>
      <c r="L647" s="1630">
        <f t="shared" si="304"/>
        <v>5880</v>
      </c>
      <c r="M647" s="1630">
        <f t="shared" si="305"/>
        <v>41160</v>
      </c>
      <c r="N647" s="1625">
        <f t="shared" si="306"/>
        <v>18521.680759173301</v>
      </c>
      <c r="O647" s="1629">
        <v>0.57030000000000003</v>
      </c>
      <c r="P647" s="1629">
        <v>0.42970000000000003</v>
      </c>
      <c r="Q647" s="1625">
        <f t="shared" si="307"/>
        <v>10562.914536956534</v>
      </c>
      <c r="R647" s="1628">
        <f t="shared" si="308"/>
        <v>7958.7662222167683</v>
      </c>
      <c r="S647" s="1627">
        <f t="shared" si="309"/>
        <v>20055.396222216772</v>
      </c>
      <c r="T647" s="1627">
        <f t="shared" si="310"/>
        <v>21104.603777783232</v>
      </c>
      <c r="U647" s="1626">
        <f t="shared" si="311"/>
        <v>5013.849055554193</v>
      </c>
      <c r="V647" s="1626">
        <f t="shared" si="312"/>
        <v>5276.1509444458079</v>
      </c>
      <c r="W647" s="1625">
        <f t="shared" si="313"/>
        <v>10290</v>
      </c>
      <c r="X647" s="1614"/>
      <c r="Y647" s="1613"/>
      <c r="Z647" s="1612">
        <f t="shared" si="314"/>
        <v>0.68965886141994337</v>
      </c>
      <c r="AA647" s="1611"/>
      <c r="AB647" s="1611"/>
      <c r="AC647" s="1611"/>
      <c r="AD647" s="1611"/>
      <c r="AE647" s="1611"/>
      <c r="AF647" s="1611"/>
      <c r="AG647" s="1611"/>
      <c r="AH647" s="1611"/>
      <c r="AI647" s="1611"/>
      <c r="AJ647" s="1611"/>
      <c r="AK647" s="1611"/>
      <c r="AL647" s="1611"/>
      <c r="AM647" s="1611"/>
      <c r="AN647" s="1611"/>
      <c r="AO647" s="1611"/>
      <c r="AP647" s="1611"/>
      <c r="AQ647" s="1611"/>
    </row>
    <row r="648" spans="1:43" outlineLevel="2">
      <c r="A648" s="1638" t="s">
        <v>319</v>
      </c>
      <c r="B648" s="1637" t="s">
        <v>130</v>
      </c>
      <c r="C648" s="1636"/>
      <c r="D648" s="1635">
        <v>4</v>
      </c>
      <c r="E648" s="1634" t="s">
        <v>966</v>
      </c>
      <c r="F648" s="1633" t="s">
        <v>1065</v>
      </c>
      <c r="G648" s="1632">
        <v>4374.0443941676149</v>
      </c>
      <c r="H648" s="1632">
        <v>4151.91</v>
      </c>
      <c r="I648" s="1630">
        <f t="shared" si="302"/>
        <v>8525.9543941676147</v>
      </c>
      <c r="J648" s="1630">
        <f t="shared" si="303"/>
        <v>34103.817576670459</v>
      </c>
      <c r="K648" s="1631">
        <v>5880</v>
      </c>
      <c r="L648" s="1630">
        <f t="shared" si="304"/>
        <v>5880</v>
      </c>
      <c r="M648" s="1630">
        <f t="shared" si="305"/>
        <v>23520</v>
      </c>
      <c r="N648" s="1625">
        <f t="shared" si="306"/>
        <v>10583.817576670459</v>
      </c>
      <c r="O648" s="1629">
        <v>0.57030000000000003</v>
      </c>
      <c r="P648" s="1629">
        <v>0.42970000000000003</v>
      </c>
      <c r="Q648" s="1625">
        <f t="shared" si="307"/>
        <v>6035.9511639751627</v>
      </c>
      <c r="R648" s="1628">
        <f t="shared" si="308"/>
        <v>4547.8664126952963</v>
      </c>
      <c r="S648" s="1627">
        <f t="shared" si="309"/>
        <v>11460.226412695298</v>
      </c>
      <c r="T648" s="1627">
        <f t="shared" si="310"/>
        <v>12059.773587304702</v>
      </c>
      <c r="U648" s="1626">
        <f t="shared" si="311"/>
        <v>2865.0566031738244</v>
      </c>
      <c r="V648" s="1626">
        <f t="shared" si="312"/>
        <v>3014.9433968261756</v>
      </c>
      <c r="W648" s="1625">
        <f t="shared" si="313"/>
        <v>5880</v>
      </c>
      <c r="X648" s="1614"/>
      <c r="Y648" s="1613"/>
      <c r="Z648" s="1612">
        <f t="shared" si="314"/>
        <v>0.68965886141994337</v>
      </c>
      <c r="AA648" s="1611"/>
      <c r="AB648" s="1611"/>
      <c r="AC648" s="1611"/>
      <c r="AD648" s="1611"/>
      <c r="AE648" s="1611"/>
      <c r="AF648" s="1611"/>
      <c r="AG648" s="1611"/>
      <c r="AH648" s="1611"/>
      <c r="AI648" s="1611"/>
      <c r="AJ648" s="1611"/>
      <c r="AK648" s="1611"/>
      <c r="AL648" s="1611"/>
      <c r="AM648" s="1611"/>
      <c r="AN648" s="1611"/>
      <c r="AO648" s="1611"/>
      <c r="AP648" s="1611"/>
      <c r="AQ648" s="1611"/>
    </row>
    <row r="649" spans="1:43" outlineLevel="2">
      <c r="A649" s="1638" t="s">
        <v>319</v>
      </c>
      <c r="B649" s="1637" t="s">
        <v>130</v>
      </c>
      <c r="C649" s="1636"/>
      <c r="D649" s="1635">
        <v>8</v>
      </c>
      <c r="E649" s="1634" t="s">
        <v>966</v>
      </c>
      <c r="F649" s="1633" t="s">
        <v>1064</v>
      </c>
      <c r="G649" s="1632">
        <v>4374.0443941676149</v>
      </c>
      <c r="H649" s="1632">
        <v>4151.91</v>
      </c>
      <c r="I649" s="1630">
        <f t="shared" si="302"/>
        <v>8525.9543941676147</v>
      </c>
      <c r="J649" s="1630">
        <f t="shared" si="303"/>
        <v>68207.635153340918</v>
      </c>
      <c r="K649" s="1631">
        <v>5880</v>
      </c>
      <c r="L649" s="1630">
        <f t="shared" si="304"/>
        <v>5880</v>
      </c>
      <c r="M649" s="1630">
        <f t="shared" si="305"/>
        <v>47040</v>
      </c>
      <c r="N649" s="1625">
        <f t="shared" si="306"/>
        <v>21167.635153340918</v>
      </c>
      <c r="O649" s="1629">
        <v>0.57030000000000003</v>
      </c>
      <c r="P649" s="1629">
        <v>0.42970000000000003</v>
      </c>
      <c r="Q649" s="1625">
        <f t="shared" si="307"/>
        <v>12071.902327950325</v>
      </c>
      <c r="R649" s="1628">
        <f t="shared" si="308"/>
        <v>9095.7328253905926</v>
      </c>
      <c r="S649" s="1627">
        <f t="shared" si="309"/>
        <v>22920.452825390596</v>
      </c>
      <c r="T649" s="1627">
        <f t="shared" si="310"/>
        <v>24119.547174609404</v>
      </c>
      <c r="U649" s="1626">
        <f t="shared" si="311"/>
        <v>5730.1132063476489</v>
      </c>
      <c r="V649" s="1626">
        <f t="shared" si="312"/>
        <v>6029.8867936523511</v>
      </c>
      <c r="W649" s="1625">
        <f t="shared" si="313"/>
        <v>11760</v>
      </c>
      <c r="X649" s="1614"/>
      <c r="Y649" s="1613"/>
      <c r="Z649" s="1612">
        <f t="shared" si="314"/>
        <v>0.68965886141994337</v>
      </c>
      <c r="AA649" s="1611"/>
      <c r="AB649" s="1611"/>
      <c r="AC649" s="1611"/>
      <c r="AD649" s="1611"/>
      <c r="AE649" s="1611"/>
      <c r="AF649" s="1611"/>
      <c r="AG649" s="1611"/>
      <c r="AH649" s="1611"/>
      <c r="AI649" s="1611"/>
      <c r="AJ649" s="1611"/>
      <c r="AK649" s="1611"/>
      <c r="AL649" s="1611"/>
      <c r="AM649" s="1611"/>
      <c r="AN649" s="1611"/>
      <c r="AO649" s="1611"/>
      <c r="AP649" s="1611"/>
      <c r="AQ649" s="1611"/>
    </row>
    <row r="650" spans="1:43" outlineLevel="2">
      <c r="A650" s="1638" t="s">
        <v>319</v>
      </c>
      <c r="B650" s="1637" t="s">
        <v>130</v>
      </c>
      <c r="C650" s="1636"/>
      <c r="D650" s="1635">
        <v>10</v>
      </c>
      <c r="E650" s="1634" t="s">
        <v>966</v>
      </c>
      <c r="F650" s="1633" t="s">
        <v>1063</v>
      </c>
      <c r="G650" s="1632">
        <v>4374.0443941676149</v>
      </c>
      <c r="H650" s="1632">
        <v>4151.91</v>
      </c>
      <c r="I650" s="1630">
        <f t="shared" si="302"/>
        <v>8525.9543941676147</v>
      </c>
      <c r="J650" s="1630">
        <f t="shared" si="303"/>
        <v>85259.543941676151</v>
      </c>
      <c r="K650" s="1631">
        <v>5880</v>
      </c>
      <c r="L650" s="1630">
        <f t="shared" si="304"/>
        <v>5880</v>
      </c>
      <c r="M650" s="1630">
        <f t="shared" si="305"/>
        <v>58800</v>
      </c>
      <c r="N650" s="1625">
        <f t="shared" si="306"/>
        <v>26459.543941676151</v>
      </c>
      <c r="O650" s="1629">
        <v>0.57030000000000003</v>
      </c>
      <c r="P650" s="1629">
        <v>0.42970000000000003</v>
      </c>
      <c r="Q650" s="1625">
        <f t="shared" si="307"/>
        <v>15089.87790993791</v>
      </c>
      <c r="R650" s="1628">
        <f t="shared" si="308"/>
        <v>11369.666031738243</v>
      </c>
      <c r="S650" s="1627">
        <f t="shared" si="309"/>
        <v>28650.566031738235</v>
      </c>
      <c r="T650" s="1627">
        <f t="shared" si="310"/>
        <v>30149.433968261757</v>
      </c>
      <c r="U650" s="1626">
        <f t="shared" si="311"/>
        <v>7162.6415079345588</v>
      </c>
      <c r="V650" s="1626">
        <f t="shared" si="312"/>
        <v>7537.3584920654393</v>
      </c>
      <c r="W650" s="1625">
        <f t="shared" si="313"/>
        <v>14699.999999999998</v>
      </c>
      <c r="X650" s="1614"/>
      <c r="Y650" s="1613"/>
      <c r="Z650" s="1612">
        <f t="shared" si="314"/>
        <v>0.68965886141994337</v>
      </c>
      <c r="AA650" s="1611"/>
      <c r="AB650" s="1611"/>
      <c r="AC650" s="1611"/>
      <c r="AD650" s="1611"/>
      <c r="AE650" s="1611"/>
      <c r="AF650" s="1611"/>
      <c r="AG650" s="1611"/>
      <c r="AH650" s="1611"/>
      <c r="AI650" s="1611"/>
      <c r="AJ650" s="1611"/>
      <c r="AK650" s="1611"/>
      <c r="AL650" s="1611"/>
      <c r="AM650" s="1611"/>
      <c r="AN650" s="1611"/>
      <c r="AO650" s="1611"/>
      <c r="AP650" s="1611"/>
      <c r="AQ650" s="1611"/>
    </row>
    <row r="651" spans="1:43" outlineLevel="2">
      <c r="A651" s="1638" t="s">
        <v>319</v>
      </c>
      <c r="B651" s="1637" t="s">
        <v>130</v>
      </c>
      <c r="C651" s="1636"/>
      <c r="D651" s="1635">
        <v>1</v>
      </c>
      <c r="E651" s="1634" t="s">
        <v>966</v>
      </c>
      <c r="F651" s="1633" t="s">
        <v>1066</v>
      </c>
      <c r="G651" s="1632">
        <v>4374.0443941676149</v>
      </c>
      <c r="H651" s="1632">
        <v>4151.91</v>
      </c>
      <c r="I651" s="1630">
        <f t="shared" si="302"/>
        <v>8525.9543941676147</v>
      </c>
      <c r="J651" s="1630">
        <f t="shared" si="303"/>
        <v>8525.9543941676147</v>
      </c>
      <c r="K651" s="1631">
        <v>5880</v>
      </c>
      <c r="L651" s="1630">
        <f t="shared" si="304"/>
        <v>5880</v>
      </c>
      <c r="M651" s="1630">
        <f t="shared" si="305"/>
        <v>5880</v>
      </c>
      <c r="N651" s="1625">
        <f t="shared" si="306"/>
        <v>2645.9543941676147</v>
      </c>
      <c r="O651" s="1629">
        <v>0.57030000000000003</v>
      </c>
      <c r="P651" s="1629">
        <v>0.42970000000000003</v>
      </c>
      <c r="Q651" s="1625">
        <f t="shared" si="307"/>
        <v>1508.9877909937907</v>
      </c>
      <c r="R651" s="1628">
        <f t="shared" si="308"/>
        <v>1136.9666031738241</v>
      </c>
      <c r="S651" s="1627">
        <f t="shared" si="309"/>
        <v>2865.0566031738244</v>
      </c>
      <c r="T651" s="1627">
        <f t="shared" si="310"/>
        <v>3014.9433968261756</v>
      </c>
      <c r="U651" s="1626">
        <f t="shared" si="311"/>
        <v>716.26415079345611</v>
      </c>
      <c r="V651" s="1626">
        <f t="shared" si="312"/>
        <v>753.73584920654389</v>
      </c>
      <c r="W651" s="1625">
        <f t="shared" si="313"/>
        <v>1470</v>
      </c>
      <c r="X651" s="1614"/>
      <c r="Y651" s="1613"/>
      <c r="Z651" s="1612">
        <f t="shared" si="314"/>
        <v>0.68965886141994337</v>
      </c>
      <c r="AA651" s="1611"/>
      <c r="AB651" s="1611"/>
      <c r="AC651" s="1611"/>
      <c r="AD651" s="1611"/>
      <c r="AE651" s="1611"/>
      <c r="AF651" s="1611"/>
      <c r="AG651" s="1611"/>
      <c r="AH651" s="1611"/>
      <c r="AI651" s="1611"/>
      <c r="AJ651" s="1611"/>
      <c r="AK651" s="1611"/>
      <c r="AL651" s="1611"/>
      <c r="AM651" s="1611"/>
      <c r="AN651" s="1611"/>
      <c r="AO651" s="1611"/>
      <c r="AP651" s="1611"/>
      <c r="AQ651" s="1611"/>
    </row>
    <row r="652" spans="1:43" outlineLevel="2">
      <c r="A652" s="1638" t="s">
        <v>319</v>
      </c>
      <c r="B652" s="1637" t="s">
        <v>130</v>
      </c>
      <c r="C652" s="1636"/>
      <c r="D652" s="1635">
        <v>4</v>
      </c>
      <c r="E652" s="1634" t="s">
        <v>966</v>
      </c>
      <c r="F652" s="1633" t="s">
        <v>1067</v>
      </c>
      <c r="G652" s="1632">
        <v>4374.0443941676149</v>
      </c>
      <c r="H652" s="1632">
        <v>4151.91</v>
      </c>
      <c r="I652" s="1630">
        <f t="shared" si="302"/>
        <v>8525.9543941676147</v>
      </c>
      <c r="J652" s="1630">
        <f t="shared" si="303"/>
        <v>34103.817576670459</v>
      </c>
      <c r="K652" s="1631">
        <v>5985</v>
      </c>
      <c r="L652" s="1630">
        <f t="shared" si="304"/>
        <v>5985</v>
      </c>
      <c r="M652" s="1630">
        <f t="shared" si="305"/>
        <v>23940</v>
      </c>
      <c r="N652" s="1625">
        <f t="shared" si="306"/>
        <v>10163.817576670459</v>
      </c>
      <c r="O652" s="1629">
        <v>0.57030000000000003</v>
      </c>
      <c r="P652" s="1629">
        <v>0.42970000000000003</v>
      </c>
      <c r="Q652" s="1625">
        <f t="shared" si="307"/>
        <v>5796.4251639751628</v>
      </c>
      <c r="R652" s="1628">
        <f t="shared" si="308"/>
        <v>4367.3924126952961</v>
      </c>
      <c r="S652" s="1627">
        <f t="shared" si="309"/>
        <v>11699.752412695296</v>
      </c>
      <c r="T652" s="1627">
        <f t="shared" si="310"/>
        <v>12240.247587304704</v>
      </c>
      <c r="U652" s="1626">
        <f t="shared" si="311"/>
        <v>2924.9381031738239</v>
      </c>
      <c r="V652" s="1626">
        <f t="shared" si="312"/>
        <v>3060.0618968261761</v>
      </c>
      <c r="W652" s="1625">
        <f t="shared" si="313"/>
        <v>5985</v>
      </c>
      <c r="X652" s="1614"/>
      <c r="Y652" s="1613"/>
      <c r="Z652" s="1612">
        <f t="shared" si="314"/>
        <v>0.70197419823101381</v>
      </c>
      <c r="AA652" s="1611"/>
      <c r="AB652" s="1611"/>
      <c r="AC652" s="1611"/>
      <c r="AD652" s="1611"/>
      <c r="AE652" s="1611"/>
      <c r="AF652" s="1611"/>
      <c r="AG652" s="1611"/>
      <c r="AH652" s="1611"/>
      <c r="AI652" s="1611"/>
      <c r="AJ652" s="1611"/>
      <c r="AK652" s="1611"/>
      <c r="AL652" s="1611"/>
      <c r="AM652" s="1611"/>
      <c r="AN652" s="1611"/>
      <c r="AO652" s="1611"/>
      <c r="AP652" s="1611"/>
      <c r="AQ652" s="1611"/>
    </row>
    <row r="653" spans="1:43" outlineLevel="2">
      <c r="A653" s="1638" t="s">
        <v>319</v>
      </c>
      <c r="B653" s="1637" t="s">
        <v>130</v>
      </c>
      <c r="C653" s="1636"/>
      <c r="D653" s="1635">
        <v>2</v>
      </c>
      <c r="E653" s="1634" t="s">
        <v>966</v>
      </c>
      <c r="F653" s="1633" t="s">
        <v>1072</v>
      </c>
      <c r="G653" s="1632">
        <v>4374.0443941676149</v>
      </c>
      <c r="H653" s="1632">
        <v>4151.91</v>
      </c>
      <c r="I653" s="1630">
        <f t="shared" si="302"/>
        <v>8525.9543941676147</v>
      </c>
      <c r="J653" s="1630">
        <f t="shared" si="303"/>
        <v>17051.908788335229</v>
      </c>
      <c r="K653" s="1631">
        <v>5985</v>
      </c>
      <c r="L653" s="1630">
        <f t="shared" si="304"/>
        <v>5985</v>
      </c>
      <c r="M653" s="1630">
        <f t="shared" si="305"/>
        <v>11970</v>
      </c>
      <c r="N653" s="1625">
        <f t="shared" si="306"/>
        <v>5081.9087883352295</v>
      </c>
      <c r="O653" s="1629">
        <v>0.57030000000000003</v>
      </c>
      <c r="P653" s="1629">
        <v>0.42970000000000003</v>
      </c>
      <c r="Q653" s="1625">
        <f t="shared" si="307"/>
        <v>2898.2125819875814</v>
      </c>
      <c r="R653" s="1628">
        <f t="shared" si="308"/>
        <v>2183.6962063476481</v>
      </c>
      <c r="S653" s="1627">
        <f t="shared" si="309"/>
        <v>5849.8762063476479</v>
      </c>
      <c r="T653" s="1627">
        <f t="shared" si="310"/>
        <v>6120.1237936523521</v>
      </c>
      <c r="U653" s="1626">
        <f t="shared" si="311"/>
        <v>1462.469051586912</v>
      </c>
      <c r="V653" s="1626">
        <f t="shared" si="312"/>
        <v>1530.030948413088</v>
      </c>
      <c r="W653" s="1625">
        <f t="shared" si="313"/>
        <v>2992.5</v>
      </c>
      <c r="X653" s="1614"/>
      <c r="Y653" s="1613"/>
      <c r="Z653" s="1612">
        <f t="shared" si="314"/>
        <v>0.70197419823101381</v>
      </c>
      <c r="AA653" s="1611"/>
      <c r="AB653" s="1611"/>
      <c r="AC653" s="1611"/>
      <c r="AD653" s="1611"/>
      <c r="AE653" s="1611"/>
      <c r="AF653" s="1611"/>
      <c r="AG653" s="1611"/>
      <c r="AH653" s="1611"/>
      <c r="AI653" s="1611"/>
      <c r="AJ653" s="1611"/>
      <c r="AK653" s="1611"/>
      <c r="AL653" s="1611"/>
      <c r="AM653" s="1611"/>
      <c r="AN653" s="1611"/>
      <c r="AO653" s="1611"/>
      <c r="AP653" s="1611"/>
      <c r="AQ653" s="1611"/>
    </row>
    <row r="654" spans="1:43" outlineLevel="2">
      <c r="A654" s="1638" t="s">
        <v>319</v>
      </c>
      <c r="B654" s="1637" t="s">
        <v>130</v>
      </c>
      <c r="C654" s="1636"/>
      <c r="D654" s="1635">
        <v>1</v>
      </c>
      <c r="E654" s="1634" t="s">
        <v>966</v>
      </c>
      <c r="F654" s="1633" t="s">
        <v>1079</v>
      </c>
      <c r="G654" s="1632">
        <v>4374.0443941676149</v>
      </c>
      <c r="H654" s="1632">
        <v>4151.91</v>
      </c>
      <c r="I654" s="1630">
        <f t="shared" si="302"/>
        <v>8525.9543941676147</v>
      </c>
      <c r="J654" s="1630">
        <f t="shared" si="303"/>
        <v>8525.9543941676147</v>
      </c>
      <c r="K654" s="1631">
        <v>5985</v>
      </c>
      <c r="L654" s="1630">
        <f t="shared" si="304"/>
        <v>5985</v>
      </c>
      <c r="M654" s="1630">
        <f t="shared" si="305"/>
        <v>5985</v>
      </c>
      <c r="N654" s="1625">
        <f t="shared" si="306"/>
        <v>2540.9543941676147</v>
      </c>
      <c r="O654" s="1629">
        <v>0.57030000000000003</v>
      </c>
      <c r="P654" s="1629">
        <v>0.42970000000000003</v>
      </c>
      <c r="Q654" s="1625">
        <f t="shared" si="307"/>
        <v>1449.1062909937907</v>
      </c>
      <c r="R654" s="1628">
        <f t="shared" si="308"/>
        <v>1091.848103173824</v>
      </c>
      <c r="S654" s="1627">
        <f t="shared" si="309"/>
        <v>2924.9381031738239</v>
      </c>
      <c r="T654" s="1627">
        <f t="shared" si="310"/>
        <v>3060.0618968261761</v>
      </c>
      <c r="U654" s="1626">
        <f t="shared" si="311"/>
        <v>731.23452579345599</v>
      </c>
      <c r="V654" s="1626">
        <f t="shared" si="312"/>
        <v>765.01547420654401</v>
      </c>
      <c r="W654" s="1625">
        <f t="shared" si="313"/>
        <v>1496.25</v>
      </c>
      <c r="X654" s="1614"/>
      <c r="Y654" s="1613"/>
      <c r="Z654" s="1612">
        <f t="shared" si="314"/>
        <v>0.70197419823101381</v>
      </c>
      <c r="AA654" s="1611"/>
      <c r="AB654" s="1611"/>
      <c r="AC654" s="1611"/>
      <c r="AD654" s="1611"/>
      <c r="AE654" s="1611"/>
      <c r="AF654" s="1611"/>
      <c r="AG654" s="1611"/>
      <c r="AH654" s="1611"/>
      <c r="AI654" s="1611"/>
      <c r="AJ654" s="1611"/>
      <c r="AK654" s="1611"/>
      <c r="AL654" s="1611"/>
      <c r="AM654" s="1611"/>
      <c r="AN654" s="1611"/>
      <c r="AO654" s="1611"/>
      <c r="AP654" s="1611"/>
      <c r="AQ654" s="1611"/>
    </row>
    <row r="655" spans="1:43" outlineLevel="2">
      <c r="A655" s="1638" t="s">
        <v>319</v>
      </c>
      <c r="B655" s="1637" t="s">
        <v>130</v>
      </c>
      <c r="C655" s="1636"/>
      <c r="D655" s="1635">
        <v>1</v>
      </c>
      <c r="E655" s="1634" t="s">
        <v>966</v>
      </c>
      <c r="F655" s="1633" t="s">
        <v>1075</v>
      </c>
      <c r="G655" s="1632">
        <v>4374.0443941676149</v>
      </c>
      <c r="H655" s="1632">
        <v>4151.91</v>
      </c>
      <c r="I655" s="1630">
        <f t="shared" si="302"/>
        <v>8525.9543941676147</v>
      </c>
      <c r="J655" s="1630">
        <f t="shared" si="303"/>
        <v>8525.9543941676147</v>
      </c>
      <c r="K655" s="1631">
        <v>5985</v>
      </c>
      <c r="L655" s="1630">
        <f t="shared" si="304"/>
        <v>5985</v>
      </c>
      <c r="M655" s="1630">
        <f t="shared" si="305"/>
        <v>5985</v>
      </c>
      <c r="N655" s="1625">
        <f t="shared" si="306"/>
        <v>2540.9543941676147</v>
      </c>
      <c r="O655" s="1629">
        <v>0.57030000000000003</v>
      </c>
      <c r="P655" s="1629">
        <v>0.42970000000000003</v>
      </c>
      <c r="Q655" s="1625">
        <f t="shared" si="307"/>
        <v>1449.1062909937907</v>
      </c>
      <c r="R655" s="1628">
        <f t="shared" si="308"/>
        <v>1091.848103173824</v>
      </c>
      <c r="S655" s="1627">
        <f t="shared" si="309"/>
        <v>2924.9381031738239</v>
      </c>
      <c r="T655" s="1627">
        <f t="shared" si="310"/>
        <v>3060.0618968261761</v>
      </c>
      <c r="U655" s="1626">
        <f t="shared" si="311"/>
        <v>731.23452579345599</v>
      </c>
      <c r="V655" s="1626">
        <f t="shared" si="312"/>
        <v>765.01547420654401</v>
      </c>
      <c r="W655" s="1625">
        <f t="shared" si="313"/>
        <v>1496.25</v>
      </c>
      <c r="X655" s="1614"/>
      <c r="Y655" s="1613"/>
      <c r="Z655" s="1612">
        <f t="shared" si="314"/>
        <v>0.70197419823101381</v>
      </c>
      <c r="AA655" s="1611"/>
      <c r="AB655" s="1611"/>
      <c r="AC655" s="1611"/>
      <c r="AD655" s="1611"/>
      <c r="AE655" s="1611"/>
      <c r="AF655" s="1611"/>
      <c r="AG655" s="1611"/>
      <c r="AH655" s="1611"/>
      <c r="AI655" s="1611"/>
      <c r="AJ655" s="1611"/>
      <c r="AK655" s="1611"/>
      <c r="AL655" s="1611"/>
      <c r="AM655" s="1611"/>
      <c r="AN655" s="1611"/>
      <c r="AO655" s="1611"/>
      <c r="AP655" s="1611"/>
      <c r="AQ655" s="1611"/>
    </row>
    <row r="656" spans="1:43" outlineLevel="2">
      <c r="A656" s="1638" t="s">
        <v>319</v>
      </c>
      <c r="B656" s="1637" t="s">
        <v>130</v>
      </c>
      <c r="C656" s="1636"/>
      <c r="D656" s="1635">
        <v>5</v>
      </c>
      <c r="E656" s="1634" t="s">
        <v>966</v>
      </c>
      <c r="F656" s="1633" t="s">
        <v>979</v>
      </c>
      <c r="G656" s="1632">
        <v>4374.0443941676149</v>
      </c>
      <c r="H656" s="1632">
        <v>4151.91</v>
      </c>
      <c r="I656" s="1630">
        <f t="shared" si="302"/>
        <v>8525.9543941676147</v>
      </c>
      <c r="J656" s="1630">
        <f t="shared" si="303"/>
        <v>42629.771970838076</v>
      </c>
      <c r="K656" s="1631">
        <v>5880</v>
      </c>
      <c r="L656" s="1630">
        <f t="shared" si="304"/>
        <v>5880</v>
      </c>
      <c r="M656" s="1630">
        <f t="shared" si="305"/>
        <v>29400</v>
      </c>
      <c r="N656" s="1625">
        <f t="shared" si="306"/>
        <v>13229.771970838076</v>
      </c>
      <c r="O656" s="1629">
        <v>0.57030000000000003</v>
      </c>
      <c r="P656" s="1629">
        <v>0.42970000000000003</v>
      </c>
      <c r="Q656" s="1625">
        <f t="shared" si="307"/>
        <v>7544.9389549689549</v>
      </c>
      <c r="R656" s="1628">
        <f t="shared" si="308"/>
        <v>5684.8330158691215</v>
      </c>
      <c r="S656" s="1627">
        <f t="shared" si="309"/>
        <v>14325.283015869118</v>
      </c>
      <c r="T656" s="1627">
        <f t="shared" si="310"/>
        <v>15074.716984130879</v>
      </c>
      <c r="U656" s="1626">
        <f t="shared" si="311"/>
        <v>3581.3207539672794</v>
      </c>
      <c r="V656" s="1626">
        <f t="shared" si="312"/>
        <v>3768.6792460327197</v>
      </c>
      <c r="W656" s="1625">
        <f t="shared" si="313"/>
        <v>7349.9999999999991</v>
      </c>
      <c r="X656" s="1614"/>
      <c r="Y656" s="1613"/>
      <c r="Z656" s="1612">
        <f t="shared" si="314"/>
        <v>0.68965886141994337</v>
      </c>
      <c r="AA656" s="1611"/>
      <c r="AB656" s="1611"/>
      <c r="AC656" s="1611"/>
      <c r="AD656" s="1611"/>
      <c r="AE656" s="1611"/>
      <c r="AF656" s="1611"/>
      <c r="AG656" s="1611"/>
      <c r="AH656" s="1611"/>
      <c r="AI656" s="1611"/>
      <c r="AJ656" s="1611"/>
      <c r="AK656" s="1611"/>
      <c r="AL656" s="1611"/>
      <c r="AM656" s="1611"/>
      <c r="AN656" s="1611"/>
      <c r="AO656" s="1611"/>
      <c r="AP656" s="1611"/>
      <c r="AQ656" s="1611"/>
    </row>
    <row r="657" spans="1:43" outlineLevel="2">
      <c r="A657" s="1638" t="s">
        <v>319</v>
      </c>
      <c r="B657" s="1637" t="s">
        <v>130</v>
      </c>
      <c r="C657" s="1636"/>
      <c r="D657" s="1635">
        <v>10</v>
      </c>
      <c r="E657" s="1634" t="s">
        <v>948</v>
      </c>
      <c r="F657" s="1633" t="s">
        <v>1070</v>
      </c>
      <c r="G657" s="1632">
        <v>4374.0443941676149</v>
      </c>
      <c r="H657" s="1632">
        <v>4151.91</v>
      </c>
      <c r="I657" s="1630">
        <f t="shared" si="302"/>
        <v>8525.9543941676147</v>
      </c>
      <c r="J657" s="1630">
        <f t="shared" si="303"/>
        <v>85259.543941676151</v>
      </c>
      <c r="K657" s="1631">
        <v>7510.23</v>
      </c>
      <c r="L657" s="1630">
        <f t="shared" si="304"/>
        <v>7510.23</v>
      </c>
      <c r="M657" s="1630">
        <f t="shared" si="305"/>
        <v>75102.299999999988</v>
      </c>
      <c r="N657" s="1625">
        <f t="shared" si="306"/>
        <v>10157.243941676163</v>
      </c>
      <c r="O657" s="1629">
        <v>0.57030000000000003</v>
      </c>
      <c r="P657" s="1629">
        <v>0.42970000000000003</v>
      </c>
      <c r="Q657" s="1625">
        <f t="shared" si="307"/>
        <v>5792.6762199379154</v>
      </c>
      <c r="R657" s="1628">
        <f t="shared" si="308"/>
        <v>4364.5677217382472</v>
      </c>
      <c r="S657" s="1627">
        <f t="shared" si="309"/>
        <v>37947.76772173823</v>
      </c>
      <c r="T657" s="1627">
        <f t="shared" si="310"/>
        <v>37154.532278261751</v>
      </c>
      <c r="U657" s="1626">
        <f t="shared" si="311"/>
        <v>9486.9419304345574</v>
      </c>
      <c r="V657" s="1626">
        <f t="shared" si="312"/>
        <v>9288.6330695654378</v>
      </c>
      <c r="W657" s="1625">
        <f t="shared" si="313"/>
        <v>18775.574999999997</v>
      </c>
      <c r="X657" s="1614"/>
      <c r="Y657" s="1613"/>
      <c r="Z657" s="1612">
        <f t="shared" si="314"/>
        <v>0.88086678074862257</v>
      </c>
      <c r="AA657" s="1611"/>
      <c r="AB657" s="1611"/>
      <c r="AC657" s="1611"/>
      <c r="AD657" s="1611"/>
      <c r="AE657" s="1611"/>
      <c r="AF657" s="1611"/>
      <c r="AG657" s="1611"/>
      <c r="AH657" s="1611"/>
      <c r="AI657" s="1611"/>
      <c r="AJ657" s="1611"/>
      <c r="AK657" s="1611"/>
      <c r="AL657" s="1611"/>
      <c r="AM657" s="1611"/>
      <c r="AN657" s="1611"/>
      <c r="AO657" s="1611"/>
      <c r="AP657" s="1611"/>
      <c r="AQ657" s="1611"/>
    </row>
    <row r="658" spans="1:43" outlineLevel="2">
      <c r="A658" s="1638" t="s">
        <v>319</v>
      </c>
      <c r="B658" s="1637" t="s">
        <v>130</v>
      </c>
      <c r="C658" s="1636"/>
      <c r="D658" s="1635">
        <v>12</v>
      </c>
      <c r="E658" s="1634" t="s">
        <v>948</v>
      </c>
      <c r="F658" s="1633" t="s">
        <v>1069</v>
      </c>
      <c r="G658" s="1632">
        <v>4374.0443941676149</v>
      </c>
      <c r="H658" s="1632">
        <v>4151.91</v>
      </c>
      <c r="I658" s="1630">
        <f t="shared" si="302"/>
        <v>8525.9543941676147</v>
      </c>
      <c r="J658" s="1630">
        <f t="shared" si="303"/>
        <v>102311.45273001137</v>
      </c>
      <c r="K658" s="1631">
        <v>7510.23</v>
      </c>
      <c r="L658" s="1630">
        <f t="shared" si="304"/>
        <v>7510.23</v>
      </c>
      <c r="M658" s="1630">
        <f t="shared" si="305"/>
        <v>90122.76</v>
      </c>
      <c r="N658" s="1625">
        <f t="shared" si="306"/>
        <v>12188.692730011375</v>
      </c>
      <c r="O658" s="1629">
        <v>0.57030000000000003</v>
      </c>
      <c r="P658" s="1629">
        <v>0.42970000000000003</v>
      </c>
      <c r="Q658" s="1625">
        <f t="shared" si="307"/>
        <v>6951.2114639254878</v>
      </c>
      <c r="R658" s="1628">
        <f t="shared" si="308"/>
        <v>5237.4812660858879</v>
      </c>
      <c r="S658" s="1627">
        <f t="shared" si="309"/>
        <v>45537.321266085892</v>
      </c>
      <c r="T658" s="1627">
        <f t="shared" si="310"/>
        <v>44585.43873391411</v>
      </c>
      <c r="U658" s="1626">
        <f t="shared" si="311"/>
        <v>11384.330316521473</v>
      </c>
      <c r="V658" s="1626">
        <f t="shared" si="312"/>
        <v>11146.359683478528</v>
      </c>
      <c r="W658" s="1625">
        <f t="shared" si="313"/>
        <v>22530.690000000002</v>
      </c>
      <c r="X658" s="1614"/>
      <c r="Y658" s="1613"/>
      <c r="Z658" s="1612">
        <f t="shared" si="314"/>
        <v>0.88086678074862257</v>
      </c>
      <c r="AA658" s="1611"/>
      <c r="AB658" s="1611"/>
      <c r="AC658" s="1611"/>
      <c r="AD658" s="1611"/>
      <c r="AE658" s="1611"/>
      <c r="AF658" s="1611"/>
      <c r="AG658" s="1611"/>
      <c r="AH658" s="1611"/>
      <c r="AI658" s="1611"/>
      <c r="AJ658" s="1611"/>
      <c r="AK658" s="1611"/>
      <c r="AL658" s="1611"/>
      <c r="AM658" s="1611"/>
      <c r="AN658" s="1611"/>
      <c r="AO658" s="1611"/>
      <c r="AP658" s="1611"/>
      <c r="AQ658" s="1611"/>
    </row>
    <row r="659" spans="1:43" outlineLevel="2">
      <c r="A659" s="1638" t="s">
        <v>319</v>
      </c>
      <c r="B659" s="1637" t="s">
        <v>130</v>
      </c>
      <c r="C659" s="1636"/>
      <c r="D659" s="1635">
        <v>5</v>
      </c>
      <c r="E659" s="1634" t="s">
        <v>948</v>
      </c>
      <c r="F659" s="1633" t="s">
        <v>1068</v>
      </c>
      <c r="G659" s="1632">
        <v>4374.0443941676149</v>
      </c>
      <c r="H659" s="1632">
        <v>4151.91</v>
      </c>
      <c r="I659" s="1630">
        <f t="shared" si="302"/>
        <v>8525.9543941676147</v>
      </c>
      <c r="J659" s="1630">
        <f t="shared" si="303"/>
        <v>42629.771970838076</v>
      </c>
      <c r="K659" s="1631">
        <v>7510.23</v>
      </c>
      <c r="L659" s="1630">
        <f t="shared" si="304"/>
        <v>7510.23</v>
      </c>
      <c r="M659" s="1630">
        <f t="shared" si="305"/>
        <v>37551.149999999994</v>
      </c>
      <c r="N659" s="1625">
        <f t="shared" si="306"/>
        <v>5078.6219708380813</v>
      </c>
      <c r="O659" s="1629">
        <v>0.57030000000000003</v>
      </c>
      <c r="P659" s="1629">
        <v>0.42970000000000003</v>
      </c>
      <c r="Q659" s="1625">
        <f t="shared" si="307"/>
        <v>2896.3381099689577</v>
      </c>
      <c r="R659" s="1628">
        <f t="shared" si="308"/>
        <v>2182.2838608691236</v>
      </c>
      <c r="S659" s="1627">
        <f t="shared" si="309"/>
        <v>18973.883860869115</v>
      </c>
      <c r="T659" s="1627">
        <f t="shared" si="310"/>
        <v>18577.266139130876</v>
      </c>
      <c r="U659" s="1626">
        <f t="shared" si="311"/>
        <v>4743.4709652172787</v>
      </c>
      <c r="V659" s="1626">
        <f t="shared" si="312"/>
        <v>4644.3165347827189</v>
      </c>
      <c r="W659" s="1625">
        <f t="shared" si="313"/>
        <v>9387.7874999999985</v>
      </c>
      <c r="X659" s="1614"/>
      <c r="Y659" s="1613"/>
      <c r="Z659" s="1612">
        <f t="shared" si="314"/>
        <v>0.88086678074862257</v>
      </c>
      <c r="AA659" s="1611"/>
      <c r="AB659" s="1611"/>
      <c r="AC659" s="1611"/>
      <c r="AD659" s="1611"/>
      <c r="AE659" s="1611"/>
      <c r="AF659" s="1611"/>
      <c r="AG659" s="1611"/>
      <c r="AH659" s="1611"/>
      <c r="AI659" s="1611"/>
      <c r="AJ659" s="1611"/>
      <c r="AK659" s="1611"/>
      <c r="AL659" s="1611"/>
      <c r="AM659" s="1611"/>
      <c r="AN659" s="1611"/>
      <c r="AO659" s="1611"/>
      <c r="AP659" s="1611"/>
      <c r="AQ659" s="1611"/>
    </row>
    <row r="660" spans="1:43" outlineLevel="2">
      <c r="A660" s="1638" t="s">
        <v>319</v>
      </c>
      <c r="B660" s="1637" t="s">
        <v>130</v>
      </c>
      <c r="C660" s="1636"/>
      <c r="D660" s="1635">
        <v>8</v>
      </c>
      <c r="E660" s="1634" t="s">
        <v>948</v>
      </c>
      <c r="F660" s="1633" t="s">
        <v>1071</v>
      </c>
      <c r="G660" s="1632">
        <v>4374.0443941676149</v>
      </c>
      <c r="H660" s="1632">
        <v>4151.91</v>
      </c>
      <c r="I660" s="1630">
        <f t="shared" si="302"/>
        <v>8525.9543941676147</v>
      </c>
      <c r="J660" s="1630">
        <f t="shared" si="303"/>
        <v>68207.635153340918</v>
      </c>
      <c r="K660" s="1631">
        <v>7510.23</v>
      </c>
      <c r="L660" s="1630">
        <f t="shared" si="304"/>
        <v>7510.23</v>
      </c>
      <c r="M660" s="1630">
        <f t="shared" si="305"/>
        <v>60081.84</v>
      </c>
      <c r="N660" s="1625">
        <f t="shared" si="306"/>
        <v>8125.7951533409214</v>
      </c>
      <c r="O660" s="1629">
        <v>0.57030000000000003</v>
      </c>
      <c r="P660" s="1629">
        <v>0.42970000000000003</v>
      </c>
      <c r="Q660" s="1625">
        <f t="shared" si="307"/>
        <v>4634.1409759503276</v>
      </c>
      <c r="R660" s="1628">
        <f t="shared" si="308"/>
        <v>3491.6541773905942</v>
      </c>
      <c r="S660" s="1627">
        <f t="shared" si="309"/>
        <v>30358.21417739059</v>
      </c>
      <c r="T660" s="1627">
        <f t="shared" si="310"/>
        <v>29723.625822609403</v>
      </c>
      <c r="U660" s="1626">
        <f t="shared" si="311"/>
        <v>7589.5535443476474</v>
      </c>
      <c r="V660" s="1626">
        <f t="shared" si="312"/>
        <v>7430.9064556523508</v>
      </c>
      <c r="W660" s="1625">
        <f t="shared" si="313"/>
        <v>15020.46</v>
      </c>
      <c r="X660" s="1614"/>
      <c r="Y660" s="1613"/>
      <c r="Z660" s="1612">
        <f t="shared" si="314"/>
        <v>0.88086678074862257</v>
      </c>
      <c r="AA660" s="1611"/>
      <c r="AB660" s="1611"/>
      <c r="AC660" s="1611"/>
      <c r="AD660" s="1611"/>
      <c r="AE660" s="1611"/>
      <c r="AF660" s="1611"/>
      <c r="AG660" s="1611"/>
      <c r="AH660" s="1611"/>
      <c r="AI660" s="1611"/>
      <c r="AJ660" s="1611"/>
      <c r="AK660" s="1611"/>
      <c r="AL660" s="1611"/>
      <c r="AM660" s="1611"/>
      <c r="AN660" s="1611"/>
      <c r="AO660" s="1611"/>
      <c r="AP660" s="1611"/>
      <c r="AQ660" s="1611"/>
    </row>
    <row r="661" spans="1:43" outlineLevel="2">
      <c r="A661" s="1638" t="s">
        <v>319</v>
      </c>
      <c r="B661" s="1637" t="s">
        <v>130</v>
      </c>
      <c r="C661" s="1636"/>
      <c r="D661" s="1635">
        <v>7</v>
      </c>
      <c r="E661" s="1634" t="s">
        <v>948</v>
      </c>
      <c r="F661" s="1633" t="s">
        <v>1065</v>
      </c>
      <c r="G661" s="1632">
        <v>4374.0443941676149</v>
      </c>
      <c r="H661" s="1632">
        <v>4151.91</v>
      </c>
      <c r="I661" s="1630">
        <f t="shared" si="302"/>
        <v>8525.9543941676147</v>
      </c>
      <c r="J661" s="1630">
        <f t="shared" si="303"/>
        <v>59681.680759173301</v>
      </c>
      <c r="K661" s="1631">
        <v>7510.23</v>
      </c>
      <c r="L661" s="1630">
        <f t="shared" si="304"/>
        <v>7510.23</v>
      </c>
      <c r="M661" s="1630">
        <f t="shared" si="305"/>
        <v>52571.61</v>
      </c>
      <c r="N661" s="1625">
        <f t="shared" si="306"/>
        <v>7110.0707591733008</v>
      </c>
      <c r="O661" s="1629">
        <v>0.57030000000000003</v>
      </c>
      <c r="P661" s="1629">
        <v>0.42970000000000003</v>
      </c>
      <c r="Q661" s="1625">
        <f t="shared" si="307"/>
        <v>4054.8733539565337</v>
      </c>
      <c r="R661" s="1628">
        <f t="shared" si="308"/>
        <v>3055.1974052167675</v>
      </c>
      <c r="S661" s="1627">
        <f t="shared" si="309"/>
        <v>26563.437405216773</v>
      </c>
      <c r="T661" s="1627">
        <f t="shared" si="310"/>
        <v>26008.172594783231</v>
      </c>
      <c r="U661" s="1626">
        <f t="shared" si="311"/>
        <v>6640.8593513041933</v>
      </c>
      <c r="V661" s="1626">
        <f t="shared" si="312"/>
        <v>6502.0431486958078</v>
      </c>
      <c r="W661" s="1625">
        <f t="shared" si="313"/>
        <v>13142.9025</v>
      </c>
      <c r="X661" s="1614"/>
      <c r="Y661" s="1613"/>
      <c r="Z661" s="1612">
        <f t="shared" si="314"/>
        <v>0.88086678074862257</v>
      </c>
      <c r="AA661" s="1611"/>
      <c r="AB661" s="1611"/>
      <c r="AC661" s="1611"/>
      <c r="AD661" s="1611"/>
      <c r="AE661" s="1611"/>
      <c r="AF661" s="1611"/>
      <c r="AG661" s="1611"/>
      <c r="AH661" s="1611"/>
      <c r="AI661" s="1611"/>
      <c r="AJ661" s="1611"/>
      <c r="AK661" s="1611"/>
      <c r="AL661" s="1611"/>
      <c r="AM661" s="1611"/>
      <c r="AN661" s="1611"/>
      <c r="AO661" s="1611"/>
      <c r="AP661" s="1611"/>
      <c r="AQ661" s="1611"/>
    </row>
    <row r="662" spans="1:43" outlineLevel="2">
      <c r="A662" s="1638" t="s">
        <v>319</v>
      </c>
      <c r="B662" s="1637" t="s">
        <v>130</v>
      </c>
      <c r="C662" s="1636"/>
      <c r="D662" s="1635">
        <v>7</v>
      </c>
      <c r="E662" s="1634" t="s">
        <v>948</v>
      </c>
      <c r="F662" s="1633" t="s">
        <v>1064</v>
      </c>
      <c r="G662" s="1632">
        <v>4374.0443941676149</v>
      </c>
      <c r="H662" s="1632">
        <v>4151.91</v>
      </c>
      <c r="I662" s="1630">
        <f t="shared" si="302"/>
        <v>8525.9543941676147</v>
      </c>
      <c r="J662" s="1630">
        <f t="shared" si="303"/>
        <v>59681.680759173301</v>
      </c>
      <c r="K662" s="1631">
        <v>7510.23</v>
      </c>
      <c r="L662" s="1630">
        <f t="shared" si="304"/>
        <v>7510.23</v>
      </c>
      <c r="M662" s="1630">
        <f t="shared" si="305"/>
        <v>52571.61</v>
      </c>
      <c r="N662" s="1625">
        <f t="shared" si="306"/>
        <v>7110.0707591733008</v>
      </c>
      <c r="O662" s="1629">
        <v>0.57030000000000003</v>
      </c>
      <c r="P662" s="1629">
        <v>0.42970000000000003</v>
      </c>
      <c r="Q662" s="1625">
        <f t="shared" si="307"/>
        <v>4054.8733539565337</v>
      </c>
      <c r="R662" s="1628">
        <f t="shared" si="308"/>
        <v>3055.1974052167675</v>
      </c>
      <c r="S662" s="1627">
        <f t="shared" si="309"/>
        <v>26563.437405216773</v>
      </c>
      <c r="T662" s="1627">
        <f t="shared" si="310"/>
        <v>26008.172594783231</v>
      </c>
      <c r="U662" s="1626">
        <f t="shared" si="311"/>
        <v>6640.8593513041933</v>
      </c>
      <c r="V662" s="1626">
        <f t="shared" si="312"/>
        <v>6502.0431486958078</v>
      </c>
      <c r="W662" s="1625">
        <f t="shared" si="313"/>
        <v>13142.9025</v>
      </c>
      <c r="X662" s="1614"/>
      <c r="Y662" s="1613"/>
      <c r="Z662" s="1612">
        <f t="shared" si="314"/>
        <v>0.88086678074862257</v>
      </c>
      <c r="AA662" s="1611"/>
      <c r="AB662" s="1611"/>
      <c r="AC662" s="1611"/>
      <c r="AD662" s="1611"/>
      <c r="AE662" s="1611"/>
      <c r="AF662" s="1611"/>
      <c r="AG662" s="1611"/>
      <c r="AH662" s="1611"/>
      <c r="AI662" s="1611"/>
      <c r="AJ662" s="1611"/>
      <c r="AK662" s="1611"/>
      <c r="AL662" s="1611"/>
      <c r="AM662" s="1611"/>
      <c r="AN662" s="1611"/>
      <c r="AO662" s="1611"/>
      <c r="AP662" s="1611"/>
      <c r="AQ662" s="1611"/>
    </row>
    <row r="663" spans="1:43" outlineLevel="2">
      <c r="A663" s="1638" t="s">
        <v>319</v>
      </c>
      <c r="B663" s="1637" t="s">
        <v>130</v>
      </c>
      <c r="C663" s="1636"/>
      <c r="D663" s="1635">
        <v>10</v>
      </c>
      <c r="E663" s="1634" t="s">
        <v>948</v>
      </c>
      <c r="F663" s="1633" t="s">
        <v>1063</v>
      </c>
      <c r="G663" s="1632">
        <v>4374.0443941676149</v>
      </c>
      <c r="H663" s="1632">
        <v>4151.91</v>
      </c>
      <c r="I663" s="1630">
        <f t="shared" si="302"/>
        <v>8525.9543941676147</v>
      </c>
      <c r="J663" s="1630">
        <f t="shared" si="303"/>
        <v>85259.543941676151</v>
      </c>
      <c r="K663" s="1631">
        <v>7510.23</v>
      </c>
      <c r="L663" s="1630">
        <f t="shared" si="304"/>
        <v>7510.23</v>
      </c>
      <c r="M663" s="1630">
        <f t="shared" si="305"/>
        <v>75102.299999999988</v>
      </c>
      <c r="N663" s="1625">
        <f t="shared" si="306"/>
        <v>10157.243941676163</v>
      </c>
      <c r="O663" s="1629">
        <v>0.57030000000000003</v>
      </c>
      <c r="P663" s="1629">
        <v>0.42970000000000003</v>
      </c>
      <c r="Q663" s="1625">
        <f t="shared" si="307"/>
        <v>5792.6762199379154</v>
      </c>
      <c r="R663" s="1628">
        <f t="shared" si="308"/>
        <v>4364.5677217382472</v>
      </c>
      <c r="S663" s="1627">
        <f t="shared" si="309"/>
        <v>37947.76772173823</v>
      </c>
      <c r="T663" s="1627">
        <f t="shared" si="310"/>
        <v>37154.532278261751</v>
      </c>
      <c r="U663" s="1626">
        <f t="shared" si="311"/>
        <v>9486.9419304345574</v>
      </c>
      <c r="V663" s="1626">
        <f t="shared" si="312"/>
        <v>9288.6330695654378</v>
      </c>
      <c r="W663" s="1625">
        <f t="shared" si="313"/>
        <v>18775.574999999997</v>
      </c>
      <c r="X663" s="1614"/>
      <c r="Y663" s="1613"/>
      <c r="Z663" s="1612">
        <f t="shared" si="314"/>
        <v>0.88086678074862257</v>
      </c>
      <c r="AA663" s="1611"/>
      <c r="AB663" s="1611"/>
      <c r="AC663" s="1611"/>
      <c r="AD663" s="1611"/>
      <c r="AE663" s="1611"/>
      <c r="AF663" s="1611"/>
      <c r="AG663" s="1611"/>
      <c r="AH663" s="1611"/>
      <c r="AI663" s="1611"/>
      <c r="AJ663" s="1611"/>
      <c r="AK663" s="1611"/>
      <c r="AL663" s="1611"/>
      <c r="AM663" s="1611"/>
      <c r="AN663" s="1611"/>
      <c r="AO663" s="1611"/>
      <c r="AP663" s="1611"/>
      <c r="AQ663" s="1611"/>
    </row>
    <row r="664" spans="1:43" outlineLevel="2">
      <c r="A664" s="1638" t="s">
        <v>319</v>
      </c>
      <c r="B664" s="1637" t="s">
        <v>130</v>
      </c>
      <c r="C664" s="1636"/>
      <c r="D664" s="1635">
        <v>15</v>
      </c>
      <c r="E664" s="1634" t="s">
        <v>948</v>
      </c>
      <c r="F664" s="1633" t="s">
        <v>979</v>
      </c>
      <c r="G664" s="1632">
        <v>4374.0443941676149</v>
      </c>
      <c r="H664" s="1632">
        <v>4151.91</v>
      </c>
      <c r="I664" s="1630">
        <f t="shared" si="302"/>
        <v>8525.9543941676147</v>
      </c>
      <c r="J664" s="1630">
        <f t="shared" si="303"/>
        <v>127889.31591251423</v>
      </c>
      <c r="K664" s="1631">
        <v>7510.23</v>
      </c>
      <c r="L664" s="1630">
        <f t="shared" si="304"/>
        <v>7510.23</v>
      </c>
      <c r="M664" s="1630">
        <f t="shared" si="305"/>
        <v>112653.45</v>
      </c>
      <c r="N664" s="1625">
        <f t="shared" si="306"/>
        <v>15235.865912514229</v>
      </c>
      <c r="O664" s="1629">
        <v>0.57030000000000003</v>
      </c>
      <c r="P664" s="1629">
        <v>0.42970000000000003</v>
      </c>
      <c r="Q664" s="1625">
        <f t="shared" si="307"/>
        <v>8689.0143299068659</v>
      </c>
      <c r="R664" s="1628">
        <f t="shared" si="308"/>
        <v>6546.8515826073644</v>
      </c>
      <c r="S664" s="1627">
        <f t="shared" si="309"/>
        <v>56921.651582607352</v>
      </c>
      <c r="T664" s="1627">
        <f t="shared" si="310"/>
        <v>55731.798417392631</v>
      </c>
      <c r="U664" s="1626">
        <f t="shared" si="311"/>
        <v>14230.412895651838</v>
      </c>
      <c r="V664" s="1626">
        <f t="shared" si="312"/>
        <v>13932.949604348158</v>
      </c>
      <c r="W664" s="1625">
        <f t="shared" si="313"/>
        <v>28163.362499999996</v>
      </c>
      <c r="X664" s="1614"/>
      <c r="Y664" s="1613"/>
      <c r="Z664" s="1612">
        <f t="shared" si="314"/>
        <v>0.88086678074862257</v>
      </c>
      <c r="AA664" s="1611"/>
      <c r="AB664" s="1611"/>
      <c r="AC664" s="1611"/>
      <c r="AD664" s="1611"/>
      <c r="AE664" s="1611"/>
      <c r="AF664" s="1611"/>
      <c r="AG664" s="1611"/>
      <c r="AH664" s="1611"/>
      <c r="AI664" s="1611"/>
      <c r="AJ664" s="1611"/>
      <c r="AK664" s="1611"/>
      <c r="AL664" s="1611"/>
      <c r="AM664" s="1611"/>
      <c r="AN664" s="1611"/>
      <c r="AO664" s="1611"/>
      <c r="AP664" s="1611"/>
      <c r="AQ664" s="1611"/>
    </row>
    <row r="665" spans="1:43" outlineLevel="2">
      <c r="A665" s="1638" t="s">
        <v>319</v>
      </c>
      <c r="B665" s="1637" t="s">
        <v>130</v>
      </c>
      <c r="C665" s="1636"/>
      <c r="D665" s="1635">
        <v>3</v>
      </c>
      <c r="E665" s="1634" t="s">
        <v>965</v>
      </c>
      <c r="F665" s="1633" t="s">
        <v>1070</v>
      </c>
      <c r="G665" s="1632">
        <v>4374.0443941676149</v>
      </c>
      <c r="H665" s="1632">
        <v>4151.91</v>
      </c>
      <c r="I665" s="1630">
        <f t="shared" si="302"/>
        <v>8525.9543941676147</v>
      </c>
      <c r="J665" s="1630">
        <f t="shared" si="303"/>
        <v>25577.863182502842</v>
      </c>
      <c r="K665" s="1631">
        <v>4555</v>
      </c>
      <c r="L665" s="1630">
        <f t="shared" si="304"/>
        <v>4555</v>
      </c>
      <c r="M665" s="1630">
        <f t="shared" si="305"/>
        <v>13665</v>
      </c>
      <c r="N665" s="1625">
        <f t="shared" si="306"/>
        <v>11912.863182502842</v>
      </c>
      <c r="O665" s="1629">
        <v>0.57030000000000003</v>
      </c>
      <c r="P665" s="1629">
        <v>0.42970000000000003</v>
      </c>
      <c r="Q665" s="1625">
        <f t="shared" si="307"/>
        <v>6793.9058729813714</v>
      </c>
      <c r="R665" s="1628">
        <f t="shared" si="308"/>
        <v>5118.9573095214719</v>
      </c>
      <c r="S665" s="1627">
        <f t="shared" si="309"/>
        <v>6328.2273095214732</v>
      </c>
      <c r="T665" s="1627">
        <f t="shared" si="310"/>
        <v>7336.7726904785277</v>
      </c>
      <c r="U665" s="1626">
        <f t="shared" si="311"/>
        <v>1582.0568273803683</v>
      </c>
      <c r="V665" s="1626">
        <f t="shared" si="312"/>
        <v>1834.1931726196319</v>
      </c>
      <c r="W665" s="1625">
        <f t="shared" si="313"/>
        <v>3416.25</v>
      </c>
      <c r="X665" s="1614"/>
      <c r="Y665" s="1613"/>
      <c r="Z665" s="1612">
        <f t="shared" si="314"/>
        <v>0.53425103975643573</v>
      </c>
      <c r="AA665" s="1611"/>
      <c r="AB665" s="1611"/>
      <c r="AC665" s="1611"/>
      <c r="AD665" s="1611"/>
      <c r="AE665" s="1611"/>
      <c r="AF665" s="1611"/>
      <c r="AG665" s="1611"/>
      <c r="AH665" s="1611"/>
      <c r="AI665" s="1611"/>
      <c r="AJ665" s="1611"/>
      <c r="AK665" s="1611"/>
      <c r="AL665" s="1611"/>
      <c r="AM665" s="1611"/>
      <c r="AN665" s="1611"/>
      <c r="AO665" s="1611"/>
      <c r="AP665" s="1611"/>
      <c r="AQ665" s="1611"/>
    </row>
    <row r="666" spans="1:43" outlineLevel="2">
      <c r="A666" s="1638" t="s">
        <v>319</v>
      </c>
      <c r="B666" s="1637" t="s">
        <v>130</v>
      </c>
      <c r="C666" s="1636"/>
      <c r="D666" s="1635">
        <v>7</v>
      </c>
      <c r="E666" s="1634" t="s">
        <v>965</v>
      </c>
      <c r="F666" s="1633" t="s">
        <v>1069</v>
      </c>
      <c r="G666" s="1632">
        <v>4374.0443941676149</v>
      </c>
      <c r="H666" s="1632">
        <v>4151.91</v>
      </c>
      <c r="I666" s="1630">
        <f t="shared" si="302"/>
        <v>8525.9543941676147</v>
      </c>
      <c r="J666" s="1630">
        <f t="shared" si="303"/>
        <v>59681.680759173301</v>
      </c>
      <c r="K666" s="1631">
        <v>4555</v>
      </c>
      <c r="L666" s="1630">
        <f t="shared" si="304"/>
        <v>4555</v>
      </c>
      <c r="M666" s="1630">
        <f t="shared" si="305"/>
        <v>31885</v>
      </c>
      <c r="N666" s="1625">
        <f t="shared" si="306"/>
        <v>27796.680759173301</v>
      </c>
      <c r="O666" s="1629">
        <v>0.57030000000000003</v>
      </c>
      <c r="P666" s="1629">
        <v>0.42970000000000003</v>
      </c>
      <c r="Q666" s="1625">
        <f t="shared" si="307"/>
        <v>15852.447036956535</v>
      </c>
      <c r="R666" s="1628">
        <f t="shared" si="308"/>
        <v>11944.233722216768</v>
      </c>
      <c r="S666" s="1627">
        <f t="shared" si="309"/>
        <v>14765.863722216771</v>
      </c>
      <c r="T666" s="1627">
        <f t="shared" si="310"/>
        <v>17119.136277783233</v>
      </c>
      <c r="U666" s="1626">
        <f t="shared" si="311"/>
        <v>3691.4659305541927</v>
      </c>
      <c r="V666" s="1626">
        <f t="shared" si="312"/>
        <v>4279.7840694458082</v>
      </c>
      <c r="W666" s="1625">
        <f t="shared" si="313"/>
        <v>7971.2500000000009</v>
      </c>
      <c r="X666" s="1614"/>
      <c r="Y666" s="1613"/>
      <c r="Z666" s="1612">
        <f t="shared" si="314"/>
        <v>0.53425103975643573</v>
      </c>
      <c r="AA666" s="1611"/>
      <c r="AB666" s="1611"/>
      <c r="AC666" s="1611"/>
      <c r="AD666" s="1611"/>
      <c r="AE666" s="1611"/>
      <c r="AF666" s="1611"/>
      <c r="AG666" s="1611"/>
      <c r="AH666" s="1611"/>
      <c r="AI666" s="1611"/>
      <c r="AJ666" s="1611"/>
      <c r="AK666" s="1611"/>
      <c r="AL666" s="1611"/>
      <c r="AM666" s="1611"/>
      <c r="AN666" s="1611"/>
      <c r="AO666" s="1611"/>
      <c r="AP666" s="1611"/>
      <c r="AQ666" s="1611"/>
    </row>
    <row r="667" spans="1:43" outlineLevel="2">
      <c r="A667" s="1638" t="s">
        <v>319</v>
      </c>
      <c r="B667" s="1637" t="s">
        <v>130</v>
      </c>
      <c r="C667" s="1636"/>
      <c r="D667" s="1635">
        <v>5</v>
      </c>
      <c r="E667" s="1634" t="s">
        <v>965</v>
      </c>
      <c r="F667" s="1633" t="s">
        <v>1068</v>
      </c>
      <c r="G667" s="1632">
        <v>4374.0443941676149</v>
      </c>
      <c r="H667" s="1632">
        <v>4151.91</v>
      </c>
      <c r="I667" s="1630">
        <f t="shared" si="302"/>
        <v>8525.9543941676147</v>
      </c>
      <c r="J667" s="1630">
        <f t="shared" si="303"/>
        <v>42629.771970838076</v>
      </c>
      <c r="K667" s="1631">
        <v>4555</v>
      </c>
      <c r="L667" s="1630">
        <f t="shared" si="304"/>
        <v>4555</v>
      </c>
      <c r="M667" s="1630">
        <f t="shared" si="305"/>
        <v>22775</v>
      </c>
      <c r="N667" s="1625">
        <f t="shared" si="306"/>
        <v>19854.771970838076</v>
      </c>
      <c r="O667" s="1629">
        <v>0.57030000000000003</v>
      </c>
      <c r="P667" s="1629">
        <v>0.42970000000000003</v>
      </c>
      <c r="Q667" s="1625">
        <f t="shared" si="307"/>
        <v>11323.176454968954</v>
      </c>
      <c r="R667" s="1628">
        <f t="shared" si="308"/>
        <v>8531.5955158691213</v>
      </c>
      <c r="S667" s="1627">
        <f t="shared" si="309"/>
        <v>10547.045515869118</v>
      </c>
      <c r="T667" s="1627">
        <f t="shared" si="310"/>
        <v>12227.954484130878</v>
      </c>
      <c r="U667" s="1626">
        <f t="shared" si="311"/>
        <v>2636.7613789672796</v>
      </c>
      <c r="V667" s="1626">
        <f t="shared" si="312"/>
        <v>3056.9886210327195</v>
      </c>
      <c r="W667" s="1625">
        <f t="shared" si="313"/>
        <v>5693.7499999999991</v>
      </c>
      <c r="X667" s="1614"/>
      <c r="Y667" s="1613"/>
      <c r="Z667" s="1612">
        <f t="shared" si="314"/>
        <v>0.53425103975643573</v>
      </c>
      <c r="AA667" s="1611"/>
      <c r="AB667" s="1611"/>
      <c r="AC667" s="1611"/>
      <c r="AD667" s="1611"/>
      <c r="AE667" s="1611"/>
      <c r="AF667" s="1611"/>
      <c r="AG667" s="1611"/>
      <c r="AH667" s="1611"/>
      <c r="AI667" s="1611"/>
      <c r="AJ667" s="1611"/>
      <c r="AK667" s="1611"/>
      <c r="AL667" s="1611"/>
      <c r="AM667" s="1611"/>
      <c r="AN667" s="1611"/>
      <c r="AO667" s="1611"/>
      <c r="AP667" s="1611"/>
      <c r="AQ667" s="1611"/>
    </row>
    <row r="668" spans="1:43" outlineLevel="2">
      <c r="A668" s="1638" t="s">
        <v>319</v>
      </c>
      <c r="B668" s="1637" t="s">
        <v>130</v>
      </c>
      <c r="C668" s="1636"/>
      <c r="D668" s="1635">
        <v>8</v>
      </c>
      <c r="E668" s="1634" t="s">
        <v>965</v>
      </c>
      <c r="F668" s="1633" t="s">
        <v>1071</v>
      </c>
      <c r="G668" s="1632">
        <v>4374.0443941676149</v>
      </c>
      <c r="H668" s="1632">
        <v>4151.91</v>
      </c>
      <c r="I668" s="1630">
        <f t="shared" si="302"/>
        <v>8525.9543941676147</v>
      </c>
      <c r="J668" s="1630">
        <f t="shared" si="303"/>
        <v>68207.635153340918</v>
      </c>
      <c r="K668" s="1631">
        <v>4555</v>
      </c>
      <c r="L668" s="1630">
        <f t="shared" si="304"/>
        <v>4555</v>
      </c>
      <c r="M668" s="1630">
        <f t="shared" si="305"/>
        <v>36440</v>
      </c>
      <c r="N668" s="1625">
        <f t="shared" si="306"/>
        <v>31767.635153340918</v>
      </c>
      <c r="O668" s="1629">
        <v>0.57030000000000003</v>
      </c>
      <c r="P668" s="1629">
        <v>0.42970000000000003</v>
      </c>
      <c r="Q668" s="1625">
        <f t="shared" si="307"/>
        <v>18117.082327950327</v>
      </c>
      <c r="R668" s="1628">
        <f t="shared" si="308"/>
        <v>13650.552825390594</v>
      </c>
      <c r="S668" s="1627">
        <f t="shared" si="309"/>
        <v>16875.272825390592</v>
      </c>
      <c r="T668" s="1627">
        <f t="shared" si="310"/>
        <v>19564.727174609405</v>
      </c>
      <c r="U668" s="1626">
        <f t="shared" si="311"/>
        <v>4218.8182063476479</v>
      </c>
      <c r="V668" s="1626">
        <f t="shared" si="312"/>
        <v>4891.1817936523512</v>
      </c>
      <c r="W668" s="1625">
        <f t="shared" si="313"/>
        <v>9110</v>
      </c>
      <c r="X668" s="1614"/>
      <c r="Y668" s="1613"/>
      <c r="Z668" s="1612">
        <f t="shared" si="314"/>
        <v>0.53425103975643573</v>
      </c>
      <c r="AA668" s="1611"/>
      <c r="AB668" s="1611"/>
      <c r="AC668" s="1611"/>
      <c r="AD668" s="1611"/>
      <c r="AE668" s="1611"/>
      <c r="AF668" s="1611"/>
      <c r="AG668" s="1611"/>
      <c r="AH668" s="1611"/>
      <c r="AI668" s="1611"/>
      <c r="AJ668" s="1611"/>
      <c r="AK668" s="1611"/>
      <c r="AL668" s="1611"/>
      <c r="AM668" s="1611"/>
      <c r="AN668" s="1611"/>
      <c r="AO668" s="1611"/>
      <c r="AP668" s="1611"/>
      <c r="AQ668" s="1611"/>
    </row>
    <row r="669" spans="1:43" outlineLevel="2">
      <c r="A669" s="1638" t="s">
        <v>319</v>
      </c>
      <c r="B669" s="1637" t="s">
        <v>130</v>
      </c>
      <c r="C669" s="1636"/>
      <c r="D669" s="1635">
        <v>11</v>
      </c>
      <c r="E669" s="1634" t="s">
        <v>965</v>
      </c>
      <c r="F669" s="1633" t="s">
        <v>1065</v>
      </c>
      <c r="G669" s="1632">
        <v>4374.0443941676149</v>
      </c>
      <c r="H669" s="1632">
        <v>4151.91</v>
      </c>
      <c r="I669" s="1630">
        <f t="shared" si="302"/>
        <v>8525.9543941676147</v>
      </c>
      <c r="J669" s="1630">
        <f t="shared" si="303"/>
        <v>93785.49833584376</v>
      </c>
      <c r="K669" s="1631">
        <v>4555</v>
      </c>
      <c r="L669" s="1630">
        <f t="shared" si="304"/>
        <v>4555</v>
      </c>
      <c r="M669" s="1630">
        <f t="shared" si="305"/>
        <v>50105</v>
      </c>
      <c r="N669" s="1625">
        <f t="shared" si="306"/>
        <v>43680.49833584376</v>
      </c>
      <c r="O669" s="1629">
        <v>0.57030000000000003</v>
      </c>
      <c r="P669" s="1629">
        <v>0.42970000000000003</v>
      </c>
      <c r="Q669" s="1625">
        <f t="shared" si="307"/>
        <v>24910.988200931697</v>
      </c>
      <c r="R669" s="1628">
        <f t="shared" si="308"/>
        <v>18769.510134912063</v>
      </c>
      <c r="S669" s="1627">
        <f t="shared" si="309"/>
        <v>23203.500134912068</v>
      </c>
      <c r="T669" s="1627">
        <f t="shared" si="310"/>
        <v>26901.499865087932</v>
      </c>
      <c r="U669" s="1626">
        <f t="shared" si="311"/>
        <v>5800.8750337280171</v>
      </c>
      <c r="V669" s="1626">
        <f t="shared" si="312"/>
        <v>6725.3749662719829</v>
      </c>
      <c r="W669" s="1625">
        <f t="shared" si="313"/>
        <v>12526.25</v>
      </c>
      <c r="X669" s="1614"/>
      <c r="Y669" s="1613"/>
      <c r="Z669" s="1612">
        <f t="shared" si="314"/>
        <v>0.53425103975643573</v>
      </c>
      <c r="AA669" s="1611"/>
      <c r="AB669" s="1611"/>
      <c r="AC669" s="1611"/>
      <c r="AD669" s="1611"/>
      <c r="AE669" s="1611"/>
      <c r="AF669" s="1611"/>
      <c r="AG669" s="1611"/>
      <c r="AH669" s="1611"/>
      <c r="AI669" s="1611"/>
      <c r="AJ669" s="1611"/>
      <c r="AK669" s="1611"/>
      <c r="AL669" s="1611"/>
      <c r="AM669" s="1611"/>
      <c r="AN669" s="1611"/>
      <c r="AO669" s="1611"/>
      <c r="AP669" s="1611"/>
      <c r="AQ669" s="1611"/>
    </row>
    <row r="670" spans="1:43" outlineLevel="2">
      <c r="A670" s="1638" t="s">
        <v>319</v>
      </c>
      <c r="B670" s="1637" t="s">
        <v>130</v>
      </c>
      <c r="C670" s="1636"/>
      <c r="D670" s="1635">
        <v>5</v>
      </c>
      <c r="E670" s="1634" t="s">
        <v>965</v>
      </c>
      <c r="F670" s="1633" t="s">
        <v>1064</v>
      </c>
      <c r="G670" s="1632">
        <v>4374.0443941676149</v>
      </c>
      <c r="H670" s="1632">
        <v>4151.91</v>
      </c>
      <c r="I670" s="1630">
        <f t="shared" si="302"/>
        <v>8525.9543941676147</v>
      </c>
      <c r="J670" s="1630">
        <f t="shared" si="303"/>
        <v>42629.771970838076</v>
      </c>
      <c r="K670" s="1631">
        <v>4555</v>
      </c>
      <c r="L670" s="1630">
        <f t="shared" si="304"/>
        <v>4555</v>
      </c>
      <c r="M670" s="1630">
        <f t="shared" si="305"/>
        <v>22775</v>
      </c>
      <c r="N670" s="1625">
        <f t="shared" si="306"/>
        <v>19854.771970838076</v>
      </c>
      <c r="O670" s="1629">
        <v>0.57030000000000003</v>
      </c>
      <c r="P670" s="1629">
        <v>0.42970000000000003</v>
      </c>
      <c r="Q670" s="1625">
        <f t="shared" si="307"/>
        <v>11323.176454968954</v>
      </c>
      <c r="R670" s="1628">
        <f t="shared" si="308"/>
        <v>8531.5955158691213</v>
      </c>
      <c r="S670" s="1627">
        <f t="shared" si="309"/>
        <v>10547.045515869118</v>
      </c>
      <c r="T670" s="1627">
        <f t="shared" si="310"/>
        <v>12227.954484130878</v>
      </c>
      <c r="U670" s="1626">
        <f t="shared" si="311"/>
        <v>2636.7613789672796</v>
      </c>
      <c r="V670" s="1626">
        <f t="shared" si="312"/>
        <v>3056.9886210327195</v>
      </c>
      <c r="W670" s="1625">
        <f t="shared" si="313"/>
        <v>5693.7499999999991</v>
      </c>
      <c r="X670" s="1614"/>
      <c r="Y670" s="1613"/>
      <c r="Z670" s="1612">
        <f t="shared" si="314"/>
        <v>0.53425103975643573</v>
      </c>
      <c r="AA670" s="1611"/>
      <c r="AB670" s="1611"/>
      <c r="AC670" s="1611"/>
      <c r="AD670" s="1611"/>
      <c r="AE670" s="1611"/>
      <c r="AF670" s="1611"/>
      <c r="AG670" s="1611"/>
      <c r="AH670" s="1611"/>
      <c r="AI670" s="1611"/>
      <c r="AJ670" s="1611"/>
      <c r="AK670" s="1611"/>
      <c r="AL670" s="1611"/>
      <c r="AM670" s="1611"/>
      <c r="AN670" s="1611"/>
      <c r="AO670" s="1611"/>
      <c r="AP670" s="1611"/>
      <c r="AQ670" s="1611"/>
    </row>
    <row r="671" spans="1:43" outlineLevel="2">
      <c r="A671" s="1638" t="s">
        <v>319</v>
      </c>
      <c r="B671" s="1637" t="s">
        <v>130</v>
      </c>
      <c r="C671" s="1636"/>
      <c r="D671" s="1635">
        <v>7</v>
      </c>
      <c r="E671" s="1634" t="s">
        <v>965</v>
      </c>
      <c r="F671" s="1633" t="s">
        <v>1063</v>
      </c>
      <c r="G671" s="1632">
        <v>4374.0443941676149</v>
      </c>
      <c r="H671" s="1632">
        <v>4151.91</v>
      </c>
      <c r="I671" s="1630">
        <f t="shared" si="302"/>
        <v>8525.9543941676147</v>
      </c>
      <c r="J671" s="1630">
        <f t="shared" si="303"/>
        <v>59681.680759173301</v>
      </c>
      <c r="K671" s="1631">
        <v>4555</v>
      </c>
      <c r="L671" s="1630">
        <f t="shared" si="304"/>
        <v>4555</v>
      </c>
      <c r="M671" s="1630">
        <f t="shared" si="305"/>
        <v>31885</v>
      </c>
      <c r="N671" s="1625">
        <f t="shared" si="306"/>
        <v>27796.680759173301</v>
      </c>
      <c r="O671" s="1629">
        <v>0.57030000000000003</v>
      </c>
      <c r="P671" s="1629">
        <v>0.42970000000000003</v>
      </c>
      <c r="Q671" s="1625">
        <f t="shared" si="307"/>
        <v>15852.447036956535</v>
      </c>
      <c r="R671" s="1628">
        <f t="shared" si="308"/>
        <v>11944.233722216768</v>
      </c>
      <c r="S671" s="1627">
        <f t="shared" si="309"/>
        <v>14765.863722216771</v>
      </c>
      <c r="T671" s="1627">
        <f t="shared" si="310"/>
        <v>17119.136277783233</v>
      </c>
      <c r="U671" s="1626">
        <f t="shared" si="311"/>
        <v>3691.4659305541927</v>
      </c>
      <c r="V671" s="1626">
        <f t="shared" si="312"/>
        <v>4279.7840694458082</v>
      </c>
      <c r="W671" s="1625">
        <f t="shared" si="313"/>
        <v>7971.2500000000009</v>
      </c>
      <c r="X671" s="1614"/>
      <c r="Y671" s="1613"/>
      <c r="Z671" s="1612">
        <f t="shared" si="314"/>
        <v>0.53425103975643573</v>
      </c>
      <c r="AA671" s="1611"/>
      <c r="AB671" s="1611"/>
      <c r="AC671" s="1611"/>
      <c r="AD671" s="1611"/>
      <c r="AE671" s="1611"/>
      <c r="AF671" s="1611"/>
      <c r="AG671" s="1611"/>
      <c r="AH671" s="1611"/>
      <c r="AI671" s="1611"/>
      <c r="AJ671" s="1611"/>
      <c r="AK671" s="1611"/>
      <c r="AL671" s="1611"/>
      <c r="AM671" s="1611"/>
      <c r="AN671" s="1611"/>
      <c r="AO671" s="1611"/>
      <c r="AP671" s="1611"/>
      <c r="AQ671" s="1611"/>
    </row>
    <row r="672" spans="1:43" outlineLevel="2">
      <c r="A672" s="1638" t="s">
        <v>319</v>
      </c>
      <c r="B672" s="1637" t="s">
        <v>130</v>
      </c>
      <c r="C672" s="1636"/>
      <c r="D672" s="1635">
        <v>8</v>
      </c>
      <c r="E672" s="1634" t="s">
        <v>965</v>
      </c>
      <c r="F672" s="1633" t="s">
        <v>979</v>
      </c>
      <c r="G672" s="1632">
        <v>4374.0443941676149</v>
      </c>
      <c r="H672" s="1632">
        <v>4151.91</v>
      </c>
      <c r="I672" s="1630">
        <f t="shared" si="302"/>
        <v>8525.9543941676147</v>
      </c>
      <c r="J672" s="1630">
        <f t="shared" si="303"/>
        <v>68207.635153340918</v>
      </c>
      <c r="K672" s="1631">
        <v>4555</v>
      </c>
      <c r="L672" s="1630">
        <f t="shared" si="304"/>
        <v>4555</v>
      </c>
      <c r="M672" s="1630">
        <f t="shared" si="305"/>
        <v>36440</v>
      </c>
      <c r="N672" s="1625">
        <f t="shared" si="306"/>
        <v>31767.635153340918</v>
      </c>
      <c r="O672" s="1629">
        <v>0.57030000000000003</v>
      </c>
      <c r="P672" s="1629">
        <v>0.42970000000000003</v>
      </c>
      <c r="Q672" s="1625">
        <f t="shared" si="307"/>
        <v>18117.082327950327</v>
      </c>
      <c r="R672" s="1628">
        <f t="shared" si="308"/>
        <v>13650.552825390594</v>
      </c>
      <c r="S672" s="1627">
        <f t="shared" si="309"/>
        <v>16875.272825390592</v>
      </c>
      <c r="T672" s="1627">
        <f t="shared" si="310"/>
        <v>19564.727174609405</v>
      </c>
      <c r="U672" s="1626">
        <f t="shared" si="311"/>
        <v>4218.8182063476479</v>
      </c>
      <c r="V672" s="1626">
        <f t="shared" si="312"/>
        <v>4891.1817936523512</v>
      </c>
      <c r="W672" s="1625">
        <f t="shared" si="313"/>
        <v>9110</v>
      </c>
      <c r="X672" s="1614"/>
      <c r="Y672" s="1613"/>
      <c r="Z672" s="1612">
        <f t="shared" si="314"/>
        <v>0.53425103975643573</v>
      </c>
      <c r="AA672" s="1611"/>
      <c r="AB672" s="1611"/>
      <c r="AC672" s="1611"/>
      <c r="AD672" s="1611"/>
      <c r="AE672" s="1611"/>
      <c r="AF672" s="1611"/>
      <c r="AG672" s="1611"/>
      <c r="AH672" s="1611"/>
      <c r="AI672" s="1611"/>
      <c r="AJ672" s="1611"/>
      <c r="AK672" s="1611"/>
      <c r="AL672" s="1611"/>
      <c r="AM672" s="1611"/>
      <c r="AN672" s="1611"/>
      <c r="AO672" s="1611"/>
      <c r="AP672" s="1611"/>
      <c r="AQ672" s="1611"/>
    </row>
    <row r="673" spans="1:43" outlineLevel="2">
      <c r="A673" s="1638" t="s">
        <v>319</v>
      </c>
      <c r="B673" s="1637" t="s">
        <v>130</v>
      </c>
      <c r="C673" s="1636"/>
      <c r="D673" s="1635">
        <v>1</v>
      </c>
      <c r="E673" s="1634" t="s">
        <v>970</v>
      </c>
      <c r="F673" s="1633" t="s">
        <v>1070</v>
      </c>
      <c r="G673" s="1632">
        <v>4374.0443941676149</v>
      </c>
      <c r="H673" s="1632">
        <v>4151.91</v>
      </c>
      <c r="I673" s="1630">
        <f t="shared" si="302"/>
        <v>8525.9543941676147</v>
      </c>
      <c r="J673" s="1630">
        <f t="shared" si="303"/>
        <v>8525.9543941676147</v>
      </c>
      <c r="K673" s="1631">
        <v>8520</v>
      </c>
      <c r="L673" s="1630">
        <f t="shared" si="304"/>
        <v>8520</v>
      </c>
      <c r="M673" s="1630">
        <f t="shared" si="305"/>
        <v>8520</v>
      </c>
      <c r="N673" s="1625">
        <f t="shared" si="306"/>
        <v>5.9543941676147369</v>
      </c>
      <c r="O673" s="1629">
        <v>0.57030000000000003</v>
      </c>
      <c r="P673" s="1629">
        <v>0.42970000000000003</v>
      </c>
      <c r="Q673" s="1625">
        <f t="shared" si="307"/>
        <v>3.3957909937906847</v>
      </c>
      <c r="R673" s="1628">
        <f t="shared" si="308"/>
        <v>2.5586031738240527</v>
      </c>
      <c r="S673" s="1627">
        <f t="shared" si="309"/>
        <v>4370.6486031738241</v>
      </c>
      <c r="T673" s="1627">
        <f t="shared" si="310"/>
        <v>4149.3513968261759</v>
      </c>
      <c r="U673" s="1626">
        <f t="shared" si="311"/>
        <v>1092.662150793456</v>
      </c>
      <c r="V673" s="1626">
        <f t="shared" si="312"/>
        <v>1037.337849206544</v>
      </c>
      <c r="W673" s="1625">
        <f t="shared" si="313"/>
        <v>2130</v>
      </c>
      <c r="X673" s="1614"/>
      <c r="Y673" s="1613"/>
      <c r="Z673" s="1612">
        <f t="shared" si="314"/>
        <v>0.9993016155268567</v>
      </c>
      <c r="AA673" s="1611"/>
      <c r="AB673" s="1611"/>
      <c r="AC673" s="1611"/>
      <c r="AD673" s="1611"/>
      <c r="AE673" s="1611"/>
      <c r="AF673" s="1611"/>
      <c r="AG673" s="1611"/>
      <c r="AH673" s="1611"/>
      <c r="AI673" s="1611"/>
      <c r="AJ673" s="1611"/>
      <c r="AK673" s="1611"/>
      <c r="AL673" s="1611"/>
      <c r="AM673" s="1611"/>
      <c r="AN673" s="1611"/>
      <c r="AO673" s="1611"/>
      <c r="AP673" s="1611"/>
      <c r="AQ673" s="1611"/>
    </row>
    <row r="674" spans="1:43" outlineLevel="2">
      <c r="A674" s="1638" t="s">
        <v>319</v>
      </c>
      <c r="B674" s="1637" t="s">
        <v>130</v>
      </c>
      <c r="C674" s="1636"/>
      <c r="D674" s="1635">
        <v>2</v>
      </c>
      <c r="E674" s="1634" t="s">
        <v>970</v>
      </c>
      <c r="F674" s="1633" t="s">
        <v>1069</v>
      </c>
      <c r="G674" s="1632">
        <v>4374.0443941676149</v>
      </c>
      <c r="H674" s="1632">
        <v>4151.91</v>
      </c>
      <c r="I674" s="1630">
        <f t="shared" si="302"/>
        <v>8525.9543941676147</v>
      </c>
      <c r="J674" s="1630">
        <f t="shared" si="303"/>
        <v>17051.908788335229</v>
      </c>
      <c r="K674" s="1631">
        <v>8520</v>
      </c>
      <c r="L674" s="1630">
        <f t="shared" si="304"/>
        <v>8520</v>
      </c>
      <c r="M674" s="1630">
        <f t="shared" si="305"/>
        <v>17040</v>
      </c>
      <c r="N674" s="1625">
        <f t="shared" si="306"/>
        <v>11.908788335229474</v>
      </c>
      <c r="O674" s="1629">
        <v>0.57030000000000003</v>
      </c>
      <c r="P674" s="1629">
        <v>0.42970000000000003</v>
      </c>
      <c r="Q674" s="1625">
        <f t="shared" si="307"/>
        <v>6.7915819875813694</v>
      </c>
      <c r="R674" s="1628">
        <f t="shared" si="308"/>
        <v>5.1172063476481053</v>
      </c>
      <c r="S674" s="1627">
        <f t="shared" si="309"/>
        <v>8741.2972063476482</v>
      </c>
      <c r="T674" s="1627">
        <f t="shared" si="310"/>
        <v>8298.7027936523518</v>
      </c>
      <c r="U674" s="1626">
        <f t="shared" si="311"/>
        <v>2185.324301586912</v>
      </c>
      <c r="V674" s="1626">
        <f t="shared" si="312"/>
        <v>2074.675698413088</v>
      </c>
      <c r="W674" s="1625">
        <f t="shared" si="313"/>
        <v>4260</v>
      </c>
      <c r="X674" s="1614"/>
      <c r="Y674" s="1613"/>
      <c r="Z674" s="1612">
        <f t="shared" si="314"/>
        <v>0.9993016155268567</v>
      </c>
      <c r="AA674" s="1611"/>
      <c r="AB674" s="1611"/>
      <c r="AC674" s="1611"/>
      <c r="AD674" s="1611"/>
      <c r="AE674" s="1611"/>
      <c r="AF674" s="1611"/>
      <c r="AG674" s="1611"/>
      <c r="AH674" s="1611"/>
      <c r="AI674" s="1611"/>
      <c r="AJ674" s="1611"/>
      <c r="AK674" s="1611"/>
      <c r="AL674" s="1611"/>
      <c r="AM674" s="1611"/>
      <c r="AN674" s="1611"/>
      <c r="AO674" s="1611"/>
      <c r="AP674" s="1611"/>
      <c r="AQ674" s="1611"/>
    </row>
    <row r="675" spans="1:43" outlineLevel="2">
      <c r="A675" s="1638" t="s">
        <v>319</v>
      </c>
      <c r="B675" s="1637" t="s">
        <v>130</v>
      </c>
      <c r="C675" s="1636"/>
      <c r="D675" s="1635">
        <v>2</v>
      </c>
      <c r="E675" s="1634" t="s">
        <v>970</v>
      </c>
      <c r="F675" s="1633" t="s">
        <v>1068</v>
      </c>
      <c r="G675" s="1632">
        <v>4374.0443941676149</v>
      </c>
      <c r="H675" s="1632">
        <v>4151.91</v>
      </c>
      <c r="I675" s="1630">
        <f t="shared" si="302"/>
        <v>8525.9543941676147</v>
      </c>
      <c r="J675" s="1630">
        <f t="shared" si="303"/>
        <v>17051.908788335229</v>
      </c>
      <c r="K675" s="1631">
        <v>8520</v>
      </c>
      <c r="L675" s="1630">
        <f t="shared" si="304"/>
        <v>8520</v>
      </c>
      <c r="M675" s="1630">
        <f t="shared" si="305"/>
        <v>17040</v>
      </c>
      <c r="N675" s="1625">
        <f t="shared" si="306"/>
        <v>11.908788335229474</v>
      </c>
      <c r="O675" s="1629">
        <v>0.57030000000000003</v>
      </c>
      <c r="P675" s="1629">
        <v>0.42970000000000003</v>
      </c>
      <c r="Q675" s="1625">
        <f t="shared" si="307"/>
        <v>6.7915819875813694</v>
      </c>
      <c r="R675" s="1628">
        <f t="shared" si="308"/>
        <v>5.1172063476481053</v>
      </c>
      <c r="S675" s="1627">
        <f t="shared" si="309"/>
        <v>8741.2972063476482</v>
      </c>
      <c r="T675" s="1627">
        <f t="shared" si="310"/>
        <v>8298.7027936523518</v>
      </c>
      <c r="U675" s="1626">
        <f t="shared" si="311"/>
        <v>2185.324301586912</v>
      </c>
      <c r="V675" s="1626">
        <f t="shared" si="312"/>
        <v>2074.675698413088</v>
      </c>
      <c r="W675" s="1625">
        <f t="shared" si="313"/>
        <v>4260</v>
      </c>
      <c r="X675" s="1614"/>
      <c r="Y675" s="1613"/>
      <c r="Z675" s="1612">
        <f t="shared" si="314"/>
        <v>0.9993016155268567</v>
      </c>
      <c r="AA675" s="1611"/>
      <c r="AB675" s="1611"/>
      <c r="AC675" s="1611"/>
      <c r="AD675" s="1611"/>
      <c r="AE675" s="1611"/>
      <c r="AF675" s="1611"/>
      <c r="AG675" s="1611"/>
      <c r="AH675" s="1611"/>
      <c r="AI675" s="1611"/>
      <c r="AJ675" s="1611"/>
      <c r="AK675" s="1611"/>
      <c r="AL675" s="1611"/>
      <c r="AM675" s="1611"/>
      <c r="AN675" s="1611"/>
      <c r="AO675" s="1611"/>
      <c r="AP675" s="1611"/>
      <c r="AQ675" s="1611"/>
    </row>
    <row r="676" spans="1:43" outlineLevel="2">
      <c r="A676" s="1638" t="s">
        <v>319</v>
      </c>
      <c r="B676" s="1637" t="s">
        <v>130</v>
      </c>
      <c r="C676" s="1636"/>
      <c r="D676" s="1635">
        <v>2</v>
      </c>
      <c r="E676" s="1634" t="s">
        <v>970</v>
      </c>
      <c r="F676" s="1633" t="s">
        <v>1071</v>
      </c>
      <c r="G676" s="1632">
        <v>4374.0443941676149</v>
      </c>
      <c r="H676" s="1632">
        <v>4151.91</v>
      </c>
      <c r="I676" s="1630">
        <f t="shared" si="302"/>
        <v>8525.9543941676147</v>
      </c>
      <c r="J676" s="1630">
        <f t="shared" si="303"/>
        <v>17051.908788335229</v>
      </c>
      <c r="K676" s="1631">
        <v>8520</v>
      </c>
      <c r="L676" s="1630">
        <f t="shared" si="304"/>
        <v>8520</v>
      </c>
      <c r="M676" s="1630">
        <f t="shared" si="305"/>
        <v>17040</v>
      </c>
      <c r="N676" s="1625">
        <f t="shared" si="306"/>
        <v>11.908788335229474</v>
      </c>
      <c r="O676" s="1629">
        <v>0.57030000000000003</v>
      </c>
      <c r="P676" s="1629">
        <v>0.42970000000000003</v>
      </c>
      <c r="Q676" s="1625">
        <f t="shared" si="307"/>
        <v>6.7915819875813694</v>
      </c>
      <c r="R676" s="1628">
        <f t="shared" si="308"/>
        <v>5.1172063476481053</v>
      </c>
      <c r="S676" s="1627">
        <f t="shared" si="309"/>
        <v>8741.2972063476482</v>
      </c>
      <c r="T676" s="1627">
        <f t="shared" si="310"/>
        <v>8298.7027936523518</v>
      </c>
      <c r="U676" s="1626">
        <f t="shared" si="311"/>
        <v>2185.324301586912</v>
      </c>
      <c r="V676" s="1626">
        <f t="shared" si="312"/>
        <v>2074.675698413088</v>
      </c>
      <c r="W676" s="1625">
        <f t="shared" si="313"/>
        <v>4260</v>
      </c>
      <c r="X676" s="1614"/>
      <c r="Y676" s="1613"/>
      <c r="Z676" s="1612">
        <f t="shared" si="314"/>
        <v>0.9993016155268567</v>
      </c>
      <c r="AA676" s="1611"/>
      <c r="AB676" s="1611"/>
      <c r="AC676" s="1611"/>
      <c r="AD676" s="1611"/>
      <c r="AE676" s="1611"/>
      <c r="AF676" s="1611"/>
      <c r="AG676" s="1611"/>
      <c r="AH676" s="1611"/>
      <c r="AI676" s="1611"/>
      <c r="AJ676" s="1611"/>
      <c r="AK676" s="1611"/>
      <c r="AL676" s="1611"/>
      <c r="AM676" s="1611"/>
      <c r="AN676" s="1611"/>
      <c r="AO676" s="1611"/>
      <c r="AP676" s="1611"/>
      <c r="AQ676" s="1611"/>
    </row>
    <row r="677" spans="1:43" outlineLevel="2">
      <c r="A677" s="1638" t="s">
        <v>319</v>
      </c>
      <c r="B677" s="1637" t="s">
        <v>130</v>
      </c>
      <c r="C677" s="1636"/>
      <c r="D677" s="1635">
        <v>3</v>
      </c>
      <c r="E677" s="1634" t="s">
        <v>969</v>
      </c>
      <c r="F677" s="1633" t="s">
        <v>1070</v>
      </c>
      <c r="G677" s="1632">
        <v>4374.0443941676149</v>
      </c>
      <c r="H677" s="1632">
        <v>4151.91</v>
      </c>
      <c r="I677" s="1630">
        <f t="shared" si="302"/>
        <v>8525.9543941676147</v>
      </c>
      <c r="J677" s="1630">
        <f t="shared" si="303"/>
        <v>25577.863182502842</v>
      </c>
      <c r="K677" s="1631">
        <v>4010</v>
      </c>
      <c r="L677" s="1630">
        <f t="shared" si="304"/>
        <v>4010</v>
      </c>
      <c r="M677" s="1630">
        <f t="shared" si="305"/>
        <v>12030</v>
      </c>
      <c r="N677" s="1625">
        <f t="shared" si="306"/>
        <v>13547.863182502842</v>
      </c>
      <c r="O677" s="1629">
        <v>0.57030000000000003</v>
      </c>
      <c r="P677" s="1629">
        <v>0.42970000000000003</v>
      </c>
      <c r="Q677" s="1625">
        <f t="shared" si="307"/>
        <v>7726.3463729813711</v>
      </c>
      <c r="R677" s="1628">
        <f t="shared" si="308"/>
        <v>5821.5168095214722</v>
      </c>
      <c r="S677" s="1627">
        <f t="shared" si="309"/>
        <v>5395.7868095214735</v>
      </c>
      <c r="T677" s="1627">
        <f t="shared" si="310"/>
        <v>6634.2131904785274</v>
      </c>
      <c r="U677" s="1626">
        <f t="shared" si="311"/>
        <v>1348.9467023803684</v>
      </c>
      <c r="V677" s="1626">
        <f t="shared" si="312"/>
        <v>1658.5532976196318</v>
      </c>
      <c r="W677" s="1625">
        <f t="shared" si="313"/>
        <v>3007.5</v>
      </c>
      <c r="X677" s="1614"/>
      <c r="Y677" s="1613"/>
      <c r="Z677" s="1612">
        <f t="shared" si="314"/>
        <v>0.47032857726087973</v>
      </c>
      <c r="AA677" s="1611"/>
      <c r="AB677" s="1611"/>
      <c r="AC677" s="1611"/>
      <c r="AD677" s="1611"/>
      <c r="AE677" s="1611"/>
      <c r="AF677" s="1611"/>
      <c r="AG677" s="1611"/>
      <c r="AH677" s="1611"/>
      <c r="AI677" s="1611"/>
      <c r="AJ677" s="1611"/>
      <c r="AK677" s="1611"/>
      <c r="AL677" s="1611"/>
      <c r="AM677" s="1611"/>
      <c r="AN677" s="1611"/>
      <c r="AO677" s="1611"/>
      <c r="AP677" s="1611"/>
      <c r="AQ677" s="1611"/>
    </row>
    <row r="678" spans="1:43" outlineLevel="2">
      <c r="A678" s="1638" t="s">
        <v>319</v>
      </c>
      <c r="B678" s="1637" t="s">
        <v>130</v>
      </c>
      <c r="C678" s="1636"/>
      <c r="D678" s="1635">
        <v>3</v>
      </c>
      <c r="E678" s="1634" t="s">
        <v>969</v>
      </c>
      <c r="F678" s="1633" t="s">
        <v>1069</v>
      </c>
      <c r="G678" s="1632">
        <v>4374.0443941676149</v>
      </c>
      <c r="H678" s="1632">
        <v>4151.91</v>
      </c>
      <c r="I678" s="1630">
        <f t="shared" si="302"/>
        <v>8525.9543941676147</v>
      </c>
      <c r="J678" s="1630">
        <f t="shared" si="303"/>
        <v>25577.863182502842</v>
      </c>
      <c r="K678" s="1631">
        <v>4010</v>
      </c>
      <c r="L678" s="1630">
        <f t="shared" si="304"/>
        <v>4010</v>
      </c>
      <c r="M678" s="1630">
        <f t="shared" si="305"/>
        <v>12030</v>
      </c>
      <c r="N678" s="1625">
        <f t="shared" si="306"/>
        <v>13547.863182502842</v>
      </c>
      <c r="O678" s="1629">
        <v>0.57030000000000003</v>
      </c>
      <c r="P678" s="1629">
        <v>0.42970000000000003</v>
      </c>
      <c r="Q678" s="1625">
        <f t="shared" si="307"/>
        <v>7726.3463729813711</v>
      </c>
      <c r="R678" s="1628">
        <f t="shared" si="308"/>
        <v>5821.5168095214722</v>
      </c>
      <c r="S678" s="1627">
        <f t="shared" si="309"/>
        <v>5395.7868095214735</v>
      </c>
      <c r="T678" s="1627">
        <f t="shared" si="310"/>
        <v>6634.2131904785274</v>
      </c>
      <c r="U678" s="1626">
        <f t="shared" si="311"/>
        <v>1348.9467023803684</v>
      </c>
      <c r="V678" s="1626">
        <f t="shared" si="312"/>
        <v>1658.5532976196318</v>
      </c>
      <c r="W678" s="1625">
        <f t="shared" si="313"/>
        <v>3007.5</v>
      </c>
      <c r="X678" s="1614"/>
      <c r="Y678" s="1613"/>
      <c r="Z678" s="1612">
        <f t="shared" si="314"/>
        <v>0.47032857726087973</v>
      </c>
      <c r="AA678" s="1611"/>
      <c r="AB678" s="1611"/>
      <c r="AC678" s="1611"/>
      <c r="AD678" s="1611"/>
      <c r="AE678" s="1611"/>
      <c r="AF678" s="1611"/>
      <c r="AG678" s="1611"/>
      <c r="AH678" s="1611"/>
      <c r="AI678" s="1611"/>
      <c r="AJ678" s="1611"/>
      <c r="AK678" s="1611"/>
      <c r="AL678" s="1611"/>
      <c r="AM678" s="1611"/>
      <c r="AN678" s="1611"/>
      <c r="AO678" s="1611"/>
      <c r="AP678" s="1611"/>
      <c r="AQ678" s="1611"/>
    </row>
    <row r="679" spans="1:43" outlineLevel="2">
      <c r="A679" s="1638" t="s">
        <v>319</v>
      </c>
      <c r="B679" s="1637" t="s">
        <v>130</v>
      </c>
      <c r="C679" s="1636"/>
      <c r="D679" s="1635">
        <v>5</v>
      </c>
      <c r="E679" s="1634" t="s">
        <v>969</v>
      </c>
      <c r="F679" s="1633" t="s">
        <v>1068</v>
      </c>
      <c r="G679" s="1632">
        <v>4374.0443941676149</v>
      </c>
      <c r="H679" s="1632">
        <v>4151.91</v>
      </c>
      <c r="I679" s="1630">
        <f t="shared" si="302"/>
        <v>8525.9543941676147</v>
      </c>
      <c r="J679" s="1630">
        <f t="shared" si="303"/>
        <v>42629.771970838076</v>
      </c>
      <c r="K679" s="1631">
        <v>4010</v>
      </c>
      <c r="L679" s="1630">
        <f t="shared" si="304"/>
        <v>4010</v>
      </c>
      <c r="M679" s="1630">
        <f t="shared" si="305"/>
        <v>20050</v>
      </c>
      <c r="N679" s="1625">
        <f t="shared" si="306"/>
        <v>22579.771970838076</v>
      </c>
      <c r="O679" s="1629">
        <v>0.57030000000000003</v>
      </c>
      <c r="P679" s="1629">
        <v>0.42970000000000003</v>
      </c>
      <c r="Q679" s="1625">
        <f t="shared" si="307"/>
        <v>12877.243954968955</v>
      </c>
      <c r="R679" s="1628">
        <f t="shared" si="308"/>
        <v>9702.5280158691221</v>
      </c>
      <c r="S679" s="1627">
        <f t="shared" si="309"/>
        <v>8992.9780158691174</v>
      </c>
      <c r="T679" s="1627">
        <f t="shared" si="310"/>
        <v>11057.021984130877</v>
      </c>
      <c r="U679" s="1626">
        <f t="shared" si="311"/>
        <v>2248.2445039672793</v>
      </c>
      <c r="V679" s="1626">
        <f t="shared" si="312"/>
        <v>2764.2554960327193</v>
      </c>
      <c r="W679" s="1625">
        <f t="shared" si="313"/>
        <v>5012.4999999999982</v>
      </c>
      <c r="X679" s="1614"/>
      <c r="Y679" s="1613"/>
      <c r="Z679" s="1612">
        <f t="shared" si="314"/>
        <v>0.47032857726087973</v>
      </c>
      <c r="AA679" s="1611"/>
      <c r="AB679" s="1611"/>
      <c r="AC679" s="1611"/>
      <c r="AD679" s="1611"/>
      <c r="AE679" s="1611"/>
      <c r="AF679" s="1611"/>
      <c r="AG679" s="1611"/>
      <c r="AH679" s="1611"/>
      <c r="AI679" s="1611"/>
      <c r="AJ679" s="1611"/>
      <c r="AK679" s="1611"/>
      <c r="AL679" s="1611"/>
      <c r="AM679" s="1611"/>
      <c r="AN679" s="1611"/>
      <c r="AO679" s="1611"/>
      <c r="AP679" s="1611"/>
      <c r="AQ679" s="1611"/>
    </row>
    <row r="680" spans="1:43" outlineLevel="2">
      <c r="A680" s="1638" t="s">
        <v>319</v>
      </c>
      <c r="B680" s="1637" t="s">
        <v>130</v>
      </c>
      <c r="C680" s="1636"/>
      <c r="D680" s="1635">
        <v>3</v>
      </c>
      <c r="E680" s="1634" t="s">
        <v>969</v>
      </c>
      <c r="F680" s="1633" t="s">
        <v>1071</v>
      </c>
      <c r="G680" s="1632">
        <v>4374.0443941676149</v>
      </c>
      <c r="H680" s="1632">
        <v>4151.91</v>
      </c>
      <c r="I680" s="1630">
        <f t="shared" si="302"/>
        <v>8525.9543941676147</v>
      </c>
      <c r="J680" s="1630">
        <f t="shared" si="303"/>
        <v>25577.863182502842</v>
      </c>
      <c r="K680" s="1631">
        <v>4010</v>
      </c>
      <c r="L680" s="1630">
        <f t="shared" si="304"/>
        <v>4010</v>
      </c>
      <c r="M680" s="1630">
        <f t="shared" si="305"/>
        <v>12030</v>
      </c>
      <c r="N680" s="1625">
        <f t="shared" si="306"/>
        <v>13547.863182502842</v>
      </c>
      <c r="O680" s="1629">
        <v>0.57030000000000003</v>
      </c>
      <c r="P680" s="1629">
        <v>0.42970000000000003</v>
      </c>
      <c r="Q680" s="1625">
        <f t="shared" si="307"/>
        <v>7726.3463729813711</v>
      </c>
      <c r="R680" s="1628">
        <f t="shared" si="308"/>
        <v>5821.5168095214722</v>
      </c>
      <c r="S680" s="1627">
        <f t="shared" si="309"/>
        <v>5395.7868095214735</v>
      </c>
      <c r="T680" s="1627">
        <f t="shared" si="310"/>
        <v>6634.2131904785274</v>
      </c>
      <c r="U680" s="1626">
        <f t="shared" si="311"/>
        <v>1348.9467023803684</v>
      </c>
      <c r="V680" s="1626">
        <f t="shared" si="312"/>
        <v>1658.5532976196318</v>
      </c>
      <c r="W680" s="1625">
        <f t="shared" si="313"/>
        <v>3007.5</v>
      </c>
      <c r="X680" s="1614"/>
      <c r="Y680" s="1613"/>
      <c r="Z680" s="1612">
        <f t="shared" si="314"/>
        <v>0.47032857726087973</v>
      </c>
      <c r="AA680" s="1611"/>
      <c r="AB680" s="1611"/>
      <c r="AC680" s="1611"/>
      <c r="AD680" s="1611"/>
      <c r="AE680" s="1611"/>
      <c r="AF680" s="1611"/>
      <c r="AG680" s="1611"/>
      <c r="AH680" s="1611"/>
      <c r="AI680" s="1611"/>
      <c r="AJ680" s="1611"/>
      <c r="AK680" s="1611"/>
      <c r="AL680" s="1611"/>
      <c r="AM680" s="1611"/>
      <c r="AN680" s="1611"/>
      <c r="AO680" s="1611"/>
      <c r="AP680" s="1611"/>
      <c r="AQ680" s="1611"/>
    </row>
    <row r="681" spans="1:43" outlineLevel="2">
      <c r="A681" s="1638" t="s">
        <v>319</v>
      </c>
      <c r="B681" s="1637" t="s">
        <v>130</v>
      </c>
      <c r="C681" s="1636"/>
      <c r="D681" s="1635">
        <v>6</v>
      </c>
      <c r="E681" s="1634" t="s">
        <v>969</v>
      </c>
      <c r="F681" s="1633" t="s">
        <v>1065</v>
      </c>
      <c r="G681" s="1632">
        <v>4374.0443941676149</v>
      </c>
      <c r="H681" s="1632">
        <v>4151.91</v>
      </c>
      <c r="I681" s="1630">
        <f t="shared" si="302"/>
        <v>8525.9543941676147</v>
      </c>
      <c r="J681" s="1630">
        <f t="shared" si="303"/>
        <v>51155.726365005685</v>
      </c>
      <c r="K681" s="1631">
        <v>4010</v>
      </c>
      <c r="L681" s="1630">
        <f t="shared" si="304"/>
        <v>4010</v>
      </c>
      <c r="M681" s="1630">
        <f t="shared" si="305"/>
        <v>24060</v>
      </c>
      <c r="N681" s="1625">
        <f t="shared" si="306"/>
        <v>27095.726365005685</v>
      </c>
      <c r="O681" s="1629">
        <v>0.57030000000000003</v>
      </c>
      <c r="P681" s="1629">
        <v>0.42970000000000003</v>
      </c>
      <c r="Q681" s="1625">
        <f t="shared" si="307"/>
        <v>15452.692745962742</v>
      </c>
      <c r="R681" s="1628">
        <f t="shared" si="308"/>
        <v>11643.033619042944</v>
      </c>
      <c r="S681" s="1627">
        <f t="shared" si="309"/>
        <v>10791.573619042947</v>
      </c>
      <c r="T681" s="1627">
        <f t="shared" si="310"/>
        <v>13268.426380957055</v>
      </c>
      <c r="U681" s="1626">
        <f t="shared" si="311"/>
        <v>2697.8934047607368</v>
      </c>
      <c r="V681" s="1626">
        <f t="shared" si="312"/>
        <v>3317.1065952392637</v>
      </c>
      <c r="W681" s="1625">
        <f t="shared" si="313"/>
        <v>6015</v>
      </c>
      <c r="X681" s="1614"/>
      <c r="Y681" s="1613"/>
      <c r="Z681" s="1612">
        <f t="shared" si="314"/>
        <v>0.47032857726087973</v>
      </c>
      <c r="AA681" s="1611"/>
      <c r="AB681" s="1611"/>
      <c r="AC681" s="1611"/>
      <c r="AD681" s="1611"/>
      <c r="AE681" s="1611"/>
      <c r="AF681" s="1611"/>
      <c r="AG681" s="1611"/>
      <c r="AH681" s="1611"/>
      <c r="AI681" s="1611"/>
      <c r="AJ681" s="1611"/>
      <c r="AK681" s="1611"/>
      <c r="AL681" s="1611"/>
      <c r="AM681" s="1611"/>
      <c r="AN681" s="1611"/>
      <c r="AO681" s="1611"/>
      <c r="AP681" s="1611"/>
      <c r="AQ681" s="1611"/>
    </row>
    <row r="682" spans="1:43" outlineLevel="2">
      <c r="A682" s="1638" t="s">
        <v>319</v>
      </c>
      <c r="B682" s="1637" t="s">
        <v>130</v>
      </c>
      <c r="C682" s="1636"/>
      <c r="D682" s="1635">
        <v>1</v>
      </c>
      <c r="E682" s="1634" t="s">
        <v>969</v>
      </c>
      <c r="F682" s="1633" t="s">
        <v>1064</v>
      </c>
      <c r="G682" s="1632">
        <v>4374.0443941676149</v>
      </c>
      <c r="H682" s="1632">
        <v>4151.91</v>
      </c>
      <c r="I682" s="1630">
        <f t="shared" si="302"/>
        <v>8525.9543941676147</v>
      </c>
      <c r="J682" s="1630">
        <f t="shared" si="303"/>
        <v>8525.9543941676147</v>
      </c>
      <c r="K682" s="1631">
        <v>4010</v>
      </c>
      <c r="L682" s="1630">
        <f t="shared" si="304"/>
        <v>4010</v>
      </c>
      <c r="M682" s="1630">
        <f t="shared" si="305"/>
        <v>4010</v>
      </c>
      <c r="N682" s="1625">
        <f t="shared" si="306"/>
        <v>4515.9543941676147</v>
      </c>
      <c r="O682" s="1629">
        <v>0.57030000000000003</v>
      </c>
      <c r="P682" s="1629">
        <v>0.42970000000000003</v>
      </c>
      <c r="Q682" s="1625">
        <f t="shared" si="307"/>
        <v>2575.4487909937907</v>
      </c>
      <c r="R682" s="1628">
        <f t="shared" si="308"/>
        <v>1940.5056031738243</v>
      </c>
      <c r="S682" s="1627">
        <f t="shared" si="309"/>
        <v>1798.5956031738242</v>
      </c>
      <c r="T682" s="1627">
        <f t="shared" si="310"/>
        <v>2211.4043968261758</v>
      </c>
      <c r="U682" s="1626">
        <f t="shared" si="311"/>
        <v>449.64890079345605</v>
      </c>
      <c r="V682" s="1626">
        <f t="shared" si="312"/>
        <v>552.85109920654395</v>
      </c>
      <c r="W682" s="1625">
        <f t="shared" si="313"/>
        <v>1002.5</v>
      </c>
      <c r="X682" s="1614"/>
      <c r="Y682" s="1613"/>
      <c r="Z682" s="1612">
        <f t="shared" si="314"/>
        <v>0.47032857726087973</v>
      </c>
      <c r="AA682" s="1611"/>
      <c r="AB682" s="1611"/>
      <c r="AC682" s="1611"/>
      <c r="AD682" s="1611"/>
      <c r="AE682" s="1611"/>
      <c r="AF682" s="1611"/>
      <c r="AG682" s="1611"/>
      <c r="AH682" s="1611"/>
      <c r="AI682" s="1611"/>
      <c r="AJ682" s="1611"/>
      <c r="AK682" s="1611"/>
      <c r="AL682" s="1611"/>
      <c r="AM682" s="1611"/>
      <c r="AN682" s="1611"/>
      <c r="AO682" s="1611"/>
      <c r="AP682" s="1611"/>
      <c r="AQ682" s="1611"/>
    </row>
    <row r="683" spans="1:43" outlineLevel="2">
      <c r="A683" s="1638" t="s">
        <v>319</v>
      </c>
      <c r="B683" s="1637" t="s">
        <v>130</v>
      </c>
      <c r="C683" s="1636"/>
      <c r="D683" s="1635">
        <v>2</v>
      </c>
      <c r="E683" s="1634" t="s">
        <v>969</v>
      </c>
      <c r="F683" s="1633" t="s">
        <v>979</v>
      </c>
      <c r="G683" s="1632">
        <v>4374.0443941676149</v>
      </c>
      <c r="H683" s="1632">
        <v>4151.91</v>
      </c>
      <c r="I683" s="1630">
        <f t="shared" si="302"/>
        <v>8525.9543941676147</v>
      </c>
      <c r="J683" s="1630">
        <f t="shared" si="303"/>
        <v>17051.908788335229</v>
      </c>
      <c r="K683" s="1631">
        <v>3705</v>
      </c>
      <c r="L683" s="1630">
        <f t="shared" si="304"/>
        <v>3705</v>
      </c>
      <c r="M683" s="1630">
        <f t="shared" si="305"/>
        <v>7410</v>
      </c>
      <c r="N683" s="1625">
        <f t="shared" si="306"/>
        <v>9641.9087883352295</v>
      </c>
      <c r="O683" s="1629">
        <v>0.57030000000000003</v>
      </c>
      <c r="P683" s="1629">
        <v>0.42970000000000003</v>
      </c>
      <c r="Q683" s="1625">
        <f t="shared" si="307"/>
        <v>5498.7805819875821</v>
      </c>
      <c r="R683" s="1628">
        <f t="shared" si="308"/>
        <v>4143.1282063476483</v>
      </c>
      <c r="S683" s="1627">
        <f t="shared" si="309"/>
        <v>3249.3082063476477</v>
      </c>
      <c r="T683" s="1627">
        <f t="shared" si="310"/>
        <v>4160.6917936523514</v>
      </c>
      <c r="U683" s="1626">
        <f t="shared" si="311"/>
        <v>812.32705158691192</v>
      </c>
      <c r="V683" s="1626">
        <f t="shared" si="312"/>
        <v>1040.1729484130879</v>
      </c>
      <c r="W683" s="1625">
        <f t="shared" si="313"/>
        <v>1852.4999999999998</v>
      </c>
      <c r="X683" s="1614"/>
      <c r="Y683" s="1613"/>
      <c r="Z683" s="1612">
        <f t="shared" si="314"/>
        <v>0.43455545604777041</v>
      </c>
      <c r="AA683" s="1611"/>
      <c r="AB683" s="1611"/>
      <c r="AC683" s="1611"/>
      <c r="AD683" s="1611"/>
      <c r="AE683" s="1611"/>
      <c r="AF683" s="1611"/>
      <c r="AG683" s="1611"/>
      <c r="AH683" s="1611"/>
      <c r="AI683" s="1611"/>
      <c r="AJ683" s="1611"/>
      <c r="AK683" s="1611"/>
      <c r="AL683" s="1611"/>
      <c r="AM683" s="1611"/>
      <c r="AN683" s="1611"/>
      <c r="AO683" s="1611"/>
      <c r="AP683" s="1611"/>
      <c r="AQ683" s="1611"/>
    </row>
    <row r="684" spans="1:43" outlineLevel="1">
      <c r="A684" s="1624"/>
      <c r="B684" s="1623" t="s">
        <v>1097</v>
      </c>
      <c r="C684" s="1622"/>
      <c r="D684" s="1621">
        <f>SUBTOTAL(9,D442:D683)</f>
        <v>2419</v>
      </c>
      <c r="E684" s="1620"/>
      <c r="F684" s="1639"/>
      <c r="G684" s="1639"/>
      <c r="H684" s="1639"/>
      <c r="I684" s="1616"/>
      <c r="J684" s="1616">
        <f>SUBTOTAL(9,J442:J683)</f>
        <v>20624283.679491468</v>
      </c>
      <c r="K684" s="1615"/>
      <c r="L684" s="1616"/>
      <c r="M684" s="1616">
        <f>SUBTOTAL(9,M442:M683)</f>
        <v>12532585.178788334</v>
      </c>
      <c r="N684" s="1615">
        <f>SUBTOTAL(9,N442:N683)</f>
        <v>8091698.5007031215</v>
      </c>
      <c r="O684" s="1616"/>
      <c r="P684" s="1616"/>
      <c r="Q684" s="1615">
        <f t="shared" ref="Q684:W684" si="315">SUBTOTAL(9,Q442:Q683)</f>
        <v>4614695.6549509941</v>
      </c>
      <c r="R684" s="1615">
        <f t="shared" si="315"/>
        <v>3477002.8457521321</v>
      </c>
      <c r="S684" s="1616">
        <f t="shared" si="315"/>
        <v>5966117.7345404662</v>
      </c>
      <c r="T684" s="1616">
        <f t="shared" si="315"/>
        <v>6566467.4442478698</v>
      </c>
      <c r="U684" s="1616">
        <f t="shared" si="315"/>
        <v>1491529.4336351166</v>
      </c>
      <c r="V684" s="1616">
        <f t="shared" si="315"/>
        <v>1641616.8610619674</v>
      </c>
      <c r="W684" s="1615">
        <f t="shared" si="315"/>
        <v>3133146.2946970835</v>
      </c>
      <c r="X684" s="1614"/>
      <c r="Y684" s="1613"/>
      <c r="Z684" s="1612"/>
      <c r="AA684" s="1611"/>
      <c r="AB684" s="1611"/>
      <c r="AC684" s="1611"/>
      <c r="AD684" s="1611"/>
      <c r="AE684" s="1611"/>
      <c r="AF684" s="1611"/>
      <c r="AG684" s="1611"/>
      <c r="AH684" s="1611"/>
      <c r="AI684" s="1611"/>
      <c r="AJ684" s="1611"/>
      <c r="AK684" s="1611"/>
      <c r="AL684" s="1611"/>
      <c r="AM684" s="1611"/>
      <c r="AN684" s="1611"/>
      <c r="AO684" s="1611"/>
      <c r="AP684" s="1611"/>
      <c r="AQ684" s="1611"/>
    </row>
    <row r="685" spans="1:43" outlineLevel="2">
      <c r="A685" s="1638" t="s">
        <v>320</v>
      </c>
      <c r="B685" s="1637" t="s">
        <v>131</v>
      </c>
      <c r="C685" s="1636"/>
      <c r="D685" s="1635">
        <v>1</v>
      </c>
      <c r="E685" s="1634" t="s">
        <v>894</v>
      </c>
      <c r="F685" s="1633" t="s">
        <v>1070</v>
      </c>
      <c r="G685" s="1632">
        <v>6116.21133330054</v>
      </c>
      <c r="H685" s="1632">
        <v>2851.55</v>
      </c>
      <c r="I685" s="1630">
        <f t="shared" ref="I685:I704" si="316">G685+H685</f>
        <v>8967.7613333005393</v>
      </c>
      <c r="J685" s="1630">
        <f t="shared" ref="J685:J704" si="317">D685*I685</f>
        <v>8967.7613333005393</v>
      </c>
      <c r="K685" s="1631">
        <v>4550</v>
      </c>
      <c r="L685" s="1630">
        <f t="shared" ref="L685:L704" si="318">IF(I685&gt;K685,K685,I685)</f>
        <v>4550</v>
      </c>
      <c r="M685" s="1630">
        <f t="shared" ref="M685:M704" si="319">L685*D685</f>
        <v>4550</v>
      </c>
      <c r="N685" s="1625">
        <f t="shared" ref="N685:N704" si="320">J685-M685</f>
        <v>4417.7613333005393</v>
      </c>
      <c r="O685" s="1629">
        <v>0.79710000000000003</v>
      </c>
      <c r="P685" s="1629">
        <v>0.2029</v>
      </c>
      <c r="Q685" s="1625">
        <f t="shared" ref="Q685:Q704" si="321">N685*O685</f>
        <v>3521.3975587738601</v>
      </c>
      <c r="R685" s="1628">
        <f t="shared" ref="R685:R704" si="322">N685*P685</f>
        <v>896.36377452667944</v>
      </c>
      <c r="S685" s="1627">
        <f t="shared" ref="S685:S704" si="323">(G685*D685)-Q685</f>
        <v>2594.8137745266799</v>
      </c>
      <c r="T685" s="1627">
        <f t="shared" ref="T685:T704" si="324">(H685*D685)-R685</f>
        <v>1955.1862254733207</v>
      </c>
      <c r="U685" s="1626">
        <f t="shared" ref="U685:U704" si="325">S685/4</f>
        <v>648.70344363166998</v>
      </c>
      <c r="V685" s="1626">
        <f t="shared" ref="V685:V704" si="326">T685/4</f>
        <v>488.79655636833019</v>
      </c>
      <c r="W685" s="1625">
        <f t="shared" ref="W685:W704" si="327">V685+U685</f>
        <v>1137.5000000000002</v>
      </c>
      <c r="X685" s="1614"/>
      <c r="Y685" s="1613"/>
      <c r="Z685" s="1612">
        <f t="shared" ref="Z685:Z704" si="328">K685/I685</f>
        <v>0.5073730032381889</v>
      </c>
      <c r="AA685" s="1611"/>
      <c r="AB685" s="1611"/>
      <c r="AC685" s="1611"/>
      <c r="AD685" s="1611"/>
      <c r="AE685" s="1611"/>
      <c r="AF685" s="1611"/>
      <c r="AG685" s="1611"/>
      <c r="AH685" s="1611"/>
      <c r="AI685" s="1611"/>
      <c r="AJ685" s="1611"/>
      <c r="AK685" s="1611"/>
      <c r="AL685" s="1611"/>
      <c r="AM685" s="1611"/>
      <c r="AN685" s="1611"/>
      <c r="AO685" s="1611"/>
      <c r="AP685" s="1611"/>
      <c r="AQ685" s="1611"/>
    </row>
    <row r="686" spans="1:43" outlineLevel="2">
      <c r="A686" s="1638" t="s">
        <v>320</v>
      </c>
      <c r="B686" s="1637" t="s">
        <v>131</v>
      </c>
      <c r="C686" s="1636"/>
      <c r="D686" s="1635">
        <v>2</v>
      </c>
      <c r="E686" s="1634" t="s">
        <v>894</v>
      </c>
      <c r="F686" s="1633" t="s">
        <v>1069</v>
      </c>
      <c r="G686" s="1632">
        <v>6116.21133330054</v>
      </c>
      <c r="H686" s="1632">
        <v>2851.55</v>
      </c>
      <c r="I686" s="1630">
        <f t="shared" si="316"/>
        <v>8967.7613333005393</v>
      </c>
      <c r="J686" s="1630">
        <f t="shared" si="317"/>
        <v>17935.522666601079</v>
      </c>
      <c r="K686" s="1631">
        <v>4550</v>
      </c>
      <c r="L686" s="1630">
        <f t="shared" si="318"/>
        <v>4550</v>
      </c>
      <c r="M686" s="1630">
        <f t="shared" si="319"/>
        <v>9100</v>
      </c>
      <c r="N686" s="1625">
        <f t="shared" si="320"/>
        <v>8835.5226666010785</v>
      </c>
      <c r="O686" s="1629">
        <v>0.79710000000000003</v>
      </c>
      <c r="P686" s="1629">
        <v>0.2029</v>
      </c>
      <c r="Q686" s="1625">
        <f t="shared" si="321"/>
        <v>7042.7951175477201</v>
      </c>
      <c r="R686" s="1628">
        <f t="shared" si="322"/>
        <v>1792.7275490533589</v>
      </c>
      <c r="S686" s="1627">
        <f t="shared" si="323"/>
        <v>5189.6275490533599</v>
      </c>
      <c r="T686" s="1627">
        <f t="shared" si="324"/>
        <v>3910.3724509466415</v>
      </c>
      <c r="U686" s="1626">
        <f t="shared" si="325"/>
        <v>1297.40688726334</v>
      </c>
      <c r="V686" s="1626">
        <f t="shared" si="326"/>
        <v>977.59311273666037</v>
      </c>
      <c r="W686" s="1625">
        <f t="shared" si="327"/>
        <v>2275.0000000000005</v>
      </c>
      <c r="X686" s="1614"/>
      <c r="Y686" s="1613"/>
      <c r="Z686" s="1612">
        <f t="shared" si="328"/>
        <v>0.5073730032381889</v>
      </c>
      <c r="AA686" s="1611"/>
      <c r="AB686" s="1611"/>
      <c r="AC686" s="1611"/>
      <c r="AD686" s="1611"/>
      <c r="AE686" s="1611"/>
      <c r="AF686" s="1611"/>
      <c r="AG686" s="1611"/>
      <c r="AH686" s="1611"/>
      <c r="AI686" s="1611"/>
      <c r="AJ686" s="1611"/>
      <c r="AK686" s="1611"/>
      <c r="AL686" s="1611"/>
      <c r="AM686" s="1611"/>
      <c r="AN686" s="1611"/>
      <c r="AO686" s="1611"/>
      <c r="AP686" s="1611"/>
      <c r="AQ686" s="1611"/>
    </row>
    <row r="687" spans="1:43" outlineLevel="2">
      <c r="A687" s="1638" t="s">
        <v>320</v>
      </c>
      <c r="B687" s="1637" t="s">
        <v>131</v>
      </c>
      <c r="C687" s="1636"/>
      <c r="D687" s="1635">
        <v>1</v>
      </c>
      <c r="E687" s="1634" t="s">
        <v>894</v>
      </c>
      <c r="F687" s="1633" t="s">
        <v>1068</v>
      </c>
      <c r="G687" s="1632">
        <v>6116.21133330054</v>
      </c>
      <c r="H687" s="1632">
        <v>2851.55</v>
      </c>
      <c r="I687" s="1630">
        <f t="shared" si="316"/>
        <v>8967.7613333005393</v>
      </c>
      <c r="J687" s="1630">
        <f t="shared" si="317"/>
        <v>8967.7613333005393</v>
      </c>
      <c r="K687" s="1631">
        <v>4550</v>
      </c>
      <c r="L687" s="1630">
        <f t="shared" si="318"/>
        <v>4550</v>
      </c>
      <c r="M687" s="1630">
        <f t="shared" si="319"/>
        <v>4550</v>
      </c>
      <c r="N687" s="1625">
        <f t="shared" si="320"/>
        <v>4417.7613333005393</v>
      </c>
      <c r="O687" s="1629">
        <v>0.79710000000000003</v>
      </c>
      <c r="P687" s="1629">
        <v>0.2029</v>
      </c>
      <c r="Q687" s="1625">
        <f t="shared" si="321"/>
        <v>3521.3975587738601</v>
      </c>
      <c r="R687" s="1628">
        <f t="shared" si="322"/>
        <v>896.36377452667944</v>
      </c>
      <c r="S687" s="1627">
        <f t="shared" si="323"/>
        <v>2594.8137745266799</v>
      </c>
      <c r="T687" s="1627">
        <f t="shared" si="324"/>
        <v>1955.1862254733207</v>
      </c>
      <c r="U687" s="1626">
        <f t="shared" si="325"/>
        <v>648.70344363166998</v>
      </c>
      <c r="V687" s="1626">
        <f t="shared" si="326"/>
        <v>488.79655636833019</v>
      </c>
      <c r="W687" s="1625">
        <f t="shared" si="327"/>
        <v>1137.5000000000002</v>
      </c>
      <c r="X687" s="1614"/>
      <c r="Y687" s="1613"/>
      <c r="Z687" s="1612">
        <f t="shared" si="328"/>
        <v>0.5073730032381889</v>
      </c>
      <c r="AA687" s="1611"/>
      <c r="AB687" s="1611"/>
      <c r="AC687" s="1611"/>
      <c r="AD687" s="1611"/>
      <c r="AE687" s="1611"/>
      <c r="AF687" s="1611"/>
      <c r="AG687" s="1611"/>
      <c r="AH687" s="1611"/>
      <c r="AI687" s="1611"/>
      <c r="AJ687" s="1611"/>
      <c r="AK687" s="1611"/>
      <c r="AL687" s="1611"/>
      <c r="AM687" s="1611"/>
      <c r="AN687" s="1611"/>
      <c r="AO687" s="1611"/>
      <c r="AP687" s="1611"/>
      <c r="AQ687" s="1611"/>
    </row>
    <row r="688" spans="1:43" outlineLevel="2">
      <c r="A688" s="1638" t="s">
        <v>320</v>
      </c>
      <c r="B688" s="1637" t="s">
        <v>131</v>
      </c>
      <c r="C688" s="1636"/>
      <c r="D688" s="1635">
        <v>1</v>
      </c>
      <c r="E688" s="1634" t="s">
        <v>894</v>
      </c>
      <c r="F688" s="1633" t="s">
        <v>1071</v>
      </c>
      <c r="G688" s="1632">
        <v>6116.21133330054</v>
      </c>
      <c r="H688" s="1632">
        <v>2851.55</v>
      </c>
      <c r="I688" s="1630">
        <f t="shared" si="316"/>
        <v>8967.7613333005393</v>
      </c>
      <c r="J688" s="1630">
        <f t="shared" si="317"/>
        <v>8967.7613333005393</v>
      </c>
      <c r="K688" s="1631">
        <v>4550</v>
      </c>
      <c r="L688" s="1630">
        <f t="shared" si="318"/>
        <v>4550</v>
      </c>
      <c r="M688" s="1630">
        <f t="shared" si="319"/>
        <v>4550</v>
      </c>
      <c r="N688" s="1625">
        <f t="shared" si="320"/>
        <v>4417.7613333005393</v>
      </c>
      <c r="O688" s="1629">
        <v>0.79710000000000003</v>
      </c>
      <c r="P688" s="1629">
        <v>0.2029</v>
      </c>
      <c r="Q688" s="1625">
        <f t="shared" si="321"/>
        <v>3521.3975587738601</v>
      </c>
      <c r="R688" s="1628">
        <f t="shared" si="322"/>
        <v>896.36377452667944</v>
      </c>
      <c r="S688" s="1627">
        <f t="shared" si="323"/>
        <v>2594.8137745266799</v>
      </c>
      <c r="T688" s="1627">
        <f t="shared" si="324"/>
        <v>1955.1862254733207</v>
      </c>
      <c r="U688" s="1626">
        <f t="shared" si="325"/>
        <v>648.70344363166998</v>
      </c>
      <c r="V688" s="1626">
        <f t="shared" si="326"/>
        <v>488.79655636833019</v>
      </c>
      <c r="W688" s="1625">
        <f t="shared" si="327"/>
        <v>1137.5000000000002</v>
      </c>
      <c r="X688" s="1614"/>
      <c r="Y688" s="1613"/>
      <c r="Z688" s="1612">
        <f t="shared" si="328"/>
        <v>0.5073730032381889</v>
      </c>
      <c r="AA688" s="1611"/>
      <c r="AB688" s="1611"/>
      <c r="AC688" s="1611"/>
      <c r="AD688" s="1611"/>
      <c r="AE688" s="1611"/>
      <c r="AF688" s="1611"/>
      <c r="AG688" s="1611"/>
      <c r="AH688" s="1611"/>
      <c r="AI688" s="1611"/>
      <c r="AJ688" s="1611"/>
      <c r="AK688" s="1611"/>
      <c r="AL688" s="1611"/>
      <c r="AM688" s="1611"/>
      <c r="AN688" s="1611"/>
      <c r="AO688" s="1611"/>
      <c r="AP688" s="1611"/>
      <c r="AQ688" s="1611"/>
    </row>
    <row r="689" spans="1:43" outlineLevel="2">
      <c r="A689" s="1638" t="s">
        <v>320</v>
      </c>
      <c r="B689" s="1637" t="s">
        <v>131</v>
      </c>
      <c r="C689" s="1636"/>
      <c r="D689" s="1635">
        <v>8</v>
      </c>
      <c r="E689" s="1634" t="s">
        <v>894</v>
      </c>
      <c r="F689" s="1633" t="s">
        <v>979</v>
      </c>
      <c r="G689" s="1632">
        <v>6116.21133330054</v>
      </c>
      <c r="H689" s="1632">
        <v>2851.55</v>
      </c>
      <c r="I689" s="1630">
        <f t="shared" si="316"/>
        <v>8967.7613333005393</v>
      </c>
      <c r="J689" s="1630">
        <f t="shared" si="317"/>
        <v>71742.090666404314</v>
      </c>
      <c r="K689" s="1631">
        <v>4550</v>
      </c>
      <c r="L689" s="1630">
        <f t="shared" si="318"/>
        <v>4550</v>
      </c>
      <c r="M689" s="1630">
        <f t="shared" si="319"/>
        <v>36400</v>
      </c>
      <c r="N689" s="1625">
        <f t="shared" si="320"/>
        <v>35342.090666404314</v>
      </c>
      <c r="O689" s="1629">
        <v>0.79710000000000003</v>
      </c>
      <c r="P689" s="1629">
        <v>0.2029</v>
      </c>
      <c r="Q689" s="1625">
        <f t="shared" si="321"/>
        <v>28171.18047019088</v>
      </c>
      <c r="R689" s="1628">
        <f t="shared" si="322"/>
        <v>7170.9101962134355</v>
      </c>
      <c r="S689" s="1627">
        <f t="shared" si="323"/>
        <v>20758.510196213439</v>
      </c>
      <c r="T689" s="1627">
        <f t="shared" si="324"/>
        <v>15641.489803786566</v>
      </c>
      <c r="U689" s="1626">
        <f t="shared" si="325"/>
        <v>5189.6275490533599</v>
      </c>
      <c r="V689" s="1626">
        <f t="shared" si="326"/>
        <v>3910.3724509466415</v>
      </c>
      <c r="W689" s="1625">
        <f t="shared" si="327"/>
        <v>9100.0000000000018</v>
      </c>
      <c r="X689" s="1614"/>
      <c r="Y689" s="1613"/>
      <c r="Z689" s="1612">
        <f t="shared" si="328"/>
        <v>0.5073730032381889</v>
      </c>
      <c r="AA689" s="1611"/>
      <c r="AB689" s="1611"/>
      <c r="AC689" s="1611"/>
      <c r="AD689" s="1611"/>
      <c r="AE689" s="1611"/>
      <c r="AF689" s="1611"/>
      <c r="AG689" s="1611"/>
      <c r="AH689" s="1611"/>
      <c r="AI689" s="1611"/>
      <c r="AJ689" s="1611"/>
      <c r="AK689" s="1611"/>
      <c r="AL689" s="1611"/>
      <c r="AM689" s="1611"/>
      <c r="AN689" s="1611"/>
      <c r="AO689" s="1611"/>
      <c r="AP689" s="1611"/>
      <c r="AQ689" s="1611"/>
    </row>
    <row r="690" spans="1:43" outlineLevel="2">
      <c r="A690" s="1638" t="s">
        <v>320</v>
      </c>
      <c r="B690" s="1637" t="s">
        <v>131</v>
      </c>
      <c r="C690" s="1636"/>
      <c r="D690" s="1635">
        <v>1</v>
      </c>
      <c r="E690" s="1634" t="s">
        <v>891</v>
      </c>
      <c r="F690" s="1633" t="s">
        <v>1063</v>
      </c>
      <c r="G690" s="1632">
        <v>6116.21133330054</v>
      </c>
      <c r="H690" s="1632">
        <v>2851.55</v>
      </c>
      <c r="I690" s="1630">
        <f t="shared" si="316"/>
        <v>8967.7613333005393</v>
      </c>
      <c r="J690" s="1630">
        <f t="shared" si="317"/>
        <v>8967.7613333005393</v>
      </c>
      <c r="K690" s="1631">
        <v>5496</v>
      </c>
      <c r="L690" s="1630">
        <f t="shared" si="318"/>
        <v>5496</v>
      </c>
      <c r="M690" s="1630">
        <f t="shared" si="319"/>
        <v>5496</v>
      </c>
      <c r="N690" s="1625">
        <f t="shared" si="320"/>
        <v>3471.7613333005393</v>
      </c>
      <c r="O690" s="1629">
        <v>0.79710000000000003</v>
      </c>
      <c r="P690" s="1629">
        <v>0.2029</v>
      </c>
      <c r="Q690" s="1625">
        <f t="shared" si="321"/>
        <v>2767.3409587738602</v>
      </c>
      <c r="R690" s="1628">
        <f t="shared" si="322"/>
        <v>704.42037452667944</v>
      </c>
      <c r="S690" s="1627">
        <f t="shared" si="323"/>
        <v>3348.8703745266798</v>
      </c>
      <c r="T690" s="1627">
        <f t="shared" si="324"/>
        <v>2147.1296254733206</v>
      </c>
      <c r="U690" s="1626">
        <f t="shared" si="325"/>
        <v>837.21759363166996</v>
      </c>
      <c r="V690" s="1626">
        <f t="shared" si="326"/>
        <v>536.78240636833016</v>
      </c>
      <c r="W690" s="1625">
        <f t="shared" si="327"/>
        <v>1374</v>
      </c>
      <c r="X690" s="1614"/>
      <c r="Y690" s="1613"/>
      <c r="Z690" s="1612">
        <f t="shared" si="328"/>
        <v>0.61286198369166733</v>
      </c>
      <c r="AA690" s="1611"/>
      <c r="AB690" s="1611"/>
      <c r="AC690" s="1611"/>
      <c r="AD690" s="1611"/>
      <c r="AE690" s="1611"/>
      <c r="AF690" s="1611"/>
      <c r="AG690" s="1611"/>
      <c r="AH690" s="1611"/>
      <c r="AI690" s="1611"/>
      <c r="AJ690" s="1611"/>
      <c r="AK690" s="1611"/>
      <c r="AL690" s="1611"/>
      <c r="AM690" s="1611"/>
      <c r="AN690" s="1611"/>
      <c r="AO690" s="1611"/>
      <c r="AP690" s="1611"/>
      <c r="AQ690" s="1611"/>
    </row>
    <row r="691" spans="1:43" outlineLevel="2">
      <c r="A691" s="1638" t="s">
        <v>320</v>
      </c>
      <c r="B691" s="1637" t="s">
        <v>131</v>
      </c>
      <c r="C691" s="1636"/>
      <c r="D691" s="1635">
        <v>1</v>
      </c>
      <c r="E691" s="1634" t="s">
        <v>891</v>
      </c>
      <c r="F691" s="1633" t="s">
        <v>1067</v>
      </c>
      <c r="G691" s="1632">
        <v>6116.21133330054</v>
      </c>
      <c r="H691" s="1632">
        <v>2851.55</v>
      </c>
      <c r="I691" s="1630">
        <f t="shared" si="316"/>
        <v>8967.7613333005393</v>
      </c>
      <c r="J691" s="1630">
        <f t="shared" si="317"/>
        <v>8967.7613333005393</v>
      </c>
      <c r="K691" s="1631">
        <v>6456</v>
      </c>
      <c r="L691" s="1630">
        <f t="shared" si="318"/>
        <v>6456</v>
      </c>
      <c r="M691" s="1630">
        <f t="shared" si="319"/>
        <v>6456</v>
      </c>
      <c r="N691" s="1625">
        <f t="shared" si="320"/>
        <v>2511.7613333005393</v>
      </c>
      <c r="O691" s="1629">
        <v>0.79710000000000003</v>
      </c>
      <c r="P691" s="1629">
        <v>0.2029</v>
      </c>
      <c r="Q691" s="1625">
        <f t="shared" si="321"/>
        <v>2002.1249587738598</v>
      </c>
      <c r="R691" s="1628">
        <f t="shared" si="322"/>
        <v>509.63637452667939</v>
      </c>
      <c r="S691" s="1627">
        <f t="shared" si="323"/>
        <v>4114.0863745266797</v>
      </c>
      <c r="T691" s="1627">
        <f t="shared" si="324"/>
        <v>2341.9136254733207</v>
      </c>
      <c r="U691" s="1626">
        <f t="shared" si="325"/>
        <v>1028.5215936316699</v>
      </c>
      <c r="V691" s="1626">
        <f t="shared" si="326"/>
        <v>585.47840636833018</v>
      </c>
      <c r="W691" s="1625">
        <f t="shared" si="327"/>
        <v>1614</v>
      </c>
      <c r="X691" s="1614"/>
      <c r="Y691" s="1613"/>
      <c r="Z691" s="1612">
        <f t="shared" si="328"/>
        <v>0.7199121118474171</v>
      </c>
      <c r="AA691" s="1611"/>
      <c r="AB691" s="1611"/>
      <c r="AC691" s="1611"/>
      <c r="AD691" s="1611"/>
      <c r="AE691" s="1611"/>
      <c r="AF691" s="1611"/>
      <c r="AG691" s="1611"/>
      <c r="AH691" s="1611"/>
      <c r="AI691" s="1611"/>
      <c r="AJ691" s="1611"/>
      <c r="AK691" s="1611"/>
      <c r="AL691" s="1611"/>
      <c r="AM691" s="1611"/>
      <c r="AN691" s="1611"/>
      <c r="AO691" s="1611"/>
      <c r="AP691" s="1611"/>
      <c r="AQ691" s="1611"/>
    </row>
    <row r="692" spans="1:43" outlineLevel="2">
      <c r="A692" s="1638" t="s">
        <v>320</v>
      </c>
      <c r="B692" s="1637" t="s">
        <v>131</v>
      </c>
      <c r="C692" s="1636"/>
      <c r="D692" s="1635">
        <v>1</v>
      </c>
      <c r="E692" s="1634" t="s">
        <v>891</v>
      </c>
      <c r="F692" s="1633" t="s">
        <v>1072</v>
      </c>
      <c r="G692" s="1632">
        <v>6116.21133330054</v>
      </c>
      <c r="H692" s="1632">
        <v>2851.55</v>
      </c>
      <c r="I692" s="1630">
        <f t="shared" si="316"/>
        <v>8967.7613333005393</v>
      </c>
      <c r="J692" s="1630">
        <f t="shared" si="317"/>
        <v>8967.7613333005393</v>
      </c>
      <c r="K692" s="1631">
        <v>6456</v>
      </c>
      <c r="L692" s="1630">
        <f t="shared" si="318"/>
        <v>6456</v>
      </c>
      <c r="M692" s="1630">
        <f t="shared" si="319"/>
        <v>6456</v>
      </c>
      <c r="N692" s="1625">
        <f t="shared" si="320"/>
        <v>2511.7613333005393</v>
      </c>
      <c r="O692" s="1629">
        <v>0.79710000000000003</v>
      </c>
      <c r="P692" s="1629">
        <v>0.2029</v>
      </c>
      <c r="Q692" s="1625">
        <f t="shared" si="321"/>
        <v>2002.1249587738598</v>
      </c>
      <c r="R692" s="1628">
        <f t="shared" si="322"/>
        <v>509.63637452667939</v>
      </c>
      <c r="S692" s="1627">
        <f t="shared" si="323"/>
        <v>4114.0863745266797</v>
      </c>
      <c r="T692" s="1627">
        <f t="shared" si="324"/>
        <v>2341.9136254733207</v>
      </c>
      <c r="U692" s="1626">
        <f t="shared" si="325"/>
        <v>1028.5215936316699</v>
      </c>
      <c r="V692" s="1626">
        <f t="shared" si="326"/>
        <v>585.47840636833018</v>
      </c>
      <c r="W692" s="1625">
        <f t="shared" si="327"/>
        <v>1614</v>
      </c>
      <c r="X692" s="1614"/>
      <c r="Y692" s="1613"/>
      <c r="Z692" s="1612">
        <f t="shared" si="328"/>
        <v>0.7199121118474171</v>
      </c>
      <c r="AA692" s="1611"/>
      <c r="AB692" s="1611"/>
      <c r="AC692" s="1611"/>
      <c r="AD692" s="1611"/>
      <c r="AE692" s="1611"/>
      <c r="AF692" s="1611"/>
      <c r="AG692" s="1611"/>
      <c r="AH692" s="1611"/>
      <c r="AI692" s="1611"/>
      <c r="AJ692" s="1611"/>
      <c r="AK692" s="1611"/>
      <c r="AL692" s="1611"/>
      <c r="AM692" s="1611"/>
      <c r="AN692" s="1611"/>
      <c r="AO692" s="1611"/>
      <c r="AP692" s="1611"/>
      <c r="AQ692" s="1611"/>
    </row>
    <row r="693" spans="1:43" outlineLevel="2">
      <c r="A693" s="1638" t="s">
        <v>320</v>
      </c>
      <c r="B693" s="1637" t="s">
        <v>131</v>
      </c>
      <c r="C693" s="1636"/>
      <c r="D693" s="1635">
        <v>3</v>
      </c>
      <c r="E693" s="1634" t="s">
        <v>895</v>
      </c>
      <c r="F693" s="1633" t="s">
        <v>1070</v>
      </c>
      <c r="G693" s="1632">
        <v>6116.21133330054</v>
      </c>
      <c r="H693" s="1632">
        <v>2851.55</v>
      </c>
      <c r="I693" s="1630">
        <f t="shared" si="316"/>
        <v>8967.7613333005393</v>
      </c>
      <c r="J693" s="1630">
        <f t="shared" si="317"/>
        <v>26903.283999901618</v>
      </c>
      <c r="K693" s="1631">
        <v>3718</v>
      </c>
      <c r="L693" s="1630">
        <f t="shared" si="318"/>
        <v>3718</v>
      </c>
      <c r="M693" s="1630">
        <f t="shared" si="319"/>
        <v>11154</v>
      </c>
      <c r="N693" s="1625">
        <f t="shared" si="320"/>
        <v>15749.283999901618</v>
      </c>
      <c r="O693" s="1629">
        <v>0.79710000000000003</v>
      </c>
      <c r="P693" s="1629">
        <v>0.2029</v>
      </c>
      <c r="Q693" s="1625">
        <f t="shared" si="321"/>
        <v>12553.754276321581</v>
      </c>
      <c r="R693" s="1628">
        <f t="shared" si="322"/>
        <v>3195.5297235800381</v>
      </c>
      <c r="S693" s="1627">
        <f t="shared" si="323"/>
        <v>5794.8797235800394</v>
      </c>
      <c r="T693" s="1627">
        <f t="shared" si="324"/>
        <v>5359.1202764199634</v>
      </c>
      <c r="U693" s="1626">
        <f t="shared" si="325"/>
        <v>1448.7199308950098</v>
      </c>
      <c r="V693" s="1626">
        <f t="shared" si="326"/>
        <v>1339.7800691049908</v>
      </c>
      <c r="W693" s="1625">
        <f t="shared" si="327"/>
        <v>2788.5000000000009</v>
      </c>
      <c r="X693" s="1614"/>
      <c r="Y693" s="1613"/>
      <c r="Z693" s="1612">
        <f t="shared" si="328"/>
        <v>0.4145962255032058</v>
      </c>
      <c r="AA693" s="1611"/>
      <c r="AB693" s="1611"/>
      <c r="AC693" s="1611"/>
      <c r="AD693" s="1611"/>
      <c r="AE693" s="1611"/>
      <c r="AF693" s="1611"/>
      <c r="AG693" s="1611"/>
      <c r="AH693" s="1611"/>
      <c r="AI693" s="1611"/>
      <c r="AJ693" s="1611"/>
      <c r="AK693" s="1611"/>
      <c r="AL693" s="1611"/>
      <c r="AM693" s="1611"/>
      <c r="AN693" s="1611"/>
      <c r="AO693" s="1611"/>
      <c r="AP693" s="1611"/>
      <c r="AQ693" s="1611"/>
    </row>
    <row r="694" spans="1:43" outlineLevel="2">
      <c r="A694" s="1638" t="s">
        <v>320</v>
      </c>
      <c r="B694" s="1637" t="s">
        <v>131</v>
      </c>
      <c r="C694" s="1636"/>
      <c r="D694" s="1635">
        <v>1</v>
      </c>
      <c r="E694" s="1634" t="s">
        <v>895</v>
      </c>
      <c r="F694" s="1633" t="s">
        <v>1069</v>
      </c>
      <c r="G694" s="1632">
        <v>6116.21133330054</v>
      </c>
      <c r="H694" s="1632">
        <v>2851.55</v>
      </c>
      <c r="I694" s="1630">
        <f t="shared" si="316"/>
        <v>8967.7613333005393</v>
      </c>
      <c r="J694" s="1630">
        <f t="shared" si="317"/>
        <v>8967.7613333005393</v>
      </c>
      <c r="K694" s="1631">
        <v>3675</v>
      </c>
      <c r="L694" s="1630">
        <f t="shared" si="318"/>
        <v>3675</v>
      </c>
      <c r="M694" s="1630">
        <f t="shared" si="319"/>
        <v>3675</v>
      </c>
      <c r="N694" s="1625">
        <f t="shared" si="320"/>
        <v>5292.7613333005393</v>
      </c>
      <c r="O694" s="1629">
        <v>0.79710000000000003</v>
      </c>
      <c r="P694" s="1629">
        <v>0.2029</v>
      </c>
      <c r="Q694" s="1625">
        <f t="shared" si="321"/>
        <v>4218.8600587738601</v>
      </c>
      <c r="R694" s="1628">
        <f t="shared" si="322"/>
        <v>1073.9012745266793</v>
      </c>
      <c r="S694" s="1627">
        <f t="shared" si="323"/>
        <v>1897.3512745266798</v>
      </c>
      <c r="T694" s="1627">
        <f t="shared" si="324"/>
        <v>1777.6487254733208</v>
      </c>
      <c r="U694" s="1626">
        <f t="shared" si="325"/>
        <v>474.33781863166996</v>
      </c>
      <c r="V694" s="1626">
        <f t="shared" si="326"/>
        <v>444.41218136833021</v>
      </c>
      <c r="W694" s="1625">
        <f t="shared" si="327"/>
        <v>918.75000000000023</v>
      </c>
      <c r="X694" s="1614"/>
      <c r="Y694" s="1613"/>
      <c r="Z694" s="1612">
        <f t="shared" si="328"/>
        <v>0.4098012718462295</v>
      </c>
      <c r="AA694" s="1611"/>
      <c r="AB694" s="1611"/>
      <c r="AC694" s="1611"/>
      <c r="AD694" s="1611"/>
      <c r="AE694" s="1611"/>
      <c r="AF694" s="1611"/>
      <c r="AG694" s="1611"/>
      <c r="AH694" s="1611"/>
      <c r="AI694" s="1611"/>
      <c r="AJ694" s="1611"/>
      <c r="AK694" s="1611"/>
      <c r="AL694" s="1611"/>
      <c r="AM694" s="1611"/>
      <c r="AN694" s="1611"/>
      <c r="AO694" s="1611"/>
      <c r="AP694" s="1611"/>
      <c r="AQ694" s="1611"/>
    </row>
    <row r="695" spans="1:43" outlineLevel="2">
      <c r="A695" s="1638" t="s">
        <v>320</v>
      </c>
      <c r="B695" s="1637" t="s">
        <v>131</v>
      </c>
      <c r="C695" s="1636"/>
      <c r="D695" s="1635">
        <v>4</v>
      </c>
      <c r="E695" s="1634" t="s">
        <v>895</v>
      </c>
      <c r="F695" s="1633" t="s">
        <v>1071</v>
      </c>
      <c r="G695" s="1632">
        <v>6116.21133330054</v>
      </c>
      <c r="H695" s="1632">
        <v>2851.55</v>
      </c>
      <c r="I695" s="1630">
        <f t="shared" si="316"/>
        <v>8967.7613333005393</v>
      </c>
      <c r="J695" s="1630">
        <f t="shared" si="317"/>
        <v>35871.045333202157</v>
      </c>
      <c r="K695" s="1631">
        <v>3675</v>
      </c>
      <c r="L695" s="1630">
        <f t="shared" si="318"/>
        <v>3675</v>
      </c>
      <c r="M695" s="1630">
        <f t="shared" si="319"/>
        <v>14700</v>
      </c>
      <c r="N695" s="1625">
        <f t="shared" si="320"/>
        <v>21171.045333202157</v>
      </c>
      <c r="O695" s="1629">
        <v>0.79710000000000003</v>
      </c>
      <c r="P695" s="1629">
        <v>0.2029</v>
      </c>
      <c r="Q695" s="1625">
        <f t="shared" si="321"/>
        <v>16875.440235095441</v>
      </c>
      <c r="R695" s="1628">
        <f t="shared" si="322"/>
        <v>4295.6050981067174</v>
      </c>
      <c r="S695" s="1627">
        <f t="shared" si="323"/>
        <v>7589.4050981067194</v>
      </c>
      <c r="T695" s="1627">
        <f t="shared" si="324"/>
        <v>7110.5949018932833</v>
      </c>
      <c r="U695" s="1626">
        <f t="shared" si="325"/>
        <v>1897.3512745266798</v>
      </c>
      <c r="V695" s="1626">
        <f t="shared" si="326"/>
        <v>1777.6487254733208</v>
      </c>
      <c r="W695" s="1625">
        <f t="shared" si="327"/>
        <v>3675.0000000000009</v>
      </c>
      <c r="X695" s="1614"/>
      <c r="Y695" s="1613"/>
      <c r="Z695" s="1612">
        <f t="shared" si="328"/>
        <v>0.4098012718462295</v>
      </c>
      <c r="AA695" s="1611"/>
      <c r="AB695" s="1611"/>
      <c r="AC695" s="1611"/>
      <c r="AD695" s="1611"/>
      <c r="AE695" s="1611"/>
      <c r="AF695" s="1611"/>
      <c r="AG695" s="1611"/>
      <c r="AH695" s="1611"/>
      <c r="AI695" s="1611"/>
      <c r="AJ695" s="1611"/>
      <c r="AK695" s="1611"/>
      <c r="AL695" s="1611"/>
      <c r="AM695" s="1611"/>
      <c r="AN695" s="1611"/>
      <c r="AO695" s="1611"/>
      <c r="AP695" s="1611"/>
      <c r="AQ695" s="1611"/>
    </row>
    <row r="696" spans="1:43" outlineLevel="2">
      <c r="A696" s="1638" t="s">
        <v>320</v>
      </c>
      <c r="B696" s="1637" t="s">
        <v>131</v>
      </c>
      <c r="C696" s="1636"/>
      <c r="D696" s="1635">
        <v>2</v>
      </c>
      <c r="E696" s="1634" t="s">
        <v>895</v>
      </c>
      <c r="F696" s="1633" t="s">
        <v>1065</v>
      </c>
      <c r="G696" s="1632">
        <v>6116.21133330054</v>
      </c>
      <c r="H696" s="1632">
        <v>2851.55</v>
      </c>
      <c r="I696" s="1630">
        <f t="shared" si="316"/>
        <v>8967.7613333005393</v>
      </c>
      <c r="J696" s="1630">
        <f t="shared" si="317"/>
        <v>17935.522666601079</v>
      </c>
      <c r="K696" s="1631">
        <v>3745</v>
      </c>
      <c r="L696" s="1630">
        <f t="shared" si="318"/>
        <v>3745</v>
      </c>
      <c r="M696" s="1630">
        <f t="shared" si="319"/>
        <v>7490</v>
      </c>
      <c r="N696" s="1625">
        <f t="shared" si="320"/>
        <v>10445.522666601079</v>
      </c>
      <c r="O696" s="1629">
        <v>0.79710000000000003</v>
      </c>
      <c r="P696" s="1629">
        <v>0.2029</v>
      </c>
      <c r="Q696" s="1625">
        <f t="shared" si="321"/>
        <v>8326.1261175477193</v>
      </c>
      <c r="R696" s="1628">
        <f t="shared" si="322"/>
        <v>2119.3965490533587</v>
      </c>
      <c r="S696" s="1627">
        <f t="shared" si="323"/>
        <v>3906.2965490533606</v>
      </c>
      <c r="T696" s="1627">
        <f t="shared" si="324"/>
        <v>3583.7034509466416</v>
      </c>
      <c r="U696" s="1626">
        <f t="shared" si="325"/>
        <v>976.57413726334016</v>
      </c>
      <c r="V696" s="1626">
        <f t="shared" si="326"/>
        <v>895.92586273666041</v>
      </c>
      <c r="W696" s="1625">
        <f t="shared" si="327"/>
        <v>1872.5000000000005</v>
      </c>
      <c r="X696" s="1614"/>
      <c r="Y696" s="1613"/>
      <c r="Z696" s="1612">
        <f t="shared" si="328"/>
        <v>0.41760701035758629</v>
      </c>
      <c r="AA696" s="1611"/>
      <c r="AB696" s="1611"/>
      <c r="AC696" s="1611"/>
      <c r="AD696" s="1611"/>
      <c r="AE696" s="1611"/>
      <c r="AF696" s="1611"/>
      <c r="AG696" s="1611"/>
      <c r="AH696" s="1611"/>
      <c r="AI696" s="1611"/>
      <c r="AJ696" s="1611"/>
      <c r="AK696" s="1611"/>
      <c r="AL696" s="1611"/>
      <c r="AM696" s="1611"/>
      <c r="AN696" s="1611"/>
      <c r="AO696" s="1611"/>
      <c r="AP696" s="1611"/>
      <c r="AQ696" s="1611"/>
    </row>
    <row r="697" spans="1:43" outlineLevel="2">
      <c r="A697" s="1638" t="s">
        <v>320</v>
      </c>
      <c r="B697" s="1637" t="s">
        <v>131</v>
      </c>
      <c r="C697" s="1636"/>
      <c r="D697" s="1635">
        <v>2</v>
      </c>
      <c r="E697" s="1634" t="s">
        <v>895</v>
      </c>
      <c r="F697" s="1633" t="s">
        <v>1063</v>
      </c>
      <c r="G697" s="1632">
        <v>6116.21133330054</v>
      </c>
      <c r="H697" s="1632">
        <v>2851.55</v>
      </c>
      <c r="I697" s="1630">
        <f t="shared" si="316"/>
        <v>8967.7613333005393</v>
      </c>
      <c r="J697" s="1630">
        <f t="shared" si="317"/>
        <v>17935.522666601079</v>
      </c>
      <c r="K697" s="1631">
        <v>3695</v>
      </c>
      <c r="L697" s="1630">
        <f t="shared" si="318"/>
        <v>3695</v>
      </c>
      <c r="M697" s="1630">
        <f t="shared" si="319"/>
        <v>7390</v>
      </c>
      <c r="N697" s="1625">
        <f t="shared" si="320"/>
        <v>10545.522666601079</v>
      </c>
      <c r="O697" s="1629">
        <v>0.79710000000000003</v>
      </c>
      <c r="P697" s="1629">
        <v>0.2029</v>
      </c>
      <c r="Q697" s="1625">
        <f t="shared" si="321"/>
        <v>8405.8361175477203</v>
      </c>
      <c r="R697" s="1628">
        <f t="shared" si="322"/>
        <v>2139.6865490533587</v>
      </c>
      <c r="S697" s="1627">
        <f t="shared" si="323"/>
        <v>3826.5865490533597</v>
      </c>
      <c r="T697" s="1627">
        <f t="shared" si="324"/>
        <v>3563.4134509466417</v>
      </c>
      <c r="U697" s="1626">
        <f t="shared" si="325"/>
        <v>956.64663726333993</v>
      </c>
      <c r="V697" s="1626">
        <f t="shared" si="326"/>
        <v>890.85336273666042</v>
      </c>
      <c r="W697" s="1625">
        <f t="shared" si="327"/>
        <v>1847.5000000000005</v>
      </c>
      <c r="X697" s="1614"/>
      <c r="Y697" s="1613"/>
      <c r="Z697" s="1612">
        <f t="shared" si="328"/>
        <v>0.41203148284947433</v>
      </c>
      <c r="AA697" s="1611"/>
      <c r="AB697" s="1611"/>
      <c r="AC697" s="1611"/>
      <c r="AD697" s="1611"/>
      <c r="AE697" s="1611"/>
      <c r="AF697" s="1611"/>
      <c r="AG697" s="1611"/>
      <c r="AH697" s="1611"/>
      <c r="AI697" s="1611"/>
      <c r="AJ697" s="1611"/>
      <c r="AK697" s="1611"/>
      <c r="AL697" s="1611"/>
      <c r="AM697" s="1611"/>
      <c r="AN697" s="1611"/>
      <c r="AO697" s="1611"/>
      <c r="AP697" s="1611"/>
      <c r="AQ697" s="1611"/>
    </row>
    <row r="698" spans="1:43" outlineLevel="2">
      <c r="A698" s="1638" t="s">
        <v>320</v>
      </c>
      <c r="B698" s="1637" t="s">
        <v>131</v>
      </c>
      <c r="C698" s="1636"/>
      <c r="D698" s="1635">
        <v>3</v>
      </c>
      <c r="E698" s="1634" t="s">
        <v>895</v>
      </c>
      <c r="F698" s="1633" t="s">
        <v>979</v>
      </c>
      <c r="G698" s="1632">
        <v>6116.21133330054</v>
      </c>
      <c r="H698" s="1632">
        <v>2851.55</v>
      </c>
      <c r="I698" s="1630">
        <f t="shared" si="316"/>
        <v>8967.7613333005393</v>
      </c>
      <c r="J698" s="1630">
        <f t="shared" si="317"/>
        <v>26903.283999901618</v>
      </c>
      <c r="K698" s="1631">
        <v>3755</v>
      </c>
      <c r="L698" s="1630">
        <f t="shared" si="318"/>
        <v>3755</v>
      </c>
      <c r="M698" s="1630">
        <f t="shared" si="319"/>
        <v>11265</v>
      </c>
      <c r="N698" s="1625">
        <f t="shared" si="320"/>
        <v>15638.283999901618</v>
      </c>
      <c r="O698" s="1629">
        <v>0.79710000000000003</v>
      </c>
      <c r="P698" s="1629">
        <v>0.2029</v>
      </c>
      <c r="Q698" s="1625">
        <f t="shared" si="321"/>
        <v>12465.27617632158</v>
      </c>
      <c r="R698" s="1628">
        <f t="shared" si="322"/>
        <v>3173.0078235800383</v>
      </c>
      <c r="S698" s="1627">
        <f t="shared" si="323"/>
        <v>5883.3578235800396</v>
      </c>
      <c r="T698" s="1627">
        <f t="shared" si="324"/>
        <v>5381.6421764199631</v>
      </c>
      <c r="U698" s="1626">
        <f t="shared" si="325"/>
        <v>1470.8394558950099</v>
      </c>
      <c r="V698" s="1626">
        <f t="shared" si="326"/>
        <v>1345.4105441049908</v>
      </c>
      <c r="W698" s="1625">
        <f t="shared" si="327"/>
        <v>2816.2500000000009</v>
      </c>
      <c r="X698" s="1614"/>
      <c r="Y698" s="1613"/>
      <c r="Z698" s="1612">
        <f t="shared" si="328"/>
        <v>0.41872211585920865</v>
      </c>
      <c r="AA698" s="1611"/>
      <c r="AB698" s="1611"/>
      <c r="AC698" s="1611"/>
      <c r="AD698" s="1611"/>
      <c r="AE698" s="1611"/>
      <c r="AF698" s="1611"/>
      <c r="AG698" s="1611"/>
      <c r="AH698" s="1611"/>
      <c r="AI698" s="1611"/>
      <c r="AJ698" s="1611"/>
      <c r="AK698" s="1611"/>
      <c r="AL698" s="1611"/>
      <c r="AM698" s="1611"/>
      <c r="AN698" s="1611"/>
      <c r="AO698" s="1611"/>
      <c r="AP698" s="1611"/>
      <c r="AQ698" s="1611"/>
    </row>
    <row r="699" spans="1:43" outlineLevel="2">
      <c r="A699" s="1638" t="s">
        <v>320</v>
      </c>
      <c r="B699" s="1637" t="s">
        <v>131</v>
      </c>
      <c r="C699" s="1636"/>
      <c r="D699" s="1635">
        <v>2</v>
      </c>
      <c r="E699" s="1634" t="s">
        <v>896</v>
      </c>
      <c r="F699" s="1633" t="s">
        <v>1070</v>
      </c>
      <c r="G699" s="1632">
        <v>6116.21133330054</v>
      </c>
      <c r="H699" s="1632">
        <v>2851.55</v>
      </c>
      <c r="I699" s="1630">
        <f t="shared" si="316"/>
        <v>8967.7613333005393</v>
      </c>
      <c r="J699" s="1630">
        <f t="shared" si="317"/>
        <v>17935.522666601079</v>
      </c>
      <c r="K699" s="1631">
        <v>5316.95</v>
      </c>
      <c r="L699" s="1630">
        <f t="shared" si="318"/>
        <v>5316.95</v>
      </c>
      <c r="M699" s="1630">
        <f t="shared" si="319"/>
        <v>10633.9</v>
      </c>
      <c r="N699" s="1625">
        <f t="shared" si="320"/>
        <v>7301.6226666010789</v>
      </c>
      <c r="O699" s="1629">
        <v>0.79710000000000003</v>
      </c>
      <c r="P699" s="1629">
        <v>0.2029</v>
      </c>
      <c r="Q699" s="1625">
        <f t="shared" si="321"/>
        <v>5820.12342754772</v>
      </c>
      <c r="R699" s="1628">
        <f t="shared" si="322"/>
        <v>1481.4992390533589</v>
      </c>
      <c r="S699" s="1627">
        <f t="shared" si="323"/>
        <v>6412.29923905336</v>
      </c>
      <c r="T699" s="1627">
        <f t="shared" si="324"/>
        <v>4221.6007609466415</v>
      </c>
      <c r="U699" s="1626">
        <f t="shared" si="325"/>
        <v>1603.07480976334</v>
      </c>
      <c r="V699" s="1626">
        <f t="shared" si="326"/>
        <v>1055.4001902366604</v>
      </c>
      <c r="W699" s="1625">
        <f t="shared" si="327"/>
        <v>2658.4750000000004</v>
      </c>
      <c r="X699" s="1614"/>
      <c r="Y699" s="1613"/>
      <c r="Z699" s="1612">
        <f t="shared" si="328"/>
        <v>0.5928960196851184</v>
      </c>
      <c r="AA699" s="1611"/>
      <c r="AB699" s="1611"/>
      <c r="AC699" s="1611"/>
      <c r="AD699" s="1611"/>
      <c r="AE699" s="1611"/>
      <c r="AF699" s="1611"/>
      <c r="AG699" s="1611"/>
      <c r="AH699" s="1611"/>
      <c r="AI699" s="1611"/>
      <c r="AJ699" s="1611"/>
      <c r="AK699" s="1611"/>
      <c r="AL699" s="1611"/>
      <c r="AM699" s="1611"/>
      <c r="AN699" s="1611"/>
      <c r="AO699" s="1611"/>
      <c r="AP699" s="1611"/>
      <c r="AQ699" s="1611"/>
    </row>
    <row r="700" spans="1:43" outlineLevel="2">
      <c r="A700" s="1638" t="s">
        <v>320</v>
      </c>
      <c r="B700" s="1637" t="s">
        <v>131</v>
      </c>
      <c r="C700" s="1636"/>
      <c r="D700" s="1635">
        <v>1</v>
      </c>
      <c r="E700" s="1634" t="s">
        <v>896</v>
      </c>
      <c r="F700" s="1633" t="s">
        <v>1069</v>
      </c>
      <c r="G700" s="1632">
        <v>6116.21133330054</v>
      </c>
      <c r="H700" s="1632">
        <v>2851.55</v>
      </c>
      <c r="I700" s="1630">
        <f t="shared" si="316"/>
        <v>8967.7613333005393</v>
      </c>
      <c r="J700" s="1630">
        <f t="shared" si="317"/>
        <v>8967.7613333005393</v>
      </c>
      <c r="K700" s="1631">
        <v>5316.95</v>
      </c>
      <c r="L700" s="1630">
        <f t="shared" si="318"/>
        <v>5316.95</v>
      </c>
      <c r="M700" s="1630">
        <f t="shared" si="319"/>
        <v>5316.95</v>
      </c>
      <c r="N700" s="1625">
        <f t="shared" si="320"/>
        <v>3650.8113333005394</v>
      </c>
      <c r="O700" s="1629">
        <v>0.79710000000000003</v>
      </c>
      <c r="P700" s="1629">
        <v>0.2029</v>
      </c>
      <c r="Q700" s="1625">
        <f t="shared" si="321"/>
        <v>2910.06171377386</v>
      </c>
      <c r="R700" s="1628">
        <f t="shared" si="322"/>
        <v>740.74961952667945</v>
      </c>
      <c r="S700" s="1627">
        <f t="shared" si="323"/>
        <v>3206.14961952668</v>
      </c>
      <c r="T700" s="1627">
        <f t="shared" si="324"/>
        <v>2110.8003804733207</v>
      </c>
      <c r="U700" s="1626">
        <f t="shared" si="325"/>
        <v>801.53740488167</v>
      </c>
      <c r="V700" s="1626">
        <f t="shared" si="326"/>
        <v>527.70009511833018</v>
      </c>
      <c r="W700" s="1625">
        <f t="shared" si="327"/>
        <v>1329.2375000000002</v>
      </c>
      <c r="X700" s="1614"/>
      <c r="Y700" s="1613"/>
      <c r="Z700" s="1612">
        <f t="shared" si="328"/>
        <v>0.5928960196851184</v>
      </c>
      <c r="AA700" s="1611"/>
      <c r="AB700" s="1611"/>
      <c r="AC700" s="1611"/>
      <c r="AD700" s="1611"/>
      <c r="AE700" s="1611"/>
      <c r="AF700" s="1611"/>
      <c r="AG700" s="1611"/>
      <c r="AH700" s="1611"/>
      <c r="AI700" s="1611"/>
      <c r="AJ700" s="1611"/>
      <c r="AK700" s="1611"/>
      <c r="AL700" s="1611"/>
      <c r="AM700" s="1611"/>
      <c r="AN700" s="1611"/>
      <c r="AO700" s="1611"/>
      <c r="AP700" s="1611"/>
      <c r="AQ700" s="1611"/>
    </row>
    <row r="701" spans="1:43" outlineLevel="2">
      <c r="A701" s="1638" t="s">
        <v>320</v>
      </c>
      <c r="B701" s="1637" t="s">
        <v>131</v>
      </c>
      <c r="C701" s="1636"/>
      <c r="D701" s="1635">
        <v>1</v>
      </c>
      <c r="E701" s="1634" t="s">
        <v>896</v>
      </c>
      <c r="F701" s="1633" t="s">
        <v>1063</v>
      </c>
      <c r="G701" s="1632">
        <v>6116.21133330054</v>
      </c>
      <c r="H701" s="1632">
        <v>2851.55</v>
      </c>
      <c r="I701" s="1630">
        <f t="shared" si="316"/>
        <v>8967.7613333005393</v>
      </c>
      <c r="J701" s="1630">
        <f t="shared" si="317"/>
        <v>8967.7613333005393</v>
      </c>
      <c r="K701" s="1631">
        <v>5316.95</v>
      </c>
      <c r="L701" s="1630">
        <f t="shared" si="318"/>
        <v>5316.95</v>
      </c>
      <c r="M701" s="1630">
        <f t="shared" si="319"/>
        <v>5316.95</v>
      </c>
      <c r="N701" s="1625">
        <f t="shared" si="320"/>
        <v>3650.8113333005394</v>
      </c>
      <c r="O701" s="1629">
        <v>0.79710000000000003</v>
      </c>
      <c r="P701" s="1629">
        <v>0.2029</v>
      </c>
      <c r="Q701" s="1625">
        <f t="shared" si="321"/>
        <v>2910.06171377386</v>
      </c>
      <c r="R701" s="1628">
        <f t="shared" si="322"/>
        <v>740.74961952667945</v>
      </c>
      <c r="S701" s="1627">
        <f t="shared" si="323"/>
        <v>3206.14961952668</v>
      </c>
      <c r="T701" s="1627">
        <f t="shared" si="324"/>
        <v>2110.8003804733207</v>
      </c>
      <c r="U701" s="1626">
        <f t="shared" si="325"/>
        <v>801.53740488167</v>
      </c>
      <c r="V701" s="1626">
        <f t="shared" si="326"/>
        <v>527.70009511833018</v>
      </c>
      <c r="W701" s="1625">
        <f t="shared" si="327"/>
        <v>1329.2375000000002</v>
      </c>
      <c r="X701" s="1614"/>
      <c r="Y701" s="1613"/>
      <c r="Z701" s="1612">
        <f t="shared" si="328"/>
        <v>0.5928960196851184</v>
      </c>
      <c r="AA701" s="1611"/>
      <c r="AB701" s="1611"/>
      <c r="AC701" s="1611"/>
      <c r="AD701" s="1611"/>
      <c r="AE701" s="1611"/>
      <c r="AF701" s="1611"/>
      <c r="AG701" s="1611"/>
      <c r="AH701" s="1611"/>
      <c r="AI701" s="1611"/>
      <c r="AJ701" s="1611"/>
      <c r="AK701" s="1611"/>
      <c r="AL701" s="1611"/>
      <c r="AM701" s="1611"/>
      <c r="AN701" s="1611"/>
      <c r="AO701" s="1611"/>
      <c r="AP701" s="1611"/>
      <c r="AQ701" s="1611"/>
    </row>
    <row r="702" spans="1:43" outlineLevel="2">
      <c r="A702" s="1638" t="s">
        <v>320</v>
      </c>
      <c r="B702" s="1637" t="s">
        <v>131</v>
      </c>
      <c r="C702" s="1636"/>
      <c r="D702" s="1635">
        <v>12</v>
      </c>
      <c r="E702" s="1634" t="s">
        <v>896</v>
      </c>
      <c r="F702" s="1633" t="s">
        <v>979</v>
      </c>
      <c r="G702" s="1632">
        <v>6116.21133330054</v>
      </c>
      <c r="H702" s="1632">
        <v>2851.55</v>
      </c>
      <c r="I702" s="1630">
        <f t="shared" si="316"/>
        <v>8967.7613333005393</v>
      </c>
      <c r="J702" s="1630">
        <f t="shared" si="317"/>
        <v>107613.13599960647</v>
      </c>
      <c r="K702" s="1631">
        <v>5341.95</v>
      </c>
      <c r="L702" s="1630">
        <f t="shared" si="318"/>
        <v>5341.95</v>
      </c>
      <c r="M702" s="1630">
        <f t="shared" si="319"/>
        <v>64103.399999999994</v>
      </c>
      <c r="N702" s="1625">
        <f t="shared" si="320"/>
        <v>43509.735999606477</v>
      </c>
      <c r="O702" s="1629">
        <v>0.79710000000000003</v>
      </c>
      <c r="P702" s="1629">
        <v>0.2029</v>
      </c>
      <c r="Q702" s="1625">
        <f t="shared" si="321"/>
        <v>34681.610565286326</v>
      </c>
      <c r="R702" s="1628">
        <f t="shared" si="322"/>
        <v>8828.1254343201545</v>
      </c>
      <c r="S702" s="1627">
        <f t="shared" si="323"/>
        <v>38712.925434320154</v>
      </c>
      <c r="T702" s="1627">
        <f t="shared" si="324"/>
        <v>25390.474565679851</v>
      </c>
      <c r="U702" s="1626">
        <f t="shared" si="325"/>
        <v>9678.2313585800384</v>
      </c>
      <c r="V702" s="1626">
        <f t="shared" si="326"/>
        <v>6347.6186414199628</v>
      </c>
      <c r="W702" s="1625">
        <f t="shared" si="327"/>
        <v>16025.850000000002</v>
      </c>
      <c r="X702" s="1614"/>
      <c r="Y702" s="1613"/>
      <c r="Z702" s="1612">
        <f t="shared" si="328"/>
        <v>0.59568378343917439</v>
      </c>
      <c r="AA702" s="1611"/>
      <c r="AB702" s="1611"/>
      <c r="AC702" s="1611"/>
      <c r="AD702" s="1611"/>
      <c r="AE702" s="1611"/>
      <c r="AF702" s="1611"/>
      <c r="AG702" s="1611"/>
      <c r="AH702" s="1611"/>
      <c r="AI702" s="1611"/>
      <c r="AJ702" s="1611"/>
      <c r="AK702" s="1611"/>
      <c r="AL702" s="1611"/>
      <c r="AM702" s="1611"/>
      <c r="AN702" s="1611"/>
      <c r="AO702" s="1611"/>
      <c r="AP702" s="1611"/>
      <c r="AQ702" s="1611"/>
    </row>
    <row r="703" spans="1:43" outlineLevel="2">
      <c r="A703" s="1638" t="s">
        <v>320</v>
      </c>
      <c r="B703" s="1637" t="s">
        <v>131</v>
      </c>
      <c r="C703" s="1636"/>
      <c r="D703" s="1635">
        <v>1</v>
      </c>
      <c r="E703" s="1634" t="s">
        <v>892</v>
      </c>
      <c r="F703" s="1633" t="s">
        <v>1064</v>
      </c>
      <c r="G703" s="1632">
        <v>6116.21133330054</v>
      </c>
      <c r="H703" s="1632">
        <v>2851.55</v>
      </c>
      <c r="I703" s="1630">
        <f t="shared" si="316"/>
        <v>8967.7613333005393</v>
      </c>
      <c r="J703" s="1630">
        <f t="shared" si="317"/>
        <v>8967.7613333005393</v>
      </c>
      <c r="K703" s="1631">
        <v>7250</v>
      </c>
      <c r="L703" s="1630">
        <f t="shared" si="318"/>
        <v>7250</v>
      </c>
      <c r="M703" s="1630">
        <f t="shared" si="319"/>
        <v>7250</v>
      </c>
      <c r="N703" s="1625">
        <f t="shared" si="320"/>
        <v>1717.7613333005393</v>
      </c>
      <c r="O703" s="1629">
        <v>0.79710000000000003</v>
      </c>
      <c r="P703" s="1629">
        <v>0.2029</v>
      </c>
      <c r="Q703" s="1625">
        <f t="shared" si="321"/>
        <v>1369.22755877386</v>
      </c>
      <c r="R703" s="1628">
        <f t="shared" si="322"/>
        <v>348.53377452667939</v>
      </c>
      <c r="S703" s="1627">
        <f t="shared" si="323"/>
        <v>4746.9837745266796</v>
      </c>
      <c r="T703" s="1627">
        <f t="shared" si="324"/>
        <v>2503.0162254733209</v>
      </c>
      <c r="U703" s="1626">
        <f t="shared" si="325"/>
        <v>1186.7459436316699</v>
      </c>
      <c r="V703" s="1626">
        <f t="shared" si="326"/>
        <v>625.75405636833023</v>
      </c>
      <c r="W703" s="1625">
        <f t="shared" si="327"/>
        <v>1812.5</v>
      </c>
      <c r="X703" s="1614"/>
      <c r="Y703" s="1613"/>
      <c r="Z703" s="1612">
        <f t="shared" si="328"/>
        <v>0.80845148867623506</v>
      </c>
      <c r="AA703" s="1611"/>
      <c r="AB703" s="1611"/>
      <c r="AC703" s="1611"/>
      <c r="AD703" s="1611"/>
      <c r="AE703" s="1611"/>
      <c r="AF703" s="1611"/>
      <c r="AG703" s="1611"/>
      <c r="AH703" s="1611"/>
      <c r="AI703" s="1611"/>
      <c r="AJ703" s="1611"/>
      <c r="AK703" s="1611"/>
      <c r="AL703" s="1611"/>
      <c r="AM703" s="1611"/>
      <c r="AN703" s="1611"/>
      <c r="AO703" s="1611"/>
      <c r="AP703" s="1611"/>
      <c r="AQ703" s="1611"/>
    </row>
    <row r="704" spans="1:43" outlineLevel="2">
      <c r="A704" s="1638" t="s">
        <v>320</v>
      </c>
      <c r="B704" s="1637" t="s">
        <v>131</v>
      </c>
      <c r="C704" s="1636"/>
      <c r="D704" s="1635">
        <v>1</v>
      </c>
      <c r="E704" s="1634" t="s">
        <v>892</v>
      </c>
      <c r="F704" s="1633" t="s">
        <v>1063</v>
      </c>
      <c r="G704" s="1632">
        <v>6116.21133330054</v>
      </c>
      <c r="H704" s="1632">
        <v>2851.55</v>
      </c>
      <c r="I704" s="1630">
        <f t="shared" si="316"/>
        <v>8967.7613333005393</v>
      </c>
      <c r="J704" s="1630">
        <f t="shared" si="317"/>
        <v>8967.7613333005393</v>
      </c>
      <c r="K704" s="1631">
        <v>7250</v>
      </c>
      <c r="L704" s="1630">
        <f t="shared" si="318"/>
        <v>7250</v>
      </c>
      <c r="M704" s="1630">
        <f t="shared" si="319"/>
        <v>7250</v>
      </c>
      <c r="N704" s="1625">
        <f t="shared" si="320"/>
        <v>1717.7613333005393</v>
      </c>
      <c r="O704" s="1629">
        <v>0.79710000000000003</v>
      </c>
      <c r="P704" s="1629">
        <v>0.2029</v>
      </c>
      <c r="Q704" s="1625">
        <f t="shared" si="321"/>
        <v>1369.22755877386</v>
      </c>
      <c r="R704" s="1628">
        <f t="shared" si="322"/>
        <v>348.53377452667939</v>
      </c>
      <c r="S704" s="1627">
        <f t="shared" si="323"/>
        <v>4746.9837745266796</v>
      </c>
      <c r="T704" s="1627">
        <f t="shared" si="324"/>
        <v>2503.0162254733209</v>
      </c>
      <c r="U704" s="1626">
        <f t="shared" si="325"/>
        <v>1186.7459436316699</v>
      </c>
      <c r="V704" s="1626">
        <f t="shared" si="326"/>
        <v>625.75405636833023</v>
      </c>
      <c r="W704" s="1625">
        <f t="shared" si="327"/>
        <v>1812.5</v>
      </c>
      <c r="X704" s="1614"/>
      <c r="Y704" s="1613"/>
      <c r="Z704" s="1612">
        <f t="shared" si="328"/>
        <v>0.80845148867623506</v>
      </c>
      <c r="AA704" s="1611"/>
      <c r="AB704" s="1611"/>
      <c r="AC704" s="1611"/>
      <c r="AD704" s="1611"/>
      <c r="AE704" s="1611"/>
      <c r="AF704" s="1611"/>
      <c r="AG704" s="1611"/>
      <c r="AH704" s="1611"/>
      <c r="AI704" s="1611"/>
      <c r="AJ704" s="1611"/>
      <c r="AK704" s="1611"/>
      <c r="AL704" s="1611"/>
      <c r="AM704" s="1611"/>
      <c r="AN704" s="1611"/>
      <c r="AO704" s="1611"/>
      <c r="AP704" s="1611"/>
      <c r="AQ704" s="1611"/>
    </row>
    <row r="705" spans="1:43" outlineLevel="1">
      <c r="A705" s="1624"/>
      <c r="B705" s="1623" t="s">
        <v>1096</v>
      </c>
      <c r="C705" s="1622"/>
      <c r="D705" s="1621">
        <f>SUBTOTAL(9,D685:D704)</f>
        <v>49</v>
      </c>
      <c r="E705" s="1620"/>
      <c r="F705" s="1639"/>
      <c r="G705" s="1639"/>
      <c r="H705" s="1639"/>
      <c r="I705" s="1616"/>
      <c r="J705" s="1616">
        <f>SUBTOTAL(9,J685:J704)</f>
        <v>439420.30533172644</v>
      </c>
      <c r="K705" s="1615"/>
      <c r="L705" s="1616"/>
      <c r="M705" s="1616">
        <f>SUBTOTAL(9,M685:M704)</f>
        <v>233103.2</v>
      </c>
      <c r="N705" s="1615">
        <f>SUBTOTAL(9,N685:N704)</f>
        <v>206317.10533172643</v>
      </c>
      <c r="O705" s="1616"/>
      <c r="P705" s="1616"/>
      <c r="Q705" s="1615">
        <f t="shared" ref="Q705:W705" si="329">SUBTOTAL(9,Q685:Q704)</f>
        <v>164455.36465991911</v>
      </c>
      <c r="R705" s="1615">
        <f t="shared" si="329"/>
        <v>41861.740671807296</v>
      </c>
      <c r="S705" s="1616">
        <f t="shared" si="329"/>
        <v>135238.99067180732</v>
      </c>
      <c r="T705" s="1616">
        <f t="shared" si="329"/>
        <v>97864.209328192694</v>
      </c>
      <c r="U705" s="1616">
        <f t="shared" si="329"/>
        <v>33809.747667951829</v>
      </c>
      <c r="V705" s="1616">
        <f t="shared" si="329"/>
        <v>24466.052332048173</v>
      </c>
      <c r="W705" s="1615">
        <f t="shared" si="329"/>
        <v>58275.800000000017</v>
      </c>
      <c r="X705" s="1614"/>
      <c r="Y705" s="1613"/>
      <c r="Z705" s="1612"/>
      <c r="AA705" s="1611"/>
      <c r="AB705" s="1611"/>
      <c r="AC705" s="1611"/>
      <c r="AD705" s="1611"/>
      <c r="AE705" s="1611"/>
      <c r="AF705" s="1611"/>
      <c r="AG705" s="1611"/>
      <c r="AH705" s="1611"/>
      <c r="AI705" s="1611"/>
      <c r="AJ705" s="1611"/>
      <c r="AK705" s="1611"/>
      <c r="AL705" s="1611"/>
      <c r="AM705" s="1611"/>
      <c r="AN705" s="1611"/>
      <c r="AO705" s="1611"/>
      <c r="AP705" s="1611"/>
      <c r="AQ705" s="1611"/>
    </row>
    <row r="706" spans="1:43" outlineLevel="2">
      <c r="A706" s="1638" t="s">
        <v>321</v>
      </c>
      <c r="B706" s="1637" t="s">
        <v>132</v>
      </c>
      <c r="C706" s="1636"/>
      <c r="D706" s="1635">
        <v>1</v>
      </c>
      <c r="E706" s="1634" t="s">
        <v>920</v>
      </c>
      <c r="F706" s="1633" t="s">
        <v>979</v>
      </c>
      <c r="G706" s="1632">
        <v>2884.150732555473</v>
      </c>
      <c r="H706" s="1632">
        <v>6020.01</v>
      </c>
      <c r="I706" s="1630">
        <f>G706+H706</f>
        <v>8904.1607325554724</v>
      </c>
      <c r="J706" s="1630">
        <f>D706*I706</f>
        <v>8904.1607325554724</v>
      </c>
      <c r="K706" s="1631">
        <v>3815</v>
      </c>
      <c r="L706" s="1630">
        <f>IF(I706&gt;K706,K706,I706)</f>
        <v>3815</v>
      </c>
      <c r="M706" s="1630">
        <f>L706*D706</f>
        <v>3815</v>
      </c>
      <c r="N706" s="1625">
        <f>J706-M706</f>
        <v>5089.1607325554724</v>
      </c>
      <c r="O706" s="1629">
        <v>0.25</v>
      </c>
      <c r="P706" s="1629">
        <v>0.75</v>
      </c>
      <c r="Q706" s="1625">
        <f>N706*O706</f>
        <v>1272.2901831388681</v>
      </c>
      <c r="R706" s="1628">
        <f>N706*P706</f>
        <v>3816.8705494166043</v>
      </c>
      <c r="S706" s="1627">
        <f>(G706*D706)-Q706</f>
        <v>1611.860549416605</v>
      </c>
      <c r="T706" s="1627">
        <f>(H706*D706)-R706</f>
        <v>2203.139450583396</v>
      </c>
      <c r="U706" s="1626">
        <f>S706/4</f>
        <v>402.96513735415124</v>
      </c>
      <c r="V706" s="1626">
        <f>T706/4</f>
        <v>550.78486264584899</v>
      </c>
      <c r="W706" s="1625">
        <f>V706+U706</f>
        <v>953.75000000000023</v>
      </c>
      <c r="X706" s="1614"/>
      <c r="Y706" s="1613"/>
      <c r="Z706" s="1612">
        <f>K706/I706</f>
        <v>0.42845138521046267</v>
      </c>
      <c r="AA706" s="1611"/>
      <c r="AB706" s="1611"/>
      <c r="AC706" s="1611"/>
      <c r="AD706" s="1611"/>
      <c r="AE706" s="1611"/>
      <c r="AF706" s="1611"/>
      <c r="AG706" s="1611"/>
      <c r="AH706" s="1611"/>
      <c r="AI706" s="1611"/>
      <c r="AJ706" s="1611"/>
      <c r="AK706" s="1611"/>
      <c r="AL706" s="1611"/>
      <c r="AM706" s="1611"/>
      <c r="AN706" s="1611"/>
      <c r="AO706" s="1611"/>
      <c r="AP706" s="1611"/>
      <c r="AQ706" s="1611"/>
    </row>
    <row r="707" spans="1:43" outlineLevel="1">
      <c r="A707" s="1624"/>
      <c r="B707" s="1623" t="s">
        <v>1095</v>
      </c>
      <c r="C707" s="1622"/>
      <c r="D707" s="1621">
        <f>SUBTOTAL(9,D706:D706)</f>
        <v>1</v>
      </c>
      <c r="E707" s="1620"/>
      <c r="F707" s="1639"/>
      <c r="G707" s="1639"/>
      <c r="H707" s="1639"/>
      <c r="I707" s="1616"/>
      <c r="J707" s="1616">
        <f>SUBTOTAL(9,J706:J706)</f>
        <v>8904.1607325554724</v>
      </c>
      <c r="K707" s="1615"/>
      <c r="L707" s="1616"/>
      <c r="M707" s="1616">
        <f>SUBTOTAL(9,M706:M706)</f>
        <v>3815</v>
      </c>
      <c r="N707" s="1615">
        <f>SUBTOTAL(9,N706:N706)</f>
        <v>5089.1607325554724</v>
      </c>
      <c r="O707" s="1616"/>
      <c r="P707" s="1616"/>
      <c r="Q707" s="1615">
        <f t="shared" ref="Q707:W707" si="330">SUBTOTAL(9,Q706:Q706)</f>
        <v>1272.2901831388681</v>
      </c>
      <c r="R707" s="1615">
        <f t="shared" si="330"/>
        <v>3816.8705494166043</v>
      </c>
      <c r="S707" s="1616">
        <f t="shared" si="330"/>
        <v>1611.860549416605</v>
      </c>
      <c r="T707" s="1616">
        <f t="shared" si="330"/>
        <v>2203.139450583396</v>
      </c>
      <c r="U707" s="1616">
        <f t="shared" si="330"/>
        <v>402.96513735415124</v>
      </c>
      <c r="V707" s="1616">
        <f t="shared" si="330"/>
        <v>550.78486264584899</v>
      </c>
      <c r="W707" s="1615">
        <f t="shared" si="330"/>
        <v>953.75000000000023</v>
      </c>
      <c r="X707" s="1614"/>
      <c r="Y707" s="1613"/>
      <c r="Z707" s="1612"/>
      <c r="AA707" s="1611"/>
      <c r="AB707" s="1611"/>
      <c r="AC707" s="1611"/>
      <c r="AD707" s="1611"/>
      <c r="AE707" s="1611"/>
      <c r="AF707" s="1611"/>
      <c r="AG707" s="1611"/>
      <c r="AH707" s="1611"/>
      <c r="AI707" s="1611"/>
      <c r="AJ707" s="1611"/>
      <c r="AK707" s="1611"/>
      <c r="AL707" s="1611"/>
      <c r="AM707" s="1611"/>
      <c r="AN707" s="1611"/>
      <c r="AO707" s="1611"/>
      <c r="AP707" s="1611"/>
      <c r="AQ707" s="1611"/>
    </row>
    <row r="708" spans="1:43" outlineLevel="2">
      <c r="A708" s="1638" t="s">
        <v>322</v>
      </c>
      <c r="B708" s="1637" t="s">
        <v>133</v>
      </c>
      <c r="C708" s="1636"/>
      <c r="D708" s="1635">
        <v>2</v>
      </c>
      <c r="E708" s="1634" t="s">
        <v>946</v>
      </c>
      <c r="F708" s="1633" t="s">
        <v>1063</v>
      </c>
      <c r="G708" s="1632">
        <v>4463.515102953188</v>
      </c>
      <c r="H708" s="1632">
        <v>4417.3599999999997</v>
      </c>
      <c r="I708" s="1630">
        <f t="shared" ref="I708:I716" si="331">G708+H708</f>
        <v>8880.8751029531886</v>
      </c>
      <c r="J708" s="1630">
        <f t="shared" ref="J708:J716" si="332">D708*I708</f>
        <v>17761.750205906377</v>
      </c>
      <c r="K708" s="1631">
        <v>5530</v>
      </c>
      <c r="L708" s="1630">
        <f t="shared" ref="L708:L716" si="333">IF(I708&gt;K708,K708,I708)</f>
        <v>5530</v>
      </c>
      <c r="M708" s="1630">
        <f t="shared" ref="M708:M716" si="334">L708*D708</f>
        <v>11060</v>
      </c>
      <c r="N708" s="1625">
        <f t="shared" ref="N708:N716" si="335">J708-M708</f>
        <v>6701.7502059063772</v>
      </c>
      <c r="O708" s="1629">
        <v>0.50629999999999997</v>
      </c>
      <c r="P708" s="1629">
        <v>0.49370000000000003</v>
      </c>
      <c r="Q708" s="1625">
        <f t="shared" ref="Q708:Q716" si="336">N708*O708</f>
        <v>3393.0961292503985</v>
      </c>
      <c r="R708" s="1628">
        <f t="shared" ref="R708:R716" si="337">N708*P708</f>
        <v>3308.6540766559788</v>
      </c>
      <c r="S708" s="1627">
        <f t="shared" ref="S708:S716" si="338">(G708*D708)-Q708</f>
        <v>5533.9340766559781</v>
      </c>
      <c r="T708" s="1627">
        <f t="shared" ref="T708:T716" si="339">(H708*D708)-R708</f>
        <v>5526.0659233440201</v>
      </c>
      <c r="U708" s="1626">
        <f t="shared" ref="U708:U716" si="340">S708/4</f>
        <v>1383.4835191639945</v>
      </c>
      <c r="V708" s="1626">
        <f t="shared" ref="V708:V716" si="341">T708/4</f>
        <v>1381.516480836005</v>
      </c>
      <c r="W708" s="1625">
        <f t="shared" ref="W708:W716" si="342">V708+U708</f>
        <v>2764.9999999999995</v>
      </c>
      <c r="X708" s="1614"/>
      <c r="Y708" s="1613"/>
      <c r="Z708" s="1612">
        <f t="shared" ref="Z708:Z716" si="343">K708/I708</f>
        <v>0.62268638348050742</v>
      </c>
      <c r="AA708" s="1611"/>
      <c r="AB708" s="1611"/>
      <c r="AC708" s="1611"/>
      <c r="AD708" s="1611"/>
      <c r="AE708" s="1611"/>
      <c r="AF708" s="1611"/>
      <c r="AG708" s="1611"/>
      <c r="AH708" s="1611"/>
      <c r="AI708" s="1611"/>
      <c r="AJ708" s="1611"/>
      <c r="AK708" s="1611"/>
      <c r="AL708" s="1611"/>
      <c r="AM708" s="1611"/>
      <c r="AN708" s="1611"/>
      <c r="AO708" s="1611"/>
      <c r="AP708" s="1611"/>
      <c r="AQ708" s="1611"/>
    </row>
    <row r="709" spans="1:43" outlineLevel="2">
      <c r="A709" s="1638" t="s">
        <v>322</v>
      </c>
      <c r="B709" s="1637" t="s">
        <v>133</v>
      </c>
      <c r="C709" s="1636"/>
      <c r="D709" s="1635">
        <v>1</v>
      </c>
      <c r="E709" s="1634" t="s">
        <v>946</v>
      </c>
      <c r="F709" s="1633" t="s">
        <v>1066</v>
      </c>
      <c r="G709" s="1632">
        <v>4463.515102953188</v>
      </c>
      <c r="H709" s="1632">
        <v>4417.3599999999997</v>
      </c>
      <c r="I709" s="1630">
        <f t="shared" si="331"/>
        <v>8880.8751029531886</v>
      </c>
      <c r="J709" s="1630">
        <f t="shared" si="332"/>
        <v>8880.8751029531886</v>
      </c>
      <c r="K709" s="1631">
        <v>5530</v>
      </c>
      <c r="L709" s="1630">
        <f t="shared" si="333"/>
        <v>5530</v>
      </c>
      <c r="M709" s="1630">
        <f t="shared" si="334"/>
        <v>5530</v>
      </c>
      <c r="N709" s="1625">
        <f t="shared" si="335"/>
        <v>3350.8751029531886</v>
      </c>
      <c r="O709" s="1629">
        <v>0.50629999999999997</v>
      </c>
      <c r="P709" s="1629">
        <v>0.49370000000000003</v>
      </c>
      <c r="Q709" s="1625">
        <f t="shared" si="336"/>
        <v>1696.5480646251992</v>
      </c>
      <c r="R709" s="1628">
        <f t="shared" si="337"/>
        <v>1654.3270383279894</v>
      </c>
      <c r="S709" s="1627">
        <f t="shared" si="338"/>
        <v>2766.967038327989</v>
      </c>
      <c r="T709" s="1627">
        <f t="shared" si="339"/>
        <v>2763.0329616720101</v>
      </c>
      <c r="U709" s="1626">
        <f t="shared" si="340"/>
        <v>691.74175958199726</v>
      </c>
      <c r="V709" s="1626">
        <f t="shared" si="341"/>
        <v>690.75824041800252</v>
      </c>
      <c r="W709" s="1625">
        <f t="shared" si="342"/>
        <v>1382.4999999999998</v>
      </c>
      <c r="X709" s="1614"/>
      <c r="Y709" s="1613"/>
      <c r="Z709" s="1612">
        <f t="shared" si="343"/>
        <v>0.62268638348050742</v>
      </c>
      <c r="AA709" s="1611"/>
      <c r="AB709" s="1611"/>
      <c r="AC709" s="1611"/>
      <c r="AD709" s="1611"/>
      <c r="AE709" s="1611"/>
      <c r="AF709" s="1611"/>
      <c r="AG709" s="1611"/>
      <c r="AH709" s="1611"/>
      <c r="AI709" s="1611"/>
      <c r="AJ709" s="1611"/>
      <c r="AK709" s="1611"/>
      <c r="AL709" s="1611"/>
      <c r="AM709" s="1611"/>
      <c r="AN709" s="1611"/>
      <c r="AO709" s="1611"/>
      <c r="AP709" s="1611"/>
      <c r="AQ709" s="1611"/>
    </row>
    <row r="710" spans="1:43" outlineLevel="2">
      <c r="A710" s="1638" t="s">
        <v>322</v>
      </c>
      <c r="B710" s="1637" t="s">
        <v>133</v>
      </c>
      <c r="C710" s="1636"/>
      <c r="D710" s="1635">
        <v>3</v>
      </c>
      <c r="E710" s="1634" t="s">
        <v>946</v>
      </c>
      <c r="F710" s="1633" t="s">
        <v>1067</v>
      </c>
      <c r="G710" s="1632">
        <v>4463.515102953188</v>
      </c>
      <c r="H710" s="1632">
        <v>4417.3599999999997</v>
      </c>
      <c r="I710" s="1630">
        <f t="shared" si="331"/>
        <v>8880.8751029531886</v>
      </c>
      <c r="J710" s="1630">
        <f t="shared" si="332"/>
        <v>26642.625308859566</v>
      </c>
      <c r="K710" s="1631">
        <v>5625</v>
      </c>
      <c r="L710" s="1630">
        <f t="shared" si="333"/>
        <v>5625</v>
      </c>
      <c r="M710" s="1630">
        <f t="shared" si="334"/>
        <v>16875</v>
      </c>
      <c r="N710" s="1625">
        <f t="shared" si="335"/>
        <v>9767.6253088595658</v>
      </c>
      <c r="O710" s="1629">
        <v>0.50629999999999997</v>
      </c>
      <c r="P710" s="1629">
        <v>0.49370000000000003</v>
      </c>
      <c r="Q710" s="1625">
        <f t="shared" si="336"/>
        <v>4945.3486938755977</v>
      </c>
      <c r="R710" s="1628">
        <f t="shared" si="337"/>
        <v>4822.2766149839681</v>
      </c>
      <c r="S710" s="1627">
        <f t="shared" si="338"/>
        <v>8445.1966149839664</v>
      </c>
      <c r="T710" s="1627">
        <f t="shared" si="339"/>
        <v>8429.80338501603</v>
      </c>
      <c r="U710" s="1626">
        <f t="shared" si="340"/>
        <v>2111.2991537459916</v>
      </c>
      <c r="V710" s="1626">
        <f t="shared" si="341"/>
        <v>2107.4508462540075</v>
      </c>
      <c r="W710" s="1625">
        <f t="shared" si="342"/>
        <v>4218.7499999999991</v>
      </c>
      <c r="X710" s="1614"/>
      <c r="Y710" s="1613"/>
      <c r="Z710" s="1612">
        <f t="shared" si="343"/>
        <v>0.63338352750051619</v>
      </c>
      <c r="AA710" s="1611"/>
      <c r="AB710" s="1611"/>
      <c r="AC710" s="1611"/>
      <c r="AD710" s="1611"/>
      <c r="AE710" s="1611"/>
      <c r="AF710" s="1611"/>
      <c r="AG710" s="1611"/>
      <c r="AH710" s="1611"/>
      <c r="AI710" s="1611"/>
      <c r="AJ710" s="1611"/>
      <c r="AK710" s="1611"/>
      <c r="AL710" s="1611"/>
      <c r="AM710" s="1611"/>
      <c r="AN710" s="1611"/>
      <c r="AO710" s="1611"/>
      <c r="AP710" s="1611"/>
      <c r="AQ710" s="1611"/>
    </row>
    <row r="711" spans="1:43" outlineLevel="2">
      <c r="A711" s="1638" t="s">
        <v>322</v>
      </c>
      <c r="B711" s="1637" t="s">
        <v>133</v>
      </c>
      <c r="C711" s="1636"/>
      <c r="D711" s="1635">
        <v>4</v>
      </c>
      <c r="E711" s="1634" t="s">
        <v>901</v>
      </c>
      <c r="F711" s="1633" t="s">
        <v>1070</v>
      </c>
      <c r="G711" s="1632">
        <v>4463.515102953188</v>
      </c>
      <c r="H711" s="1632">
        <v>4417.3599999999997</v>
      </c>
      <c r="I711" s="1630">
        <f t="shared" si="331"/>
        <v>8880.8751029531886</v>
      </c>
      <c r="J711" s="1630">
        <f t="shared" si="332"/>
        <v>35523.500411812754</v>
      </c>
      <c r="K711" s="1631">
        <v>4255</v>
      </c>
      <c r="L711" s="1630">
        <f t="shared" si="333"/>
        <v>4255</v>
      </c>
      <c r="M711" s="1630">
        <f t="shared" si="334"/>
        <v>17020</v>
      </c>
      <c r="N711" s="1625">
        <f t="shared" si="335"/>
        <v>18503.500411812754</v>
      </c>
      <c r="O711" s="1629">
        <v>0.50629999999999997</v>
      </c>
      <c r="P711" s="1629">
        <v>0.49370000000000003</v>
      </c>
      <c r="Q711" s="1625">
        <f t="shared" si="336"/>
        <v>9368.322258500797</v>
      </c>
      <c r="R711" s="1628">
        <f t="shared" si="337"/>
        <v>9135.1781533119574</v>
      </c>
      <c r="S711" s="1627">
        <f t="shared" si="338"/>
        <v>8485.7381533119551</v>
      </c>
      <c r="T711" s="1627">
        <f t="shared" si="339"/>
        <v>8534.2618466880413</v>
      </c>
      <c r="U711" s="1626">
        <f t="shared" si="340"/>
        <v>2121.4345383279888</v>
      </c>
      <c r="V711" s="1626">
        <f t="shared" si="341"/>
        <v>2133.5654616720103</v>
      </c>
      <c r="W711" s="1625">
        <f t="shared" si="342"/>
        <v>4254.9999999999991</v>
      </c>
      <c r="X711" s="1614"/>
      <c r="Y711" s="1613"/>
      <c r="Z711" s="1612">
        <f t="shared" si="343"/>
        <v>0.4791194505803904</v>
      </c>
      <c r="AA711" s="1611"/>
      <c r="AB711" s="1611"/>
      <c r="AC711" s="1611"/>
      <c r="AD711" s="1611"/>
      <c r="AE711" s="1611"/>
      <c r="AF711" s="1611"/>
      <c r="AG711" s="1611"/>
      <c r="AH711" s="1611"/>
      <c r="AI711" s="1611"/>
      <c r="AJ711" s="1611"/>
      <c r="AK711" s="1611"/>
      <c r="AL711" s="1611"/>
      <c r="AM711" s="1611"/>
      <c r="AN711" s="1611"/>
      <c r="AO711" s="1611"/>
      <c r="AP711" s="1611"/>
      <c r="AQ711" s="1611"/>
    </row>
    <row r="712" spans="1:43" outlineLevel="2">
      <c r="A712" s="1638" t="s">
        <v>322</v>
      </c>
      <c r="B712" s="1637" t="s">
        <v>133</v>
      </c>
      <c r="C712" s="1636"/>
      <c r="D712" s="1635">
        <v>2</v>
      </c>
      <c r="E712" s="1634" t="s">
        <v>901</v>
      </c>
      <c r="F712" s="1633" t="s">
        <v>1068</v>
      </c>
      <c r="G712" s="1632">
        <v>4463.515102953188</v>
      </c>
      <c r="H712" s="1632">
        <v>4417.3599999999997</v>
      </c>
      <c r="I712" s="1630">
        <f t="shared" si="331"/>
        <v>8880.8751029531886</v>
      </c>
      <c r="J712" s="1630">
        <f t="shared" si="332"/>
        <v>17761.750205906377</v>
      </c>
      <c r="K712" s="1631">
        <v>4255</v>
      </c>
      <c r="L712" s="1630">
        <f t="shared" si="333"/>
        <v>4255</v>
      </c>
      <c r="M712" s="1630">
        <f t="shared" si="334"/>
        <v>8510</v>
      </c>
      <c r="N712" s="1625">
        <f t="shared" si="335"/>
        <v>9251.7502059063772</v>
      </c>
      <c r="O712" s="1629">
        <v>0.50629999999999997</v>
      </c>
      <c r="P712" s="1629">
        <v>0.49370000000000003</v>
      </c>
      <c r="Q712" s="1625">
        <f t="shared" si="336"/>
        <v>4684.1611292503985</v>
      </c>
      <c r="R712" s="1628">
        <f t="shared" si="337"/>
        <v>4567.5890766559787</v>
      </c>
      <c r="S712" s="1627">
        <f t="shared" si="338"/>
        <v>4242.8690766559776</v>
      </c>
      <c r="T712" s="1627">
        <f t="shared" si="339"/>
        <v>4267.1309233440206</v>
      </c>
      <c r="U712" s="1626">
        <f t="shared" si="340"/>
        <v>1060.7172691639944</v>
      </c>
      <c r="V712" s="1626">
        <f t="shared" si="341"/>
        <v>1066.7827308360052</v>
      </c>
      <c r="W712" s="1625">
        <f t="shared" si="342"/>
        <v>2127.4999999999995</v>
      </c>
      <c r="X712" s="1614"/>
      <c r="Y712" s="1613"/>
      <c r="Z712" s="1612">
        <f t="shared" si="343"/>
        <v>0.4791194505803904</v>
      </c>
      <c r="AA712" s="1611"/>
      <c r="AB712" s="1611"/>
      <c r="AC712" s="1611"/>
      <c r="AD712" s="1611"/>
      <c r="AE712" s="1611"/>
      <c r="AF712" s="1611"/>
      <c r="AG712" s="1611"/>
      <c r="AH712" s="1611"/>
      <c r="AI712" s="1611"/>
      <c r="AJ712" s="1611"/>
      <c r="AK712" s="1611"/>
      <c r="AL712" s="1611"/>
      <c r="AM712" s="1611"/>
      <c r="AN712" s="1611"/>
      <c r="AO712" s="1611"/>
      <c r="AP712" s="1611"/>
      <c r="AQ712" s="1611"/>
    </row>
    <row r="713" spans="1:43" outlineLevel="2">
      <c r="A713" s="1638" t="s">
        <v>322</v>
      </c>
      <c r="B713" s="1637" t="s">
        <v>133</v>
      </c>
      <c r="C713" s="1636"/>
      <c r="D713" s="1635">
        <v>6</v>
      </c>
      <c r="E713" s="1634" t="s">
        <v>901</v>
      </c>
      <c r="F713" s="1633" t="s">
        <v>1071</v>
      </c>
      <c r="G713" s="1632">
        <v>4463.515102953188</v>
      </c>
      <c r="H713" s="1632">
        <v>4417.3599999999997</v>
      </c>
      <c r="I713" s="1630">
        <f t="shared" si="331"/>
        <v>8880.8751029531886</v>
      </c>
      <c r="J713" s="1630">
        <f t="shared" si="332"/>
        <v>53285.250617719132</v>
      </c>
      <c r="K713" s="1631">
        <v>4255</v>
      </c>
      <c r="L713" s="1630">
        <f t="shared" si="333"/>
        <v>4255</v>
      </c>
      <c r="M713" s="1630">
        <f t="shared" si="334"/>
        <v>25530</v>
      </c>
      <c r="N713" s="1625">
        <f t="shared" si="335"/>
        <v>27755.250617719132</v>
      </c>
      <c r="O713" s="1629">
        <v>0.50629999999999997</v>
      </c>
      <c r="P713" s="1629">
        <v>0.49370000000000003</v>
      </c>
      <c r="Q713" s="1625">
        <f t="shared" si="336"/>
        <v>14052.483387751196</v>
      </c>
      <c r="R713" s="1628">
        <f t="shared" si="337"/>
        <v>13702.767229967936</v>
      </c>
      <c r="S713" s="1627">
        <f t="shared" si="338"/>
        <v>12728.607229967933</v>
      </c>
      <c r="T713" s="1627">
        <f t="shared" si="339"/>
        <v>12801.39277003206</v>
      </c>
      <c r="U713" s="1626">
        <f t="shared" si="340"/>
        <v>3182.1518074919832</v>
      </c>
      <c r="V713" s="1626">
        <f t="shared" si="341"/>
        <v>3200.348192508015</v>
      </c>
      <c r="W713" s="1625">
        <f t="shared" si="342"/>
        <v>6382.4999999999982</v>
      </c>
      <c r="X713" s="1614"/>
      <c r="Y713" s="1613"/>
      <c r="Z713" s="1612">
        <f t="shared" si="343"/>
        <v>0.4791194505803904</v>
      </c>
      <c r="AA713" s="1611"/>
      <c r="AB713" s="1611"/>
      <c r="AC713" s="1611"/>
      <c r="AD713" s="1611"/>
      <c r="AE713" s="1611"/>
      <c r="AF713" s="1611"/>
      <c r="AG713" s="1611"/>
      <c r="AH713" s="1611"/>
      <c r="AI713" s="1611"/>
      <c r="AJ713" s="1611"/>
      <c r="AK713" s="1611"/>
      <c r="AL713" s="1611"/>
      <c r="AM713" s="1611"/>
      <c r="AN713" s="1611"/>
      <c r="AO713" s="1611"/>
      <c r="AP713" s="1611"/>
      <c r="AQ713" s="1611"/>
    </row>
    <row r="714" spans="1:43" outlineLevel="2">
      <c r="A714" s="1638" t="s">
        <v>322</v>
      </c>
      <c r="B714" s="1637" t="s">
        <v>133</v>
      </c>
      <c r="C714" s="1636"/>
      <c r="D714" s="1635">
        <v>5</v>
      </c>
      <c r="E714" s="1634" t="s">
        <v>901</v>
      </c>
      <c r="F714" s="1633" t="s">
        <v>1065</v>
      </c>
      <c r="G714" s="1632">
        <v>4463.515102953188</v>
      </c>
      <c r="H714" s="1632">
        <v>4417.3599999999997</v>
      </c>
      <c r="I714" s="1630">
        <f t="shared" si="331"/>
        <v>8880.8751029531886</v>
      </c>
      <c r="J714" s="1630">
        <f t="shared" si="332"/>
        <v>44404.375514765939</v>
      </c>
      <c r="K714" s="1631">
        <v>4255</v>
      </c>
      <c r="L714" s="1630">
        <f t="shared" si="333"/>
        <v>4255</v>
      </c>
      <c r="M714" s="1630">
        <f t="shared" si="334"/>
        <v>21275</v>
      </c>
      <c r="N714" s="1625">
        <f t="shared" si="335"/>
        <v>23129.375514765939</v>
      </c>
      <c r="O714" s="1629">
        <v>0.50629999999999997</v>
      </c>
      <c r="P714" s="1629">
        <v>0.49370000000000003</v>
      </c>
      <c r="Q714" s="1625">
        <f t="shared" si="336"/>
        <v>11710.402823125994</v>
      </c>
      <c r="R714" s="1628">
        <f t="shared" si="337"/>
        <v>11418.972691639945</v>
      </c>
      <c r="S714" s="1627">
        <f t="shared" si="338"/>
        <v>10607.172691639946</v>
      </c>
      <c r="T714" s="1627">
        <f t="shared" si="339"/>
        <v>10667.827308360054</v>
      </c>
      <c r="U714" s="1626">
        <f t="shared" si="340"/>
        <v>2651.7931729099864</v>
      </c>
      <c r="V714" s="1626">
        <f t="shared" si="341"/>
        <v>2666.9568270900136</v>
      </c>
      <c r="W714" s="1625">
        <f t="shared" si="342"/>
        <v>5318.75</v>
      </c>
      <c r="X714" s="1614"/>
      <c r="Y714" s="1613"/>
      <c r="Z714" s="1612">
        <f t="shared" si="343"/>
        <v>0.4791194505803904</v>
      </c>
      <c r="AA714" s="1611"/>
      <c r="AB714" s="1611"/>
      <c r="AC714" s="1611"/>
      <c r="AD714" s="1611"/>
      <c r="AE714" s="1611"/>
      <c r="AF714" s="1611"/>
      <c r="AG714" s="1611"/>
      <c r="AH714" s="1611"/>
      <c r="AI714" s="1611"/>
      <c r="AJ714" s="1611"/>
      <c r="AK714" s="1611"/>
      <c r="AL714" s="1611"/>
      <c r="AM714" s="1611"/>
      <c r="AN714" s="1611"/>
      <c r="AO714" s="1611"/>
      <c r="AP714" s="1611"/>
      <c r="AQ714" s="1611"/>
    </row>
    <row r="715" spans="1:43" outlineLevel="2">
      <c r="A715" s="1638" t="s">
        <v>322</v>
      </c>
      <c r="B715" s="1637" t="s">
        <v>133</v>
      </c>
      <c r="C715" s="1636"/>
      <c r="D715" s="1635">
        <v>3</v>
      </c>
      <c r="E715" s="1634" t="s">
        <v>901</v>
      </c>
      <c r="F715" s="1633" t="s">
        <v>1064</v>
      </c>
      <c r="G715" s="1632">
        <v>4463.515102953188</v>
      </c>
      <c r="H715" s="1632">
        <v>4417.3599999999997</v>
      </c>
      <c r="I715" s="1630">
        <f t="shared" si="331"/>
        <v>8880.8751029531886</v>
      </c>
      <c r="J715" s="1630">
        <f t="shared" si="332"/>
        <v>26642.625308859566</v>
      </c>
      <c r="K715" s="1631">
        <v>4255</v>
      </c>
      <c r="L715" s="1630">
        <f t="shared" si="333"/>
        <v>4255</v>
      </c>
      <c r="M715" s="1630">
        <f t="shared" si="334"/>
        <v>12765</v>
      </c>
      <c r="N715" s="1625">
        <f t="shared" si="335"/>
        <v>13877.625308859566</v>
      </c>
      <c r="O715" s="1629">
        <v>0.50629999999999997</v>
      </c>
      <c r="P715" s="1629">
        <v>0.49370000000000003</v>
      </c>
      <c r="Q715" s="1625">
        <f t="shared" si="336"/>
        <v>7026.2416938755978</v>
      </c>
      <c r="R715" s="1628">
        <f t="shared" si="337"/>
        <v>6851.3836149839681</v>
      </c>
      <c r="S715" s="1627">
        <f t="shared" si="338"/>
        <v>6364.3036149839663</v>
      </c>
      <c r="T715" s="1627">
        <f t="shared" si="339"/>
        <v>6400.69638501603</v>
      </c>
      <c r="U715" s="1626">
        <f t="shared" si="340"/>
        <v>1591.0759037459916</v>
      </c>
      <c r="V715" s="1626">
        <f t="shared" si="341"/>
        <v>1600.1740962540075</v>
      </c>
      <c r="W715" s="1625">
        <f t="shared" si="342"/>
        <v>3191.2499999999991</v>
      </c>
      <c r="X715" s="1614"/>
      <c r="Y715" s="1613"/>
      <c r="Z715" s="1612">
        <f t="shared" si="343"/>
        <v>0.4791194505803904</v>
      </c>
      <c r="AA715" s="1611"/>
      <c r="AB715" s="1611"/>
      <c r="AC715" s="1611"/>
      <c r="AD715" s="1611"/>
      <c r="AE715" s="1611"/>
      <c r="AF715" s="1611"/>
      <c r="AG715" s="1611"/>
      <c r="AH715" s="1611"/>
      <c r="AI715" s="1611"/>
      <c r="AJ715" s="1611"/>
      <c r="AK715" s="1611"/>
      <c r="AL715" s="1611"/>
      <c r="AM715" s="1611"/>
      <c r="AN715" s="1611"/>
      <c r="AO715" s="1611"/>
      <c r="AP715" s="1611"/>
      <c r="AQ715" s="1611"/>
    </row>
    <row r="716" spans="1:43" outlineLevel="2">
      <c r="A716" s="1638" t="s">
        <v>322</v>
      </c>
      <c r="B716" s="1637" t="s">
        <v>133</v>
      </c>
      <c r="C716" s="1636"/>
      <c r="D716" s="1635">
        <v>3</v>
      </c>
      <c r="E716" s="1634" t="s">
        <v>901</v>
      </c>
      <c r="F716" s="1633" t="s">
        <v>979</v>
      </c>
      <c r="G716" s="1632">
        <v>4463.515102953188</v>
      </c>
      <c r="H716" s="1632">
        <v>4417.3599999999997</v>
      </c>
      <c r="I716" s="1630">
        <f t="shared" si="331"/>
        <v>8880.8751029531886</v>
      </c>
      <c r="J716" s="1630">
        <f t="shared" si="332"/>
        <v>26642.625308859566</v>
      </c>
      <c r="K716" s="1631">
        <v>4433</v>
      </c>
      <c r="L716" s="1630">
        <f t="shared" si="333"/>
        <v>4433</v>
      </c>
      <c r="M716" s="1630">
        <f t="shared" si="334"/>
        <v>13299</v>
      </c>
      <c r="N716" s="1625">
        <f t="shared" si="335"/>
        <v>13343.625308859566</v>
      </c>
      <c r="O716" s="1629">
        <v>0.50629999999999997</v>
      </c>
      <c r="P716" s="1629">
        <v>0.49370000000000003</v>
      </c>
      <c r="Q716" s="1625">
        <f t="shared" si="336"/>
        <v>6755.8774938755978</v>
      </c>
      <c r="R716" s="1628">
        <f t="shared" si="337"/>
        <v>6587.7478149839681</v>
      </c>
      <c r="S716" s="1627">
        <f t="shared" si="338"/>
        <v>6634.6678149839663</v>
      </c>
      <c r="T716" s="1627">
        <f t="shared" si="339"/>
        <v>6664.3321850160301</v>
      </c>
      <c r="U716" s="1626">
        <f t="shared" si="340"/>
        <v>1658.6669537459916</v>
      </c>
      <c r="V716" s="1626">
        <f t="shared" si="341"/>
        <v>1666.0830462540075</v>
      </c>
      <c r="W716" s="1625">
        <f t="shared" si="342"/>
        <v>3324.7499999999991</v>
      </c>
      <c r="X716" s="1614"/>
      <c r="Y716" s="1613"/>
      <c r="Z716" s="1612">
        <f t="shared" si="343"/>
        <v>0.49916252042840675</v>
      </c>
      <c r="AA716" s="1611"/>
      <c r="AB716" s="1611"/>
      <c r="AC716" s="1611"/>
      <c r="AD716" s="1611"/>
      <c r="AE716" s="1611"/>
      <c r="AF716" s="1611"/>
      <c r="AG716" s="1611"/>
      <c r="AH716" s="1611"/>
      <c r="AI716" s="1611"/>
      <c r="AJ716" s="1611"/>
      <c r="AK716" s="1611"/>
      <c r="AL716" s="1611"/>
      <c r="AM716" s="1611"/>
      <c r="AN716" s="1611"/>
      <c r="AO716" s="1611"/>
      <c r="AP716" s="1611"/>
      <c r="AQ716" s="1611"/>
    </row>
    <row r="717" spans="1:43" outlineLevel="1">
      <c r="A717" s="1624"/>
      <c r="B717" s="1623" t="s">
        <v>1094</v>
      </c>
      <c r="C717" s="1622"/>
      <c r="D717" s="1621">
        <f>SUBTOTAL(9,D708:D716)</f>
        <v>29</v>
      </c>
      <c r="E717" s="1620"/>
      <c r="F717" s="1639"/>
      <c r="G717" s="1639"/>
      <c r="H717" s="1639"/>
      <c r="I717" s="1616"/>
      <c r="J717" s="1616">
        <f>SUBTOTAL(9,J708:J716)</f>
        <v>257545.37798564247</v>
      </c>
      <c r="K717" s="1615"/>
      <c r="L717" s="1616"/>
      <c r="M717" s="1616">
        <f>SUBTOTAL(9,M708:M716)</f>
        <v>131864</v>
      </c>
      <c r="N717" s="1615">
        <f>SUBTOTAL(9,N708:N716)</f>
        <v>125681.37798564247</v>
      </c>
      <c r="O717" s="1616"/>
      <c r="P717" s="1616"/>
      <c r="Q717" s="1615">
        <f t="shared" ref="Q717:W717" si="344">SUBTOTAL(9,Q708:Q716)</f>
        <v>63632.481674130773</v>
      </c>
      <c r="R717" s="1615">
        <f t="shared" si="344"/>
        <v>62048.896311511686</v>
      </c>
      <c r="S717" s="1616">
        <f t="shared" si="344"/>
        <v>65809.456311511676</v>
      </c>
      <c r="T717" s="1616">
        <f t="shared" si="344"/>
        <v>66054.543688488295</v>
      </c>
      <c r="U717" s="1616">
        <f t="shared" si="344"/>
        <v>16452.364077877919</v>
      </c>
      <c r="V717" s="1616">
        <f t="shared" si="344"/>
        <v>16513.635922122074</v>
      </c>
      <c r="W717" s="1615">
        <f t="shared" si="344"/>
        <v>32965.999999999993</v>
      </c>
      <c r="X717" s="1614"/>
      <c r="Y717" s="1613"/>
      <c r="Z717" s="1612"/>
      <c r="AA717" s="1611"/>
      <c r="AB717" s="1611"/>
      <c r="AC717" s="1611"/>
      <c r="AD717" s="1611"/>
      <c r="AE717" s="1611"/>
      <c r="AF717" s="1611"/>
      <c r="AG717" s="1611"/>
      <c r="AH717" s="1611"/>
      <c r="AI717" s="1611"/>
      <c r="AJ717" s="1611"/>
      <c r="AK717" s="1611"/>
      <c r="AL717" s="1611"/>
      <c r="AM717" s="1611"/>
      <c r="AN717" s="1611"/>
      <c r="AO717" s="1611"/>
      <c r="AP717" s="1611"/>
      <c r="AQ717" s="1611"/>
    </row>
    <row r="718" spans="1:43" outlineLevel="2">
      <c r="A718" s="1638" t="s">
        <v>323</v>
      </c>
      <c r="B718" s="1637" t="s">
        <v>134</v>
      </c>
      <c r="C718" s="1636"/>
      <c r="D718" s="1635">
        <v>6</v>
      </c>
      <c r="E718" s="1634" t="s">
        <v>945</v>
      </c>
      <c r="F718" s="1633" t="s">
        <v>1063</v>
      </c>
      <c r="G718" s="1632">
        <v>5615.9204447083257</v>
      </c>
      <c r="H718" s="1632">
        <v>3006.89</v>
      </c>
      <c r="I718" s="1630">
        <f t="shared" ref="I718:I734" si="345">G718+H718</f>
        <v>8622.810444708326</v>
      </c>
      <c r="J718" s="1630">
        <f t="shared" ref="J718:J734" si="346">D718*I718</f>
        <v>51736.86266824996</v>
      </c>
      <c r="K718" s="1631">
        <v>6400</v>
      </c>
      <c r="L718" s="1630">
        <f t="shared" ref="L718:L734" si="347">IF(I718&gt;K718,K718,I718)</f>
        <v>6400</v>
      </c>
      <c r="M718" s="1630">
        <f t="shared" ref="M718:M734" si="348">L718*D718</f>
        <v>38400</v>
      </c>
      <c r="N718" s="1625">
        <f t="shared" ref="N718:N734" si="349">J718-M718</f>
        <v>13336.86266824996</v>
      </c>
      <c r="O718" s="1629">
        <v>0.73699999999999999</v>
      </c>
      <c r="P718" s="1629">
        <v>0.26300000000000001</v>
      </c>
      <c r="Q718" s="1625">
        <f t="shared" ref="Q718:Q734" si="350">N718*O718</f>
        <v>9829.2677865002206</v>
      </c>
      <c r="R718" s="1628">
        <f t="shared" ref="R718:R734" si="351">N718*P718</f>
        <v>3507.5948817497397</v>
      </c>
      <c r="S718" s="1627">
        <f t="shared" ref="S718:S734" si="352">(G718*D718)-Q718</f>
        <v>23866.254881749737</v>
      </c>
      <c r="T718" s="1627">
        <f t="shared" ref="T718:T734" si="353">(H718*D718)-R718</f>
        <v>14533.745118250261</v>
      </c>
      <c r="U718" s="1626">
        <f t="shared" ref="U718:U734" si="354">S718/4</f>
        <v>5966.5637204374343</v>
      </c>
      <c r="V718" s="1626">
        <f t="shared" ref="V718:V734" si="355">T718/4</f>
        <v>3633.4362795625652</v>
      </c>
      <c r="W718" s="1625">
        <f t="shared" ref="W718:W734" si="356">V718+U718</f>
        <v>9600</v>
      </c>
      <c r="X718" s="1614"/>
      <c r="Y718" s="1613"/>
      <c r="Z718" s="1612">
        <f t="shared" ref="Z718:Z734" si="357">K718/I718</f>
        <v>0.74221740591869001</v>
      </c>
      <c r="AA718" s="1611"/>
      <c r="AB718" s="1611"/>
      <c r="AC718" s="1611"/>
      <c r="AD718" s="1611"/>
      <c r="AE718" s="1611"/>
      <c r="AF718" s="1611"/>
      <c r="AG718" s="1611"/>
      <c r="AH718" s="1611"/>
      <c r="AI718" s="1611"/>
      <c r="AJ718" s="1611"/>
      <c r="AK718" s="1611"/>
      <c r="AL718" s="1611"/>
      <c r="AM718" s="1611"/>
      <c r="AN718" s="1611"/>
      <c r="AO718" s="1611"/>
      <c r="AP718" s="1611"/>
      <c r="AQ718" s="1611"/>
    </row>
    <row r="719" spans="1:43" outlineLevel="2">
      <c r="A719" s="1638" t="s">
        <v>323</v>
      </c>
      <c r="B719" s="1637" t="s">
        <v>134</v>
      </c>
      <c r="C719" s="1636"/>
      <c r="D719" s="1635">
        <v>5</v>
      </c>
      <c r="E719" s="1634" t="s">
        <v>945</v>
      </c>
      <c r="F719" s="1633" t="s">
        <v>1066</v>
      </c>
      <c r="G719" s="1632">
        <v>5615.9204447083257</v>
      </c>
      <c r="H719" s="1632">
        <v>3006.89</v>
      </c>
      <c r="I719" s="1630">
        <f t="shared" si="345"/>
        <v>8622.810444708326</v>
      </c>
      <c r="J719" s="1630">
        <f t="shared" si="346"/>
        <v>43114.052223541628</v>
      </c>
      <c r="K719" s="1631">
        <v>6400</v>
      </c>
      <c r="L719" s="1630">
        <f t="shared" si="347"/>
        <v>6400</v>
      </c>
      <c r="M719" s="1630">
        <f t="shared" si="348"/>
        <v>32000</v>
      </c>
      <c r="N719" s="1625">
        <f t="shared" si="349"/>
        <v>11114.052223541628</v>
      </c>
      <c r="O719" s="1629">
        <v>0.73699999999999999</v>
      </c>
      <c r="P719" s="1629">
        <v>0.26300000000000001</v>
      </c>
      <c r="Q719" s="1625">
        <f t="shared" si="350"/>
        <v>8191.0564887501796</v>
      </c>
      <c r="R719" s="1628">
        <f t="shared" si="351"/>
        <v>2922.9957347914483</v>
      </c>
      <c r="S719" s="1627">
        <f t="shared" si="352"/>
        <v>19888.545734791449</v>
      </c>
      <c r="T719" s="1627">
        <f t="shared" si="353"/>
        <v>12111.454265208551</v>
      </c>
      <c r="U719" s="1626">
        <f t="shared" si="354"/>
        <v>4972.1364336978622</v>
      </c>
      <c r="V719" s="1626">
        <f t="shared" si="355"/>
        <v>3027.8635663021378</v>
      </c>
      <c r="W719" s="1625">
        <f t="shared" si="356"/>
        <v>8000</v>
      </c>
      <c r="X719" s="1614"/>
      <c r="Y719" s="1613"/>
      <c r="Z719" s="1612">
        <f t="shared" si="357"/>
        <v>0.74221740591869001</v>
      </c>
      <c r="AA719" s="1611"/>
      <c r="AB719" s="1611"/>
      <c r="AC719" s="1611"/>
      <c r="AD719" s="1611"/>
      <c r="AE719" s="1611"/>
      <c r="AF719" s="1611"/>
      <c r="AG719" s="1611"/>
      <c r="AH719" s="1611"/>
      <c r="AI719" s="1611"/>
      <c r="AJ719" s="1611"/>
      <c r="AK719" s="1611"/>
      <c r="AL719" s="1611"/>
      <c r="AM719" s="1611"/>
      <c r="AN719" s="1611"/>
      <c r="AO719" s="1611"/>
      <c r="AP719" s="1611"/>
      <c r="AQ719" s="1611"/>
    </row>
    <row r="720" spans="1:43" outlineLevel="2">
      <c r="A720" s="1638" t="s">
        <v>323</v>
      </c>
      <c r="B720" s="1637" t="s">
        <v>134</v>
      </c>
      <c r="C720" s="1636"/>
      <c r="D720" s="1635">
        <v>1</v>
      </c>
      <c r="E720" s="1634" t="s">
        <v>945</v>
      </c>
      <c r="F720" s="1633" t="s">
        <v>1067</v>
      </c>
      <c r="G720" s="1632">
        <v>5615.9204447083257</v>
      </c>
      <c r="H720" s="1632">
        <v>3006.89</v>
      </c>
      <c r="I720" s="1630">
        <f t="shared" si="345"/>
        <v>8622.810444708326</v>
      </c>
      <c r="J720" s="1630">
        <f t="shared" si="346"/>
        <v>8622.810444708326</v>
      </c>
      <c r="K720" s="1631">
        <v>6400</v>
      </c>
      <c r="L720" s="1630">
        <f t="shared" si="347"/>
        <v>6400</v>
      </c>
      <c r="M720" s="1630">
        <f t="shared" si="348"/>
        <v>6400</v>
      </c>
      <c r="N720" s="1625">
        <f t="shared" si="349"/>
        <v>2222.810444708326</v>
      </c>
      <c r="O720" s="1629">
        <v>0.73699999999999999</v>
      </c>
      <c r="P720" s="1629">
        <v>0.26300000000000001</v>
      </c>
      <c r="Q720" s="1625">
        <f t="shared" si="350"/>
        <v>1638.2112977500362</v>
      </c>
      <c r="R720" s="1628">
        <f t="shared" si="351"/>
        <v>584.59914695828979</v>
      </c>
      <c r="S720" s="1627">
        <f t="shared" si="352"/>
        <v>3977.7091469582892</v>
      </c>
      <c r="T720" s="1627">
        <f t="shared" si="353"/>
        <v>2422.2908530417099</v>
      </c>
      <c r="U720" s="1626">
        <f t="shared" si="354"/>
        <v>994.42728673957231</v>
      </c>
      <c r="V720" s="1626">
        <f t="shared" si="355"/>
        <v>605.57271326042746</v>
      </c>
      <c r="W720" s="1625">
        <f t="shared" si="356"/>
        <v>1599.9999999999998</v>
      </c>
      <c r="X720" s="1614"/>
      <c r="Y720" s="1613"/>
      <c r="Z720" s="1612">
        <f t="shared" si="357"/>
        <v>0.74221740591869001</v>
      </c>
      <c r="AA720" s="1611"/>
      <c r="AB720" s="1611"/>
      <c r="AC720" s="1611"/>
      <c r="AD720" s="1611"/>
      <c r="AE720" s="1611"/>
      <c r="AF720" s="1611"/>
      <c r="AG720" s="1611"/>
      <c r="AH720" s="1611"/>
      <c r="AI720" s="1611"/>
      <c r="AJ720" s="1611"/>
      <c r="AK720" s="1611"/>
      <c r="AL720" s="1611"/>
      <c r="AM720" s="1611"/>
      <c r="AN720" s="1611"/>
      <c r="AO720" s="1611"/>
      <c r="AP720" s="1611"/>
      <c r="AQ720" s="1611"/>
    </row>
    <row r="721" spans="1:43" outlineLevel="2">
      <c r="A721" s="1638" t="s">
        <v>323</v>
      </c>
      <c r="B721" s="1637" t="s">
        <v>134</v>
      </c>
      <c r="C721" s="1636"/>
      <c r="D721" s="1635">
        <v>0</v>
      </c>
      <c r="E721" s="1634" t="s">
        <v>945</v>
      </c>
      <c r="F721" s="1633" t="s">
        <v>1079</v>
      </c>
      <c r="G721" s="1632">
        <v>5615.9204447083257</v>
      </c>
      <c r="H721" s="1632">
        <v>3006.89</v>
      </c>
      <c r="I721" s="1630">
        <f t="shared" si="345"/>
        <v>8622.810444708326</v>
      </c>
      <c r="J721" s="1630">
        <f t="shared" si="346"/>
        <v>0</v>
      </c>
      <c r="K721" s="1631">
        <v>6400</v>
      </c>
      <c r="L721" s="1630">
        <f t="shared" si="347"/>
        <v>6400</v>
      </c>
      <c r="M721" s="1630">
        <f t="shared" si="348"/>
        <v>0</v>
      </c>
      <c r="N721" s="1625">
        <f t="shared" si="349"/>
        <v>0</v>
      </c>
      <c r="O721" s="1629">
        <v>0.73699999999999999</v>
      </c>
      <c r="P721" s="1629">
        <v>0.26300000000000001</v>
      </c>
      <c r="Q721" s="1625">
        <f t="shared" si="350"/>
        <v>0</v>
      </c>
      <c r="R721" s="1628">
        <f t="shared" si="351"/>
        <v>0</v>
      </c>
      <c r="S721" s="1627">
        <f t="shared" si="352"/>
        <v>0</v>
      </c>
      <c r="T721" s="1627">
        <f t="shared" si="353"/>
        <v>0</v>
      </c>
      <c r="U721" s="1626">
        <f t="shared" si="354"/>
        <v>0</v>
      </c>
      <c r="V721" s="1626">
        <f t="shared" si="355"/>
        <v>0</v>
      </c>
      <c r="W721" s="1625">
        <f t="shared" si="356"/>
        <v>0</v>
      </c>
      <c r="X721" s="1614"/>
      <c r="Y721" s="1613"/>
      <c r="Z721" s="1612">
        <f t="shared" si="357"/>
        <v>0.74221740591869001</v>
      </c>
      <c r="AA721" s="1611"/>
      <c r="AB721" s="1611"/>
      <c r="AC721" s="1611"/>
      <c r="AD721" s="1611"/>
      <c r="AE721" s="1611"/>
      <c r="AF721" s="1611"/>
      <c r="AG721" s="1611"/>
      <c r="AH721" s="1611"/>
      <c r="AI721" s="1611"/>
      <c r="AJ721" s="1611"/>
      <c r="AK721" s="1611"/>
      <c r="AL721" s="1611"/>
      <c r="AM721" s="1611"/>
      <c r="AN721" s="1611"/>
      <c r="AO721" s="1611"/>
      <c r="AP721" s="1611"/>
      <c r="AQ721" s="1611"/>
    </row>
    <row r="722" spans="1:43" outlineLevel="2">
      <c r="A722" s="1638" t="s">
        <v>323</v>
      </c>
      <c r="B722" s="1637" t="s">
        <v>134</v>
      </c>
      <c r="C722" s="1636"/>
      <c r="D722" s="1635">
        <v>4</v>
      </c>
      <c r="E722" s="1634" t="s">
        <v>944</v>
      </c>
      <c r="F722" s="1633" t="s">
        <v>1070</v>
      </c>
      <c r="G722" s="1632">
        <v>5615.9204447083257</v>
      </c>
      <c r="H722" s="1632">
        <v>3006.89</v>
      </c>
      <c r="I722" s="1630">
        <f t="shared" si="345"/>
        <v>8622.810444708326</v>
      </c>
      <c r="J722" s="1630">
        <f t="shared" si="346"/>
        <v>34491.241778833304</v>
      </c>
      <c r="K722" s="1631">
        <v>4433</v>
      </c>
      <c r="L722" s="1630">
        <f t="shared" si="347"/>
        <v>4433</v>
      </c>
      <c r="M722" s="1630">
        <f t="shared" si="348"/>
        <v>17732</v>
      </c>
      <c r="N722" s="1625">
        <f t="shared" si="349"/>
        <v>16759.241778833304</v>
      </c>
      <c r="O722" s="1629">
        <v>0.73699999999999999</v>
      </c>
      <c r="P722" s="1629">
        <v>0.26300000000000001</v>
      </c>
      <c r="Q722" s="1625">
        <f t="shared" si="350"/>
        <v>12351.561191000144</v>
      </c>
      <c r="R722" s="1628">
        <f t="shared" si="351"/>
        <v>4407.6805878331588</v>
      </c>
      <c r="S722" s="1627">
        <f t="shared" si="352"/>
        <v>10112.120587833158</v>
      </c>
      <c r="T722" s="1627">
        <f t="shared" si="353"/>
        <v>7619.8794121668407</v>
      </c>
      <c r="U722" s="1626">
        <f t="shared" si="354"/>
        <v>2528.0301469582896</v>
      </c>
      <c r="V722" s="1626">
        <f t="shared" si="355"/>
        <v>1904.9698530417102</v>
      </c>
      <c r="W722" s="1625">
        <f t="shared" si="356"/>
        <v>4433</v>
      </c>
      <c r="X722" s="1614"/>
      <c r="Y722" s="1613"/>
      <c r="Z722" s="1612">
        <f t="shared" si="357"/>
        <v>0.5141015250683677</v>
      </c>
      <c r="AA722" s="1611"/>
      <c r="AB722" s="1611"/>
      <c r="AC722" s="1611"/>
      <c r="AD722" s="1611"/>
      <c r="AE722" s="1611"/>
      <c r="AF722" s="1611"/>
      <c r="AG722" s="1611"/>
      <c r="AH722" s="1611"/>
      <c r="AI722" s="1611"/>
      <c r="AJ722" s="1611"/>
      <c r="AK722" s="1611"/>
      <c r="AL722" s="1611"/>
      <c r="AM722" s="1611"/>
      <c r="AN722" s="1611"/>
      <c r="AO722" s="1611"/>
      <c r="AP722" s="1611"/>
      <c r="AQ722" s="1611"/>
    </row>
    <row r="723" spans="1:43" outlineLevel="2">
      <c r="A723" s="1638" t="s">
        <v>323</v>
      </c>
      <c r="B723" s="1637" t="s">
        <v>134</v>
      </c>
      <c r="C723" s="1636"/>
      <c r="D723" s="1635">
        <v>7</v>
      </c>
      <c r="E723" s="1634" t="s">
        <v>944</v>
      </c>
      <c r="F723" s="1633" t="s">
        <v>1069</v>
      </c>
      <c r="G723" s="1632">
        <v>5615.9204447083257</v>
      </c>
      <c r="H723" s="1632">
        <v>3006.89</v>
      </c>
      <c r="I723" s="1630">
        <f t="shared" si="345"/>
        <v>8622.810444708326</v>
      </c>
      <c r="J723" s="1630">
        <f t="shared" si="346"/>
        <v>60359.673112958284</v>
      </c>
      <c r="K723" s="1631">
        <v>4448</v>
      </c>
      <c r="L723" s="1630">
        <f t="shared" si="347"/>
        <v>4448</v>
      </c>
      <c r="M723" s="1630">
        <f t="shared" si="348"/>
        <v>31136</v>
      </c>
      <c r="N723" s="1625">
        <f t="shared" si="349"/>
        <v>29223.673112958284</v>
      </c>
      <c r="O723" s="1629">
        <v>0.73699999999999999</v>
      </c>
      <c r="P723" s="1629">
        <v>0.26300000000000001</v>
      </c>
      <c r="Q723" s="1625">
        <f t="shared" si="350"/>
        <v>21537.847084250254</v>
      </c>
      <c r="R723" s="1628">
        <f t="shared" si="351"/>
        <v>7685.8260287080293</v>
      </c>
      <c r="S723" s="1627">
        <f t="shared" si="352"/>
        <v>17773.596028708027</v>
      </c>
      <c r="T723" s="1627">
        <f t="shared" si="353"/>
        <v>13362.403971291969</v>
      </c>
      <c r="U723" s="1626">
        <f t="shared" si="354"/>
        <v>4443.3990071770068</v>
      </c>
      <c r="V723" s="1626">
        <f t="shared" si="355"/>
        <v>3340.6009928229923</v>
      </c>
      <c r="W723" s="1625">
        <f t="shared" si="356"/>
        <v>7783.9999999999991</v>
      </c>
      <c r="X723" s="1614"/>
      <c r="Y723" s="1613"/>
      <c r="Z723" s="1612">
        <f t="shared" si="357"/>
        <v>0.51584109711348958</v>
      </c>
      <c r="AA723" s="1611"/>
      <c r="AB723" s="1611"/>
      <c r="AC723" s="1611"/>
      <c r="AD723" s="1611"/>
      <c r="AE723" s="1611"/>
      <c r="AF723" s="1611"/>
      <c r="AG723" s="1611"/>
      <c r="AH723" s="1611"/>
      <c r="AI723" s="1611"/>
      <c r="AJ723" s="1611"/>
      <c r="AK723" s="1611"/>
      <c r="AL723" s="1611"/>
      <c r="AM723" s="1611"/>
      <c r="AN723" s="1611"/>
      <c r="AO723" s="1611"/>
      <c r="AP723" s="1611"/>
      <c r="AQ723" s="1611"/>
    </row>
    <row r="724" spans="1:43" outlineLevel="2">
      <c r="A724" s="1638" t="s">
        <v>323</v>
      </c>
      <c r="B724" s="1637" t="s">
        <v>134</v>
      </c>
      <c r="C724" s="1636"/>
      <c r="D724" s="1635">
        <v>6</v>
      </c>
      <c r="E724" s="1634" t="s">
        <v>944</v>
      </c>
      <c r="F724" s="1633" t="s">
        <v>1068</v>
      </c>
      <c r="G724" s="1632">
        <v>5615.9204447083257</v>
      </c>
      <c r="H724" s="1632">
        <v>3006.89</v>
      </c>
      <c r="I724" s="1630">
        <f t="shared" si="345"/>
        <v>8622.810444708326</v>
      </c>
      <c r="J724" s="1630">
        <f t="shared" si="346"/>
        <v>51736.86266824996</v>
      </c>
      <c r="K724" s="1631">
        <v>4433</v>
      </c>
      <c r="L724" s="1630">
        <f t="shared" si="347"/>
        <v>4433</v>
      </c>
      <c r="M724" s="1630">
        <f t="shared" si="348"/>
        <v>26598</v>
      </c>
      <c r="N724" s="1625">
        <f t="shared" si="349"/>
        <v>25138.86266824996</v>
      </c>
      <c r="O724" s="1629">
        <v>0.73699999999999999</v>
      </c>
      <c r="P724" s="1629">
        <v>0.26300000000000001</v>
      </c>
      <c r="Q724" s="1625">
        <f t="shared" si="350"/>
        <v>18527.341786500219</v>
      </c>
      <c r="R724" s="1628">
        <f t="shared" si="351"/>
        <v>6611.5208817497396</v>
      </c>
      <c r="S724" s="1627">
        <f t="shared" si="352"/>
        <v>15168.180881749737</v>
      </c>
      <c r="T724" s="1627">
        <f t="shared" si="353"/>
        <v>11429.81911825026</v>
      </c>
      <c r="U724" s="1626">
        <f t="shared" si="354"/>
        <v>3792.0452204374342</v>
      </c>
      <c r="V724" s="1626">
        <f t="shared" si="355"/>
        <v>2857.4547795625649</v>
      </c>
      <c r="W724" s="1625">
        <f t="shared" si="356"/>
        <v>6649.4999999999991</v>
      </c>
      <c r="X724" s="1614"/>
      <c r="Y724" s="1613"/>
      <c r="Z724" s="1612">
        <f t="shared" si="357"/>
        <v>0.5141015250683677</v>
      </c>
      <c r="AA724" s="1611"/>
      <c r="AB724" s="1611"/>
      <c r="AC724" s="1611"/>
      <c r="AD724" s="1611"/>
      <c r="AE724" s="1611"/>
      <c r="AF724" s="1611"/>
      <c r="AG724" s="1611"/>
      <c r="AH724" s="1611"/>
      <c r="AI724" s="1611"/>
      <c r="AJ724" s="1611"/>
      <c r="AK724" s="1611"/>
      <c r="AL724" s="1611"/>
      <c r="AM724" s="1611"/>
      <c r="AN724" s="1611"/>
      <c r="AO724" s="1611"/>
      <c r="AP724" s="1611"/>
      <c r="AQ724" s="1611"/>
    </row>
    <row r="725" spans="1:43" outlineLevel="2">
      <c r="A725" s="1638" t="s">
        <v>323</v>
      </c>
      <c r="B725" s="1637" t="s">
        <v>134</v>
      </c>
      <c r="C725" s="1636"/>
      <c r="D725" s="1635">
        <v>5</v>
      </c>
      <c r="E725" s="1634" t="s">
        <v>944</v>
      </c>
      <c r="F725" s="1633" t="s">
        <v>1071</v>
      </c>
      <c r="G725" s="1632">
        <v>5615.9204447083257</v>
      </c>
      <c r="H725" s="1632">
        <v>3006.89</v>
      </c>
      <c r="I725" s="1630">
        <f t="shared" si="345"/>
        <v>8622.810444708326</v>
      </c>
      <c r="J725" s="1630">
        <f t="shared" si="346"/>
        <v>43114.052223541628</v>
      </c>
      <c r="K725" s="1631">
        <v>4433</v>
      </c>
      <c r="L725" s="1630">
        <f t="shared" si="347"/>
        <v>4433</v>
      </c>
      <c r="M725" s="1630">
        <f t="shared" si="348"/>
        <v>22165</v>
      </c>
      <c r="N725" s="1625">
        <f t="shared" si="349"/>
        <v>20949.052223541628</v>
      </c>
      <c r="O725" s="1629">
        <v>0.73699999999999999</v>
      </c>
      <c r="P725" s="1629">
        <v>0.26300000000000001</v>
      </c>
      <c r="Q725" s="1625">
        <f t="shared" si="350"/>
        <v>15439.451488750179</v>
      </c>
      <c r="R725" s="1628">
        <f t="shared" si="351"/>
        <v>5509.6007347914483</v>
      </c>
      <c r="S725" s="1627">
        <f t="shared" si="352"/>
        <v>12640.150734791448</v>
      </c>
      <c r="T725" s="1627">
        <f t="shared" si="353"/>
        <v>9524.8492652085515</v>
      </c>
      <c r="U725" s="1626">
        <f t="shared" si="354"/>
        <v>3160.0376836978621</v>
      </c>
      <c r="V725" s="1626">
        <f t="shared" si="355"/>
        <v>2381.2123163021379</v>
      </c>
      <c r="W725" s="1625">
        <f t="shared" si="356"/>
        <v>5541.25</v>
      </c>
      <c r="X725" s="1614"/>
      <c r="Y725" s="1613"/>
      <c r="Z725" s="1612">
        <f t="shared" si="357"/>
        <v>0.5141015250683677</v>
      </c>
      <c r="AA725" s="1611"/>
      <c r="AB725" s="1611"/>
      <c r="AC725" s="1611"/>
      <c r="AD725" s="1611"/>
      <c r="AE725" s="1611"/>
      <c r="AF725" s="1611"/>
      <c r="AG725" s="1611"/>
      <c r="AH725" s="1611"/>
      <c r="AI725" s="1611"/>
      <c r="AJ725" s="1611"/>
      <c r="AK725" s="1611"/>
      <c r="AL725" s="1611"/>
      <c r="AM725" s="1611"/>
      <c r="AN725" s="1611"/>
      <c r="AO725" s="1611"/>
      <c r="AP725" s="1611"/>
      <c r="AQ725" s="1611"/>
    </row>
    <row r="726" spans="1:43" outlineLevel="2">
      <c r="A726" s="1638" t="s">
        <v>323</v>
      </c>
      <c r="B726" s="1637" t="s">
        <v>134</v>
      </c>
      <c r="C726" s="1636"/>
      <c r="D726" s="1635">
        <v>6</v>
      </c>
      <c r="E726" s="1634" t="s">
        <v>944</v>
      </c>
      <c r="F726" s="1633" t="s">
        <v>1065</v>
      </c>
      <c r="G726" s="1632">
        <v>5615.9204447083257</v>
      </c>
      <c r="H726" s="1632">
        <v>3006.89</v>
      </c>
      <c r="I726" s="1630">
        <f t="shared" si="345"/>
        <v>8622.810444708326</v>
      </c>
      <c r="J726" s="1630">
        <f t="shared" si="346"/>
        <v>51736.86266824996</v>
      </c>
      <c r="K726" s="1631">
        <v>4453</v>
      </c>
      <c r="L726" s="1630">
        <f t="shared" si="347"/>
        <v>4453</v>
      </c>
      <c r="M726" s="1630">
        <f t="shared" si="348"/>
        <v>26718</v>
      </c>
      <c r="N726" s="1625">
        <f t="shared" si="349"/>
        <v>25018.86266824996</v>
      </c>
      <c r="O726" s="1629">
        <v>0.73699999999999999</v>
      </c>
      <c r="P726" s="1629">
        <v>0.26300000000000001</v>
      </c>
      <c r="Q726" s="1625">
        <f t="shared" si="350"/>
        <v>18438.901786500221</v>
      </c>
      <c r="R726" s="1628">
        <f t="shared" si="351"/>
        <v>6579.9608817497401</v>
      </c>
      <c r="S726" s="1627">
        <f t="shared" si="352"/>
        <v>15256.620881749735</v>
      </c>
      <c r="T726" s="1627">
        <f t="shared" si="353"/>
        <v>11461.379118250261</v>
      </c>
      <c r="U726" s="1626">
        <f t="shared" si="354"/>
        <v>3814.1552204374339</v>
      </c>
      <c r="V726" s="1626">
        <f t="shared" si="355"/>
        <v>2865.3447795625652</v>
      </c>
      <c r="W726" s="1625">
        <f t="shared" si="356"/>
        <v>6679.4999999999991</v>
      </c>
      <c r="X726" s="1614"/>
      <c r="Y726" s="1613"/>
      <c r="Z726" s="1612">
        <f t="shared" si="357"/>
        <v>0.51642095446186354</v>
      </c>
      <c r="AA726" s="1611"/>
      <c r="AB726" s="1611"/>
      <c r="AC726" s="1611"/>
      <c r="AD726" s="1611"/>
      <c r="AE726" s="1611"/>
      <c r="AF726" s="1611"/>
      <c r="AG726" s="1611"/>
      <c r="AH726" s="1611"/>
      <c r="AI726" s="1611"/>
      <c r="AJ726" s="1611"/>
      <c r="AK726" s="1611"/>
      <c r="AL726" s="1611"/>
      <c r="AM726" s="1611"/>
      <c r="AN726" s="1611"/>
      <c r="AO726" s="1611"/>
      <c r="AP726" s="1611"/>
      <c r="AQ726" s="1611"/>
    </row>
    <row r="727" spans="1:43" outlineLevel="2">
      <c r="A727" s="1638" t="s">
        <v>323</v>
      </c>
      <c r="B727" s="1637" t="s">
        <v>134</v>
      </c>
      <c r="C727" s="1636"/>
      <c r="D727" s="1635">
        <v>6</v>
      </c>
      <c r="E727" s="1634" t="s">
        <v>944</v>
      </c>
      <c r="F727" s="1633" t="s">
        <v>1064</v>
      </c>
      <c r="G727" s="1632">
        <v>5615.9204447083257</v>
      </c>
      <c r="H727" s="1632">
        <v>3006.89</v>
      </c>
      <c r="I727" s="1630">
        <f t="shared" si="345"/>
        <v>8622.810444708326</v>
      </c>
      <c r="J727" s="1630">
        <f t="shared" si="346"/>
        <v>51736.86266824996</v>
      </c>
      <c r="K727" s="1631">
        <v>4473</v>
      </c>
      <c r="L727" s="1630">
        <f t="shared" si="347"/>
        <v>4473</v>
      </c>
      <c r="M727" s="1630">
        <f t="shared" si="348"/>
        <v>26838</v>
      </c>
      <c r="N727" s="1625">
        <f t="shared" si="349"/>
        <v>24898.86266824996</v>
      </c>
      <c r="O727" s="1629">
        <v>0.73699999999999999</v>
      </c>
      <c r="P727" s="1629">
        <v>0.26300000000000001</v>
      </c>
      <c r="Q727" s="1625">
        <f t="shared" si="350"/>
        <v>18350.461786500218</v>
      </c>
      <c r="R727" s="1628">
        <f t="shared" si="351"/>
        <v>6548.4008817497397</v>
      </c>
      <c r="S727" s="1627">
        <f t="shared" si="352"/>
        <v>15345.060881749738</v>
      </c>
      <c r="T727" s="1627">
        <f t="shared" si="353"/>
        <v>11492.93911825026</v>
      </c>
      <c r="U727" s="1626">
        <f t="shared" si="354"/>
        <v>3836.2652204374344</v>
      </c>
      <c r="V727" s="1626">
        <f t="shared" si="355"/>
        <v>2873.2347795625651</v>
      </c>
      <c r="W727" s="1625">
        <f t="shared" si="356"/>
        <v>6709.5</v>
      </c>
      <c r="X727" s="1614"/>
      <c r="Y727" s="1613"/>
      <c r="Z727" s="1612">
        <f t="shared" si="357"/>
        <v>0.51874038385535948</v>
      </c>
      <c r="AA727" s="1611"/>
      <c r="AB727" s="1611"/>
      <c r="AC727" s="1611"/>
      <c r="AD727" s="1611"/>
      <c r="AE727" s="1611"/>
      <c r="AF727" s="1611"/>
      <c r="AG727" s="1611"/>
      <c r="AH727" s="1611"/>
      <c r="AI727" s="1611"/>
      <c r="AJ727" s="1611"/>
      <c r="AK727" s="1611"/>
      <c r="AL727" s="1611"/>
      <c r="AM727" s="1611"/>
      <c r="AN727" s="1611"/>
      <c r="AO727" s="1611"/>
      <c r="AP727" s="1611"/>
      <c r="AQ727" s="1611"/>
    </row>
    <row r="728" spans="1:43" outlineLevel="2">
      <c r="A728" s="1638" t="s">
        <v>323</v>
      </c>
      <c r="B728" s="1637" t="s">
        <v>134</v>
      </c>
      <c r="C728" s="1636"/>
      <c r="D728" s="1635">
        <v>11</v>
      </c>
      <c r="E728" s="1634" t="s">
        <v>944</v>
      </c>
      <c r="F728" s="1633" t="s">
        <v>979</v>
      </c>
      <c r="G728" s="1632">
        <v>5615.9204447083257</v>
      </c>
      <c r="H728" s="1632">
        <v>3006.89</v>
      </c>
      <c r="I728" s="1630">
        <f t="shared" si="345"/>
        <v>8622.810444708326</v>
      </c>
      <c r="J728" s="1630">
        <f t="shared" si="346"/>
        <v>94850.914891791588</v>
      </c>
      <c r="K728" s="1631">
        <v>4553</v>
      </c>
      <c r="L728" s="1630">
        <f t="shared" si="347"/>
        <v>4553</v>
      </c>
      <c r="M728" s="1630">
        <f t="shared" si="348"/>
        <v>50083</v>
      </c>
      <c r="N728" s="1625">
        <f t="shared" si="349"/>
        <v>44767.914891791588</v>
      </c>
      <c r="O728" s="1629">
        <v>0.73699999999999999</v>
      </c>
      <c r="P728" s="1629">
        <v>0.26300000000000001</v>
      </c>
      <c r="Q728" s="1625">
        <f t="shared" si="350"/>
        <v>32993.953275250402</v>
      </c>
      <c r="R728" s="1628">
        <f t="shared" si="351"/>
        <v>11773.961616541188</v>
      </c>
      <c r="S728" s="1627">
        <f t="shared" si="352"/>
        <v>28781.171616541178</v>
      </c>
      <c r="T728" s="1627">
        <f t="shared" si="353"/>
        <v>21301.828383458815</v>
      </c>
      <c r="U728" s="1626">
        <f t="shared" si="354"/>
        <v>7195.2929041352945</v>
      </c>
      <c r="V728" s="1626">
        <f t="shared" si="355"/>
        <v>5325.4570958647037</v>
      </c>
      <c r="W728" s="1625">
        <f t="shared" si="356"/>
        <v>12520.749999999998</v>
      </c>
      <c r="X728" s="1614"/>
      <c r="Y728" s="1613"/>
      <c r="Z728" s="1612">
        <f t="shared" si="357"/>
        <v>0.52801810142934313</v>
      </c>
      <c r="AA728" s="1611"/>
      <c r="AB728" s="1611"/>
      <c r="AC728" s="1611"/>
      <c r="AD728" s="1611"/>
      <c r="AE728" s="1611"/>
      <c r="AF728" s="1611"/>
      <c r="AG728" s="1611"/>
      <c r="AH728" s="1611"/>
      <c r="AI728" s="1611"/>
      <c r="AJ728" s="1611"/>
      <c r="AK728" s="1611"/>
      <c r="AL728" s="1611"/>
      <c r="AM728" s="1611"/>
      <c r="AN728" s="1611"/>
      <c r="AO728" s="1611"/>
      <c r="AP728" s="1611"/>
      <c r="AQ728" s="1611"/>
    </row>
    <row r="729" spans="1:43" outlineLevel="2">
      <c r="A729" s="1638" t="s">
        <v>323</v>
      </c>
      <c r="B729" s="1637" t="s">
        <v>134</v>
      </c>
      <c r="C729" s="1636"/>
      <c r="D729" s="1635">
        <v>1</v>
      </c>
      <c r="E729" s="1634" t="s">
        <v>929</v>
      </c>
      <c r="F729" s="1633" t="s">
        <v>1063</v>
      </c>
      <c r="G729" s="1632">
        <v>5615.9204447083257</v>
      </c>
      <c r="H729" s="1632">
        <v>3006.89</v>
      </c>
      <c r="I729" s="1630">
        <f t="shared" si="345"/>
        <v>8622.810444708326</v>
      </c>
      <c r="J729" s="1630">
        <f t="shared" si="346"/>
        <v>8622.810444708326</v>
      </c>
      <c r="K729" s="1631">
        <v>4600</v>
      </c>
      <c r="L729" s="1630">
        <f t="shared" si="347"/>
        <v>4600</v>
      </c>
      <c r="M729" s="1630">
        <f t="shared" si="348"/>
        <v>4600</v>
      </c>
      <c r="N729" s="1625">
        <f t="shared" si="349"/>
        <v>4022.810444708326</v>
      </c>
      <c r="O729" s="1629">
        <v>0.73699999999999999</v>
      </c>
      <c r="P729" s="1629">
        <v>0.26300000000000001</v>
      </c>
      <c r="Q729" s="1625">
        <f t="shared" si="350"/>
        <v>2964.8112977500364</v>
      </c>
      <c r="R729" s="1628">
        <f t="shared" si="351"/>
        <v>1057.9991469582899</v>
      </c>
      <c r="S729" s="1627">
        <f t="shared" si="352"/>
        <v>2651.1091469582893</v>
      </c>
      <c r="T729" s="1627">
        <f t="shared" si="353"/>
        <v>1948.89085304171</v>
      </c>
      <c r="U729" s="1626">
        <f t="shared" si="354"/>
        <v>662.77728673957233</v>
      </c>
      <c r="V729" s="1626">
        <f t="shared" si="355"/>
        <v>487.2227132604275</v>
      </c>
      <c r="W729" s="1625">
        <f t="shared" si="356"/>
        <v>1149.9999999999998</v>
      </c>
      <c r="X729" s="1614"/>
      <c r="Y729" s="1613"/>
      <c r="Z729" s="1612">
        <f t="shared" si="357"/>
        <v>0.53346876050405845</v>
      </c>
      <c r="AA729" s="1611"/>
      <c r="AB729" s="1611"/>
      <c r="AC729" s="1611"/>
      <c r="AD729" s="1611"/>
      <c r="AE729" s="1611"/>
      <c r="AF729" s="1611"/>
      <c r="AG729" s="1611"/>
      <c r="AH729" s="1611"/>
      <c r="AI729" s="1611"/>
      <c r="AJ729" s="1611"/>
      <c r="AK729" s="1611"/>
      <c r="AL729" s="1611"/>
      <c r="AM729" s="1611"/>
      <c r="AN729" s="1611"/>
      <c r="AO729" s="1611"/>
      <c r="AP729" s="1611"/>
      <c r="AQ729" s="1611"/>
    </row>
    <row r="730" spans="1:43" outlineLevel="2">
      <c r="A730" s="1638" t="s">
        <v>323</v>
      </c>
      <c r="B730" s="1637" t="s">
        <v>134</v>
      </c>
      <c r="C730" s="1636"/>
      <c r="D730" s="1635">
        <v>8</v>
      </c>
      <c r="E730" s="1634" t="s">
        <v>929</v>
      </c>
      <c r="F730" s="1633" t="s">
        <v>1066</v>
      </c>
      <c r="G730" s="1632">
        <v>5615.9204447083257</v>
      </c>
      <c r="H730" s="1632">
        <v>3006.89</v>
      </c>
      <c r="I730" s="1630">
        <f t="shared" si="345"/>
        <v>8622.810444708326</v>
      </c>
      <c r="J730" s="1630">
        <f t="shared" si="346"/>
        <v>68982.483557666608</v>
      </c>
      <c r="K730" s="1631">
        <v>4600</v>
      </c>
      <c r="L730" s="1630">
        <f t="shared" si="347"/>
        <v>4600</v>
      </c>
      <c r="M730" s="1630">
        <f t="shared" si="348"/>
        <v>36800</v>
      </c>
      <c r="N730" s="1625">
        <f t="shared" si="349"/>
        <v>32182.483557666608</v>
      </c>
      <c r="O730" s="1629">
        <v>0.73699999999999999</v>
      </c>
      <c r="P730" s="1629">
        <v>0.26300000000000001</v>
      </c>
      <c r="Q730" s="1625">
        <f t="shared" si="350"/>
        <v>23718.490382000291</v>
      </c>
      <c r="R730" s="1628">
        <f t="shared" si="351"/>
        <v>8463.9931756663191</v>
      </c>
      <c r="S730" s="1627">
        <f t="shared" si="352"/>
        <v>21208.873175666315</v>
      </c>
      <c r="T730" s="1627">
        <f t="shared" si="353"/>
        <v>15591.12682433368</v>
      </c>
      <c r="U730" s="1626">
        <f t="shared" si="354"/>
        <v>5302.2182939165787</v>
      </c>
      <c r="V730" s="1626">
        <f t="shared" si="355"/>
        <v>3897.78170608342</v>
      </c>
      <c r="W730" s="1625">
        <f t="shared" si="356"/>
        <v>9199.9999999999982</v>
      </c>
      <c r="X730" s="1614"/>
      <c r="Y730" s="1613"/>
      <c r="Z730" s="1612">
        <f t="shared" si="357"/>
        <v>0.53346876050405845</v>
      </c>
      <c r="AA730" s="1611"/>
      <c r="AB730" s="1611"/>
      <c r="AC730" s="1611"/>
      <c r="AD730" s="1611"/>
      <c r="AE730" s="1611"/>
      <c r="AF730" s="1611"/>
      <c r="AG730" s="1611"/>
      <c r="AH730" s="1611"/>
      <c r="AI730" s="1611"/>
      <c r="AJ730" s="1611"/>
      <c r="AK730" s="1611"/>
      <c r="AL730" s="1611"/>
      <c r="AM730" s="1611"/>
      <c r="AN730" s="1611"/>
      <c r="AO730" s="1611"/>
      <c r="AP730" s="1611"/>
      <c r="AQ730" s="1611"/>
    </row>
    <row r="731" spans="1:43" outlineLevel="2">
      <c r="A731" s="1638" t="s">
        <v>323</v>
      </c>
      <c r="B731" s="1637" t="s">
        <v>134</v>
      </c>
      <c r="C731" s="1636"/>
      <c r="D731" s="1635">
        <v>2</v>
      </c>
      <c r="E731" s="1634" t="s">
        <v>929</v>
      </c>
      <c r="F731" s="1633" t="s">
        <v>1067</v>
      </c>
      <c r="G731" s="1632">
        <v>5615.9204447083257</v>
      </c>
      <c r="H731" s="1632">
        <v>3006.89</v>
      </c>
      <c r="I731" s="1630">
        <f t="shared" si="345"/>
        <v>8622.810444708326</v>
      </c>
      <c r="J731" s="1630">
        <f t="shared" si="346"/>
        <v>17245.620889416652</v>
      </c>
      <c r="K731" s="1631">
        <v>4600</v>
      </c>
      <c r="L731" s="1630">
        <f t="shared" si="347"/>
        <v>4600</v>
      </c>
      <c r="M731" s="1630">
        <f t="shared" si="348"/>
        <v>9200</v>
      </c>
      <c r="N731" s="1625">
        <f t="shared" si="349"/>
        <v>8045.6208894166521</v>
      </c>
      <c r="O731" s="1629">
        <v>0.73699999999999999</v>
      </c>
      <c r="P731" s="1629">
        <v>0.26300000000000001</v>
      </c>
      <c r="Q731" s="1625">
        <f t="shared" si="350"/>
        <v>5929.6225955000727</v>
      </c>
      <c r="R731" s="1628">
        <f t="shared" si="351"/>
        <v>2115.9982939165798</v>
      </c>
      <c r="S731" s="1627">
        <f t="shared" si="352"/>
        <v>5302.2182939165787</v>
      </c>
      <c r="T731" s="1627">
        <f t="shared" si="353"/>
        <v>3897.78170608342</v>
      </c>
      <c r="U731" s="1626">
        <f t="shared" si="354"/>
        <v>1325.5545734791447</v>
      </c>
      <c r="V731" s="1626">
        <f t="shared" si="355"/>
        <v>974.44542652085499</v>
      </c>
      <c r="W731" s="1625">
        <f t="shared" si="356"/>
        <v>2299.9999999999995</v>
      </c>
      <c r="X731" s="1614"/>
      <c r="Y731" s="1613"/>
      <c r="Z731" s="1612">
        <f t="shared" si="357"/>
        <v>0.53346876050405845</v>
      </c>
      <c r="AA731" s="1611"/>
      <c r="AB731" s="1611"/>
      <c r="AC731" s="1611"/>
      <c r="AD731" s="1611"/>
      <c r="AE731" s="1611"/>
      <c r="AF731" s="1611"/>
      <c r="AG731" s="1611"/>
      <c r="AH731" s="1611"/>
      <c r="AI731" s="1611"/>
      <c r="AJ731" s="1611"/>
      <c r="AK731" s="1611"/>
      <c r="AL731" s="1611"/>
      <c r="AM731" s="1611"/>
      <c r="AN731" s="1611"/>
      <c r="AO731" s="1611"/>
      <c r="AP731" s="1611"/>
      <c r="AQ731" s="1611"/>
    </row>
    <row r="732" spans="1:43" outlineLevel="2">
      <c r="A732" s="1638" t="s">
        <v>323</v>
      </c>
      <c r="B732" s="1637" t="s">
        <v>134</v>
      </c>
      <c r="C732" s="1636"/>
      <c r="D732" s="1635">
        <v>5</v>
      </c>
      <c r="E732" s="1634" t="s">
        <v>929</v>
      </c>
      <c r="F732" s="1633" t="s">
        <v>1072</v>
      </c>
      <c r="G732" s="1632">
        <v>5615.9204447083257</v>
      </c>
      <c r="H732" s="1632">
        <v>3006.89</v>
      </c>
      <c r="I732" s="1630">
        <f t="shared" si="345"/>
        <v>8622.810444708326</v>
      </c>
      <c r="J732" s="1630">
        <f t="shared" si="346"/>
        <v>43114.052223541628</v>
      </c>
      <c r="K732" s="1631">
        <v>4600</v>
      </c>
      <c r="L732" s="1630">
        <f t="shared" si="347"/>
        <v>4600</v>
      </c>
      <c r="M732" s="1630">
        <f t="shared" si="348"/>
        <v>23000</v>
      </c>
      <c r="N732" s="1625">
        <f t="shared" si="349"/>
        <v>20114.052223541628</v>
      </c>
      <c r="O732" s="1629">
        <v>0.73699999999999999</v>
      </c>
      <c r="P732" s="1629">
        <v>0.26300000000000001</v>
      </c>
      <c r="Q732" s="1625">
        <f t="shared" si="350"/>
        <v>14824.056488750181</v>
      </c>
      <c r="R732" s="1628">
        <f t="shared" si="351"/>
        <v>5289.9957347914487</v>
      </c>
      <c r="S732" s="1627">
        <f t="shared" si="352"/>
        <v>13255.545734791447</v>
      </c>
      <c r="T732" s="1627">
        <f t="shared" si="353"/>
        <v>9744.4542652085511</v>
      </c>
      <c r="U732" s="1626">
        <f t="shared" si="354"/>
        <v>3313.8864336978618</v>
      </c>
      <c r="V732" s="1626">
        <f t="shared" si="355"/>
        <v>2436.1135663021378</v>
      </c>
      <c r="W732" s="1625">
        <f t="shared" si="356"/>
        <v>5750</v>
      </c>
      <c r="X732" s="1614"/>
      <c r="Y732" s="1613"/>
      <c r="Z732" s="1612">
        <f t="shared" si="357"/>
        <v>0.53346876050405845</v>
      </c>
      <c r="AA732" s="1611"/>
      <c r="AB732" s="1611"/>
      <c r="AC732" s="1611"/>
      <c r="AD732" s="1611"/>
      <c r="AE732" s="1611"/>
      <c r="AF732" s="1611"/>
      <c r="AG732" s="1611"/>
      <c r="AH732" s="1611"/>
      <c r="AI732" s="1611"/>
      <c r="AJ732" s="1611"/>
      <c r="AK732" s="1611"/>
      <c r="AL732" s="1611"/>
      <c r="AM732" s="1611"/>
      <c r="AN732" s="1611"/>
      <c r="AO732" s="1611"/>
      <c r="AP732" s="1611"/>
      <c r="AQ732" s="1611"/>
    </row>
    <row r="733" spans="1:43" outlineLevel="2">
      <c r="A733" s="1638" t="s">
        <v>323</v>
      </c>
      <c r="B733" s="1637" t="s">
        <v>134</v>
      </c>
      <c r="C733" s="1636"/>
      <c r="D733" s="1635">
        <v>4</v>
      </c>
      <c r="E733" s="1634" t="s">
        <v>929</v>
      </c>
      <c r="F733" s="1633" t="s">
        <v>1079</v>
      </c>
      <c r="G733" s="1632">
        <v>5615.9204447083257</v>
      </c>
      <c r="H733" s="1632">
        <v>3006.89</v>
      </c>
      <c r="I733" s="1630">
        <f t="shared" si="345"/>
        <v>8622.810444708326</v>
      </c>
      <c r="J733" s="1630">
        <f t="shared" si="346"/>
        <v>34491.241778833304</v>
      </c>
      <c r="K733" s="1631">
        <v>4600</v>
      </c>
      <c r="L733" s="1630">
        <f t="shared" si="347"/>
        <v>4600</v>
      </c>
      <c r="M733" s="1630">
        <f t="shared" si="348"/>
        <v>18400</v>
      </c>
      <c r="N733" s="1625">
        <f t="shared" si="349"/>
        <v>16091.241778833304</v>
      </c>
      <c r="O733" s="1629">
        <v>0.73699999999999999</v>
      </c>
      <c r="P733" s="1629">
        <v>0.26300000000000001</v>
      </c>
      <c r="Q733" s="1625">
        <f t="shared" si="350"/>
        <v>11859.245191000145</v>
      </c>
      <c r="R733" s="1628">
        <f t="shared" si="351"/>
        <v>4231.9965878331595</v>
      </c>
      <c r="S733" s="1627">
        <f t="shared" si="352"/>
        <v>10604.436587833157</v>
      </c>
      <c r="T733" s="1627">
        <f t="shared" si="353"/>
        <v>7795.56341216684</v>
      </c>
      <c r="U733" s="1626">
        <f t="shared" si="354"/>
        <v>2651.1091469582893</v>
      </c>
      <c r="V733" s="1626">
        <f t="shared" si="355"/>
        <v>1948.89085304171</v>
      </c>
      <c r="W733" s="1625">
        <f t="shared" si="356"/>
        <v>4599.9999999999991</v>
      </c>
      <c r="X733" s="1614"/>
      <c r="Y733" s="1613"/>
      <c r="Z733" s="1612">
        <f t="shared" si="357"/>
        <v>0.53346876050405845</v>
      </c>
      <c r="AA733" s="1611"/>
      <c r="AB733" s="1611"/>
      <c r="AC733" s="1611"/>
      <c r="AD733" s="1611"/>
      <c r="AE733" s="1611"/>
      <c r="AF733" s="1611"/>
      <c r="AG733" s="1611"/>
      <c r="AH733" s="1611"/>
      <c r="AI733" s="1611"/>
      <c r="AJ733" s="1611"/>
      <c r="AK733" s="1611"/>
      <c r="AL733" s="1611"/>
      <c r="AM733" s="1611"/>
      <c r="AN733" s="1611"/>
      <c r="AO733" s="1611"/>
      <c r="AP733" s="1611"/>
      <c r="AQ733" s="1611"/>
    </row>
    <row r="734" spans="1:43" outlineLevel="2">
      <c r="A734" s="1638" t="s">
        <v>323</v>
      </c>
      <c r="B734" s="1637" t="s">
        <v>134</v>
      </c>
      <c r="C734" s="1636"/>
      <c r="D734" s="1635">
        <v>1</v>
      </c>
      <c r="E734" s="1634" t="s">
        <v>929</v>
      </c>
      <c r="F734" s="1633" t="s">
        <v>1075</v>
      </c>
      <c r="G734" s="1632">
        <v>5615.9204447083257</v>
      </c>
      <c r="H734" s="1632">
        <v>3006.89</v>
      </c>
      <c r="I734" s="1630">
        <f t="shared" si="345"/>
        <v>8622.810444708326</v>
      </c>
      <c r="J734" s="1630">
        <f t="shared" si="346"/>
        <v>8622.810444708326</v>
      </c>
      <c r="K734" s="1631">
        <v>4600</v>
      </c>
      <c r="L734" s="1630">
        <f t="shared" si="347"/>
        <v>4600</v>
      </c>
      <c r="M734" s="1630">
        <f t="shared" si="348"/>
        <v>4600</v>
      </c>
      <c r="N734" s="1625">
        <f t="shared" si="349"/>
        <v>4022.810444708326</v>
      </c>
      <c r="O734" s="1629">
        <v>0.73699999999999999</v>
      </c>
      <c r="P734" s="1629">
        <v>0.26300000000000001</v>
      </c>
      <c r="Q734" s="1625">
        <f t="shared" si="350"/>
        <v>2964.8112977500364</v>
      </c>
      <c r="R734" s="1628">
        <f t="shared" si="351"/>
        <v>1057.9991469582899</v>
      </c>
      <c r="S734" s="1627">
        <f t="shared" si="352"/>
        <v>2651.1091469582893</v>
      </c>
      <c r="T734" s="1627">
        <f t="shared" si="353"/>
        <v>1948.89085304171</v>
      </c>
      <c r="U734" s="1626">
        <f t="shared" si="354"/>
        <v>662.77728673957233</v>
      </c>
      <c r="V734" s="1626">
        <f t="shared" si="355"/>
        <v>487.2227132604275</v>
      </c>
      <c r="W734" s="1625">
        <f t="shared" si="356"/>
        <v>1149.9999999999998</v>
      </c>
      <c r="X734" s="1614"/>
      <c r="Y734" s="1613"/>
      <c r="Z734" s="1612">
        <f t="shared" si="357"/>
        <v>0.53346876050405845</v>
      </c>
      <c r="AA734" s="1611"/>
      <c r="AB734" s="1611"/>
      <c r="AC734" s="1611"/>
      <c r="AD734" s="1611"/>
      <c r="AE734" s="1611"/>
      <c r="AF734" s="1611"/>
      <c r="AG734" s="1611"/>
      <c r="AH734" s="1611"/>
      <c r="AI734" s="1611"/>
      <c r="AJ734" s="1611"/>
      <c r="AK734" s="1611"/>
      <c r="AL734" s="1611"/>
      <c r="AM734" s="1611"/>
      <c r="AN734" s="1611"/>
      <c r="AO734" s="1611"/>
      <c r="AP734" s="1611"/>
      <c r="AQ734" s="1611"/>
    </row>
    <row r="735" spans="1:43" outlineLevel="1">
      <c r="A735" s="1624"/>
      <c r="B735" s="1623" t="s">
        <v>1093</v>
      </c>
      <c r="C735" s="1622"/>
      <c r="D735" s="1621">
        <f>SUBTOTAL(9,D718:D734)</f>
        <v>78</v>
      </c>
      <c r="E735" s="1620"/>
      <c r="F735" s="1639"/>
      <c r="G735" s="1639"/>
      <c r="H735" s="1639"/>
      <c r="I735" s="1616"/>
      <c r="J735" s="1616">
        <f>SUBTOTAL(9,J718:J734)</f>
        <v>672579.21468724951</v>
      </c>
      <c r="K735" s="1615"/>
      <c r="L735" s="1616"/>
      <c r="M735" s="1616">
        <f>SUBTOTAL(9,M718:M734)</f>
        <v>374670</v>
      </c>
      <c r="N735" s="1615">
        <f>SUBTOTAL(9,N718:N734)</f>
        <v>297909.21468724951</v>
      </c>
      <c r="O735" s="1616"/>
      <c r="P735" s="1616"/>
      <c r="Q735" s="1615">
        <f t="shared" ref="Q735:W735" si="358">SUBTOTAL(9,Q718:Q734)</f>
        <v>219559.09122450283</v>
      </c>
      <c r="R735" s="1615">
        <f t="shared" si="358"/>
        <v>78350.123462746604</v>
      </c>
      <c r="S735" s="1616">
        <f t="shared" si="358"/>
        <v>218482.70346274655</v>
      </c>
      <c r="T735" s="1616">
        <f t="shared" si="358"/>
        <v>156187.29653725339</v>
      </c>
      <c r="U735" s="1616">
        <f t="shared" si="358"/>
        <v>54620.675865686637</v>
      </c>
      <c r="V735" s="1616">
        <f t="shared" si="358"/>
        <v>39046.824134313349</v>
      </c>
      <c r="W735" s="1615">
        <f t="shared" si="358"/>
        <v>93667.5</v>
      </c>
      <c r="X735" s="1614"/>
      <c r="Y735" s="1613"/>
      <c r="Z735" s="1612"/>
      <c r="AA735" s="1611"/>
      <c r="AB735" s="1611"/>
      <c r="AC735" s="1611"/>
      <c r="AD735" s="1611"/>
      <c r="AE735" s="1611"/>
      <c r="AF735" s="1611"/>
      <c r="AG735" s="1611"/>
      <c r="AH735" s="1611"/>
      <c r="AI735" s="1611"/>
      <c r="AJ735" s="1611"/>
      <c r="AK735" s="1611"/>
      <c r="AL735" s="1611"/>
      <c r="AM735" s="1611"/>
      <c r="AN735" s="1611"/>
      <c r="AO735" s="1611"/>
      <c r="AP735" s="1611"/>
      <c r="AQ735" s="1611"/>
    </row>
    <row r="736" spans="1:43" outlineLevel="2">
      <c r="A736" s="1638" t="s">
        <v>324</v>
      </c>
      <c r="B736" s="1637" t="s">
        <v>136</v>
      </c>
      <c r="C736" s="1636"/>
      <c r="D736" s="1635">
        <v>1</v>
      </c>
      <c r="E736" s="1634" t="s">
        <v>943</v>
      </c>
      <c r="F736" s="1633" t="s">
        <v>1064</v>
      </c>
      <c r="G736" s="1632">
        <v>5646.4026400351986</v>
      </c>
      <c r="H736" s="1632">
        <v>2601.04</v>
      </c>
      <c r="I736" s="1630">
        <f>G736+H736</f>
        <v>8247.4426400351986</v>
      </c>
      <c r="J736" s="1630">
        <f>D736*I736</f>
        <v>8247.4426400351986</v>
      </c>
      <c r="K736" s="1631">
        <v>2966</v>
      </c>
      <c r="L736" s="1630">
        <f>IF(I736&gt;K736,K736,I736)</f>
        <v>2966</v>
      </c>
      <c r="M736" s="1630">
        <f>L736*D736</f>
        <v>2966</v>
      </c>
      <c r="N736" s="1625">
        <f>J736-M736</f>
        <v>5281.4426400351986</v>
      </c>
      <c r="O736" s="1629">
        <v>0.75670000000000004</v>
      </c>
      <c r="P736" s="1629">
        <v>0.24329999999999999</v>
      </c>
      <c r="Q736" s="1625">
        <f>N736*O736</f>
        <v>3996.4676457146352</v>
      </c>
      <c r="R736" s="1628">
        <f>N736*P736</f>
        <v>1284.9749943205638</v>
      </c>
      <c r="S736" s="1627">
        <f>(G736*D736)-Q736</f>
        <v>1649.9349943205634</v>
      </c>
      <c r="T736" s="1627">
        <f>(H736*D736)-R736</f>
        <v>1316.0650056794361</v>
      </c>
      <c r="U736" s="1626">
        <f t="shared" ref="U736:V738" si="359">S736/4</f>
        <v>412.48374858014085</v>
      </c>
      <c r="V736" s="1626">
        <f t="shared" si="359"/>
        <v>329.01625141985903</v>
      </c>
      <c r="W736" s="1625">
        <f>V736+U736</f>
        <v>741.49999999999989</v>
      </c>
      <c r="X736" s="1614"/>
      <c r="Y736" s="1613"/>
      <c r="Z736" s="1612">
        <f>K736/I736</f>
        <v>0.35962662966605874</v>
      </c>
      <c r="AA736" s="1611"/>
      <c r="AB736" s="1611"/>
      <c r="AC736" s="1611"/>
      <c r="AD736" s="1611"/>
      <c r="AE736" s="1611"/>
      <c r="AF736" s="1611"/>
      <c r="AG736" s="1611"/>
      <c r="AH736" s="1611"/>
      <c r="AI736" s="1611"/>
      <c r="AJ736" s="1611"/>
      <c r="AK736" s="1611"/>
      <c r="AL736" s="1611"/>
      <c r="AM736" s="1611"/>
      <c r="AN736" s="1611"/>
      <c r="AO736" s="1611"/>
      <c r="AP736" s="1611"/>
      <c r="AQ736" s="1611"/>
    </row>
    <row r="737" spans="1:43" outlineLevel="2">
      <c r="A737" s="1638" t="s">
        <v>324</v>
      </c>
      <c r="B737" s="1637" t="s">
        <v>136</v>
      </c>
      <c r="C737" s="1636"/>
      <c r="D737" s="1635">
        <v>2</v>
      </c>
      <c r="E737" s="1634" t="s">
        <v>943</v>
      </c>
      <c r="F737" s="1633" t="s">
        <v>1067</v>
      </c>
      <c r="G737" s="1632">
        <v>5646.4026400351986</v>
      </c>
      <c r="H737" s="1632">
        <v>2601.04</v>
      </c>
      <c r="I737" s="1630">
        <f>G737+H737</f>
        <v>8247.4426400351986</v>
      </c>
      <c r="J737" s="1630">
        <f>D737*I737</f>
        <v>16494.885280070397</v>
      </c>
      <c r="K737" s="1631">
        <v>2966</v>
      </c>
      <c r="L737" s="1630">
        <f>IF(I737&gt;K737,K737,I737)</f>
        <v>2966</v>
      </c>
      <c r="M737" s="1630">
        <f>L737*D737</f>
        <v>5932</v>
      </c>
      <c r="N737" s="1625">
        <f>J737-M737</f>
        <v>10562.885280070397</v>
      </c>
      <c r="O737" s="1629">
        <v>0.75670000000000004</v>
      </c>
      <c r="P737" s="1629">
        <v>0.24329999999999999</v>
      </c>
      <c r="Q737" s="1625">
        <f>N737*O737</f>
        <v>7992.9352914292704</v>
      </c>
      <c r="R737" s="1628">
        <f>N737*P737</f>
        <v>2569.9499886411277</v>
      </c>
      <c r="S737" s="1627">
        <f>(G737*D737)-Q737</f>
        <v>3299.8699886411268</v>
      </c>
      <c r="T737" s="1627">
        <f>(H737*D737)-R737</f>
        <v>2632.1300113588723</v>
      </c>
      <c r="U737" s="1626">
        <f t="shared" si="359"/>
        <v>824.96749716028171</v>
      </c>
      <c r="V737" s="1626">
        <f t="shared" si="359"/>
        <v>658.03250283971806</v>
      </c>
      <c r="W737" s="1625">
        <f>V737+U737</f>
        <v>1482.9999999999998</v>
      </c>
      <c r="X737" s="1614"/>
      <c r="Y737" s="1613"/>
      <c r="Z737" s="1612">
        <f>K737/I737</f>
        <v>0.35962662966605874</v>
      </c>
      <c r="AA737" s="1611"/>
      <c r="AB737" s="1611"/>
      <c r="AC737" s="1611"/>
      <c r="AD737" s="1611"/>
      <c r="AE737" s="1611"/>
      <c r="AF737" s="1611"/>
      <c r="AG737" s="1611"/>
      <c r="AH737" s="1611"/>
      <c r="AI737" s="1611"/>
      <c r="AJ737" s="1611"/>
      <c r="AK737" s="1611"/>
      <c r="AL737" s="1611"/>
      <c r="AM737" s="1611"/>
      <c r="AN737" s="1611"/>
      <c r="AO737" s="1611"/>
      <c r="AP737" s="1611"/>
      <c r="AQ737" s="1611"/>
    </row>
    <row r="738" spans="1:43" outlineLevel="2">
      <c r="A738" s="1638" t="s">
        <v>324</v>
      </c>
      <c r="B738" s="1637" t="s">
        <v>136</v>
      </c>
      <c r="C738" s="1636"/>
      <c r="D738" s="1635">
        <v>3</v>
      </c>
      <c r="E738" s="1634" t="s">
        <v>943</v>
      </c>
      <c r="F738" s="1633" t="s">
        <v>979</v>
      </c>
      <c r="G738" s="1632">
        <v>5646.4026400351986</v>
      </c>
      <c r="H738" s="1632">
        <v>2601.04</v>
      </c>
      <c r="I738" s="1630">
        <f>G738+H738</f>
        <v>8247.4426400351986</v>
      </c>
      <c r="J738" s="1630">
        <f>D738*I738</f>
        <v>24742.327920105596</v>
      </c>
      <c r="K738" s="1631">
        <v>2966</v>
      </c>
      <c r="L738" s="1630">
        <f>IF(I738&gt;K738,K738,I738)</f>
        <v>2966</v>
      </c>
      <c r="M738" s="1630">
        <f>L738*D738</f>
        <v>8898</v>
      </c>
      <c r="N738" s="1625">
        <f>J738-M738</f>
        <v>15844.327920105596</v>
      </c>
      <c r="O738" s="1629">
        <v>0.75670000000000004</v>
      </c>
      <c r="P738" s="1629">
        <v>0.24329999999999999</v>
      </c>
      <c r="Q738" s="1625">
        <f>N738*O738</f>
        <v>11989.402937143905</v>
      </c>
      <c r="R738" s="1628">
        <f>N738*P738</f>
        <v>3854.9249829616911</v>
      </c>
      <c r="S738" s="1627">
        <f>(G738*D738)-Q738</f>
        <v>4949.8049829616921</v>
      </c>
      <c r="T738" s="1627">
        <f>(H738*D738)-R738</f>
        <v>3948.1950170383088</v>
      </c>
      <c r="U738" s="1626">
        <f t="shared" si="359"/>
        <v>1237.451245740423</v>
      </c>
      <c r="V738" s="1626">
        <f t="shared" si="359"/>
        <v>987.04875425957721</v>
      </c>
      <c r="W738" s="1625">
        <f>V738+U738</f>
        <v>2224.5</v>
      </c>
      <c r="X738" s="1614"/>
      <c r="Y738" s="1613"/>
      <c r="Z738" s="1612">
        <f>K738/I738</f>
        <v>0.35962662966605874</v>
      </c>
      <c r="AA738" s="1611"/>
      <c r="AB738" s="1611"/>
      <c r="AC738" s="1611"/>
      <c r="AD738" s="1611"/>
      <c r="AE738" s="1611"/>
      <c r="AF738" s="1611"/>
      <c r="AG738" s="1611"/>
      <c r="AH738" s="1611"/>
      <c r="AI738" s="1611"/>
      <c r="AJ738" s="1611"/>
      <c r="AK738" s="1611"/>
      <c r="AL738" s="1611"/>
      <c r="AM738" s="1611"/>
      <c r="AN738" s="1611"/>
      <c r="AO738" s="1611"/>
      <c r="AP738" s="1611"/>
      <c r="AQ738" s="1611"/>
    </row>
    <row r="739" spans="1:43" outlineLevel="1">
      <c r="A739" s="1624"/>
      <c r="B739" s="1623" t="s">
        <v>1092</v>
      </c>
      <c r="C739" s="1622"/>
      <c r="D739" s="1621">
        <f>SUBTOTAL(9,D736:D738)</f>
        <v>6</v>
      </c>
      <c r="E739" s="1620"/>
      <c r="F739" s="1639"/>
      <c r="G739" s="1639"/>
      <c r="H739" s="1639"/>
      <c r="I739" s="1616"/>
      <c r="J739" s="1616">
        <f>SUBTOTAL(9,J736:J738)</f>
        <v>49484.655840211191</v>
      </c>
      <c r="K739" s="1615"/>
      <c r="L739" s="1616"/>
      <c r="M739" s="1616">
        <f>SUBTOTAL(9,M736:M738)</f>
        <v>17796</v>
      </c>
      <c r="N739" s="1615">
        <f>SUBTOTAL(9,N736:N738)</f>
        <v>31688.655840211191</v>
      </c>
      <c r="O739" s="1616"/>
      <c r="P739" s="1616"/>
      <c r="Q739" s="1615">
        <f t="shared" ref="Q739:W739" si="360">SUBTOTAL(9,Q736:Q738)</f>
        <v>23978.805874287813</v>
      </c>
      <c r="R739" s="1615">
        <f t="shared" si="360"/>
        <v>7709.8499659233821</v>
      </c>
      <c r="S739" s="1616">
        <f t="shared" si="360"/>
        <v>9899.6099659233823</v>
      </c>
      <c r="T739" s="1616">
        <f t="shared" si="360"/>
        <v>7896.3900340766177</v>
      </c>
      <c r="U739" s="1616">
        <f t="shared" si="360"/>
        <v>2474.9024914808456</v>
      </c>
      <c r="V739" s="1616">
        <f t="shared" si="360"/>
        <v>1974.0975085191544</v>
      </c>
      <c r="W739" s="1615">
        <f t="shared" si="360"/>
        <v>4449</v>
      </c>
      <c r="X739" s="1614"/>
      <c r="Y739" s="1613"/>
      <c r="Z739" s="1612"/>
      <c r="AA739" s="1611"/>
      <c r="AB739" s="1611"/>
      <c r="AC739" s="1611"/>
      <c r="AD739" s="1611"/>
      <c r="AE739" s="1611"/>
      <c r="AF739" s="1611"/>
      <c r="AG739" s="1611"/>
      <c r="AH739" s="1611"/>
      <c r="AI739" s="1611"/>
      <c r="AJ739" s="1611"/>
      <c r="AK739" s="1611"/>
      <c r="AL739" s="1611"/>
      <c r="AM739" s="1611"/>
      <c r="AN739" s="1611"/>
      <c r="AO739" s="1611"/>
      <c r="AP739" s="1611"/>
      <c r="AQ739" s="1611"/>
    </row>
    <row r="740" spans="1:43" outlineLevel="2">
      <c r="A740" s="1638" t="s">
        <v>325</v>
      </c>
      <c r="B740" s="1637" t="s">
        <v>138</v>
      </c>
      <c r="C740" s="1636"/>
      <c r="D740" s="1635">
        <v>1</v>
      </c>
      <c r="E740" s="1634" t="s">
        <v>942</v>
      </c>
      <c r="F740" s="1633" t="s">
        <v>1063</v>
      </c>
      <c r="G740" s="1632">
        <v>5184.9293348489618</v>
      </c>
      <c r="H740" s="1632">
        <v>3462.98</v>
      </c>
      <c r="I740" s="1630">
        <f t="shared" ref="I740:I746" si="361">G740+H740</f>
        <v>8647.9093348489623</v>
      </c>
      <c r="J740" s="1630">
        <f t="shared" ref="J740:J746" si="362">D740*I740</f>
        <v>8647.9093348489623</v>
      </c>
      <c r="K740" s="1631">
        <v>8520</v>
      </c>
      <c r="L740" s="1630">
        <f t="shared" ref="L740:L746" si="363">IF(I740&gt;K740,K740,I740)</f>
        <v>8520</v>
      </c>
      <c r="M740" s="1630">
        <f t="shared" ref="M740:M746" si="364">L740*D740</f>
        <v>8520</v>
      </c>
      <c r="N740" s="1625">
        <f t="shared" ref="N740:N746" si="365">J740-M740</f>
        <v>127.90933484896232</v>
      </c>
      <c r="O740" s="1629">
        <v>0.6784</v>
      </c>
      <c r="P740" s="1629">
        <v>0.3216</v>
      </c>
      <c r="Q740" s="1625">
        <f t="shared" ref="Q740:Q746" si="366">N740*O740</f>
        <v>86.77369276153604</v>
      </c>
      <c r="R740" s="1628">
        <f t="shared" ref="R740:R746" si="367">N740*P740</f>
        <v>41.135642087426284</v>
      </c>
      <c r="S740" s="1627">
        <f t="shared" ref="S740:S746" si="368">(G740*D740)-Q740</f>
        <v>5098.1556420874258</v>
      </c>
      <c r="T740" s="1627">
        <f t="shared" ref="T740:T746" si="369">(H740*D740)-R740</f>
        <v>3421.8443579125737</v>
      </c>
      <c r="U740" s="1626">
        <f t="shared" ref="U740:V746" si="370">S740/4</f>
        <v>1274.5389105218565</v>
      </c>
      <c r="V740" s="1626">
        <f t="shared" si="370"/>
        <v>855.46108947814344</v>
      </c>
      <c r="W740" s="1625">
        <f t="shared" ref="W740:W746" si="371">V740+U740</f>
        <v>2130</v>
      </c>
      <c r="X740" s="1614"/>
      <c r="Y740" s="1613"/>
      <c r="Z740" s="1612">
        <f t="shared" ref="Z740:Z746" si="372">K740/I740</f>
        <v>0.9852092187954008</v>
      </c>
      <c r="AA740" s="1611"/>
      <c r="AB740" s="1611"/>
      <c r="AC740" s="1611"/>
      <c r="AD740" s="1611"/>
      <c r="AE740" s="1611"/>
      <c r="AF740" s="1611"/>
      <c r="AG740" s="1611"/>
      <c r="AH740" s="1611"/>
      <c r="AI740" s="1611"/>
      <c r="AJ740" s="1611"/>
      <c r="AK740" s="1611"/>
      <c r="AL740" s="1611"/>
      <c r="AM740" s="1611"/>
      <c r="AN740" s="1611"/>
      <c r="AO740" s="1611"/>
      <c r="AP740" s="1611"/>
      <c r="AQ740" s="1611"/>
    </row>
    <row r="741" spans="1:43" outlineLevel="2">
      <c r="A741" s="1638" t="s">
        <v>325</v>
      </c>
      <c r="B741" s="1637" t="s">
        <v>138</v>
      </c>
      <c r="C741" s="1636"/>
      <c r="D741" s="1635">
        <v>11</v>
      </c>
      <c r="E741" s="1634" t="s">
        <v>920</v>
      </c>
      <c r="F741" s="1633" t="s">
        <v>979</v>
      </c>
      <c r="G741" s="1632">
        <v>5184.9293348489618</v>
      </c>
      <c r="H741" s="1632">
        <v>3462.98</v>
      </c>
      <c r="I741" s="1630">
        <f t="shared" si="361"/>
        <v>8647.9093348489623</v>
      </c>
      <c r="J741" s="1630">
        <f t="shared" si="362"/>
        <v>95127.002683338593</v>
      </c>
      <c r="K741" s="1631">
        <v>3815</v>
      </c>
      <c r="L741" s="1630">
        <f t="shared" si="363"/>
        <v>3815</v>
      </c>
      <c r="M741" s="1630">
        <f t="shared" si="364"/>
        <v>41965</v>
      </c>
      <c r="N741" s="1625">
        <f t="shared" si="365"/>
        <v>53162.002683338593</v>
      </c>
      <c r="O741" s="1629">
        <v>0.6784</v>
      </c>
      <c r="P741" s="1629">
        <v>0.3216</v>
      </c>
      <c r="Q741" s="1625">
        <f t="shared" si="366"/>
        <v>36065.1026203769</v>
      </c>
      <c r="R741" s="1628">
        <f t="shared" si="367"/>
        <v>17096.900062961693</v>
      </c>
      <c r="S741" s="1627">
        <f t="shared" si="368"/>
        <v>20969.12006296168</v>
      </c>
      <c r="T741" s="1627">
        <f t="shared" si="369"/>
        <v>20995.879937038306</v>
      </c>
      <c r="U741" s="1626">
        <f t="shared" si="370"/>
        <v>5242.2800157404199</v>
      </c>
      <c r="V741" s="1626">
        <f t="shared" si="370"/>
        <v>5248.9699842595764</v>
      </c>
      <c r="W741" s="1625">
        <f t="shared" si="371"/>
        <v>10491.249999999996</v>
      </c>
      <c r="X741" s="1614"/>
      <c r="Y741" s="1613"/>
      <c r="Z741" s="1612">
        <f t="shared" si="372"/>
        <v>0.44114708564606264</v>
      </c>
      <c r="AA741" s="1611"/>
      <c r="AB741" s="1611"/>
      <c r="AC741" s="1611"/>
      <c r="AD741" s="1611"/>
      <c r="AE741" s="1611"/>
      <c r="AF741" s="1611"/>
      <c r="AG741" s="1611"/>
      <c r="AH741" s="1611"/>
      <c r="AI741" s="1611"/>
      <c r="AJ741" s="1611"/>
      <c r="AK741" s="1611"/>
      <c r="AL741" s="1611"/>
      <c r="AM741" s="1611"/>
      <c r="AN741" s="1611"/>
      <c r="AO741" s="1611"/>
      <c r="AP741" s="1611"/>
      <c r="AQ741" s="1611"/>
    </row>
    <row r="742" spans="1:43" outlineLevel="2">
      <c r="A742" s="1638" t="s">
        <v>325</v>
      </c>
      <c r="B742" s="1637" t="s">
        <v>138</v>
      </c>
      <c r="C742" s="1636"/>
      <c r="D742" s="1635">
        <v>1</v>
      </c>
      <c r="E742" s="1634" t="s">
        <v>907</v>
      </c>
      <c r="F742" s="1633" t="s">
        <v>1069</v>
      </c>
      <c r="G742" s="1632">
        <v>5184.9293348489618</v>
      </c>
      <c r="H742" s="1632">
        <v>3462.98</v>
      </c>
      <c r="I742" s="1630">
        <f t="shared" si="361"/>
        <v>8647.9093348489623</v>
      </c>
      <c r="J742" s="1630">
        <f t="shared" si="362"/>
        <v>8647.9093348489623</v>
      </c>
      <c r="K742" s="1631">
        <v>4765</v>
      </c>
      <c r="L742" s="1630">
        <f t="shared" si="363"/>
        <v>4765</v>
      </c>
      <c r="M742" s="1630">
        <f t="shared" si="364"/>
        <v>4765</v>
      </c>
      <c r="N742" s="1625">
        <f t="shared" si="365"/>
        <v>3882.9093348489623</v>
      </c>
      <c r="O742" s="1629">
        <v>0.6784</v>
      </c>
      <c r="P742" s="1629">
        <v>0.3216</v>
      </c>
      <c r="Q742" s="1625">
        <f t="shared" si="366"/>
        <v>2634.1656927615359</v>
      </c>
      <c r="R742" s="1628">
        <f t="shared" si="367"/>
        <v>1248.7436420874262</v>
      </c>
      <c r="S742" s="1627">
        <f t="shared" si="368"/>
        <v>2550.763642087426</v>
      </c>
      <c r="T742" s="1627">
        <f t="shared" si="369"/>
        <v>2214.236357912574</v>
      </c>
      <c r="U742" s="1626">
        <f t="shared" si="370"/>
        <v>637.69091052185649</v>
      </c>
      <c r="V742" s="1626">
        <f t="shared" si="370"/>
        <v>553.55908947814351</v>
      </c>
      <c r="W742" s="1625">
        <f t="shared" si="371"/>
        <v>1191.25</v>
      </c>
      <c r="X742" s="1614"/>
      <c r="Y742" s="1613"/>
      <c r="Z742" s="1612">
        <f t="shared" si="372"/>
        <v>0.55100022623944656</v>
      </c>
      <c r="AA742" s="1611"/>
      <c r="AB742" s="1611"/>
      <c r="AC742" s="1611"/>
      <c r="AD742" s="1611"/>
      <c r="AE742" s="1611"/>
      <c r="AF742" s="1611"/>
      <c r="AG742" s="1611"/>
      <c r="AH742" s="1611"/>
      <c r="AI742" s="1611"/>
      <c r="AJ742" s="1611"/>
      <c r="AK742" s="1611"/>
      <c r="AL742" s="1611"/>
      <c r="AM742" s="1611"/>
      <c r="AN742" s="1611"/>
      <c r="AO742" s="1611"/>
      <c r="AP742" s="1611"/>
      <c r="AQ742" s="1611"/>
    </row>
    <row r="743" spans="1:43" outlineLevel="2">
      <c r="A743" s="1638" t="s">
        <v>325</v>
      </c>
      <c r="B743" s="1637" t="s">
        <v>138</v>
      </c>
      <c r="C743" s="1636"/>
      <c r="D743" s="1635">
        <v>2</v>
      </c>
      <c r="E743" s="1634" t="s">
        <v>931</v>
      </c>
      <c r="F743" s="1633" t="s">
        <v>1064</v>
      </c>
      <c r="G743" s="1632">
        <v>5184.9293348489618</v>
      </c>
      <c r="H743" s="1632">
        <v>3462.98</v>
      </c>
      <c r="I743" s="1630">
        <f t="shared" si="361"/>
        <v>8647.9093348489623</v>
      </c>
      <c r="J743" s="1630">
        <f t="shared" si="362"/>
        <v>17295.818669697925</v>
      </c>
      <c r="K743" s="1631">
        <v>5700</v>
      </c>
      <c r="L743" s="1630">
        <f t="shared" si="363"/>
        <v>5700</v>
      </c>
      <c r="M743" s="1630">
        <f t="shared" si="364"/>
        <v>11400</v>
      </c>
      <c r="N743" s="1625">
        <f t="shared" si="365"/>
        <v>5895.8186696979246</v>
      </c>
      <c r="O743" s="1629">
        <v>0.6784</v>
      </c>
      <c r="P743" s="1629">
        <v>0.3216</v>
      </c>
      <c r="Q743" s="1625">
        <f t="shared" si="366"/>
        <v>3999.723385523072</v>
      </c>
      <c r="R743" s="1628">
        <f t="shared" si="367"/>
        <v>1896.0952841748526</v>
      </c>
      <c r="S743" s="1627">
        <f t="shared" si="368"/>
        <v>6370.1352841748521</v>
      </c>
      <c r="T743" s="1627">
        <f t="shared" si="369"/>
        <v>5029.8647158251479</v>
      </c>
      <c r="U743" s="1626">
        <f t="shared" si="370"/>
        <v>1592.533821043713</v>
      </c>
      <c r="V743" s="1626">
        <f t="shared" si="370"/>
        <v>1257.466178956287</v>
      </c>
      <c r="W743" s="1625">
        <f t="shared" si="371"/>
        <v>2850</v>
      </c>
      <c r="X743" s="1614"/>
      <c r="Y743" s="1613"/>
      <c r="Z743" s="1612">
        <f t="shared" si="372"/>
        <v>0.65911884356030337</v>
      </c>
      <c r="AA743" s="1611"/>
      <c r="AB743" s="1611"/>
      <c r="AC743" s="1611"/>
      <c r="AD743" s="1611"/>
      <c r="AE743" s="1611"/>
      <c r="AF743" s="1611"/>
      <c r="AG743" s="1611"/>
      <c r="AH743" s="1611"/>
      <c r="AI743" s="1611"/>
      <c r="AJ743" s="1611"/>
      <c r="AK743" s="1611"/>
      <c r="AL743" s="1611"/>
      <c r="AM743" s="1611"/>
      <c r="AN743" s="1611"/>
      <c r="AO743" s="1611"/>
      <c r="AP743" s="1611"/>
      <c r="AQ743" s="1611"/>
    </row>
    <row r="744" spans="1:43" outlineLevel="2">
      <c r="A744" s="1638" t="s">
        <v>325</v>
      </c>
      <c r="B744" s="1637" t="s">
        <v>138</v>
      </c>
      <c r="C744" s="1636"/>
      <c r="D744" s="1635">
        <v>1</v>
      </c>
      <c r="E744" s="1634" t="s">
        <v>941</v>
      </c>
      <c r="F744" s="1633" t="s">
        <v>1064</v>
      </c>
      <c r="G744" s="1632">
        <v>5184.9293348489618</v>
      </c>
      <c r="H744" s="1632">
        <v>3462.98</v>
      </c>
      <c r="I744" s="1630">
        <f t="shared" si="361"/>
        <v>8647.9093348489623</v>
      </c>
      <c r="J744" s="1630">
        <f t="shared" si="362"/>
        <v>8647.9093348489623</v>
      </c>
      <c r="K744" s="1631">
        <v>6600</v>
      </c>
      <c r="L744" s="1630">
        <f t="shared" si="363"/>
        <v>6600</v>
      </c>
      <c r="M744" s="1630">
        <f t="shared" si="364"/>
        <v>6600</v>
      </c>
      <c r="N744" s="1625">
        <f t="shared" si="365"/>
        <v>2047.9093348489623</v>
      </c>
      <c r="O744" s="1629">
        <v>0.6784</v>
      </c>
      <c r="P744" s="1629">
        <v>0.3216</v>
      </c>
      <c r="Q744" s="1625">
        <f t="shared" si="366"/>
        <v>1389.3016927615361</v>
      </c>
      <c r="R744" s="1628">
        <f t="shared" si="367"/>
        <v>658.60764208742626</v>
      </c>
      <c r="S744" s="1627">
        <f t="shared" si="368"/>
        <v>3795.6276420874256</v>
      </c>
      <c r="T744" s="1627">
        <f t="shared" si="369"/>
        <v>2804.3723579125735</v>
      </c>
      <c r="U744" s="1626">
        <f t="shared" si="370"/>
        <v>948.90691052185639</v>
      </c>
      <c r="V744" s="1626">
        <f t="shared" si="370"/>
        <v>701.09308947814338</v>
      </c>
      <c r="W744" s="1625">
        <f t="shared" si="371"/>
        <v>1649.9999999999998</v>
      </c>
      <c r="X744" s="1614"/>
      <c r="Y744" s="1613"/>
      <c r="Z744" s="1612">
        <f t="shared" si="372"/>
        <v>0.76319023991193014</v>
      </c>
      <c r="AA744" s="1611"/>
      <c r="AB744" s="1611"/>
      <c r="AC744" s="1611"/>
      <c r="AD744" s="1611"/>
      <c r="AE744" s="1611"/>
      <c r="AF744" s="1611"/>
      <c r="AG744" s="1611"/>
      <c r="AH744" s="1611"/>
      <c r="AI744" s="1611"/>
      <c r="AJ744" s="1611"/>
      <c r="AK744" s="1611"/>
      <c r="AL744" s="1611"/>
      <c r="AM744" s="1611"/>
      <c r="AN744" s="1611"/>
      <c r="AO744" s="1611"/>
      <c r="AP744" s="1611"/>
      <c r="AQ744" s="1611"/>
    </row>
    <row r="745" spans="1:43" outlineLevel="2">
      <c r="A745" s="1638" t="s">
        <v>325</v>
      </c>
      <c r="B745" s="1637" t="s">
        <v>138</v>
      </c>
      <c r="C745" s="1636"/>
      <c r="D745" s="1635">
        <v>2</v>
      </c>
      <c r="E745" s="1634" t="s">
        <v>941</v>
      </c>
      <c r="F745" s="1633" t="s">
        <v>1066</v>
      </c>
      <c r="G745" s="1632">
        <v>5184.9293348489618</v>
      </c>
      <c r="H745" s="1632">
        <v>3462.98</v>
      </c>
      <c r="I745" s="1630">
        <f t="shared" si="361"/>
        <v>8647.9093348489623</v>
      </c>
      <c r="J745" s="1630">
        <f t="shared" si="362"/>
        <v>17295.818669697925</v>
      </c>
      <c r="K745" s="1631">
        <v>6600</v>
      </c>
      <c r="L745" s="1630">
        <f t="shared" si="363"/>
        <v>6600</v>
      </c>
      <c r="M745" s="1630">
        <f t="shared" si="364"/>
        <v>13200</v>
      </c>
      <c r="N745" s="1625">
        <f t="shared" si="365"/>
        <v>4095.8186696979246</v>
      </c>
      <c r="O745" s="1629">
        <v>0.6784</v>
      </c>
      <c r="P745" s="1629">
        <v>0.3216</v>
      </c>
      <c r="Q745" s="1625">
        <f t="shared" si="366"/>
        <v>2778.6033855230721</v>
      </c>
      <c r="R745" s="1628">
        <f t="shared" si="367"/>
        <v>1317.2152841748525</v>
      </c>
      <c r="S745" s="1627">
        <f t="shared" si="368"/>
        <v>7591.2552841748511</v>
      </c>
      <c r="T745" s="1627">
        <f t="shared" si="369"/>
        <v>5608.7447158251471</v>
      </c>
      <c r="U745" s="1626">
        <f t="shared" si="370"/>
        <v>1897.8138210437128</v>
      </c>
      <c r="V745" s="1626">
        <f t="shared" si="370"/>
        <v>1402.1861789562868</v>
      </c>
      <c r="W745" s="1625">
        <f t="shared" si="371"/>
        <v>3299.9999999999995</v>
      </c>
      <c r="X745" s="1614"/>
      <c r="Y745" s="1613"/>
      <c r="Z745" s="1612">
        <f t="shared" si="372"/>
        <v>0.76319023991193014</v>
      </c>
      <c r="AA745" s="1611"/>
      <c r="AB745" s="1611"/>
      <c r="AC745" s="1611"/>
      <c r="AD745" s="1611"/>
      <c r="AE745" s="1611"/>
      <c r="AF745" s="1611"/>
      <c r="AG745" s="1611"/>
      <c r="AH745" s="1611"/>
      <c r="AI745" s="1611"/>
      <c r="AJ745" s="1611"/>
      <c r="AK745" s="1611"/>
      <c r="AL745" s="1611"/>
      <c r="AM745" s="1611"/>
      <c r="AN745" s="1611"/>
      <c r="AO745" s="1611"/>
      <c r="AP745" s="1611"/>
      <c r="AQ745" s="1611"/>
    </row>
    <row r="746" spans="1:43" outlineLevel="2">
      <c r="A746" s="1638" t="s">
        <v>325</v>
      </c>
      <c r="B746" s="1637" t="s">
        <v>138</v>
      </c>
      <c r="C746" s="1636"/>
      <c r="D746" s="1635">
        <v>1</v>
      </c>
      <c r="E746" s="1634" t="s">
        <v>922</v>
      </c>
      <c r="F746" s="1633" t="s">
        <v>1063</v>
      </c>
      <c r="G746" s="1632">
        <v>5184.9293348489618</v>
      </c>
      <c r="H746" s="1632">
        <v>3462.98</v>
      </c>
      <c r="I746" s="1630">
        <f t="shared" si="361"/>
        <v>8647.9093348489623</v>
      </c>
      <c r="J746" s="1630">
        <f t="shared" si="362"/>
        <v>8647.9093348489623</v>
      </c>
      <c r="K746" s="1631">
        <v>5082</v>
      </c>
      <c r="L746" s="1630">
        <f t="shared" si="363"/>
        <v>5082</v>
      </c>
      <c r="M746" s="1630">
        <f t="shared" si="364"/>
        <v>5082</v>
      </c>
      <c r="N746" s="1625">
        <f t="shared" si="365"/>
        <v>3565.9093348489623</v>
      </c>
      <c r="O746" s="1629">
        <v>0.6784</v>
      </c>
      <c r="P746" s="1629">
        <v>0.3216</v>
      </c>
      <c r="Q746" s="1625">
        <f t="shared" si="366"/>
        <v>2419.1128927615359</v>
      </c>
      <c r="R746" s="1628">
        <f t="shared" si="367"/>
        <v>1146.7964420874262</v>
      </c>
      <c r="S746" s="1627">
        <f t="shared" si="368"/>
        <v>2765.8164420874259</v>
      </c>
      <c r="T746" s="1627">
        <f t="shared" si="369"/>
        <v>2316.1835579125736</v>
      </c>
      <c r="U746" s="1626">
        <f t="shared" si="370"/>
        <v>691.45411052185648</v>
      </c>
      <c r="V746" s="1626">
        <f t="shared" si="370"/>
        <v>579.04588947814341</v>
      </c>
      <c r="W746" s="1625">
        <f t="shared" si="371"/>
        <v>1270.5</v>
      </c>
      <c r="X746" s="1614"/>
      <c r="Y746" s="1613"/>
      <c r="Z746" s="1612">
        <f t="shared" si="372"/>
        <v>0.58765648473218624</v>
      </c>
      <c r="AA746" s="1611"/>
      <c r="AB746" s="1611"/>
      <c r="AC746" s="1611"/>
      <c r="AD746" s="1611"/>
      <c r="AE746" s="1611"/>
      <c r="AF746" s="1611"/>
      <c r="AG746" s="1611"/>
      <c r="AH746" s="1611"/>
      <c r="AI746" s="1611"/>
      <c r="AJ746" s="1611"/>
      <c r="AK746" s="1611"/>
      <c r="AL746" s="1611"/>
      <c r="AM746" s="1611"/>
      <c r="AN746" s="1611"/>
      <c r="AO746" s="1611"/>
      <c r="AP746" s="1611"/>
      <c r="AQ746" s="1611"/>
    </row>
    <row r="747" spans="1:43" outlineLevel="1">
      <c r="A747" s="1624"/>
      <c r="B747" s="1623" t="s">
        <v>1091</v>
      </c>
      <c r="C747" s="1622"/>
      <c r="D747" s="1621">
        <f>SUBTOTAL(9,D740:D746)</f>
        <v>19</v>
      </c>
      <c r="E747" s="1620"/>
      <c r="F747" s="1639"/>
      <c r="G747" s="1639"/>
      <c r="H747" s="1639"/>
      <c r="I747" s="1616"/>
      <c r="J747" s="1616">
        <f>SUBTOTAL(9,J740:J746)</f>
        <v>164310.27736213026</v>
      </c>
      <c r="K747" s="1615"/>
      <c r="L747" s="1616"/>
      <c r="M747" s="1616">
        <f>SUBTOTAL(9,M740:M746)</f>
        <v>91532</v>
      </c>
      <c r="N747" s="1615">
        <f>SUBTOTAL(9,N740:N746)</f>
        <v>72778.277362130291</v>
      </c>
      <c r="O747" s="1616"/>
      <c r="P747" s="1616"/>
      <c r="Q747" s="1615">
        <f t="shared" ref="Q747:W747" si="373">SUBTOTAL(9,Q740:Q746)</f>
        <v>49372.783362469185</v>
      </c>
      <c r="R747" s="1615">
        <f t="shared" si="373"/>
        <v>23405.493999661103</v>
      </c>
      <c r="S747" s="1616">
        <f t="shared" si="373"/>
        <v>49140.873999661082</v>
      </c>
      <c r="T747" s="1616">
        <f t="shared" si="373"/>
        <v>42391.126000338896</v>
      </c>
      <c r="U747" s="1616">
        <f t="shared" si="373"/>
        <v>12285.218499915271</v>
      </c>
      <c r="V747" s="1616">
        <f t="shared" si="373"/>
        <v>10597.781500084724</v>
      </c>
      <c r="W747" s="1615">
        <f t="shared" si="373"/>
        <v>22882.999999999996</v>
      </c>
      <c r="X747" s="1614"/>
      <c r="Y747" s="1613"/>
      <c r="Z747" s="1612"/>
      <c r="AA747" s="1611"/>
      <c r="AB747" s="1611"/>
      <c r="AC747" s="1611"/>
      <c r="AD747" s="1611"/>
      <c r="AE747" s="1611"/>
      <c r="AF747" s="1611"/>
      <c r="AG747" s="1611"/>
      <c r="AH747" s="1611"/>
      <c r="AI747" s="1611"/>
      <c r="AJ747" s="1611"/>
      <c r="AK747" s="1611"/>
      <c r="AL747" s="1611"/>
      <c r="AM747" s="1611"/>
      <c r="AN747" s="1611"/>
      <c r="AO747" s="1611"/>
      <c r="AP747" s="1611"/>
      <c r="AQ747" s="1611"/>
    </row>
    <row r="748" spans="1:43" outlineLevel="2">
      <c r="A748" s="1638" t="s">
        <v>326</v>
      </c>
      <c r="B748" s="1637" t="s">
        <v>139</v>
      </c>
      <c r="C748" s="1636"/>
      <c r="D748" s="1635">
        <v>1</v>
      </c>
      <c r="E748" s="1634" t="s">
        <v>933</v>
      </c>
      <c r="F748" s="1633" t="s">
        <v>979</v>
      </c>
      <c r="G748" s="1632">
        <v>2870.9361390792624</v>
      </c>
      <c r="H748" s="1632">
        <v>5267.01</v>
      </c>
      <c r="I748" s="1630">
        <f t="shared" ref="I748:I756" si="374">G748+H748</f>
        <v>8137.9461390792621</v>
      </c>
      <c r="J748" s="1630">
        <f t="shared" ref="J748:J756" si="375">D748*I748</f>
        <v>8137.9461390792621</v>
      </c>
      <c r="K748" s="1631">
        <v>4465</v>
      </c>
      <c r="L748" s="1630">
        <f t="shared" ref="L748:L756" si="376">IF(I748&gt;K748,K748,I748)</f>
        <v>4465</v>
      </c>
      <c r="M748" s="1630">
        <f t="shared" ref="M748:M756" si="377">L748*D748</f>
        <v>4465</v>
      </c>
      <c r="N748" s="1625">
        <f t="shared" ref="N748:N756" si="378">J748-M748</f>
        <v>3672.9461390792621</v>
      </c>
      <c r="O748" s="1629">
        <v>0.30990000000000001</v>
      </c>
      <c r="P748" s="1629">
        <v>0.69010000000000005</v>
      </c>
      <c r="Q748" s="1625">
        <f t="shared" ref="Q748:Q756" si="379">N748*O748</f>
        <v>1138.2460085006633</v>
      </c>
      <c r="R748" s="1628">
        <f t="shared" ref="R748:R756" si="380">N748*P748</f>
        <v>2534.7001305785989</v>
      </c>
      <c r="S748" s="1627">
        <f t="shared" ref="S748:S756" si="381">(G748*D748)-Q748</f>
        <v>1732.6901305785991</v>
      </c>
      <c r="T748" s="1627">
        <f t="shared" ref="T748:T756" si="382">(H748*D748)-R748</f>
        <v>2732.3098694214013</v>
      </c>
      <c r="U748" s="1626">
        <f t="shared" ref="U748:U756" si="383">S748/4</f>
        <v>433.17253264464978</v>
      </c>
      <c r="V748" s="1626">
        <f t="shared" ref="V748:V756" si="384">T748/4</f>
        <v>683.07746735535034</v>
      </c>
      <c r="W748" s="1625">
        <f t="shared" ref="W748:W756" si="385">V748+U748</f>
        <v>1116.25</v>
      </c>
      <c r="X748" s="1614"/>
      <c r="Y748" s="1613"/>
      <c r="Z748" s="1612">
        <f t="shared" ref="Z748:Z756" si="386">K748/I748</f>
        <v>0.54866423587624968</v>
      </c>
      <c r="AA748" s="1611"/>
      <c r="AB748" s="1611"/>
      <c r="AC748" s="1611"/>
      <c r="AD748" s="1611"/>
      <c r="AE748" s="1611"/>
      <c r="AF748" s="1611"/>
      <c r="AG748" s="1611"/>
      <c r="AH748" s="1611"/>
      <c r="AI748" s="1611"/>
      <c r="AJ748" s="1611"/>
      <c r="AK748" s="1611"/>
      <c r="AL748" s="1611"/>
      <c r="AM748" s="1611"/>
      <c r="AN748" s="1611"/>
      <c r="AO748" s="1611"/>
      <c r="AP748" s="1611"/>
      <c r="AQ748" s="1611"/>
    </row>
    <row r="749" spans="1:43" outlineLevel="2">
      <c r="A749" s="1638" t="s">
        <v>326</v>
      </c>
      <c r="B749" s="1637" t="s">
        <v>139</v>
      </c>
      <c r="C749" s="1636"/>
      <c r="D749" s="1635">
        <v>1</v>
      </c>
      <c r="E749" s="1634" t="s">
        <v>932</v>
      </c>
      <c r="F749" s="1633" t="s">
        <v>1070</v>
      </c>
      <c r="G749" s="1632">
        <v>2870.9361390792624</v>
      </c>
      <c r="H749" s="1632">
        <v>5267.01</v>
      </c>
      <c r="I749" s="1630">
        <f t="shared" si="374"/>
        <v>8137.9461390792621</v>
      </c>
      <c r="J749" s="1630">
        <f t="shared" si="375"/>
        <v>8137.9461390792621</v>
      </c>
      <c r="K749" s="1631">
        <v>5305</v>
      </c>
      <c r="L749" s="1630">
        <f t="shared" si="376"/>
        <v>5305</v>
      </c>
      <c r="M749" s="1630">
        <f t="shared" si="377"/>
        <v>5305</v>
      </c>
      <c r="N749" s="1625">
        <f t="shared" si="378"/>
        <v>2832.9461390792621</v>
      </c>
      <c r="O749" s="1629">
        <v>0.30990000000000001</v>
      </c>
      <c r="P749" s="1629">
        <v>0.69010000000000005</v>
      </c>
      <c r="Q749" s="1625">
        <f t="shared" si="379"/>
        <v>877.93000850066335</v>
      </c>
      <c r="R749" s="1628">
        <f t="shared" si="380"/>
        <v>1955.0161305785989</v>
      </c>
      <c r="S749" s="1627">
        <f t="shared" si="381"/>
        <v>1993.0061305785989</v>
      </c>
      <c r="T749" s="1627">
        <f t="shared" si="382"/>
        <v>3311.9938694214015</v>
      </c>
      <c r="U749" s="1626">
        <f t="shared" si="383"/>
        <v>498.25153264464973</v>
      </c>
      <c r="V749" s="1626">
        <f t="shared" si="384"/>
        <v>827.99846735535039</v>
      </c>
      <c r="W749" s="1625">
        <f t="shared" si="385"/>
        <v>1326.25</v>
      </c>
      <c r="X749" s="1614"/>
      <c r="Y749" s="1613"/>
      <c r="Z749" s="1612">
        <f t="shared" si="386"/>
        <v>0.65188438327514109</v>
      </c>
      <c r="AA749" s="1611"/>
      <c r="AB749" s="1611"/>
      <c r="AC749" s="1611"/>
      <c r="AD749" s="1611"/>
      <c r="AE749" s="1611"/>
      <c r="AF749" s="1611"/>
      <c r="AG749" s="1611"/>
      <c r="AH749" s="1611"/>
      <c r="AI749" s="1611"/>
      <c r="AJ749" s="1611"/>
      <c r="AK749" s="1611"/>
      <c r="AL749" s="1611"/>
      <c r="AM749" s="1611"/>
      <c r="AN749" s="1611"/>
      <c r="AO749" s="1611"/>
      <c r="AP749" s="1611"/>
      <c r="AQ749" s="1611"/>
    </row>
    <row r="750" spans="1:43" outlineLevel="2">
      <c r="A750" s="1638" t="s">
        <v>326</v>
      </c>
      <c r="B750" s="1637" t="s">
        <v>139</v>
      </c>
      <c r="C750" s="1636"/>
      <c r="D750" s="1635">
        <v>1</v>
      </c>
      <c r="E750" s="1634" t="s">
        <v>932</v>
      </c>
      <c r="F750" s="1633" t="s">
        <v>1068</v>
      </c>
      <c r="G750" s="1632">
        <v>2870.9361390792624</v>
      </c>
      <c r="H750" s="1632">
        <v>5267.01</v>
      </c>
      <c r="I750" s="1630">
        <f t="shared" si="374"/>
        <v>8137.9461390792621</v>
      </c>
      <c r="J750" s="1630">
        <f t="shared" si="375"/>
        <v>8137.9461390792621</v>
      </c>
      <c r="K750" s="1631">
        <v>5305</v>
      </c>
      <c r="L750" s="1630">
        <f t="shared" si="376"/>
        <v>5305</v>
      </c>
      <c r="M750" s="1630">
        <f t="shared" si="377"/>
        <v>5305</v>
      </c>
      <c r="N750" s="1625">
        <f t="shared" si="378"/>
        <v>2832.9461390792621</v>
      </c>
      <c r="O750" s="1629">
        <v>0.30990000000000001</v>
      </c>
      <c r="P750" s="1629">
        <v>0.69010000000000005</v>
      </c>
      <c r="Q750" s="1625">
        <f t="shared" si="379"/>
        <v>877.93000850066335</v>
      </c>
      <c r="R750" s="1628">
        <f t="shared" si="380"/>
        <v>1955.0161305785989</v>
      </c>
      <c r="S750" s="1627">
        <f t="shared" si="381"/>
        <v>1993.0061305785989</v>
      </c>
      <c r="T750" s="1627">
        <f t="shared" si="382"/>
        <v>3311.9938694214015</v>
      </c>
      <c r="U750" s="1626">
        <f t="shared" si="383"/>
        <v>498.25153264464973</v>
      </c>
      <c r="V750" s="1626">
        <f t="shared" si="384"/>
        <v>827.99846735535039</v>
      </c>
      <c r="W750" s="1625">
        <f t="shared" si="385"/>
        <v>1326.25</v>
      </c>
      <c r="X750" s="1614"/>
      <c r="Y750" s="1613"/>
      <c r="Z750" s="1612">
        <f t="shared" si="386"/>
        <v>0.65188438327514109</v>
      </c>
      <c r="AA750" s="1611"/>
      <c r="AB750" s="1611"/>
      <c r="AC750" s="1611"/>
      <c r="AD750" s="1611"/>
      <c r="AE750" s="1611"/>
      <c r="AF750" s="1611"/>
      <c r="AG750" s="1611"/>
      <c r="AH750" s="1611"/>
      <c r="AI750" s="1611"/>
      <c r="AJ750" s="1611"/>
      <c r="AK750" s="1611"/>
      <c r="AL750" s="1611"/>
      <c r="AM750" s="1611"/>
      <c r="AN750" s="1611"/>
      <c r="AO750" s="1611"/>
      <c r="AP750" s="1611"/>
      <c r="AQ750" s="1611"/>
    </row>
    <row r="751" spans="1:43" outlineLevel="2">
      <c r="A751" s="1638" t="s">
        <v>326</v>
      </c>
      <c r="B751" s="1637" t="s">
        <v>139</v>
      </c>
      <c r="C751" s="1636"/>
      <c r="D751" s="1635">
        <v>1</v>
      </c>
      <c r="E751" s="1634" t="s">
        <v>932</v>
      </c>
      <c r="F751" s="1633" t="s">
        <v>1065</v>
      </c>
      <c r="G751" s="1632">
        <v>2870.9361390792624</v>
      </c>
      <c r="H751" s="1632">
        <v>5267.01</v>
      </c>
      <c r="I751" s="1630">
        <f t="shared" si="374"/>
        <v>8137.9461390792621</v>
      </c>
      <c r="J751" s="1630">
        <f t="shared" si="375"/>
        <v>8137.9461390792621</v>
      </c>
      <c r="K751" s="1631">
        <v>5305</v>
      </c>
      <c r="L751" s="1630">
        <f t="shared" si="376"/>
        <v>5305</v>
      </c>
      <c r="M751" s="1630">
        <f t="shared" si="377"/>
        <v>5305</v>
      </c>
      <c r="N751" s="1625">
        <f t="shared" si="378"/>
        <v>2832.9461390792621</v>
      </c>
      <c r="O751" s="1629">
        <v>0.30990000000000001</v>
      </c>
      <c r="P751" s="1629">
        <v>0.69010000000000005</v>
      </c>
      <c r="Q751" s="1625">
        <f t="shared" si="379"/>
        <v>877.93000850066335</v>
      </c>
      <c r="R751" s="1628">
        <f t="shared" si="380"/>
        <v>1955.0161305785989</v>
      </c>
      <c r="S751" s="1627">
        <f t="shared" si="381"/>
        <v>1993.0061305785989</v>
      </c>
      <c r="T751" s="1627">
        <f t="shared" si="382"/>
        <v>3311.9938694214015</v>
      </c>
      <c r="U751" s="1626">
        <f t="shared" si="383"/>
        <v>498.25153264464973</v>
      </c>
      <c r="V751" s="1626">
        <f t="shared" si="384"/>
        <v>827.99846735535039</v>
      </c>
      <c r="W751" s="1625">
        <f t="shared" si="385"/>
        <v>1326.25</v>
      </c>
      <c r="X751" s="1614"/>
      <c r="Y751" s="1613"/>
      <c r="Z751" s="1612">
        <f t="shared" si="386"/>
        <v>0.65188438327514109</v>
      </c>
      <c r="AA751" s="1611"/>
      <c r="AB751" s="1611"/>
      <c r="AC751" s="1611"/>
      <c r="AD751" s="1611"/>
      <c r="AE751" s="1611"/>
      <c r="AF751" s="1611"/>
      <c r="AG751" s="1611"/>
      <c r="AH751" s="1611"/>
      <c r="AI751" s="1611"/>
      <c r="AJ751" s="1611"/>
      <c r="AK751" s="1611"/>
      <c r="AL751" s="1611"/>
      <c r="AM751" s="1611"/>
      <c r="AN751" s="1611"/>
      <c r="AO751" s="1611"/>
      <c r="AP751" s="1611"/>
      <c r="AQ751" s="1611"/>
    </row>
    <row r="752" spans="1:43" outlineLevel="2">
      <c r="A752" s="1638" t="s">
        <v>326</v>
      </c>
      <c r="B752" s="1637" t="s">
        <v>139</v>
      </c>
      <c r="C752" s="1636"/>
      <c r="D752" s="1635">
        <v>1</v>
      </c>
      <c r="E752" s="1634" t="s">
        <v>932</v>
      </c>
      <c r="F752" s="1633" t="s">
        <v>979</v>
      </c>
      <c r="G752" s="1632">
        <v>2870.9361390792624</v>
      </c>
      <c r="H752" s="1632">
        <v>5267.01</v>
      </c>
      <c r="I752" s="1630">
        <f t="shared" si="374"/>
        <v>8137.9461390792621</v>
      </c>
      <c r="J752" s="1630">
        <f t="shared" si="375"/>
        <v>8137.9461390792621</v>
      </c>
      <c r="K752" s="1631">
        <v>5105</v>
      </c>
      <c r="L752" s="1630">
        <f t="shared" si="376"/>
        <v>5105</v>
      </c>
      <c r="M752" s="1630">
        <f t="shared" si="377"/>
        <v>5105</v>
      </c>
      <c r="N752" s="1625">
        <f t="shared" si="378"/>
        <v>3032.9461390792621</v>
      </c>
      <c r="O752" s="1629">
        <v>0.30990000000000001</v>
      </c>
      <c r="P752" s="1629">
        <v>0.69010000000000005</v>
      </c>
      <c r="Q752" s="1625">
        <f t="shared" si="379"/>
        <v>939.91000850066337</v>
      </c>
      <c r="R752" s="1628">
        <f t="shared" si="380"/>
        <v>2093.0361305785991</v>
      </c>
      <c r="S752" s="1627">
        <f t="shared" si="381"/>
        <v>1931.0261305785989</v>
      </c>
      <c r="T752" s="1627">
        <f t="shared" si="382"/>
        <v>3173.9738694214011</v>
      </c>
      <c r="U752" s="1626">
        <f t="shared" si="383"/>
        <v>482.75653264464972</v>
      </c>
      <c r="V752" s="1626">
        <f t="shared" si="384"/>
        <v>793.49346735535028</v>
      </c>
      <c r="W752" s="1625">
        <f t="shared" si="385"/>
        <v>1276.25</v>
      </c>
      <c r="X752" s="1614"/>
      <c r="Y752" s="1613"/>
      <c r="Z752" s="1612">
        <f t="shared" si="386"/>
        <v>0.62730815770397641</v>
      </c>
      <c r="AA752" s="1611"/>
      <c r="AB752" s="1611"/>
      <c r="AC752" s="1611"/>
      <c r="AD752" s="1611"/>
      <c r="AE752" s="1611"/>
      <c r="AF752" s="1611"/>
      <c r="AG752" s="1611"/>
      <c r="AH752" s="1611"/>
      <c r="AI752" s="1611"/>
      <c r="AJ752" s="1611"/>
      <c r="AK752" s="1611"/>
      <c r="AL752" s="1611"/>
      <c r="AM752" s="1611"/>
      <c r="AN752" s="1611"/>
      <c r="AO752" s="1611"/>
      <c r="AP752" s="1611"/>
      <c r="AQ752" s="1611"/>
    </row>
    <row r="753" spans="1:43" outlineLevel="2">
      <c r="A753" s="1638" t="s">
        <v>326</v>
      </c>
      <c r="B753" s="1637" t="s">
        <v>139</v>
      </c>
      <c r="C753" s="1636"/>
      <c r="D753" s="1635">
        <v>1</v>
      </c>
      <c r="E753" s="1634" t="s">
        <v>940</v>
      </c>
      <c r="F753" s="1633" t="s">
        <v>1066</v>
      </c>
      <c r="G753" s="1632">
        <v>2870.9361390792624</v>
      </c>
      <c r="H753" s="1632">
        <v>5267.01</v>
      </c>
      <c r="I753" s="1630">
        <f t="shared" si="374"/>
        <v>8137.9461390792621</v>
      </c>
      <c r="J753" s="1630">
        <f t="shared" si="375"/>
        <v>8137.9461390792621</v>
      </c>
      <c r="K753" s="1631">
        <v>4650</v>
      </c>
      <c r="L753" s="1630">
        <f t="shared" si="376"/>
        <v>4650</v>
      </c>
      <c r="M753" s="1630">
        <f t="shared" si="377"/>
        <v>4650</v>
      </c>
      <c r="N753" s="1625">
        <f t="shared" si="378"/>
        <v>3487.9461390792621</v>
      </c>
      <c r="O753" s="1629">
        <v>0.30990000000000001</v>
      </c>
      <c r="P753" s="1629">
        <v>0.69010000000000005</v>
      </c>
      <c r="Q753" s="1625">
        <f t="shared" si="379"/>
        <v>1080.9145085006633</v>
      </c>
      <c r="R753" s="1628">
        <f t="shared" si="380"/>
        <v>2407.0316305785991</v>
      </c>
      <c r="S753" s="1627">
        <f t="shared" si="381"/>
        <v>1790.0216305785991</v>
      </c>
      <c r="T753" s="1627">
        <f t="shared" si="382"/>
        <v>2859.9783694214011</v>
      </c>
      <c r="U753" s="1626">
        <f t="shared" si="383"/>
        <v>447.50540764464978</v>
      </c>
      <c r="V753" s="1626">
        <f t="shared" si="384"/>
        <v>714.99459235535028</v>
      </c>
      <c r="W753" s="1625">
        <f t="shared" si="385"/>
        <v>1162.5</v>
      </c>
      <c r="X753" s="1614"/>
      <c r="Y753" s="1613"/>
      <c r="Z753" s="1612">
        <f t="shared" si="386"/>
        <v>0.57139724452957696</v>
      </c>
      <c r="AA753" s="1611"/>
      <c r="AB753" s="1611"/>
      <c r="AC753" s="1611"/>
      <c r="AD753" s="1611"/>
      <c r="AE753" s="1611"/>
      <c r="AF753" s="1611"/>
      <c r="AG753" s="1611"/>
      <c r="AH753" s="1611"/>
      <c r="AI753" s="1611"/>
      <c r="AJ753" s="1611"/>
      <c r="AK753" s="1611"/>
      <c r="AL753" s="1611"/>
      <c r="AM753" s="1611"/>
      <c r="AN753" s="1611"/>
      <c r="AO753" s="1611"/>
      <c r="AP753" s="1611"/>
      <c r="AQ753" s="1611"/>
    </row>
    <row r="754" spans="1:43" outlineLevel="2">
      <c r="A754" s="1638" t="s">
        <v>326</v>
      </c>
      <c r="B754" s="1637" t="s">
        <v>139</v>
      </c>
      <c r="C754" s="1636"/>
      <c r="D754" s="1635">
        <v>2</v>
      </c>
      <c r="E754" s="1634" t="s">
        <v>935</v>
      </c>
      <c r="F754" s="1633" t="s">
        <v>1068</v>
      </c>
      <c r="G754" s="1632">
        <v>2870.9361390792624</v>
      </c>
      <c r="H754" s="1632">
        <v>5267.01</v>
      </c>
      <c r="I754" s="1630">
        <f t="shared" si="374"/>
        <v>8137.9461390792621</v>
      </c>
      <c r="J754" s="1630">
        <f t="shared" si="375"/>
        <v>16275.892278158524</v>
      </c>
      <c r="K754" s="1631">
        <v>2995</v>
      </c>
      <c r="L754" s="1630">
        <f t="shared" si="376"/>
        <v>2995</v>
      </c>
      <c r="M754" s="1630">
        <f t="shared" si="377"/>
        <v>5990</v>
      </c>
      <c r="N754" s="1625">
        <f t="shared" si="378"/>
        <v>10285.892278158524</v>
      </c>
      <c r="O754" s="1629">
        <v>0.30990000000000001</v>
      </c>
      <c r="P754" s="1629">
        <v>0.69010000000000005</v>
      </c>
      <c r="Q754" s="1625">
        <f t="shared" si="379"/>
        <v>3187.5980170013268</v>
      </c>
      <c r="R754" s="1628">
        <f t="shared" si="380"/>
        <v>7098.294261157198</v>
      </c>
      <c r="S754" s="1627">
        <f t="shared" si="381"/>
        <v>2554.274261157198</v>
      </c>
      <c r="T754" s="1627">
        <f t="shared" si="382"/>
        <v>3435.7257388428025</v>
      </c>
      <c r="U754" s="1626">
        <f t="shared" si="383"/>
        <v>638.5685652892995</v>
      </c>
      <c r="V754" s="1626">
        <f t="shared" si="384"/>
        <v>858.93143471070061</v>
      </c>
      <c r="W754" s="1625">
        <f t="shared" si="385"/>
        <v>1497.5</v>
      </c>
      <c r="X754" s="1614"/>
      <c r="Y754" s="1613"/>
      <c r="Z754" s="1612">
        <f t="shared" si="386"/>
        <v>0.36802897792818989</v>
      </c>
      <c r="AA754" s="1611"/>
      <c r="AB754" s="1611"/>
      <c r="AC754" s="1611"/>
      <c r="AD754" s="1611"/>
      <c r="AE754" s="1611"/>
      <c r="AF754" s="1611"/>
      <c r="AG754" s="1611"/>
      <c r="AH754" s="1611"/>
      <c r="AI754" s="1611"/>
      <c r="AJ754" s="1611"/>
      <c r="AK754" s="1611"/>
      <c r="AL754" s="1611"/>
      <c r="AM754" s="1611"/>
      <c r="AN754" s="1611"/>
      <c r="AO754" s="1611"/>
      <c r="AP754" s="1611"/>
      <c r="AQ754" s="1611"/>
    </row>
    <row r="755" spans="1:43" outlineLevel="2">
      <c r="A755" s="1638" t="s">
        <v>326</v>
      </c>
      <c r="B755" s="1637" t="s">
        <v>139</v>
      </c>
      <c r="C755" s="1636"/>
      <c r="D755" s="1635">
        <v>1</v>
      </c>
      <c r="E755" s="1634" t="s">
        <v>935</v>
      </c>
      <c r="F755" s="1633" t="s">
        <v>1065</v>
      </c>
      <c r="G755" s="1632">
        <v>2870.9361390792624</v>
      </c>
      <c r="H755" s="1632">
        <v>5267.01</v>
      </c>
      <c r="I755" s="1630">
        <f t="shared" si="374"/>
        <v>8137.9461390792621</v>
      </c>
      <c r="J755" s="1630">
        <f t="shared" si="375"/>
        <v>8137.9461390792621</v>
      </c>
      <c r="K755" s="1631">
        <v>2995</v>
      </c>
      <c r="L755" s="1630">
        <f t="shared" si="376"/>
        <v>2995</v>
      </c>
      <c r="M755" s="1630">
        <f t="shared" si="377"/>
        <v>2995</v>
      </c>
      <c r="N755" s="1625">
        <f t="shared" si="378"/>
        <v>5142.9461390792621</v>
      </c>
      <c r="O755" s="1629">
        <v>0.30990000000000001</v>
      </c>
      <c r="P755" s="1629">
        <v>0.69010000000000005</v>
      </c>
      <c r="Q755" s="1625">
        <f t="shared" si="379"/>
        <v>1593.7990085006634</v>
      </c>
      <c r="R755" s="1628">
        <f t="shared" si="380"/>
        <v>3549.147130578599</v>
      </c>
      <c r="S755" s="1627">
        <f t="shared" si="381"/>
        <v>1277.137130578599</v>
      </c>
      <c r="T755" s="1627">
        <f t="shared" si="382"/>
        <v>1717.8628694214012</v>
      </c>
      <c r="U755" s="1626">
        <f t="shared" si="383"/>
        <v>319.28428264464975</v>
      </c>
      <c r="V755" s="1626">
        <f t="shared" si="384"/>
        <v>429.46571735535031</v>
      </c>
      <c r="W755" s="1625">
        <f t="shared" si="385"/>
        <v>748.75</v>
      </c>
      <c r="X755" s="1614"/>
      <c r="Y755" s="1613"/>
      <c r="Z755" s="1612">
        <f t="shared" si="386"/>
        <v>0.36802897792818989</v>
      </c>
      <c r="AA755" s="1611"/>
      <c r="AB755" s="1611"/>
      <c r="AC755" s="1611"/>
      <c r="AD755" s="1611"/>
      <c r="AE755" s="1611"/>
      <c r="AF755" s="1611"/>
      <c r="AG755" s="1611"/>
      <c r="AH755" s="1611"/>
      <c r="AI755" s="1611"/>
      <c r="AJ755" s="1611"/>
      <c r="AK755" s="1611"/>
      <c r="AL755" s="1611"/>
      <c r="AM755" s="1611"/>
      <c r="AN755" s="1611"/>
      <c r="AO755" s="1611"/>
      <c r="AP755" s="1611"/>
      <c r="AQ755" s="1611"/>
    </row>
    <row r="756" spans="1:43" outlineLevel="2">
      <c r="A756" s="1638" t="s">
        <v>326</v>
      </c>
      <c r="B756" s="1637" t="s">
        <v>139</v>
      </c>
      <c r="C756" s="1636"/>
      <c r="D756" s="1635">
        <v>12</v>
      </c>
      <c r="E756" s="1634" t="s">
        <v>935</v>
      </c>
      <c r="F756" s="1633" t="s">
        <v>979</v>
      </c>
      <c r="G756" s="1632">
        <v>2870.9361390792624</v>
      </c>
      <c r="H756" s="1632">
        <v>5267.01</v>
      </c>
      <c r="I756" s="1630">
        <f t="shared" si="374"/>
        <v>8137.9461390792621</v>
      </c>
      <c r="J756" s="1630">
        <f t="shared" si="375"/>
        <v>97655.353668951138</v>
      </c>
      <c r="K756" s="1631">
        <v>3020</v>
      </c>
      <c r="L756" s="1630">
        <f t="shared" si="376"/>
        <v>3020</v>
      </c>
      <c r="M756" s="1630">
        <f t="shared" si="377"/>
        <v>36240</v>
      </c>
      <c r="N756" s="1625">
        <f t="shared" si="378"/>
        <v>61415.353668951138</v>
      </c>
      <c r="O756" s="1629">
        <v>0.30990000000000001</v>
      </c>
      <c r="P756" s="1629">
        <v>0.69010000000000005</v>
      </c>
      <c r="Q756" s="1625">
        <f t="shared" si="379"/>
        <v>19032.618102007957</v>
      </c>
      <c r="R756" s="1628">
        <f t="shared" si="380"/>
        <v>42382.735566943185</v>
      </c>
      <c r="S756" s="1627">
        <f t="shared" si="381"/>
        <v>15418.615566943194</v>
      </c>
      <c r="T756" s="1627">
        <f t="shared" si="382"/>
        <v>20821.384433056817</v>
      </c>
      <c r="U756" s="1626">
        <f t="shared" si="383"/>
        <v>3854.6538917357984</v>
      </c>
      <c r="V756" s="1626">
        <f t="shared" si="384"/>
        <v>5205.3461082642043</v>
      </c>
      <c r="W756" s="1625">
        <f t="shared" si="385"/>
        <v>9060.0000000000036</v>
      </c>
      <c r="X756" s="1614"/>
      <c r="Y756" s="1613"/>
      <c r="Z756" s="1612">
        <f t="shared" si="386"/>
        <v>0.37110100612458546</v>
      </c>
      <c r="AA756" s="1611"/>
      <c r="AB756" s="1611"/>
      <c r="AC756" s="1611"/>
      <c r="AD756" s="1611"/>
      <c r="AE756" s="1611"/>
      <c r="AF756" s="1611"/>
      <c r="AG756" s="1611"/>
      <c r="AH756" s="1611"/>
      <c r="AI756" s="1611"/>
      <c r="AJ756" s="1611"/>
      <c r="AK756" s="1611"/>
      <c r="AL756" s="1611"/>
      <c r="AM756" s="1611"/>
      <c r="AN756" s="1611"/>
      <c r="AO756" s="1611"/>
      <c r="AP756" s="1611"/>
      <c r="AQ756" s="1611"/>
    </row>
    <row r="757" spans="1:43" outlineLevel="1">
      <c r="A757" s="1624"/>
      <c r="B757" s="1623" t="s">
        <v>1090</v>
      </c>
      <c r="C757" s="1622"/>
      <c r="D757" s="1621">
        <f>SUBTOTAL(9,D748:D756)</f>
        <v>21</v>
      </c>
      <c r="E757" s="1620"/>
      <c r="F757" s="1639"/>
      <c r="G757" s="1639"/>
      <c r="H757" s="1639"/>
      <c r="I757" s="1616"/>
      <c r="J757" s="1616">
        <f>SUBTOTAL(9,J748:J756)</f>
        <v>170896.86892066448</v>
      </c>
      <c r="K757" s="1615"/>
      <c r="L757" s="1616"/>
      <c r="M757" s="1616">
        <f>SUBTOTAL(9,M748:M756)</f>
        <v>75360</v>
      </c>
      <c r="N757" s="1615">
        <f>SUBTOTAL(9,N748:N756)</f>
        <v>95536.868920664507</v>
      </c>
      <c r="O757" s="1616"/>
      <c r="P757" s="1616"/>
      <c r="Q757" s="1615">
        <f t="shared" ref="Q757:W757" si="387">SUBTOTAL(9,Q748:Q756)</f>
        <v>29606.875678513927</v>
      </c>
      <c r="R757" s="1615">
        <f t="shared" si="387"/>
        <v>65929.99324215058</v>
      </c>
      <c r="S757" s="1616">
        <f t="shared" si="387"/>
        <v>30682.783242150585</v>
      </c>
      <c r="T757" s="1616">
        <f t="shared" si="387"/>
        <v>44677.216757849426</v>
      </c>
      <c r="U757" s="1616">
        <f t="shared" si="387"/>
        <v>7670.6958105376461</v>
      </c>
      <c r="V757" s="1616">
        <f t="shared" si="387"/>
        <v>11169.304189462357</v>
      </c>
      <c r="W757" s="1615">
        <f t="shared" si="387"/>
        <v>18840.000000000004</v>
      </c>
      <c r="X757" s="1614"/>
      <c r="Y757" s="1613"/>
      <c r="Z757" s="1612"/>
      <c r="AA757" s="1611"/>
      <c r="AB757" s="1611"/>
      <c r="AC757" s="1611"/>
      <c r="AD757" s="1611"/>
      <c r="AE757" s="1611"/>
      <c r="AF757" s="1611"/>
      <c r="AG757" s="1611"/>
      <c r="AH757" s="1611"/>
      <c r="AI757" s="1611"/>
      <c r="AJ757" s="1611"/>
      <c r="AK757" s="1611"/>
      <c r="AL757" s="1611"/>
      <c r="AM757" s="1611"/>
      <c r="AN757" s="1611"/>
      <c r="AO757" s="1611"/>
      <c r="AP757" s="1611"/>
      <c r="AQ757" s="1611"/>
    </row>
    <row r="758" spans="1:43" outlineLevel="2">
      <c r="A758" s="1638" t="s">
        <v>327</v>
      </c>
      <c r="B758" s="1637" t="s">
        <v>140</v>
      </c>
      <c r="C758" s="1636"/>
      <c r="D758" s="1635">
        <v>1</v>
      </c>
      <c r="E758" s="1634" t="s">
        <v>914</v>
      </c>
      <c r="F758" s="1633" t="s">
        <v>1070</v>
      </c>
      <c r="G758" s="1632">
        <v>6529.1624068533374</v>
      </c>
      <c r="H758" s="1632">
        <v>2031.89</v>
      </c>
      <c r="I758" s="1630">
        <f t="shared" ref="I758:I763" si="388">G758+H758</f>
        <v>8561.0524068533377</v>
      </c>
      <c r="J758" s="1630">
        <f t="shared" ref="J758:J763" si="389">D758*I758</f>
        <v>8561.0524068533377</v>
      </c>
      <c r="K758" s="1631">
        <v>4145</v>
      </c>
      <c r="L758" s="1630">
        <f t="shared" ref="L758:L763" si="390">IF(I758&gt;K758,K758,I758)</f>
        <v>4145</v>
      </c>
      <c r="M758" s="1630">
        <f t="shared" ref="M758:M763" si="391">L758*D758</f>
        <v>4145</v>
      </c>
      <c r="N758" s="1625">
        <f t="shared" ref="N758:N763" si="392">J758-M758</f>
        <v>4416.0524068533377</v>
      </c>
      <c r="O758" s="1629">
        <v>0.80510000000000004</v>
      </c>
      <c r="P758" s="1629">
        <v>0.19489999999999999</v>
      </c>
      <c r="Q758" s="1625">
        <f t="shared" ref="Q758:Q763" si="393">N758*O758</f>
        <v>3555.3637927576224</v>
      </c>
      <c r="R758" s="1628">
        <f t="shared" ref="R758:R763" si="394">N758*P758</f>
        <v>860.68861409571548</v>
      </c>
      <c r="S758" s="1627">
        <f t="shared" ref="S758:S763" si="395">(G758*D758)-Q758</f>
        <v>2973.798614095715</v>
      </c>
      <c r="T758" s="1627">
        <f t="shared" ref="T758:T763" si="396">(H758*D758)-R758</f>
        <v>1171.2013859042845</v>
      </c>
      <c r="U758" s="1626">
        <f t="shared" ref="U758:V763" si="397">S758/4</f>
        <v>743.44965352392876</v>
      </c>
      <c r="V758" s="1626">
        <f t="shared" si="397"/>
        <v>292.80034647607113</v>
      </c>
      <c r="W758" s="1625">
        <f t="shared" ref="W758:W763" si="398">V758+U758</f>
        <v>1036.25</v>
      </c>
      <c r="X758" s="1614"/>
      <c r="Y758" s="1613"/>
      <c r="Z758" s="1612">
        <f t="shared" ref="Z758:Z763" si="399">K758/I758</f>
        <v>0.48416944588282435</v>
      </c>
      <c r="AA758" s="1611"/>
      <c r="AB758" s="1611"/>
      <c r="AC758" s="1611"/>
      <c r="AD758" s="1611"/>
      <c r="AE758" s="1611"/>
      <c r="AF758" s="1611"/>
      <c r="AG758" s="1611"/>
      <c r="AH758" s="1611"/>
      <c r="AI758" s="1611"/>
      <c r="AJ758" s="1611"/>
      <c r="AK758" s="1611"/>
      <c r="AL758" s="1611"/>
      <c r="AM758" s="1611"/>
      <c r="AN758" s="1611"/>
      <c r="AO758" s="1611"/>
      <c r="AP758" s="1611"/>
      <c r="AQ758" s="1611"/>
    </row>
    <row r="759" spans="1:43" outlineLevel="2">
      <c r="A759" s="1638" t="s">
        <v>327</v>
      </c>
      <c r="B759" s="1637" t="s">
        <v>140</v>
      </c>
      <c r="C759" s="1636"/>
      <c r="D759" s="1635">
        <v>1</v>
      </c>
      <c r="E759" s="1634" t="s">
        <v>914</v>
      </c>
      <c r="F759" s="1633" t="s">
        <v>1069</v>
      </c>
      <c r="G759" s="1632">
        <v>6529.1624068533374</v>
      </c>
      <c r="H759" s="1632">
        <v>2031.89</v>
      </c>
      <c r="I759" s="1630">
        <f t="shared" si="388"/>
        <v>8561.0524068533377</v>
      </c>
      <c r="J759" s="1630">
        <f t="shared" si="389"/>
        <v>8561.0524068533377</v>
      </c>
      <c r="K759" s="1631">
        <v>4145</v>
      </c>
      <c r="L759" s="1630">
        <f t="shared" si="390"/>
        <v>4145</v>
      </c>
      <c r="M759" s="1630">
        <f t="shared" si="391"/>
        <v>4145</v>
      </c>
      <c r="N759" s="1625">
        <f t="shared" si="392"/>
        <v>4416.0524068533377</v>
      </c>
      <c r="O759" s="1629">
        <v>0.80510000000000004</v>
      </c>
      <c r="P759" s="1629">
        <v>0.19489999999999999</v>
      </c>
      <c r="Q759" s="1625">
        <f t="shared" si="393"/>
        <v>3555.3637927576224</v>
      </c>
      <c r="R759" s="1628">
        <f t="shared" si="394"/>
        <v>860.68861409571548</v>
      </c>
      <c r="S759" s="1627">
        <f t="shared" si="395"/>
        <v>2973.798614095715</v>
      </c>
      <c r="T759" s="1627">
        <f t="shared" si="396"/>
        <v>1171.2013859042845</v>
      </c>
      <c r="U759" s="1626">
        <f t="shared" si="397"/>
        <v>743.44965352392876</v>
      </c>
      <c r="V759" s="1626">
        <f t="shared" si="397"/>
        <v>292.80034647607113</v>
      </c>
      <c r="W759" s="1625">
        <f t="shared" si="398"/>
        <v>1036.25</v>
      </c>
      <c r="X759" s="1614"/>
      <c r="Y759" s="1613"/>
      <c r="Z759" s="1612">
        <f t="shared" si="399"/>
        <v>0.48416944588282435</v>
      </c>
      <c r="AA759" s="1611"/>
      <c r="AB759" s="1611"/>
      <c r="AC759" s="1611"/>
      <c r="AD759" s="1611"/>
      <c r="AE759" s="1611"/>
      <c r="AF759" s="1611"/>
      <c r="AG759" s="1611"/>
      <c r="AH759" s="1611"/>
      <c r="AI759" s="1611"/>
      <c r="AJ759" s="1611"/>
      <c r="AK759" s="1611"/>
      <c r="AL759" s="1611"/>
      <c r="AM759" s="1611"/>
      <c r="AN759" s="1611"/>
      <c r="AO759" s="1611"/>
      <c r="AP759" s="1611"/>
      <c r="AQ759" s="1611"/>
    </row>
    <row r="760" spans="1:43" outlineLevel="2">
      <c r="A760" s="1638" t="s">
        <v>327</v>
      </c>
      <c r="B760" s="1637" t="s">
        <v>140</v>
      </c>
      <c r="C760" s="1636"/>
      <c r="D760" s="1635">
        <v>1</v>
      </c>
      <c r="E760" s="1634" t="s">
        <v>914</v>
      </c>
      <c r="F760" s="1633" t="s">
        <v>1071</v>
      </c>
      <c r="G760" s="1632">
        <v>6529.1624068533374</v>
      </c>
      <c r="H760" s="1632">
        <v>2031.89</v>
      </c>
      <c r="I760" s="1630">
        <f t="shared" si="388"/>
        <v>8561.0524068533377</v>
      </c>
      <c r="J760" s="1630">
        <f t="shared" si="389"/>
        <v>8561.0524068533377</v>
      </c>
      <c r="K760" s="1631">
        <v>4145</v>
      </c>
      <c r="L760" s="1630">
        <f t="shared" si="390"/>
        <v>4145</v>
      </c>
      <c r="M760" s="1630">
        <f t="shared" si="391"/>
        <v>4145</v>
      </c>
      <c r="N760" s="1625">
        <f t="shared" si="392"/>
        <v>4416.0524068533377</v>
      </c>
      <c r="O760" s="1629">
        <v>0.80510000000000004</v>
      </c>
      <c r="P760" s="1629">
        <v>0.19489999999999999</v>
      </c>
      <c r="Q760" s="1625">
        <f t="shared" si="393"/>
        <v>3555.3637927576224</v>
      </c>
      <c r="R760" s="1628">
        <f t="shared" si="394"/>
        <v>860.68861409571548</v>
      </c>
      <c r="S760" s="1627">
        <f t="shared" si="395"/>
        <v>2973.798614095715</v>
      </c>
      <c r="T760" s="1627">
        <f t="shared" si="396"/>
        <v>1171.2013859042845</v>
      </c>
      <c r="U760" s="1626">
        <f t="shared" si="397"/>
        <v>743.44965352392876</v>
      </c>
      <c r="V760" s="1626">
        <f t="shared" si="397"/>
        <v>292.80034647607113</v>
      </c>
      <c r="W760" s="1625">
        <f t="shared" si="398"/>
        <v>1036.25</v>
      </c>
      <c r="X760" s="1614"/>
      <c r="Y760" s="1613"/>
      <c r="Z760" s="1612">
        <f t="shared" si="399"/>
        <v>0.48416944588282435</v>
      </c>
      <c r="AA760" s="1611"/>
      <c r="AB760" s="1611"/>
      <c r="AC760" s="1611"/>
      <c r="AD760" s="1611"/>
      <c r="AE760" s="1611"/>
      <c r="AF760" s="1611"/>
      <c r="AG760" s="1611"/>
      <c r="AH760" s="1611"/>
      <c r="AI760" s="1611"/>
      <c r="AJ760" s="1611"/>
      <c r="AK760" s="1611"/>
      <c r="AL760" s="1611"/>
      <c r="AM760" s="1611"/>
      <c r="AN760" s="1611"/>
      <c r="AO760" s="1611"/>
      <c r="AP760" s="1611"/>
      <c r="AQ760" s="1611"/>
    </row>
    <row r="761" spans="1:43" outlineLevel="2">
      <c r="A761" s="1638" t="s">
        <v>327</v>
      </c>
      <c r="B761" s="1637" t="s">
        <v>140</v>
      </c>
      <c r="C761" s="1636"/>
      <c r="D761" s="1635">
        <v>0</v>
      </c>
      <c r="E761" s="1634" t="s">
        <v>914</v>
      </c>
      <c r="F761" s="1633" t="s">
        <v>979</v>
      </c>
      <c r="G761" s="1632">
        <v>6529.1624068533374</v>
      </c>
      <c r="H761" s="1632">
        <v>2031.89</v>
      </c>
      <c r="I761" s="1630">
        <f t="shared" si="388"/>
        <v>8561.0524068533377</v>
      </c>
      <c r="J761" s="1630">
        <f t="shared" si="389"/>
        <v>0</v>
      </c>
      <c r="K761" s="1631">
        <v>4145</v>
      </c>
      <c r="L761" s="1630">
        <f t="shared" si="390"/>
        <v>4145</v>
      </c>
      <c r="M761" s="1630">
        <f t="shared" si="391"/>
        <v>0</v>
      </c>
      <c r="N761" s="1625">
        <f t="shared" si="392"/>
        <v>0</v>
      </c>
      <c r="O761" s="1629">
        <v>0.80510000000000004</v>
      </c>
      <c r="P761" s="1629">
        <v>0.19489999999999999</v>
      </c>
      <c r="Q761" s="1625">
        <f t="shared" si="393"/>
        <v>0</v>
      </c>
      <c r="R761" s="1628">
        <f t="shared" si="394"/>
        <v>0</v>
      </c>
      <c r="S761" s="1627">
        <f t="shared" si="395"/>
        <v>0</v>
      </c>
      <c r="T761" s="1627">
        <f t="shared" si="396"/>
        <v>0</v>
      </c>
      <c r="U761" s="1626">
        <f t="shared" si="397"/>
        <v>0</v>
      </c>
      <c r="V761" s="1626">
        <f t="shared" si="397"/>
        <v>0</v>
      </c>
      <c r="W761" s="1625">
        <f t="shared" si="398"/>
        <v>0</v>
      </c>
      <c r="X761" s="1614"/>
      <c r="Y761" s="1613"/>
      <c r="Z761" s="1612">
        <f t="shared" si="399"/>
        <v>0.48416944588282435</v>
      </c>
      <c r="AA761" s="1611"/>
      <c r="AB761" s="1611"/>
      <c r="AC761" s="1611"/>
      <c r="AD761" s="1611"/>
      <c r="AE761" s="1611"/>
      <c r="AF761" s="1611"/>
      <c r="AG761" s="1611"/>
      <c r="AH761" s="1611"/>
      <c r="AI761" s="1611"/>
      <c r="AJ761" s="1611"/>
      <c r="AK761" s="1611"/>
      <c r="AL761" s="1611"/>
      <c r="AM761" s="1611"/>
      <c r="AN761" s="1611"/>
      <c r="AO761" s="1611"/>
      <c r="AP761" s="1611"/>
      <c r="AQ761" s="1611"/>
    </row>
    <row r="762" spans="1:43" outlineLevel="2">
      <c r="A762" s="1638" t="s">
        <v>327</v>
      </c>
      <c r="B762" s="1637" t="s">
        <v>140</v>
      </c>
      <c r="C762" s="1636"/>
      <c r="D762" s="1635">
        <v>1</v>
      </c>
      <c r="E762" s="1634" t="s">
        <v>911</v>
      </c>
      <c r="F762" s="1633" t="s">
        <v>1067</v>
      </c>
      <c r="G762" s="1632">
        <v>6529.1624068533374</v>
      </c>
      <c r="H762" s="1632">
        <v>2031.89</v>
      </c>
      <c r="I762" s="1630">
        <f t="shared" si="388"/>
        <v>8561.0524068533377</v>
      </c>
      <c r="J762" s="1630">
        <f t="shared" si="389"/>
        <v>8561.0524068533377</v>
      </c>
      <c r="K762" s="1631">
        <v>7630</v>
      </c>
      <c r="L762" s="1630">
        <f t="shared" si="390"/>
        <v>7630</v>
      </c>
      <c r="M762" s="1630">
        <f t="shared" si="391"/>
        <v>7630</v>
      </c>
      <c r="N762" s="1625">
        <f t="shared" si="392"/>
        <v>931.05240685333774</v>
      </c>
      <c r="O762" s="1629">
        <v>0.80510000000000004</v>
      </c>
      <c r="P762" s="1629">
        <v>0.19489999999999999</v>
      </c>
      <c r="Q762" s="1625">
        <f t="shared" si="393"/>
        <v>749.59029275762225</v>
      </c>
      <c r="R762" s="1628">
        <f t="shared" si="394"/>
        <v>181.46211409571552</v>
      </c>
      <c r="S762" s="1627">
        <f t="shared" si="395"/>
        <v>5779.5721140957148</v>
      </c>
      <c r="T762" s="1627">
        <f t="shared" si="396"/>
        <v>1850.4278859042845</v>
      </c>
      <c r="U762" s="1626">
        <f t="shared" si="397"/>
        <v>1444.8930285239287</v>
      </c>
      <c r="V762" s="1626">
        <f t="shared" si="397"/>
        <v>462.60697147607112</v>
      </c>
      <c r="W762" s="1625">
        <f t="shared" si="398"/>
        <v>1907.4999999999998</v>
      </c>
      <c r="X762" s="1614"/>
      <c r="Y762" s="1613"/>
      <c r="Z762" s="1612">
        <f t="shared" si="399"/>
        <v>0.89124556624510243</v>
      </c>
      <c r="AA762" s="1611"/>
      <c r="AB762" s="1611"/>
      <c r="AC762" s="1611"/>
      <c r="AD762" s="1611"/>
      <c r="AE762" s="1611"/>
      <c r="AF762" s="1611"/>
      <c r="AG762" s="1611"/>
      <c r="AH762" s="1611"/>
      <c r="AI762" s="1611"/>
      <c r="AJ762" s="1611"/>
      <c r="AK762" s="1611"/>
      <c r="AL762" s="1611"/>
      <c r="AM762" s="1611"/>
      <c r="AN762" s="1611"/>
      <c r="AO762" s="1611"/>
      <c r="AP762" s="1611"/>
      <c r="AQ762" s="1611"/>
    </row>
    <row r="763" spans="1:43" outlineLevel="2">
      <c r="A763" s="1638" t="s">
        <v>327</v>
      </c>
      <c r="B763" s="1637" t="s">
        <v>140</v>
      </c>
      <c r="C763" s="1636"/>
      <c r="D763" s="1635">
        <v>1</v>
      </c>
      <c r="E763" s="1634" t="s">
        <v>911</v>
      </c>
      <c r="F763" s="1633" t="s">
        <v>1079</v>
      </c>
      <c r="G763" s="1632">
        <v>6529.1624068533374</v>
      </c>
      <c r="H763" s="1632">
        <v>2031.89</v>
      </c>
      <c r="I763" s="1630">
        <f t="shared" si="388"/>
        <v>8561.0524068533377</v>
      </c>
      <c r="J763" s="1630">
        <f t="shared" si="389"/>
        <v>8561.0524068533377</v>
      </c>
      <c r="K763" s="1631">
        <v>7630</v>
      </c>
      <c r="L763" s="1630">
        <f t="shared" si="390"/>
        <v>7630</v>
      </c>
      <c r="M763" s="1630">
        <f t="shared" si="391"/>
        <v>7630</v>
      </c>
      <c r="N763" s="1625">
        <f t="shared" si="392"/>
        <v>931.05240685333774</v>
      </c>
      <c r="O763" s="1629">
        <v>0.80510000000000004</v>
      </c>
      <c r="P763" s="1629">
        <v>0.19489999999999999</v>
      </c>
      <c r="Q763" s="1625">
        <f t="shared" si="393"/>
        <v>749.59029275762225</v>
      </c>
      <c r="R763" s="1628">
        <f t="shared" si="394"/>
        <v>181.46211409571552</v>
      </c>
      <c r="S763" s="1627">
        <f t="shared" si="395"/>
        <v>5779.5721140957148</v>
      </c>
      <c r="T763" s="1627">
        <f t="shared" si="396"/>
        <v>1850.4278859042845</v>
      </c>
      <c r="U763" s="1626">
        <f t="shared" si="397"/>
        <v>1444.8930285239287</v>
      </c>
      <c r="V763" s="1626">
        <f t="shared" si="397"/>
        <v>462.60697147607112</v>
      </c>
      <c r="W763" s="1625">
        <f t="shared" si="398"/>
        <v>1907.4999999999998</v>
      </c>
      <c r="X763" s="1614"/>
      <c r="Y763" s="1613"/>
      <c r="Z763" s="1612">
        <f t="shared" si="399"/>
        <v>0.89124556624510243</v>
      </c>
      <c r="AA763" s="1611"/>
      <c r="AB763" s="1611"/>
      <c r="AC763" s="1611"/>
      <c r="AD763" s="1611"/>
      <c r="AE763" s="1611"/>
      <c r="AF763" s="1611"/>
      <c r="AG763" s="1611"/>
      <c r="AH763" s="1611"/>
      <c r="AI763" s="1611"/>
      <c r="AJ763" s="1611"/>
      <c r="AK763" s="1611"/>
      <c r="AL763" s="1611"/>
      <c r="AM763" s="1611"/>
      <c r="AN763" s="1611"/>
      <c r="AO763" s="1611"/>
      <c r="AP763" s="1611"/>
      <c r="AQ763" s="1611"/>
    </row>
    <row r="764" spans="1:43" outlineLevel="1">
      <c r="A764" s="1624"/>
      <c r="B764" s="1623" t="s">
        <v>1089</v>
      </c>
      <c r="C764" s="1622"/>
      <c r="D764" s="1621">
        <f>SUBTOTAL(9,D758:D763)</f>
        <v>5</v>
      </c>
      <c r="E764" s="1620"/>
      <c r="F764" s="1639"/>
      <c r="G764" s="1639"/>
      <c r="H764" s="1639"/>
      <c r="I764" s="1616"/>
      <c r="J764" s="1616">
        <f>SUBTOTAL(9,J758:J763)</f>
        <v>42805.262034266692</v>
      </c>
      <c r="K764" s="1615"/>
      <c r="L764" s="1616"/>
      <c r="M764" s="1616">
        <f>SUBTOTAL(9,M758:M763)</f>
        <v>27695</v>
      </c>
      <c r="N764" s="1615">
        <f>SUBTOTAL(9,N758:N763)</f>
        <v>15110.262034266689</v>
      </c>
      <c r="O764" s="1616"/>
      <c r="P764" s="1616"/>
      <c r="Q764" s="1615">
        <f t="shared" ref="Q764:W764" si="400">SUBTOTAL(9,Q758:Q763)</f>
        <v>12165.271963788113</v>
      </c>
      <c r="R764" s="1615">
        <f t="shared" si="400"/>
        <v>2944.9900704785778</v>
      </c>
      <c r="S764" s="1616">
        <f t="shared" si="400"/>
        <v>20480.540070478575</v>
      </c>
      <c r="T764" s="1616">
        <f t="shared" si="400"/>
        <v>7214.4599295214221</v>
      </c>
      <c r="U764" s="1616">
        <f t="shared" si="400"/>
        <v>5120.1350176196438</v>
      </c>
      <c r="V764" s="1616">
        <f t="shared" si="400"/>
        <v>1803.6149823803555</v>
      </c>
      <c r="W764" s="1615">
        <f t="shared" si="400"/>
        <v>6923.75</v>
      </c>
      <c r="X764" s="1614"/>
      <c r="Y764" s="1613"/>
      <c r="Z764" s="1612"/>
      <c r="AA764" s="1611"/>
      <c r="AB764" s="1611"/>
      <c r="AC764" s="1611"/>
      <c r="AD764" s="1611"/>
      <c r="AE764" s="1611"/>
      <c r="AF764" s="1611"/>
      <c r="AG764" s="1611"/>
      <c r="AH764" s="1611"/>
      <c r="AI764" s="1611"/>
      <c r="AJ764" s="1611"/>
      <c r="AK764" s="1611"/>
      <c r="AL764" s="1611"/>
      <c r="AM764" s="1611"/>
      <c r="AN764" s="1611"/>
      <c r="AO764" s="1611"/>
      <c r="AP764" s="1611"/>
      <c r="AQ764" s="1611"/>
    </row>
    <row r="765" spans="1:43" outlineLevel="2">
      <c r="A765" s="1638" t="s">
        <v>328</v>
      </c>
      <c r="B765" s="1637" t="s">
        <v>141</v>
      </c>
      <c r="C765" s="1636"/>
      <c r="D765" s="1635">
        <v>1</v>
      </c>
      <c r="E765" s="1634" t="s">
        <v>939</v>
      </c>
      <c r="F765" s="1633" t="s">
        <v>1066</v>
      </c>
      <c r="G765" s="1632">
        <v>3626.6869944541586</v>
      </c>
      <c r="H765" s="1632">
        <v>5523.49</v>
      </c>
      <c r="I765" s="1630">
        <f t="shared" ref="I765:I772" si="401">G765+H765</f>
        <v>9150.1769944541593</v>
      </c>
      <c r="J765" s="1630">
        <f t="shared" ref="J765:J772" si="402">D765*I765</f>
        <v>9150.1769944541593</v>
      </c>
      <c r="K765" s="1631">
        <v>4452</v>
      </c>
      <c r="L765" s="1630">
        <f t="shared" ref="L765:L772" si="403">IF(I765&gt;K765,K765,I765)</f>
        <v>4452</v>
      </c>
      <c r="M765" s="1630">
        <f t="shared" ref="M765:M772" si="404">L765*D765</f>
        <v>4452</v>
      </c>
      <c r="N765" s="1625">
        <f t="shared" ref="N765:N772" si="405">J765-M765</f>
        <v>4698.1769944541593</v>
      </c>
      <c r="O765" s="1629">
        <v>0.37059999999999998</v>
      </c>
      <c r="P765" s="1629">
        <v>0.62939999999999996</v>
      </c>
      <c r="Q765" s="1625">
        <f t="shared" ref="Q765:Q772" si="406">N765*O765</f>
        <v>1741.1443941447114</v>
      </c>
      <c r="R765" s="1628">
        <f t="shared" ref="R765:R772" si="407">N765*P765</f>
        <v>2957.0326003094478</v>
      </c>
      <c r="S765" s="1627">
        <f t="shared" ref="S765:S772" si="408">(G765*D765)-Q765</f>
        <v>1885.5426003094472</v>
      </c>
      <c r="T765" s="1627">
        <f t="shared" ref="T765:T772" si="409">(H765*D765)-R765</f>
        <v>2566.4573996905519</v>
      </c>
      <c r="U765" s="1626">
        <f t="shared" ref="U765:V772" si="410">S765/4</f>
        <v>471.38565007736179</v>
      </c>
      <c r="V765" s="1626">
        <f t="shared" si="410"/>
        <v>641.61434992263798</v>
      </c>
      <c r="W765" s="1625">
        <f t="shared" ref="W765:W772" si="411">V765+U765</f>
        <v>1112.9999999999998</v>
      </c>
      <c r="X765" s="1614"/>
      <c r="Y765" s="1613"/>
      <c r="Z765" s="1612">
        <f t="shared" ref="Z765:Z772" si="412">K765/I765</f>
        <v>0.48654796543261597</v>
      </c>
      <c r="AA765" s="1611"/>
      <c r="AB765" s="1611"/>
      <c r="AC765" s="1611"/>
      <c r="AD765" s="1611"/>
      <c r="AE765" s="1611"/>
      <c r="AF765" s="1611"/>
      <c r="AG765" s="1611"/>
      <c r="AH765" s="1611"/>
      <c r="AI765" s="1611"/>
      <c r="AJ765" s="1611"/>
      <c r="AK765" s="1611"/>
      <c r="AL765" s="1611"/>
      <c r="AM765" s="1611"/>
      <c r="AN765" s="1611"/>
      <c r="AO765" s="1611"/>
      <c r="AP765" s="1611"/>
      <c r="AQ765" s="1611"/>
    </row>
    <row r="766" spans="1:43" outlineLevel="2">
      <c r="A766" s="1638" t="s">
        <v>328</v>
      </c>
      <c r="B766" s="1637" t="s">
        <v>141</v>
      </c>
      <c r="C766" s="1636"/>
      <c r="D766" s="1635">
        <v>1</v>
      </c>
      <c r="E766" s="1634" t="s">
        <v>937</v>
      </c>
      <c r="F766" s="1633" t="s">
        <v>979</v>
      </c>
      <c r="G766" s="1632">
        <v>3626.6869944541586</v>
      </c>
      <c r="H766" s="1632">
        <v>5523.49</v>
      </c>
      <c r="I766" s="1630">
        <f t="shared" si="401"/>
        <v>9150.1769944541593</v>
      </c>
      <c r="J766" s="1630">
        <f t="shared" si="402"/>
        <v>9150.1769944541593</v>
      </c>
      <c r="K766" s="1631">
        <v>4380</v>
      </c>
      <c r="L766" s="1630">
        <f t="shared" si="403"/>
        <v>4380</v>
      </c>
      <c r="M766" s="1630">
        <f t="shared" si="404"/>
        <v>4380</v>
      </c>
      <c r="N766" s="1625">
        <f t="shared" si="405"/>
        <v>4770.1769944541593</v>
      </c>
      <c r="O766" s="1629">
        <v>0.37059999999999998</v>
      </c>
      <c r="P766" s="1629">
        <v>0.62939999999999996</v>
      </c>
      <c r="Q766" s="1625">
        <f t="shared" si="406"/>
        <v>1767.8275941447114</v>
      </c>
      <c r="R766" s="1628">
        <f t="shared" si="407"/>
        <v>3002.3494003094474</v>
      </c>
      <c r="S766" s="1627">
        <f t="shared" si="408"/>
        <v>1858.8594003094472</v>
      </c>
      <c r="T766" s="1627">
        <f t="shared" si="409"/>
        <v>2521.1405996905523</v>
      </c>
      <c r="U766" s="1626">
        <f t="shared" si="410"/>
        <v>464.7148500773618</v>
      </c>
      <c r="V766" s="1626">
        <f t="shared" si="410"/>
        <v>630.28514992263808</v>
      </c>
      <c r="W766" s="1625">
        <f t="shared" si="411"/>
        <v>1095</v>
      </c>
      <c r="X766" s="1614"/>
      <c r="Y766" s="1613"/>
      <c r="Z766" s="1612">
        <f t="shared" si="412"/>
        <v>0.47867926518303189</v>
      </c>
      <c r="AA766" s="1611"/>
      <c r="AB766" s="1611"/>
      <c r="AC766" s="1611"/>
      <c r="AD766" s="1611"/>
      <c r="AE766" s="1611"/>
      <c r="AF766" s="1611"/>
      <c r="AG766" s="1611"/>
      <c r="AH766" s="1611"/>
      <c r="AI766" s="1611"/>
      <c r="AJ766" s="1611"/>
      <c r="AK766" s="1611"/>
      <c r="AL766" s="1611"/>
      <c r="AM766" s="1611"/>
      <c r="AN766" s="1611"/>
      <c r="AO766" s="1611"/>
      <c r="AP766" s="1611"/>
      <c r="AQ766" s="1611"/>
    </row>
    <row r="767" spans="1:43" outlineLevel="2">
      <c r="A767" s="1638" t="s">
        <v>328</v>
      </c>
      <c r="B767" s="1637" t="s">
        <v>141</v>
      </c>
      <c r="C767" s="1636"/>
      <c r="D767" s="1635">
        <v>0</v>
      </c>
      <c r="E767" s="1634" t="s">
        <v>909</v>
      </c>
      <c r="F767" s="1633" t="s">
        <v>1065</v>
      </c>
      <c r="G767" s="1632">
        <v>3626.6869944541586</v>
      </c>
      <c r="H767" s="1632">
        <v>5523.49</v>
      </c>
      <c r="I767" s="1630">
        <f t="shared" si="401"/>
        <v>9150.1769944541593</v>
      </c>
      <c r="J767" s="1630">
        <f t="shared" si="402"/>
        <v>0</v>
      </c>
      <c r="K767" s="1631">
        <v>4069</v>
      </c>
      <c r="L767" s="1630">
        <f t="shared" si="403"/>
        <v>4069</v>
      </c>
      <c r="M767" s="1630">
        <f t="shared" si="404"/>
        <v>0</v>
      </c>
      <c r="N767" s="1625">
        <f t="shared" si="405"/>
        <v>0</v>
      </c>
      <c r="O767" s="1629">
        <v>0.37059999999999998</v>
      </c>
      <c r="P767" s="1629">
        <v>0.62939999999999996</v>
      </c>
      <c r="Q767" s="1625">
        <f t="shared" si="406"/>
        <v>0</v>
      </c>
      <c r="R767" s="1628">
        <f t="shared" si="407"/>
        <v>0</v>
      </c>
      <c r="S767" s="1627">
        <f t="shared" si="408"/>
        <v>0</v>
      </c>
      <c r="T767" s="1627">
        <f t="shared" si="409"/>
        <v>0</v>
      </c>
      <c r="U767" s="1626">
        <f t="shared" si="410"/>
        <v>0</v>
      </c>
      <c r="V767" s="1626">
        <f t="shared" si="410"/>
        <v>0</v>
      </c>
      <c r="W767" s="1625">
        <f t="shared" si="411"/>
        <v>0</v>
      </c>
      <c r="X767" s="1614"/>
      <c r="Y767" s="1613"/>
      <c r="Z767" s="1612">
        <f t="shared" si="412"/>
        <v>0.4446908516049673</v>
      </c>
      <c r="AA767" s="1611"/>
      <c r="AB767" s="1611"/>
      <c r="AC767" s="1611"/>
      <c r="AD767" s="1611"/>
      <c r="AE767" s="1611"/>
      <c r="AF767" s="1611"/>
      <c r="AG767" s="1611"/>
      <c r="AH767" s="1611"/>
      <c r="AI767" s="1611"/>
      <c r="AJ767" s="1611"/>
      <c r="AK767" s="1611"/>
      <c r="AL767" s="1611"/>
      <c r="AM767" s="1611"/>
      <c r="AN767" s="1611"/>
      <c r="AO767" s="1611"/>
      <c r="AP767" s="1611"/>
      <c r="AQ767" s="1611"/>
    </row>
    <row r="768" spans="1:43" outlineLevel="2">
      <c r="A768" s="1638" t="s">
        <v>328</v>
      </c>
      <c r="B768" s="1637" t="s">
        <v>141</v>
      </c>
      <c r="C768" s="1636"/>
      <c r="D768" s="1635">
        <v>0</v>
      </c>
      <c r="E768" s="1634" t="s">
        <v>909</v>
      </c>
      <c r="F768" s="1633" t="s">
        <v>1064</v>
      </c>
      <c r="G768" s="1632">
        <v>3626.6869944541586</v>
      </c>
      <c r="H768" s="1632">
        <v>5523.49</v>
      </c>
      <c r="I768" s="1630">
        <f t="shared" si="401"/>
        <v>9150.1769944541593</v>
      </c>
      <c r="J768" s="1630">
        <f t="shared" si="402"/>
        <v>0</v>
      </c>
      <c r="K768" s="1631">
        <v>4069</v>
      </c>
      <c r="L768" s="1630">
        <f t="shared" si="403"/>
        <v>4069</v>
      </c>
      <c r="M768" s="1630">
        <f t="shared" si="404"/>
        <v>0</v>
      </c>
      <c r="N768" s="1625">
        <f t="shared" si="405"/>
        <v>0</v>
      </c>
      <c r="O768" s="1629">
        <v>0.37059999999999998</v>
      </c>
      <c r="P768" s="1629">
        <v>0.62939999999999996</v>
      </c>
      <c r="Q768" s="1625">
        <f t="shared" si="406"/>
        <v>0</v>
      </c>
      <c r="R768" s="1628">
        <f t="shared" si="407"/>
        <v>0</v>
      </c>
      <c r="S768" s="1627">
        <f t="shared" si="408"/>
        <v>0</v>
      </c>
      <c r="T768" s="1627">
        <f t="shared" si="409"/>
        <v>0</v>
      </c>
      <c r="U768" s="1626">
        <f t="shared" si="410"/>
        <v>0</v>
      </c>
      <c r="V768" s="1626">
        <f t="shared" si="410"/>
        <v>0</v>
      </c>
      <c r="W768" s="1625">
        <f t="shared" si="411"/>
        <v>0</v>
      </c>
      <c r="X768" s="1614"/>
      <c r="Y768" s="1613"/>
      <c r="Z768" s="1612">
        <f t="shared" si="412"/>
        <v>0.4446908516049673</v>
      </c>
      <c r="AA768" s="1611"/>
      <c r="AB768" s="1611"/>
      <c r="AC768" s="1611"/>
      <c r="AD768" s="1611"/>
      <c r="AE768" s="1611"/>
      <c r="AF768" s="1611"/>
      <c r="AG768" s="1611"/>
      <c r="AH768" s="1611"/>
      <c r="AI768" s="1611"/>
      <c r="AJ768" s="1611"/>
      <c r="AK768" s="1611"/>
      <c r="AL768" s="1611"/>
      <c r="AM768" s="1611"/>
      <c r="AN768" s="1611"/>
      <c r="AO768" s="1611"/>
      <c r="AP768" s="1611"/>
      <c r="AQ768" s="1611"/>
    </row>
    <row r="769" spans="1:43" outlineLevel="2">
      <c r="A769" s="1638" t="s">
        <v>328</v>
      </c>
      <c r="B769" s="1637" t="s">
        <v>141</v>
      </c>
      <c r="C769" s="1636"/>
      <c r="D769" s="1635">
        <v>1</v>
      </c>
      <c r="E769" s="1634" t="s">
        <v>909</v>
      </c>
      <c r="F769" s="1633" t="s">
        <v>979</v>
      </c>
      <c r="G769" s="1632">
        <v>3626.6869944541586</v>
      </c>
      <c r="H769" s="1632">
        <v>5523.49</v>
      </c>
      <c r="I769" s="1630">
        <f t="shared" si="401"/>
        <v>9150.1769944541593</v>
      </c>
      <c r="J769" s="1630">
        <f t="shared" si="402"/>
        <v>9150.1769944541593</v>
      </c>
      <c r="K769" s="1631">
        <v>4069</v>
      </c>
      <c r="L769" s="1630">
        <f t="shared" si="403"/>
        <v>4069</v>
      </c>
      <c r="M769" s="1630">
        <f t="shared" si="404"/>
        <v>4069</v>
      </c>
      <c r="N769" s="1625">
        <f t="shared" si="405"/>
        <v>5081.1769944541593</v>
      </c>
      <c r="O769" s="1629">
        <v>0.37059999999999998</v>
      </c>
      <c r="P769" s="1629">
        <v>0.62939999999999996</v>
      </c>
      <c r="Q769" s="1625">
        <f t="shared" si="406"/>
        <v>1883.0841941447113</v>
      </c>
      <c r="R769" s="1628">
        <f t="shared" si="407"/>
        <v>3198.0928003094477</v>
      </c>
      <c r="S769" s="1627">
        <f t="shared" si="408"/>
        <v>1743.6028003094473</v>
      </c>
      <c r="T769" s="1627">
        <f t="shared" si="409"/>
        <v>2325.397199690552</v>
      </c>
      <c r="U769" s="1626">
        <f t="shared" si="410"/>
        <v>435.90070007736182</v>
      </c>
      <c r="V769" s="1626">
        <f t="shared" si="410"/>
        <v>581.34929992263801</v>
      </c>
      <c r="W769" s="1625">
        <f t="shared" si="411"/>
        <v>1017.2499999999998</v>
      </c>
      <c r="X769" s="1614"/>
      <c r="Y769" s="1613"/>
      <c r="Z769" s="1612">
        <f t="shared" si="412"/>
        <v>0.4446908516049673</v>
      </c>
      <c r="AA769" s="1611"/>
      <c r="AB769" s="1611"/>
      <c r="AC769" s="1611"/>
      <c r="AD769" s="1611"/>
      <c r="AE769" s="1611"/>
      <c r="AF769" s="1611"/>
      <c r="AG769" s="1611"/>
      <c r="AH769" s="1611"/>
      <c r="AI769" s="1611"/>
      <c r="AJ769" s="1611"/>
      <c r="AK769" s="1611"/>
      <c r="AL769" s="1611"/>
      <c r="AM769" s="1611"/>
      <c r="AN769" s="1611"/>
      <c r="AO769" s="1611"/>
      <c r="AP769" s="1611"/>
      <c r="AQ769" s="1611"/>
    </row>
    <row r="770" spans="1:43" outlineLevel="2">
      <c r="A770" s="1638" t="s">
        <v>328</v>
      </c>
      <c r="B770" s="1637" t="s">
        <v>141</v>
      </c>
      <c r="C770" s="1636"/>
      <c r="D770" s="1635">
        <v>1</v>
      </c>
      <c r="E770" s="1634" t="s">
        <v>907</v>
      </c>
      <c r="F770" s="1633" t="s">
        <v>1069</v>
      </c>
      <c r="G770" s="1632">
        <v>3626.6869944541586</v>
      </c>
      <c r="H770" s="1632">
        <v>5523.49</v>
      </c>
      <c r="I770" s="1630">
        <f t="shared" si="401"/>
        <v>9150.1769944541593</v>
      </c>
      <c r="J770" s="1630">
        <f t="shared" si="402"/>
        <v>9150.1769944541593</v>
      </c>
      <c r="K770" s="1631">
        <v>5434</v>
      </c>
      <c r="L770" s="1630">
        <f t="shared" si="403"/>
        <v>5434</v>
      </c>
      <c r="M770" s="1630">
        <f t="shared" si="404"/>
        <v>5434</v>
      </c>
      <c r="N770" s="1625">
        <f t="shared" si="405"/>
        <v>3716.1769944541593</v>
      </c>
      <c r="O770" s="1629">
        <v>0.37059999999999998</v>
      </c>
      <c r="P770" s="1629">
        <v>0.62939999999999996</v>
      </c>
      <c r="Q770" s="1625">
        <f t="shared" si="406"/>
        <v>1377.2151941447114</v>
      </c>
      <c r="R770" s="1628">
        <f t="shared" si="407"/>
        <v>2338.9618003094479</v>
      </c>
      <c r="S770" s="1627">
        <f t="shared" si="408"/>
        <v>2249.4718003094472</v>
      </c>
      <c r="T770" s="1627">
        <f t="shared" si="409"/>
        <v>3184.5281996905519</v>
      </c>
      <c r="U770" s="1626">
        <f t="shared" si="410"/>
        <v>562.3679500773618</v>
      </c>
      <c r="V770" s="1626">
        <f t="shared" si="410"/>
        <v>796.13204992263798</v>
      </c>
      <c r="W770" s="1625">
        <f t="shared" si="411"/>
        <v>1358.4999999999998</v>
      </c>
      <c r="X770" s="1614"/>
      <c r="Y770" s="1613"/>
      <c r="Z770" s="1612">
        <f t="shared" si="412"/>
        <v>0.59386829383666551</v>
      </c>
      <c r="AA770" s="1611"/>
      <c r="AB770" s="1611"/>
      <c r="AC770" s="1611"/>
      <c r="AD770" s="1611"/>
      <c r="AE770" s="1611"/>
      <c r="AF770" s="1611"/>
      <c r="AG770" s="1611"/>
      <c r="AH770" s="1611"/>
      <c r="AI770" s="1611"/>
      <c r="AJ770" s="1611"/>
      <c r="AK770" s="1611"/>
      <c r="AL770" s="1611"/>
      <c r="AM770" s="1611"/>
      <c r="AN770" s="1611"/>
      <c r="AO770" s="1611"/>
      <c r="AP770" s="1611"/>
      <c r="AQ770" s="1611"/>
    </row>
    <row r="771" spans="1:43" outlineLevel="2">
      <c r="A771" s="1638" t="s">
        <v>328</v>
      </c>
      <c r="B771" s="1637" t="s">
        <v>141</v>
      </c>
      <c r="C771" s="1636"/>
      <c r="D771" s="1635">
        <v>1</v>
      </c>
      <c r="E771" s="1634" t="s">
        <v>935</v>
      </c>
      <c r="F771" s="1633" t="s">
        <v>979</v>
      </c>
      <c r="G771" s="1632">
        <v>3626.6869944541586</v>
      </c>
      <c r="H771" s="1632">
        <v>5523.49</v>
      </c>
      <c r="I771" s="1630">
        <f t="shared" si="401"/>
        <v>9150.1769944541593</v>
      </c>
      <c r="J771" s="1630">
        <f t="shared" si="402"/>
        <v>9150.1769944541593</v>
      </c>
      <c r="K771" s="1631">
        <v>3020</v>
      </c>
      <c r="L771" s="1630">
        <f t="shared" si="403"/>
        <v>3020</v>
      </c>
      <c r="M771" s="1630">
        <f t="shared" si="404"/>
        <v>3020</v>
      </c>
      <c r="N771" s="1625">
        <f t="shared" si="405"/>
        <v>6130.1769944541593</v>
      </c>
      <c r="O771" s="1629">
        <v>0.37059999999999998</v>
      </c>
      <c r="P771" s="1629">
        <v>0.62939999999999996</v>
      </c>
      <c r="Q771" s="1625">
        <f t="shared" si="406"/>
        <v>2271.8435941447115</v>
      </c>
      <c r="R771" s="1628">
        <f t="shared" si="407"/>
        <v>3858.3334003094478</v>
      </c>
      <c r="S771" s="1627">
        <f t="shared" si="408"/>
        <v>1354.8434003094471</v>
      </c>
      <c r="T771" s="1627">
        <f t="shared" si="409"/>
        <v>1665.156599690552</v>
      </c>
      <c r="U771" s="1626">
        <f t="shared" si="410"/>
        <v>338.71085007736178</v>
      </c>
      <c r="V771" s="1626">
        <f t="shared" si="410"/>
        <v>416.28914992263799</v>
      </c>
      <c r="W771" s="1625">
        <f t="shared" si="411"/>
        <v>754.99999999999977</v>
      </c>
      <c r="X771" s="1614"/>
      <c r="Y771" s="1613"/>
      <c r="Z771" s="1612">
        <f t="shared" si="412"/>
        <v>0.33004826046866581</v>
      </c>
      <c r="AA771" s="1611"/>
      <c r="AB771" s="1611"/>
      <c r="AC771" s="1611"/>
      <c r="AD771" s="1611"/>
      <c r="AE771" s="1611"/>
      <c r="AF771" s="1611"/>
      <c r="AG771" s="1611"/>
      <c r="AH771" s="1611"/>
      <c r="AI771" s="1611"/>
      <c r="AJ771" s="1611"/>
      <c r="AK771" s="1611"/>
      <c r="AL771" s="1611"/>
      <c r="AM771" s="1611"/>
      <c r="AN771" s="1611"/>
      <c r="AO771" s="1611"/>
      <c r="AP771" s="1611"/>
      <c r="AQ771" s="1611"/>
    </row>
    <row r="772" spans="1:43" outlineLevel="2">
      <c r="A772" s="1638" t="s">
        <v>328</v>
      </c>
      <c r="B772" s="1637" t="s">
        <v>141</v>
      </c>
      <c r="C772" s="1636"/>
      <c r="D772" s="1635">
        <v>1</v>
      </c>
      <c r="E772" s="1634" t="s">
        <v>938</v>
      </c>
      <c r="F772" s="1633" t="s">
        <v>979</v>
      </c>
      <c r="G772" s="1632">
        <v>3626.6869944541586</v>
      </c>
      <c r="H772" s="1632">
        <v>5523.49</v>
      </c>
      <c r="I772" s="1630">
        <f t="shared" si="401"/>
        <v>9150.1769944541593</v>
      </c>
      <c r="J772" s="1630">
        <f t="shared" si="402"/>
        <v>9150.1769944541593</v>
      </c>
      <c r="K772" s="1631">
        <v>4827</v>
      </c>
      <c r="L772" s="1630">
        <f t="shared" si="403"/>
        <v>4827</v>
      </c>
      <c r="M772" s="1630">
        <f t="shared" si="404"/>
        <v>4827</v>
      </c>
      <c r="N772" s="1625">
        <f t="shared" si="405"/>
        <v>4323.1769944541593</v>
      </c>
      <c r="O772" s="1629">
        <v>0.37059999999999998</v>
      </c>
      <c r="P772" s="1629">
        <v>0.62939999999999996</v>
      </c>
      <c r="Q772" s="1625">
        <f t="shared" si="406"/>
        <v>1602.1693941447113</v>
      </c>
      <c r="R772" s="1628">
        <f t="shared" si="407"/>
        <v>2721.0076003094478</v>
      </c>
      <c r="S772" s="1627">
        <f t="shared" si="408"/>
        <v>2024.5176003094473</v>
      </c>
      <c r="T772" s="1627">
        <f t="shared" si="409"/>
        <v>2802.482399690552</v>
      </c>
      <c r="U772" s="1626">
        <f t="shared" si="410"/>
        <v>506.12940007736182</v>
      </c>
      <c r="V772" s="1626">
        <f t="shared" si="410"/>
        <v>700.62059992263801</v>
      </c>
      <c r="W772" s="1625">
        <f t="shared" si="411"/>
        <v>1206.7499999999998</v>
      </c>
      <c r="X772" s="1614"/>
      <c r="Y772" s="1613"/>
      <c r="Z772" s="1612">
        <f t="shared" si="412"/>
        <v>0.52753077923253311</v>
      </c>
      <c r="AA772" s="1611"/>
      <c r="AB772" s="1611"/>
      <c r="AC772" s="1611"/>
      <c r="AD772" s="1611"/>
      <c r="AE772" s="1611"/>
      <c r="AF772" s="1611"/>
      <c r="AG772" s="1611"/>
      <c r="AH772" s="1611"/>
      <c r="AI772" s="1611"/>
      <c r="AJ772" s="1611"/>
      <c r="AK772" s="1611"/>
      <c r="AL772" s="1611"/>
      <c r="AM772" s="1611"/>
      <c r="AN772" s="1611"/>
      <c r="AO772" s="1611"/>
      <c r="AP772" s="1611"/>
      <c r="AQ772" s="1611"/>
    </row>
    <row r="773" spans="1:43" outlineLevel="1">
      <c r="A773" s="1624"/>
      <c r="B773" s="1623" t="s">
        <v>1088</v>
      </c>
      <c r="C773" s="1622"/>
      <c r="D773" s="1621">
        <f>SUBTOTAL(9,D765:D772)</f>
        <v>6</v>
      </c>
      <c r="E773" s="1620"/>
      <c r="F773" s="1639"/>
      <c r="G773" s="1639"/>
      <c r="H773" s="1639"/>
      <c r="I773" s="1616"/>
      <c r="J773" s="1616">
        <f>SUBTOTAL(9,J765:J772)</f>
        <v>54901.061966724956</v>
      </c>
      <c r="K773" s="1615"/>
      <c r="L773" s="1616"/>
      <c r="M773" s="1616">
        <f>SUBTOTAL(9,M765:M772)</f>
        <v>26182</v>
      </c>
      <c r="N773" s="1615">
        <f>SUBTOTAL(9,N765:N772)</f>
        <v>28719.061966724956</v>
      </c>
      <c r="O773" s="1616"/>
      <c r="P773" s="1616"/>
      <c r="Q773" s="1615">
        <f t="shared" ref="Q773:W773" si="413">SUBTOTAL(9,Q765:Q772)</f>
        <v>10643.284364868268</v>
      </c>
      <c r="R773" s="1615">
        <f t="shared" si="413"/>
        <v>18075.777601856687</v>
      </c>
      <c r="S773" s="1616">
        <f t="shared" si="413"/>
        <v>11116.837601856683</v>
      </c>
      <c r="T773" s="1616">
        <f t="shared" si="413"/>
        <v>15065.162398143313</v>
      </c>
      <c r="U773" s="1616">
        <f t="shared" si="413"/>
        <v>2779.2094004641708</v>
      </c>
      <c r="V773" s="1616">
        <f t="shared" si="413"/>
        <v>3766.2905995358283</v>
      </c>
      <c r="W773" s="1615">
        <f t="shared" si="413"/>
        <v>6545.5</v>
      </c>
      <c r="X773" s="1614"/>
      <c r="Y773" s="1613"/>
      <c r="Z773" s="1612"/>
      <c r="AA773" s="1611"/>
      <c r="AB773" s="1611"/>
      <c r="AC773" s="1611"/>
      <c r="AD773" s="1611"/>
      <c r="AE773" s="1611"/>
      <c r="AF773" s="1611"/>
      <c r="AG773" s="1611"/>
      <c r="AH773" s="1611"/>
      <c r="AI773" s="1611"/>
      <c r="AJ773" s="1611"/>
      <c r="AK773" s="1611"/>
      <c r="AL773" s="1611"/>
      <c r="AM773" s="1611"/>
      <c r="AN773" s="1611"/>
      <c r="AO773" s="1611"/>
      <c r="AP773" s="1611"/>
      <c r="AQ773" s="1611"/>
    </row>
    <row r="774" spans="1:43" outlineLevel="2">
      <c r="A774" s="1638" t="s">
        <v>329</v>
      </c>
      <c r="B774" s="1637" t="s">
        <v>202</v>
      </c>
      <c r="C774" s="1636"/>
      <c r="D774" s="1635">
        <v>6</v>
      </c>
      <c r="E774" s="1634" t="s">
        <v>936</v>
      </c>
      <c r="F774" s="1633" t="s">
        <v>1070</v>
      </c>
      <c r="G774" s="1632">
        <v>4997.8768998856158</v>
      </c>
      <c r="H774" s="1632">
        <v>4176.6000000000004</v>
      </c>
      <c r="I774" s="1630">
        <f t="shared" ref="I774:I814" si="414">G774+H774</f>
        <v>9174.4768998856161</v>
      </c>
      <c r="J774" s="1630">
        <f t="shared" ref="J774:J814" si="415">D774*I774</f>
        <v>55046.861399313697</v>
      </c>
      <c r="K774" s="1631">
        <v>5317</v>
      </c>
      <c r="L774" s="1630">
        <f t="shared" ref="L774:L814" si="416">IF(I774&gt;K774,K774,I774)</f>
        <v>5317</v>
      </c>
      <c r="M774" s="1630">
        <f t="shared" ref="M774:M814" si="417">L774*D774</f>
        <v>31902</v>
      </c>
      <c r="N774" s="1625">
        <f t="shared" ref="N774:N814" si="418">J774-M774</f>
        <v>23144.861399313697</v>
      </c>
      <c r="O774" s="1629">
        <v>0.59819999999999995</v>
      </c>
      <c r="P774" s="1629">
        <v>0.40179999999999999</v>
      </c>
      <c r="Q774" s="1625">
        <f t="shared" ref="Q774:Q814" si="419">N774*O774</f>
        <v>13845.256089069453</v>
      </c>
      <c r="R774" s="1628">
        <f t="shared" ref="R774:R814" si="420">N774*P774</f>
        <v>9299.6053102442438</v>
      </c>
      <c r="S774" s="1627">
        <f t="shared" ref="S774:S814" si="421">(G774*D774)-Q774</f>
        <v>16142.005310244242</v>
      </c>
      <c r="T774" s="1627">
        <f t="shared" ref="T774:T814" si="422">(H774*D774)-R774</f>
        <v>15759.994689755758</v>
      </c>
      <c r="U774" s="1626">
        <f t="shared" ref="U774:U814" si="423">S774/4</f>
        <v>4035.5013275610604</v>
      </c>
      <c r="V774" s="1626">
        <f t="shared" ref="V774:V814" si="424">T774/4</f>
        <v>3939.9986724389396</v>
      </c>
      <c r="W774" s="1625">
        <f t="shared" ref="W774:W814" si="425">V774+U774</f>
        <v>7975.5</v>
      </c>
      <c r="X774" s="1614"/>
      <c r="Y774" s="1613"/>
      <c r="Z774" s="1612">
        <f t="shared" ref="Z774:Z814" si="426">K774/I774</f>
        <v>0.57954257861462277</v>
      </c>
      <c r="AA774" s="1611"/>
      <c r="AB774" s="1611"/>
      <c r="AC774" s="1611"/>
      <c r="AD774" s="1611"/>
      <c r="AE774" s="1611"/>
      <c r="AF774" s="1611"/>
      <c r="AG774" s="1611"/>
      <c r="AH774" s="1611"/>
      <c r="AI774" s="1611"/>
      <c r="AJ774" s="1611"/>
      <c r="AK774" s="1611"/>
      <c r="AL774" s="1611"/>
      <c r="AM774" s="1611"/>
      <c r="AN774" s="1611"/>
      <c r="AO774" s="1611"/>
      <c r="AP774" s="1611"/>
      <c r="AQ774" s="1611"/>
    </row>
    <row r="775" spans="1:43" outlineLevel="2">
      <c r="A775" s="1638" t="s">
        <v>329</v>
      </c>
      <c r="B775" s="1637" t="s">
        <v>202</v>
      </c>
      <c r="C775" s="1636"/>
      <c r="D775" s="1635">
        <v>5</v>
      </c>
      <c r="E775" s="1634" t="s">
        <v>936</v>
      </c>
      <c r="F775" s="1633" t="s">
        <v>1069</v>
      </c>
      <c r="G775" s="1632">
        <v>4997.8768998856158</v>
      </c>
      <c r="H775" s="1632">
        <v>4176.6000000000004</v>
      </c>
      <c r="I775" s="1630">
        <f t="shared" si="414"/>
        <v>9174.4768998856161</v>
      </c>
      <c r="J775" s="1630">
        <f t="shared" si="415"/>
        <v>45872.384499428081</v>
      </c>
      <c r="K775" s="1631">
        <v>5317</v>
      </c>
      <c r="L775" s="1630">
        <f t="shared" si="416"/>
        <v>5317</v>
      </c>
      <c r="M775" s="1630">
        <f t="shared" si="417"/>
        <v>26585</v>
      </c>
      <c r="N775" s="1625">
        <f t="shared" si="418"/>
        <v>19287.384499428081</v>
      </c>
      <c r="O775" s="1629">
        <v>0.59819999999999995</v>
      </c>
      <c r="P775" s="1629">
        <v>0.40179999999999999</v>
      </c>
      <c r="Q775" s="1625">
        <f t="shared" si="419"/>
        <v>11537.713407557878</v>
      </c>
      <c r="R775" s="1628">
        <f t="shared" si="420"/>
        <v>7749.6710918702029</v>
      </c>
      <c r="S775" s="1627">
        <f t="shared" si="421"/>
        <v>13451.671091870203</v>
      </c>
      <c r="T775" s="1627">
        <f t="shared" si="422"/>
        <v>13133.328908129797</v>
      </c>
      <c r="U775" s="1626">
        <f t="shared" si="423"/>
        <v>3362.9177729675507</v>
      </c>
      <c r="V775" s="1626">
        <f t="shared" si="424"/>
        <v>3283.3322270324493</v>
      </c>
      <c r="W775" s="1625">
        <f t="shared" si="425"/>
        <v>6646.25</v>
      </c>
      <c r="X775" s="1614"/>
      <c r="Y775" s="1613"/>
      <c r="Z775" s="1612">
        <f t="shared" si="426"/>
        <v>0.57954257861462277</v>
      </c>
      <c r="AA775" s="1611"/>
      <c r="AB775" s="1611"/>
      <c r="AC775" s="1611"/>
      <c r="AD775" s="1611"/>
      <c r="AE775" s="1611"/>
      <c r="AF775" s="1611"/>
      <c r="AG775" s="1611"/>
      <c r="AH775" s="1611"/>
      <c r="AI775" s="1611"/>
      <c r="AJ775" s="1611"/>
      <c r="AK775" s="1611"/>
      <c r="AL775" s="1611"/>
      <c r="AM775" s="1611"/>
      <c r="AN775" s="1611"/>
      <c r="AO775" s="1611"/>
      <c r="AP775" s="1611"/>
      <c r="AQ775" s="1611"/>
    </row>
    <row r="776" spans="1:43" outlineLevel="2">
      <c r="A776" s="1638" t="s">
        <v>329</v>
      </c>
      <c r="B776" s="1637" t="s">
        <v>202</v>
      </c>
      <c r="C776" s="1636"/>
      <c r="D776" s="1635">
        <v>4</v>
      </c>
      <c r="E776" s="1634" t="s">
        <v>936</v>
      </c>
      <c r="F776" s="1633" t="s">
        <v>979</v>
      </c>
      <c r="G776" s="1632">
        <v>4997.8768998856158</v>
      </c>
      <c r="H776" s="1632">
        <v>4176.6000000000004</v>
      </c>
      <c r="I776" s="1630">
        <f t="shared" si="414"/>
        <v>9174.4768998856161</v>
      </c>
      <c r="J776" s="1630">
        <f t="shared" si="415"/>
        <v>36697.907599542465</v>
      </c>
      <c r="K776" s="1631">
        <v>5329</v>
      </c>
      <c r="L776" s="1630">
        <f t="shared" si="416"/>
        <v>5329</v>
      </c>
      <c r="M776" s="1630">
        <f t="shared" si="417"/>
        <v>21316</v>
      </c>
      <c r="N776" s="1625">
        <f t="shared" si="418"/>
        <v>15381.907599542465</v>
      </c>
      <c r="O776" s="1629">
        <v>0.59819999999999995</v>
      </c>
      <c r="P776" s="1629">
        <v>0.40179999999999999</v>
      </c>
      <c r="Q776" s="1625">
        <f t="shared" si="419"/>
        <v>9201.4571260463017</v>
      </c>
      <c r="R776" s="1628">
        <f t="shared" si="420"/>
        <v>6180.450473496162</v>
      </c>
      <c r="S776" s="1627">
        <f t="shared" si="421"/>
        <v>10790.050473496161</v>
      </c>
      <c r="T776" s="1627">
        <f t="shared" si="422"/>
        <v>10525.949526503839</v>
      </c>
      <c r="U776" s="1626">
        <f t="shared" si="423"/>
        <v>2697.5126183740404</v>
      </c>
      <c r="V776" s="1626">
        <f t="shared" si="424"/>
        <v>2631.4873816259596</v>
      </c>
      <c r="W776" s="1625">
        <f t="shared" si="425"/>
        <v>5329</v>
      </c>
      <c r="X776" s="1614"/>
      <c r="Y776" s="1613"/>
      <c r="Z776" s="1612">
        <f t="shared" si="426"/>
        <v>0.58085055509447514</v>
      </c>
      <c r="AA776" s="1611"/>
      <c r="AB776" s="1611"/>
      <c r="AC776" s="1611"/>
      <c r="AD776" s="1611"/>
      <c r="AE776" s="1611"/>
      <c r="AF776" s="1611"/>
      <c r="AG776" s="1611"/>
      <c r="AH776" s="1611"/>
      <c r="AI776" s="1611"/>
      <c r="AJ776" s="1611"/>
      <c r="AK776" s="1611"/>
      <c r="AL776" s="1611"/>
      <c r="AM776" s="1611"/>
      <c r="AN776" s="1611"/>
      <c r="AO776" s="1611"/>
      <c r="AP776" s="1611"/>
      <c r="AQ776" s="1611"/>
    </row>
    <row r="777" spans="1:43" outlineLevel="2">
      <c r="A777" s="1638" t="s">
        <v>329</v>
      </c>
      <c r="B777" s="1637" t="s">
        <v>202</v>
      </c>
      <c r="C777" s="1636"/>
      <c r="D777" s="1635">
        <v>3</v>
      </c>
      <c r="E777" s="1634" t="s">
        <v>934</v>
      </c>
      <c r="F777" s="1633" t="s">
        <v>979</v>
      </c>
      <c r="G777" s="1632">
        <v>4997.8768998856158</v>
      </c>
      <c r="H777" s="1632">
        <v>4176.6000000000004</v>
      </c>
      <c r="I777" s="1630">
        <f t="shared" si="414"/>
        <v>9174.4768998856161</v>
      </c>
      <c r="J777" s="1630">
        <f t="shared" si="415"/>
        <v>27523.430699656848</v>
      </c>
      <c r="K777" s="1631">
        <v>4530</v>
      </c>
      <c r="L777" s="1630">
        <f t="shared" si="416"/>
        <v>4530</v>
      </c>
      <c r="M777" s="1630">
        <f t="shared" si="417"/>
        <v>13590</v>
      </c>
      <c r="N777" s="1625">
        <f t="shared" si="418"/>
        <v>13933.430699656848</v>
      </c>
      <c r="O777" s="1629">
        <v>0.59819999999999995</v>
      </c>
      <c r="P777" s="1629">
        <v>0.40179999999999999</v>
      </c>
      <c r="Q777" s="1625">
        <f t="shared" si="419"/>
        <v>8334.9782445347264</v>
      </c>
      <c r="R777" s="1628">
        <f t="shared" si="420"/>
        <v>5598.4524551221211</v>
      </c>
      <c r="S777" s="1627">
        <f t="shared" si="421"/>
        <v>6658.652455122121</v>
      </c>
      <c r="T777" s="1627">
        <f t="shared" si="422"/>
        <v>6931.34754487788</v>
      </c>
      <c r="U777" s="1626">
        <f t="shared" si="423"/>
        <v>1664.6631137805302</v>
      </c>
      <c r="V777" s="1626">
        <f t="shared" si="424"/>
        <v>1732.83688621947</v>
      </c>
      <c r="W777" s="1625">
        <f t="shared" si="425"/>
        <v>3397.5</v>
      </c>
      <c r="X777" s="1614"/>
      <c r="Y777" s="1613"/>
      <c r="Z777" s="1612">
        <f t="shared" si="426"/>
        <v>0.4937611211442996</v>
      </c>
      <c r="AA777" s="1611"/>
      <c r="AB777" s="1611"/>
      <c r="AC777" s="1611"/>
      <c r="AD777" s="1611"/>
      <c r="AE777" s="1611"/>
      <c r="AF777" s="1611"/>
      <c r="AG777" s="1611"/>
      <c r="AH777" s="1611"/>
      <c r="AI777" s="1611"/>
      <c r="AJ777" s="1611"/>
      <c r="AK777" s="1611"/>
      <c r="AL777" s="1611"/>
      <c r="AM777" s="1611"/>
      <c r="AN777" s="1611"/>
      <c r="AO777" s="1611"/>
      <c r="AP777" s="1611"/>
      <c r="AQ777" s="1611"/>
    </row>
    <row r="778" spans="1:43" outlineLevel="2">
      <c r="A778" s="1638" t="s">
        <v>329</v>
      </c>
      <c r="B778" s="1637" t="s">
        <v>202</v>
      </c>
      <c r="C778" s="1636"/>
      <c r="D778" s="1635">
        <v>8</v>
      </c>
      <c r="E778" s="1634" t="s">
        <v>909</v>
      </c>
      <c r="F778" s="1633" t="s">
        <v>1070</v>
      </c>
      <c r="G778" s="1632">
        <v>4997.8768998856158</v>
      </c>
      <c r="H778" s="1632">
        <v>4176.6000000000004</v>
      </c>
      <c r="I778" s="1630">
        <f t="shared" si="414"/>
        <v>9174.4768998856161</v>
      </c>
      <c r="J778" s="1630">
        <f t="shared" si="415"/>
        <v>73395.815199084929</v>
      </c>
      <c r="K778" s="1631">
        <v>4069</v>
      </c>
      <c r="L778" s="1630">
        <f t="shared" si="416"/>
        <v>4069</v>
      </c>
      <c r="M778" s="1630">
        <f t="shared" si="417"/>
        <v>32552</v>
      </c>
      <c r="N778" s="1625">
        <f t="shared" si="418"/>
        <v>40843.815199084929</v>
      </c>
      <c r="O778" s="1629">
        <v>0.59819999999999995</v>
      </c>
      <c r="P778" s="1629">
        <v>0.40179999999999999</v>
      </c>
      <c r="Q778" s="1625">
        <f t="shared" si="419"/>
        <v>24432.770252092603</v>
      </c>
      <c r="R778" s="1628">
        <f t="shared" si="420"/>
        <v>16411.044946992322</v>
      </c>
      <c r="S778" s="1627">
        <f t="shared" si="421"/>
        <v>15550.244946992323</v>
      </c>
      <c r="T778" s="1627">
        <f t="shared" si="422"/>
        <v>17001.755053007681</v>
      </c>
      <c r="U778" s="1626">
        <f t="shared" si="423"/>
        <v>3887.5612367480808</v>
      </c>
      <c r="V778" s="1626">
        <f t="shared" si="424"/>
        <v>4250.4387632519201</v>
      </c>
      <c r="W778" s="1625">
        <f t="shared" si="425"/>
        <v>8138.0000000000009</v>
      </c>
      <c r="X778" s="1614"/>
      <c r="Y778" s="1613"/>
      <c r="Z778" s="1612">
        <f t="shared" si="426"/>
        <v>0.44351302470996801</v>
      </c>
      <c r="AA778" s="1611"/>
      <c r="AB778" s="1611"/>
      <c r="AC778" s="1611"/>
      <c r="AD778" s="1611"/>
      <c r="AE778" s="1611"/>
      <c r="AF778" s="1611"/>
      <c r="AG778" s="1611"/>
      <c r="AH778" s="1611"/>
      <c r="AI778" s="1611"/>
      <c r="AJ778" s="1611"/>
      <c r="AK778" s="1611"/>
      <c r="AL778" s="1611"/>
      <c r="AM778" s="1611"/>
      <c r="AN778" s="1611"/>
      <c r="AO778" s="1611"/>
      <c r="AP778" s="1611"/>
      <c r="AQ778" s="1611"/>
    </row>
    <row r="779" spans="1:43" outlineLevel="2">
      <c r="A779" s="1638" t="s">
        <v>329</v>
      </c>
      <c r="B779" s="1637" t="s">
        <v>202</v>
      </c>
      <c r="C779" s="1636"/>
      <c r="D779" s="1635">
        <v>10</v>
      </c>
      <c r="E779" s="1634" t="s">
        <v>909</v>
      </c>
      <c r="F779" s="1633" t="s">
        <v>1069</v>
      </c>
      <c r="G779" s="1632">
        <v>4997.8768998856158</v>
      </c>
      <c r="H779" s="1632">
        <v>4176.6000000000004</v>
      </c>
      <c r="I779" s="1630">
        <f t="shared" si="414"/>
        <v>9174.4768998856161</v>
      </c>
      <c r="J779" s="1630">
        <f t="shared" si="415"/>
        <v>91744.768998856161</v>
      </c>
      <c r="K779" s="1631">
        <v>4069</v>
      </c>
      <c r="L779" s="1630">
        <f t="shared" si="416"/>
        <v>4069</v>
      </c>
      <c r="M779" s="1630">
        <f t="shared" si="417"/>
        <v>40690</v>
      </c>
      <c r="N779" s="1625">
        <f t="shared" si="418"/>
        <v>51054.768998856161</v>
      </c>
      <c r="O779" s="1629">
        <v>0.59819999999999995</v>
      </c>
      <c r="P779" s="1629">
        <v>0.40179999999999999</v>
      </c>
      <c r="Q779" s="1625">
        <f t="shared" si="419"/>
        <v>30540.962815115752</v>
      </c>
      <c r="R779" s="1628">
        <f t="shared" si="420"/>
        <v>20513.806183740406</v>
      </c>
      <c r="S779" s="1627">
        <f t="shared" si="421"/>
        <v>19437.806183740409</v>
      </c>
      <c r="T779" s="1627">
        <f t="shared" si="422"/>
        <v>21252.193816259594</v>
      </c>
      <c r="U779" s="1626">
        <f t="shared" si="423"/>
        <v>4859.4515459351023</v>
      </c>
      <c r="V779" s="1626">
        <f t="shared" si="424"/>
        <v>5313.0484540648986</v>
      </c>
      <c r="W779" s="1625">
        <f t="shared" si="425"/>
        <v>10172.5</v>
      </c>
      <c r="X779" s="1614"/>
      <c r="Y779" s="1613"/>
      <c r="Z779" s="1612">
        <f t="shared" si="426"/>
        <v>0.44351302470996801</v>
      </c>
      <c r="AA779" s="1611"/>
      <c r="AB779" s="1611"/>
      <c r="AC779" s="1611"/>
      <c r="AD779" s="1611"/>
      <c r="AE779" s="1611"/>
      <c r="AF779" s="1611"/>
      <c r="AG779" s="1611"/>
      <c r="AH779" s="1611"/>
      <c r="AI779" s="1611"/>
      <c r="AJ779" s="1611"/>
      <c r="AK779" s="1611"/>
      <c r="AL779" s="1611"/>
      <c r="AM779" s="1611"/>
      <c r="AN779" s="1611"/>
      <c r="AO779" s="1611"/>
      <c r="AP779" s="1611"/>
      <c r="AQ779" s="1611"/>
    </row>
    <row r="780" spans="1:43" outlineLevel="2">
      <c r="A780" s="1638" t="s">
        <v>329</v>
      </c>
      <c r="B780" s="1637" t="s">
        <v>202</v>
      </c>
      <c r="C780" s="1636"/>
      <c r="D780" s="1635">
        <v>9</v>
      </c>
      <c r="E780" s="1634" t="s">
        <v>909</v>
      </c>
      <c r="F780" s="1633" t="s">
        <v>1068</v>
      </c>
      <c r="G780" s="1632">
        <v>4997.8768998856158</v>
      </c>
      <c r="H780" s="1632">
        <v>4176.6000000000004</v>
      </c>
      <c r="I780" s="1630">
        <f t="shared" si="414"/>
        <v>9174.4768998856161</v>
      </c>
      <c r="J780" s="1630">
        <f t="shared" si="415"/>
        <v>82570.292098970545</v>
      </c>
      <c r="K780" s="1631">
        <v>4069</v>
      </c>
      <c r="L780" s="1630">
        <f t="shared" si="416"/>
        <v>4069</v>
      </c>
      <c r="M780" s="1630">
        <f t="shared" si="417"/>
        <v>36621</v>
      </c>
      <c r="N780" s="1625">
        <f t="shared" si="418"/>
        <v>45949.292098970545</v>
      </c>
      <c r="O780" s="1629">
        <v>0.59819999999999995</v>
      </c>
      <c r="P780" s="1629">
        <v>0.40179999999999999</v>
      </c>
      <c r="Q780" s="1625">
        <f t="shared" si="419"/>
        <v>27486.866533604178</v>
      </c>
      <c r="R780" s="1628">
        <f t="shared" si="420"/>
        <v>18462.425565366364</v>
      </c>
      <c r="S780" s="1627">
        <f t="shared" si="421"/>
        <v>17494.025565366366</v>
      </c>
      <c r="T780" s="1627">
        <f t="shared" si="422"/>
        <v>19126.974434633637</v>
      </c>
      <c r="U780" s="1626">
        <f t="shared" si="423"/>
        <v>4373.5063913415916</v>
      </c>
      <c r="V780" s="1626">
        <f t="shared" si="424"/>
        <v>4781.7436086584094</v>
      </c>
      <c r="W780" s="1625">
        <f t="shared" si="425"/>
        <v>9155.25</v>
      </c>
      <c r="X780" s="1614"/>
      <c r="Y780" s="1613"/>
      <c r="Z780" s="1612">
        <f t="shared" si="426"/>
        <v>0.44351302470996801</v>
      </c>
      <c r="AA780" s="1611"/>
      <c r="AB780" s="1611"/>
      <c r="AC780" s="1611"/>
      <c r="AD780" s="1611"/>
      <c r="AE780" s="1611"/>
      <c r="AF780" s="1611"/>
      <c r="AG780" s="1611"/>
      <c r="AH780" s="1611"/>
      <c r="AI780" s="1611"/>
      <c r="AJ780" s="1611"/>
      <c r="AK780" s="1611"/>
      <c r="AL780" s="1611"/>
      <c r="AM780" s="1611"/>
      <c r="AN780" s="1611"/>
      <c r="AO780" s="1611"/>
      <c r="AP780" s="1611"/>
      <c r="AQ780" s="1611"/>
    </row>
    <row r="781" spans="1:43" outlineLevel="2">
      <c r="A781" s="1638" t="s">
        <v>329</v>
      </c>
      <c r="B781" s="1637" t="s">
        <v>202</v>
      </c>
      <c r="C781" s="1636"/>
      <c r="D781" s="1635">
        <v>9</v>
      </c>
      <c r="E781" s="1634" t="s">
        <v>909</v>
      </c>
      <c r="F781" s="1633" t="s">
        <v>1071</v>
      </c>
      <c r="G781" s="1632">
        <v>4997.8768998856158</v>
      </c>
      <c r="H781" s="1632">
        <v>4176.6000000000004</v>
      </c>
      <c r="I781" s="1630">
        <f t="shared" si="414"/>
        <v>9174.4768998856161</v>
      </c>
      <c r="J781" s="1630">
        <f t="shared" si="415"/>
        <v>82570.292098970545</v>
      </c>
      <c r="K781" s="1631">
        <v>4069</v>
      </c>
      <c r="L781" s="1630">
        <f t="shared" si="416"/>
        <v>4069</v>
      </c>
      <c r="M781" s="1630">
        <f t="shared" si="417"/>
        <v>36621</v>
      </c>
      <c r="N781" s="1625">
        <f t="shared" si="418"/>
        <v>45949.292098970545</v>
      </c>
      <c r="O781" s="1629">
        <v>0.59819999999999995</v>
      </c>
      <c r="P781" s="1629">
        <v>0.40179999999999999</v>
      </c>
      <c r="Q781" s="1625">
        <f t="shared" si="419"/>
        <v>27486.866533604178</v>
      </c>
      <c r="R781" s="1628">
        <f t="shared" si="420"/>
        <v>18462.425565366364</v>
      </c>
      <c r="S781" s="1627">
        <f t="shared" si="421"/>
        <v>17494.025565366366</v>
      </c>
      <c r="T781" s="1627">
        <f t="shared" si="422"/>
        <v>19126.974434633637</v>
      </c>
      <c r="U781" s="1626">
        <f t="shared" si="423"/>
        <v>4373.5063913415916</v>
      </c>
      <c r="V781" s="1626">
        <f t="shared" si="424"/>
        <v>4781.7436086584094</v>
      </c>
      <c r="W781" s="1625">
        <f t="shared" si="425"/>
        <v>9155.25</v>
      </c>
      <c r="X781" s="1614"/>
      <c r="Y781" s="1613"/>
      <c r="Z781" s="1612">
        <f t="shared" si="426"/>
        <v>0.44351302470996801</v>
      </c>
      <c r="AA781" s="1611"/>
      <c r="AB781" s="1611"/>
      <c r="AC781" s="1611"/>
      <c r="AD781" s="1611"/>
      <c r="AE781" s="1611"/>
      <c r="AF781" s="1611"/>
      <c r="AG781" s="1611"/>
      <c r="AH781" s="1611"/>
      <c r="AI781" s="1611"/>
      <c r="AJ781" s="1611"/>
      <c r="AK781" s="1611"/>
      <c r="AL781" s="1611"/>
      <c r="AM781" s="1611"/>
      <c r="AN781" s="1611"/>
      <c r="AO781" s="1611"/>
      <c r="AP781" s="1611"/>
      <c r="AQ781" s="1611"/>
    </row>
    <row r="782" spans="1:43" outlineLevel="2">
      <c r="A782" s="1638" t="s">
        <v>329</v>
      </c>
      <c r="B782" s="1637" t="s">
        <v>202</v>
      </c>
      <c r="C782" s="1636"/>
      <c r="D782" s="1635">
        <v>13</v>
      </c>
      <c r="E782" s="1634" t="s">
        <v>909</v>
      </c>
      <c r="F782" s="1633" t="s">
        <v>1065</v>
      </c>
      <c r="G782" s="1632">
        <v>4997.8768998856158</v>
      </c>
      <c r="H782" s="1632">
        <v>4176.6000000000004</v>
      </c>
      <c r="I782" s="1630">
        <f t="shared" si="414"/>
        <v>9174.4768998856161</v>
      </c>
      <c r="J782" s="1630">
        <f t="shared" si="415"/>
        <v>119268.19969851301</v>
      </c>
      <c r="K782" s="1631">
        <v>4069</v>
      </c>
      <c r="L782" s="1630">
        <f t="shared" si="416"/>
        <v>4069</v>
      </c>
      <c r="M782" s="1630">
        <f t="shared" si="417"/>
        <v>52897</v>
      </c>
      <c r="N782" s="1625">
        <f t="shared" si="418"/>
        <v>66371.19969851301</v>
      </c>
      <c r="O782" s="1629">
        <v>0.59819999999999995</v>
      </c>
      <c r="P782" s="1629">
        <v>0.40179999999999999</v>
      </c>
      <c r="Q782" s="1625">
        <f t="shared" si="419"/>
        <v>39703.251659650479</v>
      </c>
      <c r="R782" s="1628">
        <f t="shared" si="420"/>
        <v>26667.948038862527</v>
      </c>
      <c r="S782" s="1627">
        <f t="shared" si="421"/>
        <v>25269.148038862528</v>
      </c>
      <c r="T782" s="1627">
        <f t="shared" si="422"/>
        <v>27627.851961137476</v>
      </c>
      <c r="U782" s="1626">
        <f t="shared" si="423"/>
        <v>6317.2870097156319</v>
      </c>
      <c r="V782" s="1626">
        <f t="shared" si="424"/>
        <v>6906.962990284369</v>
      </c>
      <c r="W782" s="1625">
        <f t="shared" si="425"/>
        <v>13224.25</v>
      </c>
      <c r="X782" s="1614"/>
      <c r="Y782" s="1613"/>
      <c r="Z782" s="1612">
        <f t="shared" si="426"/>
        <v>0.44351302470996801</v>
      </c>
      <c r="AA782" s="1611"/>
      <c r="AB782" s="1611"/>
      <c r="AC782" s="1611"/>
      <c r="AD782" s="1611"/>
      <c r="AE782" s="1611"/>
      <c r="AF782" s="1611"/>
      <c r="AG782" s="1611"/>
      <c r="AH782" s="1611"/>
      <c r="AI782" s="1611"/>
      <c r="AJ782" s="1611"/>
      <c r="AK782" s="1611"/>
      <c r="AL782" s="1611"/>
      <c r="AM782" s="1611"/>
      <c r="AN782" s="1611"/>
      <c r="AO782" s="1611"/>
      <c r="AP782" s="1611"/>
      <c r="AQ782" s="1611"/>
    </row>
    <row r="783" spans="1:43" outlineLevel="2">
      <c r="A783" s="1638" t="s">
        <v>329</v>
      </c>
      <c r="B783" s="1637" t="s">
        <v>202</v>
      </c>
      <c r="C783" s="1636"/>
      <c r="D783" s="1635">
        <v>7</v>
      </c>
      <c r="E783" s="1634" t="s">
        <v>909</v>
      </c>
      <c r="F783" s="1633" t="s">
        <v>1064</v>
      </c>
      <c r="G783" s="1632">
        <v>4997.8768998856158</v>
      </c>
      <c r="H783" s="1632">
        <v>4176.6000000000004</v>
      </c>
      <c r="I783" s="1630">
        <f t="shared" si="414"/>
        <v>9174.4768998856161</v>
      </c>
      <c r="J783" s="1630">
        <f t="shared" si="415"/>
        <v>64221.338299199313</v>
      </c>
      <c r="K783" s="1631">
        <v>4069</v>
      </c>
      <c r="L783" s="1630">
        <f t="shared" si="416"/>
        <v>4069</v>
      </c>
      <c r="M783" s="1630">
        <f t="shared" si="417"/>
        <v>28483</v>
      </c>
      <c r="N783" s="1625">
        <f t="shared" si="418"/>
        <v>35738.338299199313</v>
      </c>
      <c r="O783" s="1629">
        <v>0.59819999999999995</v>
      </c>
      <c r="P783" s="1629">
        <v>0.40179999999999999</v>
      </c>
      <c r="Q783" s="1625">
        <f t="shared" si="419"/>
        <v>21378.673970581029</v>
      </c>
      <c r="R783" s="1628">
        <f t="shared" si="420"/>
        <v>14359.664328618284</v>
      </c>
      <c r="S783" s="1627">
        <f t="shared" si="421"/>
        <v>13606.46432861828</v>
      </c>
      <c r="T783" s="1627">
        <f t="shared" si="422"/>
        <v>14876.53567138172</v>
      </c>
      <c r="U783" s="1626">
        <f t="shared" si="423"/>
        <v>3401.61608215457</v>
      </c>
      <c r="V783" s="1626">
        <f t="shared" si="424"/>
        <v>3719.13391784543</v>
      </c>
      <c r="W783" s="1625">
        <f t="shared" si="425"/>
        <v>7120.75</v>
      </c>
      <c r="X783" s="1614"/>
      <c r="Y783" s="1613"/>
      <c r="Z783" s="1612">
        <f t="shared" si="426"/>
        <v>0.44351302470996801</v>
      </c>
      <c r="AA783" s="1611"/>
      <c r="AB783" s="1611"/>
      <c r="AC783" s="1611"/>
      <c r="AD783" s="1611"/>
      <c r="AE783" s="1611"/>
      <c r="AF783" s="1611"/>
      <c r="AG783" s="1611"/>
      <c r="AH783" s="1611"/>
      <c r="AI783" s="1611"/>
      <c r="AJ783" s="1611"/>
      <c r="AK783" s="1611"/>
      <c r="AL783" s="1611"/>
      <c r="AM783" s="1611"/>
      <c r="AN783" s="1611"/>
      <c r="AO783" s="1611"/>
      <c r="AP783" s="1611"/>
      <c r="AQ783" s="1611"/>
    </row>
    <row r="784" spans="1:43" outlineLevel="2">
      <c r="A784" s="1638" t="s">
        <v>329</v>
      </c>
      <c r="B784" s="1637" t="s">
        <v>202</v>
      </c>
      <c r="C784" s="1636"/>
      <c r="D784" s="1635">
        <v>14</v>
      </c>
      <c r="E784" s="1634" t="s">
        <v>909</v>
      </c>
      <c r="F784" s="1633" t="s">
        <v>1063</v>
      </c>
      <c r="G784" s="1632">
        <v>4997.8768998856158</v>
      </c>
      <c r="H784" s="1632">
        <v>4176.6000000000004</v>
      </c>
      <c r="I784" s="1630">
        <f t="shared" si="414"/>
        <v>9174.4768998856161</v>
      </c>
      <c r="J784" s="1630">
        <f t="shared" si="415"/>
        <v>128442.67659839863</v>
      </c>
      <c r="K784" s="1631">
        <v>4069</v>
      </c>
      <c r="L784" s="1630">
        <f t="shared" si="416"/>
        <v>4069</v>
      </c>
      <c r="M784" s="1630">
        <f t="shared" si="417"/>
        <v>56966</v>
      </c>
      <c r="N784" s="1625">
        <f t="shared" si="418"/>
        <v>71476.676598398626</v>
      </c>
      <c r="O784" s="1629">
        <v>0.59819999999999995</v>
      </c>
      <c r="P784" s="1629">
        <v>0.40179999999999999</v>
      </c>
      <c r="Q784" s="1625">
        <f t="shared" si="419"/>
        <v>42757.347941162057</v>
      </c>
      <c r="R784" s="1628">
        <f t="shared" si="420"/>
        <v>28719.328657236569</v>
      </c>
      <c r="S784" s="1627">
        <f t="shared" si="421"/>
        <v>27212.92865723656</v>
      </c>
      <c r="T784" s="1627">
        <f t="shared" si="422"/>
        <v>29753.07134276344</v>
      </c>
      <c r="U784" s="1626">
        <f t="shared" si="423"/>
        <v>6803.23216430914</v>
      </c>
      <c r="V784" s="1626">
        <f t="shared" si="424"/>
        <v>7438.26783569086</v>
      </c>
      <c r="W784" s="1625">
        <f t="shared" si="425"/>
        <v>14241.5</v>
      </c>
      <c r="X784" s="1614"/>
      <c r="Y784" s="1613"/>
      <c r="Z784" s="1612">
        <f t="shared" si="426"/>
        <v>0.44351302470996801</v>
      </c>
      <c r="AA784" s="1611"/>
      <c r="AB784" s="1611"/>
      <c r="AC784" s="1611"/>
      <c r="AD784" s="1611"/>
      <c r="AE784" s="1611"/>
      <c r="AF784" s="1611"/>
      <c r="AG784" s="1611"/>
      <c r="AH784" s="1611"/>
      <c r="AI784" s="1611"/>
      <c r="AJ784" s="1611"/>
      <c r="AK784" s="1611"/>
      <c r="AL784" s="1611"/>
      <c r="AM784" s="1611"/>
      <c r="AN784" s="1611"/>
      <c r="AO784" s="1611"/>
      <c r="AP784" s="1611"/>
      <c r="AQ784" s="1611"/>
    </row>
    <row r="785" spans="1:43" outlineLevel="2">
      <c r="A785" s="1638" t="s">
        <v>329</v>
      </c>
      <c r="B785" s="1637" t="s">
        <v>202</v>
      </c>
      <c r="C785" s="1636"/>
      <c r="D785" s="1635">
        <v>7</v>
      </c>
      <c r="E785" s="1634" t="s">
        <v>909</v>
      </c>
      <c r="F785" s="1633" t="s">
        <v>1066</v>
      </c>
      <c r="G785" s="1632">
        <v>4997.8768998856158</v>
      </c>
      <c r="H785" s="1632">
        <v>4176.6000000000004</v>
      </c>
      <c r="I785" s="1630">
        <f t="shared" si="414"/>
        <v>9174.4768998856161</v>
      </c>
      <c r="J785" s="1630">
        <f t="shared" si="415"/>
        <v>64221.338299199313</v>
      </c>
      <c r="K785" s="1631">
        <v>4069</v>
      </c>
      <c r="L785" s="1630">
        <f t="shared" si="416"/>
        <v>4069</v>
      </c>
      <c r="M785" s="1630">
        <f t="shared" si="417"/>
        <v>28483</v>
      </c>
      <c r="N785" s="1625">
        <f t="shared" si="418"/>
        <v>35738.338299199313</v>
      </c>
      <c r="O785" s="1629">
        <v>0.59819999999999995</v>
      </c>
      <c r="P785" s="1629">
        <v>0.40179999999999999</v>
      </c>
      <c r="Q785" s="1625">
        <f t="shared" si="419"/>
        <v>21378.673970581029</v>
      </c>
      <c r="R785" s="1628">
        <f t="shared" si="420"/>
        <v>14359.664328618284</v>
      </c>
      <c r="S785" s="1627">
        <f t="shared" si="421"/>
        <v>13606.46432861828</v>
      </c>
      <c r="T785" s="1627">
        <f t="shared" si="422"/>
        <v>14876.53567138172</v>
      </c>
      <c r="U785" s="1626">
        <f t="shared" si="423"/>
        <v>3401.61608215457</v>
      </c>
      <c r="V785" s="1626">
        <f t="shared" si="424"/>
        <v>3719.13391784543</v>
      </c>
      <c r="W785" s="1625">
        <f t="shared" si="425"/>
        <v>7120.75</v>
      </c>
      <c r="X785" s="1614"/>
      <c r="Y785" s="1613"/>
      <c r="Z785" s="1612">
        <f t="shared" si="426"/>
        <v>0.44351302470996801</v>
      </c>
      <c r="AA785" s="1611"/>
      <c r="AB785" s="1611"/>
      <c r="AC785" s="1611"/>
      <c r="AD785" s="1611"/>
      <c r="AE785" s="1611"/>
      <c r="AF785" s="1611"/>
      <c r="AG785" s="1611"/>
      <c r="AH785" s="1611"/>
      <c r="AI785" s="1611"/>
      <c r="AJ785" s="1611"/>
      <c r="AK785" s="1611"/>
      <c r="AL785" s="1611"/>
      <c r="AM785" s="1611"/>
      <c r="AN785" s="1611"/>
      <c r="AO785" s="1611"/>
      <c r="AP785" s="1611"/>
      <c r="AQ785" s="1611"/>
    </row>
    <row r="786" spans="1:43" outlineLevel="2">
      <c r="A786" s="1638" t="s">
        <v>329</v>
      </c>
      <c r="B786" s="1637" t="s">
        <v>202</v>
      </c>
      <c r="C786" s="1636"/>
      <c r="D786" s="1635">
        <v>20</v>
      </c>
      <c r="E786" s="1634" t="s">
        <v>909</v>
      </c>
      <c r="F786" s="1633" t="s">
        <v>979</v>
      </c>
      <c r="G786" s="1632">
        <v>4997.8768998856158</v>
      </c>
      <c r="H786" s="1632">
        <v>4176.6000000000004</v>
      </c>
      <c r="I786" s="1630">
        <f t="shared" si="414"/>
        <v>9174.4768998856161</v>
      </c>
      <c r="J786" s="1630">
        <f t="shared" si="415"/>
        <v>183489.53799771232</v>
      </c>
      <c r="K786" s="1631">
        <v>4069</v>
      </c>
      <c r="L786" s="1630">
        <f t="shared" si="416"/>
        <v>4069</v>
      </c>
      <c r="M786" s="1630">
        <f t="shared" si="417"/>
        <v>81380</v>
      </c>
      <c r="N786" s="1625">
        <f t="shared" si="418"/>
        <v>102109.53799771232</v>
      </c>
      <c r="O786" s="1629">
        <v>0.59819999999999995</v>
      </c>
      <c r="P786" s="1629">
        <v>0.40179999999999999</v>
      </c>
      <c r="Q786" s="1625">
        <f t="shared" si="419"/>
        <v>61081.925630231504</v>
      </c>
      <c r="R786" s="1628">
        <f t="shared" si="420"/>
        <v>41027.612367480811</v>
      </c>
      <c r="S786" s="1627">
        <f t="shared" si="421"/>
        <v>38875.612367480819</v>
      </c>
      <c r="T786" s="1627">
        <f t="shared" si="422"/>
        <v>42504.387632519189</v>
      </c>
      <c r="U786" s="1626">
        <f t="shared" si="423"/>
        <v>9718.9030918702047</v>
      </c>
      <c r="V786" s="1626">
        <f t="shared" si="424"/>
        <v>10626.096908129797</v>
      </c>
      <c r="W786" s="1625">
        <f t="shared" si="425"/>
        <v>20345</v>
      </c>
      <c r="X786" s="1614"/>
      <c r="Y786" s="1613"/>
      <c r="Z786" s="1612">
        <f t="shared" si="426"/>
        <v>0.44351302470996801</v>
      </c>
      <c r="AA786" s="1611"/>
      <c r="AB786" s="1611"/>
      <c r="AC786" s="1611"/>
      <c r="AD786" s="1611"/>
      <c r="AE786" s="1611"/>
      <c r="AF786" s="1611"/>
      <c r="AG786" s="1611"/>
      <c r="AH786" s="1611"/>
      <c r="AI786" s="1611"/>
      <c r="AJ786" s="1611"/>
      <c r="AK786" s="1611"/>
      <c r="AL786" s="1611"/>
      <c r="AM786" s="1611"/>
      <c r="AN786" s="1611"/>
      <c r="AO786" s="1611"/>
      <c r="AP786" s="1611"/>
      <c r="AQ786" s="1611"/>
    </row>
    <row r="787" spans="1:43" outlineLevel="2">
      <c r="A787" s="1638" t="s">
        <v>329</v>
      </c>
      <c r="B787" s="1637" t="s">
        <v>202</v>
      </c>
      <c r="C787" s="1636"/>
      <c r="D787" s="1635">
        <v>2</v>
      </c>
      <c r="E787" s="1634" t="s">
        <v>933</v>
      </c>
      <c r="F787" s="1633" t="s">
        <v>979</v>
      </c>
      <c r="G787" s="1632">
        <v>4997.8768998856158</v>
      </c>
      <c r="H787" s="1632">
        <v>4176.6000000000004</v>
      </c>
      <c r="I787" s="1630">
        <f t="shared" si="414"/>
        <v>9174.4768998856161</v>
      </c>
      <c r="J787" s="1630">
        <f t="shared" si="415"/>
        <v>18348.953799771232</v>
      </c>
      <c r="K787" s="1631">
        <v>4465</v>
      </c>
      <c r="L787" s="1630">
        <f t="shared" si="416"/>
        <v>4465</v>
      </c>
      <c r="M787" s="1630">
        <f t="shared" si="417"/>
        <v>8930</v>
      </c>
      <c r="N787" s="1625">
        <f t="shared" si="418"/>
        <v>9418.9537997712323</v>
      </c>
      <c r="O787" s="1629">
        <v>0.59819999999999995</v>
      </c>
      <c r="P787" s="1629">
        <v>0.40179999999999999</v>
      </c>
      <c r="Q787" s="1625">
        <f t="shared" si="419"/>
        <v>5634.4181630231506</v>
      </c>
      <c r="R787" s="1628">
        <f t="shared" si="420"/>
        <v>3784.5356367480808</v>
      </c>
      <c r="S787" s="1627">
        <f t="shared" si="421"/>
        <v>4361.335636748081</v>
      </c>
      <c r="T787" s="1627">
        <f t="shared" si="422"/>
        <v>4568.6643632519199</v>
      </c>
      <c r="U787" s="1626">
        <f t="shared" si="423"/>
        <v>1090.3339091870203</v>
      </c>
      <c r="V787" s="1626">
        <f t="shared" si="424"/>
        <v>1142.16609081298</v>
      </c>
      <c r="W787" s="1625">
        <f t="shared" si="425"/>
        <v>2232.5</v>
      </c>
      <c r="X787" s="1614"/>
      <c r="Y787" s="1613"/>
      <c r="Z787" s="1612">
        <f t="shared" si="426"/>
        <v>0.48667624854509883</v>
      </c>
      <c r="AA787" s="1611"/>
      <c r="AB787" s="1611"/>
      <c r="AC787" s="1611"/>
      <c r="AD787" s="1611"/>
      <c r="AE787" s="1611"/>
      <c r="AF787" s="1611"/>
      <c r="AG787" s="1611"/>
      <c r="AH787" s="1611"/>
      <c r="AI787" s="1611"/>
      <c r="AJ787" s="1611"/>
      <c r="AK787" s="1611"/>
      <c r="AL787" s="1611"/>
      <c r="AM787" s="1611"/>
      <c r="AN787" s="1611"/>
      <c r="AO787" s="1611"/>
      <c r="AP787" s="1611"/>
      <c r="AQ787" s="1611"/>
    </row>
    <row r="788" spans="1:43" outlineLevel="2">
      <c r="A788" s="1638" t="s">
        <v>329</v>
      </c>
      <c r="B788" s="1637" t="s">
        <v>202</v>
      </c>
      <c r="C788" s="1636"/>
      <c r="D788" s="1635">
        <v>2</v>
      </c>
      <c r="E788" s="1634" t="s">
        <v>932</v>
      </c>
      <c r="F788" s="1633" t="s">
        <v>1071</v>
      </c>
      <c r="G788" s="1632">
        <v>4997.8768998856158</v>
      </c>
      <c r="H788" s="1632">
        <v>4176.6000000000004</v>
      </c>
      <c r="I788" s="1630">
        <f t="shared" si="414"/>
        <v>9174.4768998856161</v>
      </c>
      <c r="J788" s="1630">
        <f t="shared" si="415"/>
        <v>18348.953799771232</v>
      </c>
      <c r="K788" s="1631">
        <v>5305</v>
      </c>
      <c r="L788" s="1630">
        <f t="shared" si="416"/>
        <v>5305</v>
      </c>
      <c r="M788" s="1630">
        <f t="shared" si="417"/>
        <v>10610</v>
      </c>
      <c r="N788" s="1625">
        <f t="shared" si="418"/>
        <v>7738.9537997712323</v>
      </c>
      <c r="O788" s="1629">
        <v>0.59819999999999995</v>
      </c>
      <c r="P788" s="1629">
        <v>0.40179999999999999</v>
      </c>
      <c r="Q788" s="1625">
        <f t="shared" si="419"/>
        <v>4629.4421630231509</v>
      </c>
      <c r="R788" s="1628">
        <f t="shared" si="420"/>
        <v>3109.5116367480809</v>
      </c>
      <c r="S788" s="1627">
        <f t="shared" si="421"/>
        <v>5366.3116367480807</v>
      </c>
      <c r="T788" s="1627">
        <f t="shared" si="422"/>
        <v>5243.6883632519202</v>
      </c>
      <c r="U788" s="1626">
        <f t="shared" si="423"/>
        <v>1341.5779091870202</v>
      </c>
      <c r="V788" s="1626">
        <f t="shared" si="424"/>
        <v>1310.9220908129801</v>
      </c>
      <c r="W788" s="1625">
        <f t="shared" si="425"/>
        <v>2652.5</v>
      </c>
      <c r="X788" s="1614"/>
      <c r="Y788" s="1613"/>
      <c r="Z788" s="1612">
        <f t="shared" si="426"/>
        <v>0.57823460213477029</v>
      </c>
      <c r="AA788" s="1611"/>
      <c r="AB788" s="1611"/>
      <c r="AC788" s="1611"/>
      <c r="AD788" s="1611"/>
      <c r="AE788" s="1611"/>
      <c r="AF788" s="1611"/>
      <c r="AG788" s="1611"/>
      <c r="AH788" s="1611"/>
      <c r="AI788" s="1611"/>
      <c r="AJ788" s="1611"/>
      <c r="AK788" s="1611"/>
      <c r="AL788" s="1611"/>
      <c r="AM788" s="1611"/>
      <c r="AN788" s="1611"/>
      <c r="AO788" s="1611"/>
      <c r="AP788" s="1611"/>
      <c r="AQ788" s="1611"/>
    </row>
    <row r="789" spans="1:43" outlineLevel="2">
      <c r="A789" s="1638" t="s">
        <v>329</v>
      </c>
      <c r="B789" s="1637" t="s">
        <v>202</v>
      </c>
      <c r="C789" s="1636"/>
      <c r="D789" s="1635">
        <v>2</v>
      </c>
      <c r="E789" s="1634" t="s">
        <v>932</v>
      </c>
      <c r="F789" s="1633" t="s">
        <v>1064</v>
      </c>
      <c r="G789" s="1632">
        <v>4997.8768998856158</v>
      </c>
      <c r="H789" s="1632">
        <v>4176.6000000000004</v>
      </c>
      <c r="I789" s="1630">
        <f t="shared" si="414"/>
        <v>9174.4768998856161</v>
      </c>
      <c r="J789" s="1630">
        <f t="shared" si="415"/>
        <v>18348.953799771232</v>
      </c>
      <c r="K789" s="1631">
        <v>5305</v>
      </c>
      <c r="L789" s="1630">
        <f t="shared" si="416"/>
        <v>5305</v>
      </c>
      <c r="M789" s="1630">
        <f t="shared" si="417"/>
        <v>10610</v>
      </c>
      <c r="N789" s="1625">
        <f t="shared" si="418"/>
        <v>7738.9537997712323</v>
      </c>
      <c r="O789" s="1629">
        <v>0.59819999999999995</v>
      </c>
      <c r="P789" s="1629">
        <v>0.40179999999999999</v>
      </c>
      <c r="Q789" s="1625">
        <f t="shared" si="419"/>
        <v>4629.4421630231509</v>
      </c>
      <c r="R789" s="1628">
        <f t="shared" si="420"/>
        <v>3109.5116367480809</v>
      </c>
      <c r="S789" s="1627">
        <f t="shared" si="421"/>
        <v>5366.3116367480807</v>
      </c>
      <c r="T789" s="1627">
        <f t="shared" si="422"/>
        <v>5243.6883632519202</v>
      </c>
      <c r="U789" s="1626">
        <f t="shared" si="423"/>
        <v>1341.5779091870202</v>
      </c>
      <c r="V789" s="1626">
        <f t="shared" si="424"/>
        <v>1310.9220908129801</v>
      </c>
      <c r="W789" s="1625">
        <f t="shared" si="425"/>
        <v>2652.5</v>
      </c>
      <c r="X789" s="1614"/>
      <c r="Y789" s="1613"/>
      <c r="Z789" s="1612">
        <f t="shared" si="426"/>
        <v>0.57823460213477029</v>
      </c>
      <c r="AA789" s="1611"/>
      <c r="AB789" s="1611"/>
      <c r="AC789" s="1611"/>
      <c r="AD789" s="1611"/>
      <c r="AE789" s="1611"/>
      <c r="AF789" s="1611"/>
      <c r="AG789" s="1611"/>
      <c r="AH789" s="1611"/>
      <c r="AI789" s="1611"/>
      <c r="AJ789" s="1611"/>
      <c r="AK789" s="1611"/>
      <c r="AL789" s="1611"/>
      <c r="AM789" s="1611"/>
      <c r="AN789" s="1611"/>
      <c r="AO789" s="1611"/>
      <c r="AP789" s="1611"/>
      <c r="AQ789" s="1611"/>
    </row>
    <row r="790" spans="1:43" outlineLevel="2">
      <c r="A790" s="1638" t="s">
        <v>329</v>
      </c>
      <c r="B790" s="1637" t="s">
        <v>202</v>
      </c>
      <c r="C790" s="1636"/>
      <c r="D790" s="1635">
        <v>1</v>
      </c>
      <c r="E790" s="1634" t="s">
        <v>932</v>
      </c>
      <c r="F790" s="1633" t="s">
        <v>979</v>
      </c>
      <c r="G790" s="1632">
        <v>4997.8768998856158</v>
      </c>
      <c r="H790" s="1632">
        <v>4176.6000000000004</v>
      </c>
      <c r="I790" s="1630">
        <f t="shared" si="414"/>
        <v>9174.4768998856161</v>
      </c>
      <c r="J790" s="1630">
        <f t="shared" si="415"/>
        <v>9174.4768998856161</v>
      </c>
      <c r="K790" s="1631">
        <v>5105</v>
      </c>
      <c r="L790" s="1630">
        <f t="shared" si="416"/>
        <v>5105</v>
      </c>
      <c r="M790" s="1630">
        <f t="shared" si="417"/>
        <v>5105</v>
      </c>
      <c r="N790" s="1625">
        <f t="shared" si="418"/>
        <v>4069.4768998856161</v>
      </c>
      <c r="O790" s="1629">
        <v>0.59819999999999995</v>
      </c>
      <c r="P790" s="1629">
        <v>0.40179999999999999</v>
      </c>
      <c r="Q790" s="1625">
        <f t="shared" si="419"/>
        <v>2434.3610815115753</v>
      </c>
      <c r="R790" s="1628">
        <f t="shared" si="420"/>
        <v>1635.1158183740406</v>
      </c>
      <c r="S790" s="1627">
        <f t="shared" si="421"/>
        <v>2563.5158183740405</v>
      </c>
      <c r="T790" s="1627">
        <f t="shared" si="422"/>
        <v>2541.4841816259595</v>
      </c>
      <c r="U790" s="1626">
        <f t="shared" si="423"/>
        <v>640.87895459351012</v>
      </c>
      <c r="V790" s="1626">
        <f t="shared" si="424"/>
        <v>635.37104540648988</v>
      </c>
      <c r="W790" s="1625">
        <f t="shared" si="425"/>
        <v>1276.25</v>
      </c>
      <c r="X790" s="1614"/>
      <c r="Y790" s="1613"/>
      <c r="Z790" s="1612">
        <f t="shared" si="426"/>
        <v>0.55643499413722952</v>
      </c>
      <c r="AA790" s="1611"/>
      <c r="AB790" s="1611"/>
      <c r="AC790" s="1611"/>
      <c r="AD790" s="1611"/>
      <c r="AE790" s="1611"/>
      <c r="AF790" s="1611"/>
      <c r="AG790" s="1611"/>
      <c r="AH790" s="1611"/>
      <c r="AI790" s="1611"/>
      <c r="AJ790" s="1611"/>
      <c r="AK790" s="1611"/>
      <c r="AL790" s="1611"/>
      <c r="AM790" s="1611"/>
      <c r="AN790" s="1611"/>
      <c r="AO790" s="1611"/>
      <c r="AP790" s="1611"/>
      <c r="AQ790" s="1611"/>
    </row>
    <row r="791" spans="1:43" outlineLevel="2">
      <c r="A791" s="1638" t="s">
        <v>329</v>
      </c>
      <c r="B791" s="1637" t="s">
        <v>202</v>
      </c>
      <c r="C791" s="1636"/>
      <c r="D791" s="1635">
        <v>2</v>
      </c>
      <c r="E791" s="1634" t="s">
        <v>913</v>
      </c>
      <c r="F791" s="1633" t="s">
        <v>1066</v>
      </c>
      <c r="G791" s="1632">
        <v>4997.8768998856158</v>
      </c>
      <c r="H791" s="1632">
        <v>4176.6000000000004</v>
      </c>
      <c r="I791" s="1630">
        <f t="shared" si="414"/>
        <v>9174.4768998856161</v>
      </c>
      <c r="J791" s="1630">
        <f t="shared" si="415"/>
        <v>18348.953799771232</v>
      </c>
      <c r="K791" s="1631">
        <v>7050</v>
      </c>
      <c r="L791" s="1630">
        <f t="shared" si="416"/>
        <v>7050</v>
      </c>
      <c r="M791" s="1630">
        <f t="shared" si="417"/>
        <v>14100</v>
      </c>
      <c r="N791" s="1625">
        <f t="shared" si="418"/>
        <v>4248.9537997712323</v>
      </c>
      <c r="O791" s="1629">
        <v>0.59819999999999995</v>
      </c>
      <c r="P791" s="1629">
        <v>0.40179999999999999</v>
      </c>
      <c r="Q791" s="1625">
        <f t="shared" si="419"/>
        <v>2541.724163023151</v>
      </c>
      <c r="R791" s="1628">
        <f t="shared" si="420"/>
        <v>1707.229636748081</v>
      </c>
      <c r="S791" s="1627">
        <f t="shared" si="421"/>
        <v>7454.0296367480805</v>
      </c>
      <c r="T791" s="1627">
        <f t="shared" si="422"/>
        <v>6645.9703632519195</v>
      </c>
      <c r="U791" s="1626">
        <f t="shared" si="423"/>
        <v>1863.5074091870201</v>
      </c>
      <c r="V791" s="1626">
        <f t="shared" si="424"/>
        <v>1661.4925908129799</v>
      </c>
      <c r="W791" s="1625">
        <f t="shared" si="425"/>
        <v>3525</v>
      </c>
      <c r="X791" s="1614"/>
      <c r="Y791" s="1613"/>
      <c r="Z791" s="1612">
        <f t="shared" si="426"/>
        <v>0.76843618191331398</v>
      </c>
      <c r="AA791" s="1611"/>
      <c r="AB791" s="1611"/>
      <c r="AC791" s="1611"/>
      <c r="AD791" s="1611"/>
      <c r="AE791" s="1611"/>
      <c r="AF791" s="1611"/>
      <c r="AG791" s="1611"/>
      <c r="AH791" s="1611"/>
      <c r="AI791" s="1611"/>
      <c r="AJ791" s="1611"/>
      <c r="AK791" s="1611"/>
      <c r="AL791" s="1611"/>
      <c r="AM791" s="1611"/>
      <c r="AN791" s="1611"/>
      <c r="AO791" s="1611"/>
      <c r="AP791" s="1611"/>
      <c r="AQ791" s="1611"/>
    </row>
    <row r="792" spans="1:43" outlineLevel="2">
      <c r="A792" s="1638" t="s">
        <v>329</v>
      </c>
      <c r="B792" s="1637" t="s">
        <v>202</v>
      </c>
      <c r="C792" s="1636"/>
      <c r="D792" s="1635">
        <v>1</v>
      </c>
      <c r="E792" s="1634" t="s">
        <v>913</v>
      </c>
      <c r="F792" s="1633" t="s">
        <v>1067</v>
      </c>
      <c r="G792" s="1632">
        <v>4997.8768998856158</v>
      </c>
      <c r="H792" s="1632">
        <v>4176.6000000000004</v>
      </c>
      <c r="I792" s="1630">
        <f t="shared" si="414"/>
        <v>9174.4768998856161</v>
      </c>
      <c r="J792" s="1630">
        <f t="shared" si="415"/>
        <v>9174.4768998856161</v>
      </c>
      <c r="K792" s="1631">
        <v>7050</v>
      </c>
      <c r="L792" s="1630">
        <f t="shared" si="416"/>
        <v>7050</v>
      </c>
      <c r="M792" s="1630">
        <f t="shared" si="417"/>
        <v>7050</v>
      </c>
      <c r="N792" s="1625">
        <f t="shared" si="418"/>
        <v>2124.4768998856161</v>
      </c>
      <c r="O792" s="1629">
        <v>0.59819999999999995</v>
      </c>
      <c r="P792" s="1629">
        <v>0.40179999999999999</v>
      </c>
      <c r="Q792" s="1625">
        <f t="shared" si="419"/>
        <v>1270.8620815115755</v>
      </c>
      <c r="R792" s="1628">
        <f t="shared" si="420"/>
        <v>853.61481837404051</v>
      </c>
      <c r="S792" s="1627">
        <f t="shared" si="421"/>
        <v>3727.0148183740403</v>
      </c>
      <c r="T792" s="1627">
        <f t="shared" si="422"/>
        <v>3322.9851816259597</v>
      </c>
      <c r="U792" s="1626">
        <f t="shared" si="423"/>
        <v>931.75370459351007</v>
      </c>
      <c r="V792" s="1626">
        <f t="shared" si="424"/>
        <v>830.74629540648993</v>
      </c>
      <c r="W792" s="1625">
        <f t="shared" si="425"/>
        <v>1762.5</v>
      </c>
      <c r="X792" s="1614"/>
      <c r="Y792" s="1613"/>
      <c r="Z792" s="1612">
        <f t="shared" si="426"/>
        <v>0.76843618191331398</v>
      </c>
      <c r="AA792" s="1611"/>
      <c r="AB792" s="1611"/>
      <c r="AC792" s="1611"/>
      <c r="AD792" s="1611"/>
      <c r="AE792" s="1611"/>
      <c r="AF792" s="1611"/>
      <c r="AG792" s="1611"/>
      <c r="AH792" s="1611"/>
      <c r="AI792" s="1611"/>
      <c r="AJ792" s="1611"/>
      <c r="AK792" s="1611"/>
      <c r="AL792" s="1611"/>
      <c r="AM792" s="1611"/>
      <c r="AN792" s="1611"/>
      <c r="AO792" s="1611"/>
      <c r="AP792" s="1611"/>
      <c r="AQ792" s="1611"/>
    </row>
    <row r="793" spans="1:43" outlineLevel="2">
      <c r="A793" s="1638" t="s">
        <v>329</v>
      </c>
      <c r="B793" s="1637" t="s">
        <v>202</v>
      </c>
      <c r="C793" s="1636"/>
      <c r="D793" s="1635">
        <v>1</v>
      </c>
      <c r="E793" s="1634" t="s">
        <v>913</v>
      </c>
      <c r="F793" s="1633" t="s">
        <v>1072</v>
      </c>
      <c r="G793" s="1632">
        <v>4997.8768998856158</v>
      </c>
      <c r="H793" s="1632">
        <v>4176.6000000000004</v>
      </c>
      <c r="I793" s="1630">
        <f t="shared" si="414"/>
        <v>9174.4768998856161</v>
      </c>
      <c r="J793" s="1630">
        <f t="shared" si="415"/>
        <v>9174.4768998856161</v>
      </c>
      <c r="K793" s="1631">
        <v>7050</v>
      </c>
      <c r="L793" s="1630">
        <f t="shared" si="416"/>
        <v>7050</v>
      </c>
      <c r="M793" s="1630">
        <f t="shared" si="417"/>
        <v>7050</v>
      </c>
      <c r="N793" s="1625">
        <f t="shared" si="418"/>
        <v>2124.4768998856161</v>
      </c>
      <c r="O793" s="1629">
        <v>0.59819999999999995</v>
      </c>
      <c r="P793" s="1629">
        <v>0.40179999999999999</v>
      </c>
      <c r="Q793" s="1625">
        <f t="shared" si="419"/>
        <v>1270.8620815115755</v>
      </c>
      <c r="R793" s="1628">
        <f t="shared" si="420"/>
        <v>853.61481837404051</v>
      </c>
      <c r="S793" s="1627">
        <f t="shared" si="421"/>
        <v>3727.0148183740403</v>
      </c>
      <c r="T793" s="1627">
        <f t="shared" si="422"/>
        <v>3322.9851816259597</v>
      </c>
      <c r="U793" s="1626">
        <f t="shared" si="423"/>
        <v>931.75370459351007</v>
      </c>
      <c r="V793" s="1626">
        <f t="shared" si="424"/>
        <v>830.74629540648993</v>
      </c>
      <c r="W793" s="1625">
        <f t="shared" si="425"/>
        <v>1762.5</v>
      </c>
      <c r="X793" s="1614"/>
      <c r="Y793" s="1613"/>
      <c r="Z793" s="1612">
        <f t="shared" si="426"/>
        <v>0.76843618191331398</v>
      </c>
      <c r="AA793" s="1611"/>
      <c r="AB793" s="1611"/>
      <c r="AC793" s="1611"/>
      <c r="AD793" s="1611"/>
      <c r="AE793" s="1611"/>
      <c r="AF793" s="1611"/>
      <c r="AG793" s="1611"/>
      <c r="AH793" s="1611"/>
      <c r="AI793" s="1611"/>
      <c r="AJ793" s="1611"/>
      <c r="AK793" s="1611"/>
      <c r="AL793" s="1611"/>
      <c r="AM793" s="1611"/>
      <c r="AN793" s="1611"/>
      <c r="AO793" s="1611"/>
      <c r="AP793" s="1611"/>
      <c r="AQ793" s="1611"/>
    </row>
    <row r="794" spans="1:43" outlineLevel="2">
      <c r="A794" s="1638" t="s">
        <v>329</v>
      </c>
      <c r="B794" s="1637" t="s">
        <v>202</v>
      </c>
      <c r="C794" s="1636"/>
      <c r="D794" s="1635">
        <v>1</v>
      </c>
      <c r="E794" s="1634" t="s">
        <v>913</v>
      </c>
      <c r="F794" s="1633" t="s">
        <v>1079</v>
      </c>
      <c r="G794" s="1632">
        <v>4997.8768998856158</v>
      </c>
      <c r="H794" s="1632">
        <v>4176.6000000000004</v>
      </c>
      <c r="I794" s="1630">
        <f t="shared" si="414"/>
        <v>9174.4768998856161</v>
      </c>
      <c r="J794" s="1630">
        <f t="shared" si="415"/>
        <v>9174.4768998856161</v>
      </c>
      <c r="K794" s="1631">
        <v>7050</v>
      </c>
      <c r="L794" s="1630">
        <f t="shared" si="416"/>
        <v>7050</v>
      </c>
      <c r="M794" s="1630">
        <f t="shared" si="417"/>
        <v>7050</v>
      </c>
      <c r="N794" s="1625">
        <f t="shared" si="418"/>
        <v>2124.4768998856161</v>
      </c>
      <c r="O794" s="1629">
        <v>0.59819999999999995</v>
      </c>
      <c r="P794" s="1629">
        <v>0.40179999999999999</v>
      </c>
      <c r="Q794" s="1625">
        <f t="shared" si="419"/>
        <v>1270.8620815115755</v>
      </c>
      <c r="R794" s="1628">
        <f t="shared" si="420"/>
        <v>853.61481837404051</v>
      </c>
      <c r="S794" s="1627">
        <f t="shared" si="421"/>
        <v>3727.0148183740403</v>
      </c>
      <c r="T794" s="1627">
        <f t="shared" si="422"/>
        <v>3322.9851816259597</v>
      </c>
      <c r="U794" s="1626">
        <f t="shared" si="423"/>
        <v>931.75370459351007</v>
      </c>
      <c r="V794" s="1626">
        <f t="shared" si="424"/>
        <v>830.74629540648993</v>
      </c>
      <c r="W794" s="1625">
        <f t="shared" si="425"/>
        <v>1762.5</v>
      </c>
      <c r="X794" s="1614"/>
      <c r="Y794" s="1613"/>
      <c r="Z794" s="1612">
        <f t="shared" si="426"/>
        <v>0.76843618191331398</v>
      </c>
      <c r="AA794" s="1611"/>
      <c r="AB794" s="1611"/>
      <c r="AC794" s="1611"/>
      <c r="AD794" s="1611"/>
      <c r="AE794" s="1611"/>
      <c r="AF794" s="1611"/>
      <c r="AG794" s="1611"/>
      <c r="AH794" s="1611"/>
      <c r="AI794" s="1611"/>
      <c r="AJ794" s="1611"/>
      <c r="AK794" s="1611"/>
      <c r="AL794" s="1611"/>
      <c r="AM794" s="1611"/>
      <c r="AN794" s="1611"/>
      <c r="AO794" s="1611"/>
      <c r="AP794" s="1611"/>
      <c r="AQ794" s="1611"/>
    </row>
    <row r="795" spans="1:43" outlineLevel="2">
      <c r="A795" s="1638" t="s">
        <v>329</v>
      </c>
      <c r="B795" s="1637" t="s">
        <v>202</v>
      </c>
      <c r="C795" s="1636"/>
      <c r="D795" s="1635">
        <v>6</v>
      </c>
      <c r="E795" s="1634" t="s">
        <v>907</v>
      </c>
      <c r="F795" s="1633" t="s">
        <v>1070</v>
      </c>
      <c r="G795" s="1632">
        <v>4997.8768998856158</v>
      </c>
      <c r="H795" s="1632">
        <v>4176.6000000000004</v>
      </c>
      <c r="I795" s="1630">
        <f t="shared" si="414"/>
        <v>9174.4768998856161</v>
      </c>
      <c r="J795" s="1630">
        <f t="shared" si="415"/>
        <v>55046.861399313697</v>
      </c>
      <c r="K795" s="1631">
        <v>5434</v>
      </c>
      <c r="L795" s="1630">
        <f t="shared" si="416"/>
        <v>5434</v>
      </c>
      <c r="M795" s="1630">
        <f t="shared" si="417"/>
        <v>32604</v>
      </c>
      <c r="N795" s="1625">
        <f t="shared" si="418"/>
        <v>22442.861399313697</v>
      </c>
      <c r="O795" s="1629">
        <v>0.59819999999999995</v>
      </c>
      <c r="P795" s="1629">
        <v>0.40179999999999999</v>
      </c>
      <c r="Q795" s="1625">
        <f t="shared" si="419"/>
        <v>13425.319689069453</v>
      </c>
      <c r="R795" s="1628">
        <f t="shared" si="420"/>
        <v>9017.5417102442425</v>
      </c>
      <c r="S795" s="1627">
        <f t="shared" si="421"/>
        <v>16561.941710244242</v>
      </c>
      <c r="T795" s="1627">
        <f t="shared" si="422"/>
        <v>16042.05828975576</v>
      </c>
      <c r="U795" s="1626">
        <f t="shared" si="423"/>
        <v>4140.4854275610605</v>
      </c>
      <c r="V795" s="1626">
        <f t="shared" si="424"/>
        <v>4010.5145724389399</v>
      </c>
      <c r="W795" s="1625">
        <f t="shared" si="425"/>
        <v>8151</v>
      </c>
      <c r="X795" s="1614"/>
      <c r="Y795" s="1613"/>
      <c r="Z795" s="1612">
        <f t="shared" si="426"/>
        <v>0.59229534929318417</v>
      </c>
      <c r="AA795" s="1611"/>
      <c r="AB795" s="1611"/>
      <c r="AC795" s="1611"/>
      <c r="AD795" s="1611"/>
      <c r="AE795" s="1611"/>
      <c r="AF795" s="1611"/>
      <c r="AG795" s="1611"/>
      <c r="AH795" s="1611"/>
      <c r="AI795" s="1611"/>
      <c r="AJ795" s="1611"/>
      <c r="AK795" s="1611"/>
      <c r="AL795" s="1611"/>
      <c r="AM795" s="1611"/>
      <c r="AN795" s="1611"/>
      <c r="AO795" s="1611"/>
      <c r="AP795" s="1611"/>
      <c r="AQ795" s="1611"/>
    </row>
    <row r="796" spans="1:43" outlineLevel="2">
      <c r="A796" s="1638" t="s">
        <v>329</v>
      </c>
      <c r="B796" s="1637" t="s">
        <v>202</v>
      </c>
      <c r="C796" s="1636"/>
      <c r="D796" s="1635">
        <v>6</v>
      </c>
      <c r="E796" s="1634" t="s">
        <v>907</v>
      </c>
      <c r="F796" s="1633" t="s">
        <v>1069</v>
      </c>
      <c r="G796" s="1632">
        <v>4997.8768998856158</v>
      </c>
      <c r="H796" s="1632">
        <v>4176.6000000000004</v>
      </c>
      <c r="I796" s="1630">
        <f t="shared" si="414"/>
        <v>9174.4768998856161</v>
      </c>
      <c r="J796" s="1630">
        <f t="shared" si="415"/>
        <v>55046.861399313697</v>
      </c>
      <c r="K796" s="1631">
        <v>5434</v>
      </c>
      <c r="L796" s="1630">
        <f t="shared" si="416"/>
        <v>5434</v>
      </c>
      <c r="M796" s="1630">
        <f t="shared" si="417"/>
        <v>32604</v>
      </c>
      <c r="N796" s="1625">
        <f t="shared" si="418"/>
        <v>22442.861399313697</v>
      </c>
      <c r="O796" s="1629">
        <v>0.59819999999999995</v>
      </c>
      <c r="P796" s="1629">
        <v>0.40179999999999999</v>
      </c>
      <c r="Q796" s="1625">
        <f t="shared" si="419"/>
        <v>13425.319689069453</v>
      </c>
      <c r="R796" s="1628">
        <f t="shared" si="420"/>
        <v>9017.5417102442425</v>
      </c>
      <c r="S796" s="1627">
        <f t="shared" si="421"/>
        <v>16561.941710244242</v>
      </c>
      <c r="T796" s="1627">
        <f t="shared" si="422"/>
        <v>16042.05828975576</v>
      </c>
      <c r="U796" s="1626">
        <f t="shared" si="423"/>
        <v>4140.4854275610605</v>
      </c>
      <c r="V796" s="1626">
        <f t="shared" si="424"/>
        <v>4010.5145724389399</v>
      </c>
      <c r="W796" s="1625">
        <f t="shared" si="425"/>
        <v>8151</v>
      </c>
      <c r="X796" s="1614"/>
      <c r="Y796" s="1613"/>
      <c r="Z796" s="1612">
        <f t="shared" si="426"/>
        <v>0.59229534929318417</v>
      </c>
      <c r="AA796" s="1611"/>
      <c r="AB796" s="1611"/>
      <c r="AC796" s="1611"/>
      <c r="AD796" s="1611"/>
      <c r="AE796" s="1611"/>
      <c r="AF796" s="1611"/>
      <c r="AG796" s="1611"/>
      <c r="AH796" s="1611"/>
      <c r="AI796" s="1611"/>
      <c r="AJ796" s="1611"/>
      <c r="AK796" s="1611"/>
      <c r="AL796" s="1611"/>
      <c r="AM796" s="1611"/>
      <c r="AN796" s="1611"/>
      <c r="AO796" s="1611"/>
      <c r="AP796" s="1611"/>
      <c r="AQ796" s="1611"/>
    </row>
    <row r="797" spans="1:43" outlineLevel="2">
      <c r="A797" s="1638" t="s">
        <v>329</v>
      </c>
      <c r="B797" s="1637" t="s">
        <v>202</v>
      </c>
      <c r="C797" s="1636"/>
      <c r="D797" s="1635">
        <v>1</v>
      </c>
      <c r="E797" s="1634" t="s">
        <v>907</v>
      </c>
      <c r="F797" s="1633" t="s">
        <v>1068</v>
      </c>
      <c r="G797" s="1632">
        <v>4997.8768998856158</v>
      </c>
      <c r="H797" s="1632">
        <v>4176.6000000000004</v>
      </c>
      <c r="I797" s="1630">
        <f t="shared" si="414"/>
        <v>9174.4768998856161</v>
      </c>
      <c r="J797" s="1630">
        <f t="shared" si="415"/>
        <v>9174.4768998856161</v>
      </c>
      <c r="K797" s="1631">
        <v>5384</v>
      </c>
      <c r="L797" s="1630">
        <f t="shared" si="416"/>
        <v>5384</v>
      </c>
      <c r="M797" s="1630">
        <f t="shared" si="417"/>
        <v>5384</v>
      </c>
      <c r="N797" s="1625">
        <f t="shared" si="418"/>
        <v>3790.4768998856161</v>
      </c>
      <c r="O797" s="1629">
        <v>0.59819999999999995</v>
      </c>
      <c r="P797" s="1629">
        <v>0.40179999999999999</v>
      </c>
      <c r="Q797" s="1625">
        <f t="shared" si="419"/>
        <v>2267.4632815115756</v>
      </c>
      <c r="R797" s="1628">
        <f t="shared" si="420"/>
        <v>1523.0136183740406</v>
      </c>
      <c r="S797" s="1627">
        <f t="shared" si="421"/>
        <v>2730.4136183740402</v>
      </c>
      <c r="T797" s="1627">
        <f t="shared" si="422"/>
        <v>2653.5863816259598</v>
      </c>
      <c r="U797" s="1626">
        <f t="shared" si="423"/>
        <v>682.60340459351005</v>
      </c>
      <c r="V797" s="1626">
        <f t="shared" si="424"/>
        <v>663.39659540648995</v>
      </c>
      <c r="W797" s="1625">
        <f t="shared" si="425"/>
        <v>1346</v>
      </c>
      <c r="X797" s="1614"/>
      <c r="Y797" s="1613"/>
      <c r="Z797" s="1612">
        <f t="shared" si="426"/>
        <v>0.58684544729379895</v>
      </c>
      <c r="AA797" s="1611"/>
      <c r="AB797" s="1611"/>
      <c r="AC797" s="1611"/>
      <c r="AD797" s="1611"/>
      <c r="AE797" s="1611"/>
      <c r="AF797" s="1611"/>
      <c r="AG797" s="1611"/>
      <c r="AH797" s="1611"/>
      <c r="AI797" s="1611"/>
      <c r="AJ797" s="1611"/>
      <c r="AK797" s="1611"/>
      <c r="AL797" s="1611"/>
      <c r="AM797" s="1611"/>
      <c r="AN797" s="1611"/>
      <c r="AO797" s="1611"/>
      <c r="AP797" s="1611"/>
      <c r="AQ797" s="1611"/>
    </row>
    <row r="798" spans="1:43" outlineLevel="2">
      <c r="A798" s="1638" t="s">
        <v>329</v>
      </c>
      <c r="B798" s="1637" t="s">
        <v>202</v>
      </c>
      <c r="C798" s="1636"/>
      <c r="D798" s="1635">
        <v>7</v>
      </c>
      <c r="E798" s="1634" t="s">
        <v>907</v>
      </c>
      <c r="F798" s="1633" t="s">
        <v>1065</v>
      </c>
      <c r="G798" s="1632">
        <v>4997.8768998856158</v>
      </c>
      <c r="H798" s="1632">
        <v>4176.6000000000004</v>
      </c>
      <c r="I798" s="1630">
        <f t="shared" si="414"/>
        <v>9174.4768998856161</v>
      </c>
      <c r="J798" s="1630">
        <f t="shared" si="415"/>
        <v>64221.338299199313</v>
      </c>
      <c r="K798" s="1631">
        <v>5384</v>
      </c>
      <c r="L798" s="1630">
        <f t="shared" si="416"/>
        <v>5384</v>
      </c>
      <c r="M798" s="1630">
        <f t="shared" si="417"/>
        <v>37688</v>
      </c>
      <c r="N798" s="1625">
        <f t="shared" si="418"/>
        <v>26533.338299199313</v>
      </c>
      <c r="O798" s="1629">
        <v>0.59819999999999995</v>
      </c>
      <c r="P798" s="1629">
        <v>0.40179999999999999</v>
      </c>
      <c r="Q798" s="1625">
        <f t="shared" si="419"/>
        <v>15872.242970581028</v>
      </c>
      <c r="R798" s="1628">
        <f t="shared" si="420"/>
        <v>10661.095328618283</v>
      </c>
      <c r="S798" s="1627">
        <f t="shared" si="421"/>
        <v>19112.89532861828</v>
      </c>
      <c r="T798" s="1627">
        <f t="shared" si="422"/>
        <v>18575.10467138172</v>
      </c>
      <c r="U798" s="1626">
        <f t="shared" si="423"/>
        <v>4778.2238321545701</v>
      </c>
      <c r="V798" s="1626">
        <f t="shared" si="424"/>
        <v>4643.7761678454299</v>
      </c>
      <c r="W798" s="1625">
        <f t="shared" si="425"/>
        <v>9422</v>
      </c>
      <c r="X798" s="1614"/>
      <c r="Y798" s="1613"/>
      <c r="Z798" s="1612">
        <f t="shared" si="426"/>
        <v>0.58684544729379895</v>
      </c>
      <c r="AA798" s="1611"/>
      <c r="AB798" s="1611"/>
      <c r="AC798" s="1611"/>
      <c r="AD798" s="1611"/>
      <c r="AE798" s="1611"/>
      <c r="AF798" s="1611"/>
      <c r="AG798" s="1611"/>
      <c r="AH798" s="1611"/>
      <c r="AI798" s="1611"/>
      <c r="AJ798" s="1611"/>
      <c r="AK798" s="1611"/>
      <c r="AL798" s="1611"/>
      <c r="AM798" s="1611"/>
      <c r="AN798" s="1611"/>
      <c r="AO798" s="1611"/>
      <c r="AP798" s="1611"/>
      <c r="AQ798" s="1611"/>
    </row>
    <row r="799" spans="1:43" outlineLevel="2">
      <c r="A799" s="1638" t="s">
        <v>329</v>
      </c>
      <c r="B799" s="1637" t="s">
        <v>202</v>
      </c>
      <c r="C799" s="1636"/>
      <c r="D799" s="1635">
        <v>4</v>
      </c>
      <c r="E799" s="1634" t="s">
        <v>907</v>
      </c>
      <c r="F799" s="1633" t="s">
        <v>1063</v>
      </c>
      <c r="G799" s="1632">
        <v>4997.8768998856158</v>
      </c>
      <c r="H799" s="1632">
        <v>4176.6000000000004</v>
      </c>
      <c r="I799" s="1630">
        <f t="shared" si="414"/>
        <v>9174.4768998856161</v>
      </c>
      <c r="J799" s="1630">
        <f t="shared" si="415"/>
        <v>36697.907599542465</v>
      </c>
      <c r="K799" s="1631">
        <v>5384</v>
      </c>
      <c r="L799" s="1630">
        <f t="shared" si="416"/>
        <v>5384</v>
      </c>
      <c r="M799" s="1630">
        <f t="shared" si="417"/>
        <v>21536</v>
      </c>
      <c r="N799" s="1625">
        <f t="shared" si="418"/>
        <v>15161.907599542465</v>
      </c>
      <c r="O799" s="1629">
        <v>0.59819999999999995</v>
      </c>
      <c r="P799" s="1629">
        <v>0.40179999999999999</v>
      </c>
      <c r="Q799" s="1625">
        <f t="shared" si="419"/>
        <v>9069.8531260463024</v>
      </c>
      <c r="R799" s="1628">
        <f t="shared" si="420"/>
        <v>6092.0544734961622</v>
      </c>
      <c r="S799" s="1627">
        <f t="shared" si="421"/>
        <v>10921.654473496161</v>
      </c>
      <c r="T799" s="1627">
        <f t="shared" si="422"/>
        <v>10614.345526503839</v>
      </c>
      <c r="U799" s="1626">
        <f t="shared" si="423"/>
        <v>2730.4136183740402</v>
      </c>
      <c r="V799" s="1626">
        <f t="shared" si="424"/>
        <v>2653.5863816259598</v>
      </c>
      <c r="W799" s="1625">
        <f t="shared" si="425"/>
        <v>5384</v>
      </c>
      <c r="X799" s="1614"/>
      <c r="Y799" s="1613"/>
      <c r="Z799" s="1612">
        <f t="shared" si="426"/>
        <v>0.58684544729379895</v>
      </c>
      <c r="AA799" s="1611"/>
      <c r="AB799" s="1611"/>
      <c r="AC799" s="1611"/>
      <c r="AD799" s="1611"/>
      <c r="AE799" s="1611"/>
      <c r="AF799" s="1611"/>
      <c r="AG799" s="1611"/>
      <c r="AH799" s="1611"/>
      <c r="AI799" s="1611"/>
      <c r="AJ799" s="1611"/>
      <c r="AK799" s="1611"/>
      <c r="AL799" s="1611"/>
      <c r="AM799" s="1611"/>
      <c r="AN799" s="1611"/>
      <c r="AO799" s="1611"/>
      <c r="AP799" s="1611"/>
      <c r="AQ799" s="1611"/>
    </row>
    <row r="800" spans="1:43" outlineLevel="2">
      <c r="A800" s="1638" t="s">
        <v>329</v>
      </c>
      <c r="B800" s="1637" t="s">
        <v>202</v>
      </c>
      <c r="C800" s="1636"/>
      <c r="D800" s="1635">
        <v>15</v>
      </c>
      <c r="E800" s="1634" t="s">
        <v>907</v>
      </c>
      <c r="F800" s="1633" t="s">
        <v>979</v>
      </c>
      <c r="G800" s="1632">
        <v>4997.8768998856158</v>
      </c>
      <c r="H800" s="1632">
        <v>4176.6000000000004</v>
      </c>
      <c r="I800" s="1630">
        <f t="shared" si="414"/>
        <v>9174.4768998856161</v>
      </c>
      <c r="J800" s="1630">
        <f t="shared" si="415"/>
        <v>137617.15349828423</v>
      </c>
      <c r="K800" s="1631">
        <v>5484</v>
      </c>
      <c r="L800" s="1630">
        <f t="shared" si="416"/>
        <v>5484</v>
      </c>
      <c r="M800" s="1630">
        <f t="shared" si="417"/>
        <v>82260</v>
      </c>
      <c r="N800" s="1625">
        <f t="shared" si="418"/>
        <v>55357.153498284228</v>
      </c>
      <c r="O800" s="1629">
        <v>0.59819999999999995</v>
      </c>
      <c r="P800" s="1629">
        <v>0.40179999999999999</v>
      </c>
      <c r="Q800" s="1625">
        <f t="shared" si="419"/>
        <v>33114.649222673623</v>
      </c>
      <c r="R800" s="1628">
        <f t="shared" si="420"/>
        <v>22242.504275610601</v>
      </c>
      <c r="S800" s="1627">
        <f t="shared" si="421"/>
        <v>41853.50427561062</v>
      </c>
      <c r="T800" s="1627">
        <f t="shared" si="422"/>
        <v>40406.495724389402</v>
      </c>
      <c r="U800" s="1626">
        <f t="shared" si="423"/>
        <v>10463.376068902655</v>
      </c>
      <c r="V800" s="1626">
        <f t="shared" si="424"/>
        <v>10101.623931097351</v>
      </c>
      <c r="W800" s="1625">
        <f t="shared" si="425"/>
        <v>20565.000000000007</v>
      </c>
      <c r="X800" s="1614"/>
      <c r="Y800" s="1613"/>
      <c r="Z800" s="1612">
        <f t="shared" si="426"/>
        <v>0.59774525129256928</v>
      </c>
      <c r="AA800" s="1611"/>
      <c r="AB800" s="1611"/>
      <c r="AC800" s="1611"/>
      <c r="AD800" s="1611"/>
      <c r="AE800" s="1611"/>
      <c r="AF800" s="1611"/>
      <c r="AG800" s="1611"/>
      <c r="AH800" s="1611"/>
      <c r="AI800" s="1611"/>
      <c r="AJ800" s="1611"/>
      <c r="AK800" s="1611"/>
      <c r="AL800" s="1611"/>
      <c r="AM800" s="1611"/>
      <c r="AN800" s="1611"/>
      <c r="AO800" s="1611"/>
      <c r="AP800" s="1611"/>
      <c r="AQ800" s="1611"/>
    </row>
    <row r="801" spans="1:43" outlineLevel="2">
      <c r="A801" s="1638" t="s">
        <v>329</v>
      </c>
      <c r="B801" s="1637" t="s">
        <v>202</v>
      </c>
      <c r="C801" s="1636"/>
      <c r="D801" s="1635">
        <v>1</v>
      </c>
      <c r="E801" s="1634" t="s">
        <v>931</v>
      </c>
      <c r="F801" s="1633" t="s">
        <v>1070</v>
      </c>
      <c r="G801" s="1632">
        <v>4997.8768998856158</v>
      </c>
      <c r="H801" s="1632">
        <v>4176.6000000000004</v>
      </c>
      <c r="I801" s="1630">
        <f t="shared" si="414"/>
        <v>9174.4768998856161</v>
      </c>
      <c r="J801" s="1630">
        <f t="shared" si="415"/>
        <v>9174.4768998856161</v>
      </c>
      <c r="K801" s="1631">
        <v>5300</v>
      </c>
      <c r="L801" s="1630">
        <f t="shared" si="416"/>
        <v>5300</v>
      </c>
      <c r="M801" s="1630">
        <f t="shared" si="417"/>
        <v>5300</v>
      </c>
      <c r="N801" s="1625">
        <f t="shared" si="418"/>
        <v>3874.4768998856161</v>
      </c>
      <c r="O801" s="1629">
        <v>0.59819999999999995</v>
      </c>
      <c r="P801" s="1629">
        <v>0.40179999999999999</v>
      </c>
      <c r="Q801" s="1625">
        <f t="shared" si="419"/>
        <v>2317.7120815115754</v>
      </c>
      <c r="R801" s="1628">
        <f t="shared" si="420"/>
        <v>1556.7648183740405</v>
      </c>
      <c r="S801" s="1627">
        <f t="shared" si="421"/>
        <v>2680.1648183740404</v>
      </c>
      <c r="T801" s="1627">
        <f t="shared" si="422"/>
        <v>2619.8351816259601</v>
      </c>
      <c r="U801" s="1626">
        <f t="shared" si="423"/>
        <v>670.04120459351009</v>
      </c>
      <c r="V801" s="1626">
        <f t="shared" si="424"/>
        <v>654.95879540649003</v>
      </c>
      <c r="W801" s="1625">
        <f t="shared" si="425"/>
        <v>1325</v>
      </c>
      <c r="X801" s="1614"/>
      <c r="Y801" s="1613"/>
      <c r="Z801" s="1612">
        <f t="shared" si="426"/>
        <v>0.57768961193483181</v>
      </c>
      <c r="AA801" s="1611"/>
      <c r="AB801" s="1611"/>
      <c r="AC801" s="1611"/>
      <c r="AD801" s="1611"/>
      <c r="AE801" s="1611"/>
      <c r="AF801" s="1611"/>
      <c r="AG801" s="1611"/>
      <c r="AH801" s="1611"/>
      <c r="AI801" s="1611"/>
      <c r="AJ801" s="1611"/>
      <c r="AK801" s="1611"/>
      <c r="AL801" s="1611"/>
      <c r="AM801" s="1611"/>
      <c r="AN801" s="1611"/>
      <c r="AO801" s="1611"/>
      <c r="AP801" s="1611"/>
      <c r="AQ801" s="1611"/>
    </row>
    <row r="802" spans="1:43" outlineLevel="2">
      <c r="A802" s="1638" t="s">
        <v>329</v>
      </c>
      <c r="B802" s="1637" t="s">
        <v>202</v>
      </c>
      <c r="C802" s="1636"/>
      <c r="D802" s="1635">
        <v>2</v>
      </c>
      <c r="E802" s="1634" t="s">
        <v>918</v>
      </c>
      <c r="F802" s="1633" t="s">
        <v>1070</v>
      </c>
      <c r="G802" s="1632">
        <v>4997.8768998856158</v>
      </c>
      <c r="H802" s="1632">
        <v>4176.6000000000004</v>
      </c>
      <c r="I802" s="1630">
        <f t="shared" si="414"/>
        <v>9174.4768998856161</v>
      </c>
      <c r="J802" s="1630">
        <f t="shared" si="415"/>
        <v>18348.953799771232</v>
      </c>
      <c r="K802" s="1631">
        <v>4539.5200000000004</v>
      </c>
      <c r="L802" s="1630">
        <f t="shared" si="416"/>
        <v>4539.5200000000004</v>
      </c>
      <c r="M802" s="1630">
        <f t="shared" si="417"/>
        <v>9079.0400000000009</v>
      </c>
      <c r="N802" s="1625">
        <f t="shared" si="418"/>
        <v>9269.9137997712314</v>
      </c>
      <c r="O802" s="1629">
        <v>0.59819999999999995</v>
      </c>
      <c r="P802" s="1629">
        <v>0.40179999999999999</v>
      </c>
      <c r="Q802" s="1625">
        <f t="shared" si="419"/>
        <v>5545.2624350231499</v>
      </c>
      <c r="R802" s="1628">
        <f t="shared" si="420"/>
        <v>3724.6513647480806</v>
      </c>
      <c r="S802" s="1627">
        <f t="shared" si="421"/>
        <v>4450.4913647480817</v>
      </c>
      <c r="T802" s="1627">
        <f t="shared" si="422"/>
        <v>4628.5486352519201</v>
      </c>
      <c r="U802" s="1626">
        <f t="shared" si="423"/>
        <v>1112.6228411870204</v>
      </c>
      <c r="V802" s="1626">
        <f t="shared" si="424"/>
        <v>1157.13715881298</v>
      </c>
      <c r="W802" s="1625">
        <f t="shared" si="425"/>
        <v>2269.7600000000002</v>
      </c>
      <c r="X802" s="1614"/>
      <c r="Y802" s="1613"/>
      <c r="Z802" s="1612">
        <f t="shared" si="426"/>
        <v>0.4947987824849826</v>
      </c>
      <c r="AA802" s="1611"/>
      <c r="AB802" s="1611"/>
      <c r="AC802" s="1611"/>
      <c r="AD802" s="1611"/>
      <c r="AE802" s="1611"/>
      <c r="AF802" s="1611"/>
      <c r="AG802" s="1611"/>
      <c r="AH802" s="1611"/>
      <c r="AI802" s="1611"/>
      <c r="AJ802" s="1611"/>
      <c r="AK802" s="1611"/>
      <c r="AL802" s="1611"/>
      <c r="AM802" s="1611"/>
      <c r="AN802" s="1611"/>
      <c r="AO802" s="1611"/>
      <c r="AP802" s="1611"/>
      <c r="AQ802" s="1611"/>
    </row>
    <row r="803" spans="1:43" outlineLevel="2">
      <c r="A803" s="1638" t="s">
        <v>329</v>
      </c>
      <c r="B803" s="1637" t="s">
        <v>202</v>
      </c>
      <c r="C803" s="1636"/>
      <c r="D803" s="1635">
        <v>5</v>
      </c>
      <c r="E803" s="1634" t="s">
        <v>918</v>
      </c>
      <c r="F803" s="1633" t="s">
        <v>1069</v>
      </c>
      <c r="G803" s="1632">
        <v>4997.8768998856158</v>
      </c>
      <c r="H803" s="1632">
        <v>4176.6000000000004</v>
      </c>
      <c r="I803" s="1630">
        <f t="shared" si="414"/>
        <v>9174.4768998856161</v>
      </c>
      <c r="J803" s="1630">
        <f t="shared" si="415"/>
        <v>45872.384499428081</v>
      </c>
      <c r="K803" s="1631">
        <v>4539.5200000000004</v>
      </c>
      <c r="L803" s="1630">
        <f t="shared" si="416"/>
        <v>4539.5200000000004</v>
      </c>
      <c r="M803" s="1630">
        <f t="shared" si="417"/>
        <v>22697.600000000002</v>
      </c>
      <c r="N803" s="1625">
        <f t="shared" si="418"/>
        <v>23174.784499428079</v>
      </c>
      <c r="O803" s="1629">
        <v>0.59819999999999995</v>
      </c>
      <c r="P803" s="1629">
        <v>0.40179999999999999</v>
      </c>
      <c r="Q803" s="1625">
        <f t="shared" si="419"/>
        <v>13863.156087557876</v>
      </c>
      <c r="R803" s="1628">
        <f t="shared" si="420"/>
        <v>9311.6284118702024</v>
      </c>
      <c r="S803" s="1627">
        <f t="shared" si="421"/>
        <v>11126.228411870205</v>
      </c>
      <c r="T803" s="1627">
        <f t="shared" si="422"/>
        <v>11571.371588129798</v>
      </c>
      <c r="U803" s="1626">
        <f t="shared" si="423"/>
        <v>2781.5571029675511</v>
      </c>
      <c r="V803" s="1626">
        <f t="shared" si="424"/>
        <v>2892.8428970324494</v>
      </c>
      <c r="W803" s="1625">
        <f t="shared" si="425"/>
        <v>5674.4000000000005</v>
      </c>
      <c r="X803" s="1614"/>
      <c r="Y803" s="1613"/>
      <c r="Z803" s="1612">
        <f t="shared" si="426"/>
        <v>0.4947987824849826</v>
      </c>
      <c r="AA803" s="1611"/>
      <c r="AB803" s="1611"/>
      <c r="AC803" s="1611"/>
      <c r="AD803" s="1611"/>
      <c r="AE803" s="1611"/>
      <c r="AF803" s="1611"/>
      <c r="AG803" s="1611"/>
      <c r="AH803" s="1611"/>
      <c r="AI803" s="1611"/>
      <c r="AJ803" s="1611"/>
      <c r="AK803" s="1611"/>
      <c r="AL803" s="1611"/>
      <c r="AM803" s="1611"/>
      <c r="AN803" s="1611"/>
      <c r="AO803" s="1611"/>
      <c r="AP803" s="1611"/>
      <c r="AQ803" s="1611"/>
    </row>
    <row r="804" spans="1:43" outlineLevel="2">
      <c r="A804" s="1638" t="s">
        <v>329</v>
      </c>
      <c r="B804" s="1637" t="s">
        <v>202</v>
      </c>
      <c r="C804" s="1636"/>
      <c r="D804" s="1635">
        <v>4</v>
      </c>
      <c r="E804" s="1634" t="s">
        <v>918</v>
      </c>
      <c r="F804" s="1633" t="s">
        <v>1068</v>
      </c>
      <c r="G804" s="1632">
        <v>4997.8768998856158</v>
      </c>
      <c r="H804" s="1632">
        <v>4176.6000000000004</v>
      </c>
      <c r="I804" s="1630">
        <f t="shared" si="414"/>
        <v>9174.4768998856161</v>
      </c>
      <c r="J804" s="1630">
        <f t="shared" si="415"/>
        <v>36697.907599542465</v>
      </c>
      <c r="K804" s="1631">
        <v>4539.5200000000004</v>
      </c>
      <c r="L804" s="1630">
        <f t="shared" si="416"/>
        <v>4539.5200000000004</v>
      </c>
      <c r="M804" s="1630">
        <f t="shared" si="417"/>
        <v>18158.080000000002</v>
      </c>
      <c r="N804" s="1625">
        <f t="shared" si="418"/>
        <v>18539.827599542463</v>
      </c>
      <c r="O804" s="1629">
        <v>0.59819999999999995</v>
      </c>
      <c r="P804" s="1629">
        <v>0.40179999999999999</v>
      </c>
      <c r="Q804" s="1625">
        <f t="shared" si="419"/>
        <v>11090.5248700463</v>
      </c>
      <c r="R804" s="1628">
        <f t="shared" si="420"/>
        <v>7449.3027294961612</v>
      </c>
      <c r="S804" s="1627">
        <f t="shared" si="421"/>
        <v>8900.9827294961633</v>
      </c>
      <c r="T804" s="1627">
        <f t="shared" si="422"/>
        <v>9257.0972705038403</v>
      </c>
      <c r="U804" s="1626">
        <f t="shared" si="423"/>
        <v>2225.2456823740408</v>
      </c>
      <c r="V804" s="1626">
        <f t="shared" si="424"/>
        <v>2314.2743176259601</v>
      </c>
      <c r="W804" s="1625">
        <f t="shared" si="425"/>
        <v>4539.5200000000004</v>
      </c>
      <c r="X804" s="1614"/>
      <c r="Y804" s="1613"/>
      <c r="Z804" s="1612">
        <f t="shared" si="426"/>
        <v>0.4947987824849826</v>
      </c>
      <c r="AA804" s="1611"/>
      <c r="AB804" s="1611"/>
      <c r="AC804" s="1611"/>
      <c r="AD804" s="1611"/>
      <c r="AE804" s="1611"/>
      <c r="AF804" s="1611"/>
      <c r="AG804" s="1611"/>
      <c r="AH804" s="1611"/>
      <c r="AI804" s="1611"/>
      <c r="AJ804" s="1611"/>
      <c r="AK804" s="1611"/>
      <c r="AL804" s="1611"/>
      <c r="AM804" s="1611"/>
      <c r="AN804" s="1611"/>
      <c r="AO804" s="1611"/>
      <c r="AP804" s="1611"/>
      <c r="AQ804" s="1611"/>
    </row>
    <row r="805" spans="1:43" outlineLevel="2">
      <c r="A805" s="1638" t="s">
        <v>329</v>
      </c>
      <c r="B805" s="1637" t="s">
        <v>202</v>
      </c>
      <c r="C805" s="1636"/>
      <c r="D805" s="1635">
        <v>4</v>
      </c>
      <c r="E805" s="1634" t="s">
        <v>918</v>
      </c>
      <c r="F805" s="1633" t="s">
        <v>1071</v>
      </c>
      <c r="G805" s="1632">
        <v>4997.8768998856158</v>
      </c>
      <c r="H805" s="1632">
        <v>4176.6000000000004</v>
      </c>
      <c r="I805" s="1630">
        <f t="shared" si="414"/>
        <v>9174.4768998856161</v>
      </c>
      <c r="J805" s="1630">
        <f t="shared" si="415"/>
        <v>36697.907599542465</v>
      </c>
      <c r="K805" s="1631">
        <v>4539.5200000000004</v>
      </c>
      <c r="L805" s="1630">
        <f t="shared" si="416"/>
        <v>4539.5200000000004</v>
      </c>
      <c r="M805" s="1630">
        <f t="shared" si="417"/>
        <v>18158.080000000002</v>
      </c>
      <c r="N805" s="1625">
        <f t="shared" si="418"/>
        <v>18539.827599542463</v>
      </c>
      <c r="O805" s="1629">
        <v>0.59819999999999995</v>
      </c>
      <c r="P805" s="1629">
        <v>0.40179999999999999</v>
      </c>
      <c r="Q805" s="1625">
        <f t="shared" si="419"/>
        <v>11090.5248700463</v>
      </c>
      <c r="R805" s="1628">
        <f t="shared" si="420"/>
        <v>7449.3027294961612</v>
      </c>
      <c r="S805" s="1627">
        <f t="shared" si="421"/>
        <v>8900.9827294961633</v>
      </c>
      <c r="T805" s="1627">
        <f t="shared" si="422"/>
        <v>9257.0972705038403</v>
      </c>
      <c r="U805" s="1626">
        <f t="shared" si="423"/>
        <v>2225.2456823740408</v>
      </c>
      <c r="V805" s="1626">
        <f t="shared" si="424"/>
        <v>2314.2743176259601</v>
      </c>
      <c r="W805" s="1625">
        <f t="shared" si="425"/>
        <v>4539.5200000000004</v>
      </c>
      <c r="X805" s="1614"/>
      <c r="Y805" s="1613"/>
      <c r="Z805" s="1612">
        <f t="shared" si="426"/>
        <v>0.4947987824849826</v>
      </c>
      <c r="AA805" s="1611"/>
      <c r="AB805" s="1611"/>
      <c r="AC805" s="1611"/>
      <c r="AD805" s="1611"/>
      <c r="AE805" s="1611"/>
      <c r="AF805" s="1611"/>
      <c r="AG805" s="1611"/>
      <c r="AH805" s="1611"/>
      <c r="AI805" s="1611"/>
      <c r="AJ805" s="1611"/>
      <c r="AK805" s="1611"/>
      <c r="AL805" s="1611"/>
      <c r="AM805" s="1611"/>
      <c r="AN805" s="1611"/>
      <c r="AO805" s="1611"/>
      <c r="AP805" s="1611"/>
      <c r="AQ805" s="1611"/>
    </row>
    <row r="806" spans="1:43" outlineLevel="2">
      <c r="A806" s="1638" t="s">
        <v>329</v>
      </c>
      <c r="B806" s="1637" t="s">
        <v>202</v>
      </c>
      <c r="C806" s="1636"/>
      <c r="D806" s="1635">
        <v>4</v>
      </c>
      <c r="E806" s="1634" t="s">
        <v>918</v>
      </c>
      <c r="F806" s="1633" t="s">
        <v>1065</v>
      </c>
      <c r="G806" s="1632">
        <v>4997.8768998856158</v>
      </c>
      <c r="H806" s="1632">
        <v>4176.6000000000004</v>
      </c>
      <c r="I806" s="1630">
        <f t="shared" si="414"/>
        <v>9174.4768998856161</v>
      </c>
      <c r="J806" s="1630">
        <f t="shared" si="415"/>
        <v>36697.907599542465</v>
      </c>
      <c r="K806" s="1631">
        <v>4539.5200000000004</v>
      </c>
      <c r="L806" s="1630">
        <f t="shared" si="416"/>
        <v>4539.5200000000004</v>
      </c>
      <c r="M806" s="1630">
        <f t="shared" si="417"/>
        <v>18158.080000000002</v>
      </c>
      <c r="N806" s="1625">
        <f t="shared" si="418"/>
        <v>18539.827599542463</v>
      </c>
      <c r="O806" s="1629">
        <v>0.59819999999999995</v>
      </c>
      <c r="P806" s="1629">
        <v>0.40179999999999999</v>
      </c>
      <c r="Q806" s="1625">
        <f t="shared" si="419"/>
        <v>11090.5248700463</v>
      </c>
      <c r="R806" s="1628">
        <f t="shared" si="420"/>
        <v>7449.3027294961612</v>
      </c>
      <c r="S806" s="1627">
        <f t="shared" si="421"/>
        <v>8900.9827294961633</v>
      </c>
      <c r="T806" s="1627">
        <f t="shared" si="422"/>
        <v>9257.0972705038403</v>
      </c>
      <c r="U806" s="1626">
        <f t="shared" si="423"/>
        <v>2225.2456823740408</v>
      </c>
      <c r="V806" s="1626">
        <f t="shared" si="424"/>
        <v>2314.2743176259601</v>
      </c>
      <c r="W806" s="1625">
        <f t="shared" si="425"/>
        <v>4539.5200000000004</v>
      </c>
      <c r="X806" s="1614"/>
      <c r="Y806" s="1613"/>
      <c r="Z806" s="1612">
        <f t="shared" si="426"/>
        <v>0.4947987824849826</v>
      </c>
      <c r="AA806" s="1611"/>
      <c r="AB806" s="1611"/>
      <c r="AC806" s="1611"/>
      <c r="AD806" s="1611"/>
      <c r="AE806" s="1611"/>
      <c r="AF806" s="1611"/>
      <c r="AG806" s="1611"/>
      <c r="AH806" s="1611"/>
      <c r="AI806" s="1611"/>
      <c r="AJ806" s="1611"/>
      <c r="AK806" s="1611"/>
      <c r="AL806" s="1611"/>
      <c r="AM806" s="1611"/>
      <c r="AN806" s="1611"/>
      <c r="AO806" s="1611"/>
      <c r="AP806" s="1611"/>
      <c r="AQ806" s="1611"/>
    </row>
    <row r="807" spans="1:43" outlineLevel="2">
      <c r="A807" s="1638" t="s">
        <v>329</v>
      </c>
      <c r="B807" s="1637" t="s">
        <v>202</v>
      </c>
      <c r="C807" s="1636"/>
      <c r="D807" s="1635">
        <v>6</v>
      </c>
      <c r="E807" s="1634" t="s">
        <v>918</v>
      </c>
      <c r="F807" s="1633" t="s">
        <v>1064</v>
      </c>
      <c r="G807" s="1632">
        <v>4997.8768998856158</v>
      </c>
      <c r="H807" s="1632">
        <v>4176.6000000000004</v>
      </c>
      <c r="I807" s="1630">
        <f t="shared" si="414"/>
        <v>9174.4768998856161</v>
      </c>
      <c r="J807" s="1630">
        <f t="shared" si="415"/>
        <v>55046.861399313697</v>
      </c>
      <c r="K807" s="1631">
        <v>4539.5200000000004</v>
      </c>
      <c r="L807" s="1630">
        <f t="shared" si="416"/>
        <v>4539.5200000000004</v>
      </c>
      <c r="M807" s="1630">
        <f t="shared" si="417"/>
        <v>27237.120000000003</v>
      </c>
      <c r="N807" s="1625">
        <f t="shared" si="418"/>
        <v>27809.741399313694</v>
      </c>
      <c r="O807" s="1629">
        <v>0.59819999999999995</v>
      </c>
      <c r="P807" s="1629">
        <v>0.40179999999999999</v>
      </c>
      <c r="Q807" s="1625">
        <f t="shared" si="419"/>
        <v>16635.787305069451</v>
      </c>
      <c r="R807" s="1628">
        <f t="shared" si="420"/>
        <v>11173.954094244242</v>
      </c>
      <c r="S807" s="1627">
        <f t="shared" si="421"/>
        <v>13351.474094244244</v>
      </c>
      <c r="T807" s="1627">
        <f t="shared" si="422"/>
        <v>13885.64590575576</v>
      </c>
      <c r="U807" s="1626">
        <f t="shared" si="423"/>
        <v>3337.868523561061</v>
      </c>
      <c r="V807" s="1626">
        <f t="shared" si="424"/>
        <v>3471.4114764389401</v>
      </c>
      <c r="W807" s="1625">
        <f t="shared" si="425"/>
        <v>6809.2800000000007</v>
      </c>
      <c r="X807" s="1614"/>
      <c r="Y807" s="1613"/>
      <c r="Z807" s="1612">
        <f t="shared" si="426"/>
        <v>0.4947987824849826</v>
      </c>
      <c r="AA807" s="1611"/>
      <c r="AB807" s="1611"/>
      <c r="AC807" s="1611"/>
      <c r="AD807" s="1611"/>
      <c r="AE807" s="1611"/>
      <c r="AF807" s="1611"/>
      <c r="AG807" s="1611"/>
      <c r="AH807" s="1611"/>
      <c r="AI807" s="1611"/>
      <c r="AJ807" s="1611"/>
      <c r="AK807" s="1611"/>
      <c r="AL807" s="1611"/>
      <c r="AM807" s="1611"/>
      <c r="AN807" s="1611"/>
      <c r="AO807" s="1611"/>
      <c r="AP807" s="1611"/>
      <c r="AQ807" s="1611"/>
    </row>
    <row r="808" spans="1:43" outlineLevel="2">
      <c r="A808" s="1638" t="s">
        <v>329</v>
      </c>
      <c r="B808" s="1637" t="s">
        <v>202</v>
      </c>
      <c r="C808" s="1636"/>
      <c r="D808" s="1635">
        <v>3</v>
      </c>
      <c r="E808" s="1634" t="s">
        <v>918</v>
      </c>
      <c r="F808" s="1633" t="s">
        <v>1063</v>
      </c>
      <c r="G808" s="1632">
        <v>4997.8768998856158</v>
      </c>
      <c r="H808" s="1632">
        <v>4176.6000000000004</v>
      </c>
      <c r="I808" s="1630">
        <f t="shared" si="414"/>
        <v>9174.4768998856161</v>
      </c>
      <c r="J808" s="1630">
        <f t="shared" si="415"/>
        <v>27523.430699656848</v>
      </c>
      <c r="K808" s="1631">
        <v>4539.5200000000004</v>
      </c>
      <c r="L808" s="1630">
        <f t="shared" si="416"/>
        <v>4539.5200000000004</v>
      </c>
      <c r="M808" s="1630">
        <f t="shared" si="417"/>
        <v>13618.560000000001</v>
      </c>
      <c r="N808" s="1625">
        <f t="shared" si="418"/>
        <v>13904.870699656847</v>
      </c>
      <c r="O808" s="1629">
        <v>0.59819999999999995</v>
      </c>
      <c r="P808" s="1629">
        <v>0.40179999999999999</v>
      </c>
      <c r="Q808" s="1625">
        <f t="shared" si="419"/>
        <v>8317.8936525347253</v>
      </c>
      <c r="R808" s="1628">
        <f t="shared" si="420"/>
        <v>5586.9770471221209</v>
      </c>
      <c r="S808" s="1627">
        <f t="shared" si="421"/>
        <v>6675.737047122122</v>
      </c>
      <c r="T808" s="1627">
        <f t="shared" si="422"/>
        <v>6942.8229528778802</v>
      </c>
      <c r="U808" s="1626">
        <f t="shared" si="423"/>
        <v>1668.9342617805305</v>
      </c>
      <c r="V808" s="1626">
        <f t="shared" si="424"/>
        <v>1735.70573821947</v>
      </c>
      <c r="W808" s="1625">
        <f t="shared" si="425"/>
        <v>3404.6400000000003</v>
      </c>
      <c r="X808" s="1614"/>
      <c r="Y808" s="1613"/>
      <c r="Z808" s="1612">
        <f t="shared" si="426"/>
        <v>0.4947987824849826</v>
      </c>
      <c r="AA808" s="1611"/>
      <c r="AB808" s="1611"/>
      <c r="AC808" s="1611"/>
      <c r="AD808" s="1611"/>
      <c r="AE808" s="1611"/>
      <c r="AF808" s="1611"/>
      <c r="AG808" s="1611"/>
      <c r="AH808" s="1611"/>
      <c r="AI808" s="1611"/>
      <c r="AJ808" s="1611"/>
      <c r="AK808" s="1611"/>
      <c r="AL808" s="1611"/>
      <c r="AM808" s="1611"/>
      <c r="AN808" s="1611"/>
      <c r="AO808" s="1611"/>
      <c r="AP808" s="1611"/>
      <c r="AQ808" s="1611"/>
    </row>
    <row r="809" spans="1:43" outlineLevel="2">
      <c r="A809" s="1638" t="s">
        <v>329</v>
      </c>
      <c r="B809" s="1637" t="s">
        <v>202</v>
      </c>
      <c r="C809" s="1636"/>
      <c r="D809" s="1635">
        <v>1</v>
      </c>
      <c r="E809" s="1634" t="s">
        <v>918</v>
      </c>
      <c r="F809" s="1633" t="s">
        <v>1066</v>
      </c>
      <c r="G809" s="1632">
        <v>4997.8768998856158</v>
      </c>
      <c r="H809" s="1632">
        <v>4176.6000000000004</v>
      </c>
      <c r="I809" s="1630">
        <f t="shared" si="414"/>
        <v>9174.4768998856161</v>
      </c>
      <c r="J809" s="1630">
        <f t="shared" si="415"/>
        <v>9174.4768998856161</v>
      </c>
      <c r="K809" s="1631">
        <v>4539.5200000000004</v>
      </c>
      <c r="L809" s="1630">
        <f t="shared" si="416"/>
        <v>4539.5200000000004</v>
      </c>
      <c r="M809" s="1630">
        <f t="shared" si="417"/>
        <v>4539.5200000000004</v>
      </c>
      <c r="N809" s="1625">
        <f t="shared" si="418"/>
        <v>4634.9568998856157</v>
      </c>
      <c r="O809" s="1629">
        <v>0.59819999999999995</v>
      </c>
      <c r="P809" s="1629">
        <v>0.40179999999999999</v>
      </c>
      <c r="Q809" s="1625">
        <f t="shared" si="419"/>
        <v>2772.631217511575</v>
      </c>
      <c r="R809" s="1628">
        <f t="shared" si="420"/>
        <v>1862.3256823740403</v>
      </c>
      <c r="S809" s="1627">
        <f t="shared" si="421"/>
        <v>2225.2456823740408</v>
      </c>
      <c r="T809" s="1627">
        <f t="shared" si="422"/>
        <v>2314.2743176259601</v>
      </c>
      <c r="U809" s="1626">
        <f t="shared" si="423"/>
        <v>556.31142059351021</v>
      </c>
      <c r="V809" s="1626">
        <f t="shared" si="424"/>
        <v>578.56857940649002</v>
      </c>
      <c r="W809" s="1625">
        <f t="shared" si="425"/>
        <v>1134.8800000000001</v>
      </c>
      <c r="X809" s="1614"/>
      <c r="Y809" s="1613"/>
      <c r="Z809" s="1612">
        <f t="shared" si="426"/>
        <v>0.4947987824849826</v>
      </c>
      <c r="AA809" s="1611"/>
      <c r="AB809" s="1611"/>
      <c r="AC809" s="1611"/>
      <c r="AD809" s="1611"/>
      <c r="AE809" s="1611"/>
      <c r="AF809" s="1611"/>
      <c r="AG809" s="1611"/>
      <c r="AH809" s="1611"/>
      <c r="AI809" s="1611"/>
      <c r="AJ809" s="1611"/>
      <c r="AK809" s="1611"/>
      <c r="AL809" s="1611"/>
      <c r="AM809" s="1611"/>
      <c r="AN809" s="1611"/>
      <c r="AO809" s="1611"/>
      <c r="AP809" s="1611"/>
      <c r="AQ809" s="1611"/>
    </row>
    <row r="810" spans="1:43" outlineLevel="2">
      <c r="A810" s="1638" t="s">
        <v>329</v>
      </c>
      <c r="B810" s="1637" t="s">
        <v>202</v>
      </c>
      <c r="C810" s="1636"/>
      <c r="D810" s="1635">
        <v>7</v>
      </c>
      <c r="E810" s="1634" t="s">
        <v>918</v>
      </c>
      <c r="F810" s="1633" t="s">
        <v>979</v>
      </c>
      <c r="G810" s="1632">
        <v>4997.8768998856158</v>
      </c>
      <c r="H810" s="1632">
        <v>4176.6000000000004</v>
      </c>
      <c r="I810" s="1630">
        <f t="shared" si="414"/>
        <v>9174.4768998856161</v>
      </c>
      <c r="J810" s="1630">
        <f t="shared" si="415"/>
        <v>64221.338299199313</v>
      </c>
      <c r="K810" s="1631">
        <v>4539.5200000000004</v>
      </c>
      <c r="L810" s="1630">
        <f t="shared" si="416"/>
        <v>4539.5200000000004</v>
      </c>
      <c r="M810" s="1630">
        <f t="shared" si="417"/>
        <v>31776.640000000003</v>
      </c>
      <c r="N810" s="1625">
        <f t="shared" si="418"/>
        <v>32444.69829919931</v>
      </c>
      <c r="O810" s="1629">
        <v>0.59819999999999995</v>
      </c>
      <c r="P810" s="1629">
        <v>0.40179999999999999</v>
      </c>
      <c r="Q810" s="1625">
        <f t="shared" si="419"/>
        <v>19408.418522581025</v>
      </c>
      <c r="R810" s="1628">
        <f t="shared" si="420"/>
        <v>13036.279776618283</v>
      </c>
      <c r="S810" s="1627">
        <f t="shared" si="421"/>
        <v>15576.719776618284</v>
      </c>
      <c r="T810" s="1627">
        <f t="shared" si="422"/>
        <v>16199.920223381721</v>
      </c>
      <c r="U810" s="1626">
        <f t="shared" si="423"/>
        <v>3894.1799441545709</v>
      </c>
      <c r="V810" s="1626">
        <f t="shared" si="424"/>
        <v>4049.9800558454303</v>
      </c>
      <c r="W810" s="1625">
        <f t="shared" si="425"/>
        <v>7944.1600000000017</v>
      </c>
      <c r="X810" s="1614"/>
      <c r="Y810" s="1613"/>
      <c r="Z810" s="1612">
        <f t="shared" si="426"/>
        <v>0.4947987824849826</v>
      </c>
      <c r="AA810" s="1611"/>
      <c r="AB810" s="1611"/>
      <c r="AC810" s="1611"/>
      <c r="AD810" s="1611"/>
      <c r="AE810" s="1611"/>
      <c r="AF810" s="1611"/>
      <c r="AG810" s="1611"/>
      <c r="AH810" s="1611"/>
      <c r="AI810" s="1611"/>
      <c r="AJ810" s="1611"/>
      <c r="AK810" s="1611"/>
      <c r="AL810" s="1611"/>
      <c r="AM810" s="1611"/>
      <c r="AN810" s="1611"/>
      <c r="AO810" s="1611"/>
      <c r="AP810" s="1611"/>
      <c r="AQ810" s="1611"/>
    </row>
    <row r="811" spans="1:43" outlineLevel="2">
      <c r="A811" s="1638" t="s">
        <v>329</v>
      </c>
      <c r="B811" s="1637" t="s">
        <v>202</v>
      </c>
      <c r="C811" s="1636"/>
      <c r="D811" s="1635">
        <v>1</v>
      </c>
      <c r="E811" s="1634" t="s">
        <v>935</v>
      </c>
      <c r="F811" s="1633" t="s">
        <v>1070</v>
      </c>
      <c r="G811" s="1632">
        <v>4997.8768998856158</v>
      </c>
      <c r="H811" s="1632">
        <v>4176.6000000000004</v>
      </c>
      <c r="I811" s="1630">
        <f t="shared" si="414"/>
        <v>9174.4768998856161</v>
      </c>
      <c r="J811" s="1630">
        <f t="shared" si="415"/>
        <v>9174.4768998856161</v>
      </c>
      <c r="K811" s="1631">
        <v>3035</v>
      </c>
      <c r="L811" s="1630">
        <f t="shared" si="416"/>
        <v>3035</v>
      </c>
      <c r="M811" s="1630">
        <f t="shared" si="417"/>
        <v>3035</v>
      </c>
      <c r="N811" s="1625">
        <f t="shared" si="418"/>
        <v>6139.4768998856161</v>
      </c>
      <c r="O811" s="1629">
        <v>0.59819999999999995</v>
      </c>
      <c r="P811" s="1629">
        <v>0.40179999999999999</v>
      </c>
      <c r="Q811" s="1625">
        <f t="shared" si="419"/>
        <v>3672.6350815115752</v>
      </c>
      <c r="R811" s="1628">
        <f t="shared" si="420"/>
        <v>2466.8418183740405</v>
      </c>
      <c r="S811" s="1627">
        <f t="shared" si="421"/>
        <v>1325.2418183740406</v>
      </c>
      <c r="T811" s="1627">
        <f t="shared" si="422"/>
        <v>1709.7581816259599</v>
      </c>
      <c r="U811" s="1626">
        <f t="shared" si="423"/>
        <v>331.31045459351014</v>
      </c>
      <c r="V811" s="1626">
        <f t="shared" si="424"/>
        <v>427.43954540648997</v>
      </c>
      <c r="W811" s="1625">
        <f t="shared" si="425"/>
        <v>758.75000000000011</v>
      </c>
      <c r="X811" s="1614"/>
      <c r="Y811" s="1613"/>
      <c r="Z811" s="1612">
        <f t="shared" si="426"/>
        <v>0.33080905136268196</v>
      </c>
      <c r="AA811" s="1611"/>
      <c r="AB811" s="1611"/>
      <c r="AC811" s="1611"/>
      <c r="AD811" s="1611"/>
      <c r="AE811" s="1611"/>
      <c r="AF811" s="1611"/>
      <c r="AG811" s="1611"/>
      <c r="AH811" s="1611"/>
      <c r="AI811" s="1611"/>
      <c r="AJ811" s="1611"/>
      <c r="AK811" s="1611"/>
      <c r="AL811" s="1611"/>
      <c r="AM811" s="1611"/>
      <c r="AN811" s="1611"/>
      <c r="AO811" s="1611"/>
      <c r="AP811" s="1611"/>
      <c r="AQ811" s="1611"/>
    </row>
    <row r="812" spans="1:43" outlineLevel="2">
      <c r="A812" s="1638" t="s">
        <v>329</v>
      </c>
      <c r="B812" s="1637" t="s">
        <v>202</v>
      </c>
      <c r="C812" s="1636"/>
      <c r="D812" s="1635">
        <v>1</v>
      </c>
      <c r="E812" s="1634" t="s">
        <v>935</v>
      </c>
      <c r="F812" s="1633" t="s">
        <v>1064</v>
      </c>
      <c r="G812" s="1632">
        <v>4997.8768998856158</v>
      </c>
      <c r="H812" s="1632">
        <v>4176.6000000000004</v>
      </c>
      <c r="I812" s="1630">
        <f t="shared" si="414"/>
        <v>9174.4768998856161</v>
      </c>
      <c r="J812" s="1630">
        <f t="shared" si="415"/>
        <v>9174.4768998856161</v>
      </c>
      <c r="K812" s="1631">
        <v>2995</v>
      </c>
      <c r="L812" s="1630">
        <f t="shared" si="416"/>
        <v>2995</v>
      </c>
      <c r="M812" s="1630">
        <f t="shared" si="417"/>
        <v>2995</v>
      </c>
      <c r="N812" s="1625">
        <f t="shared" si="418"/>
        <v>6179.4768998856161</v>
      </c>
      <c r="O812" s="1629">
        <v>0.59819999999999995</v>
      </c>
      <c r="P812" s="1629">
        <v>0.40179999999999999</v>
      </c>
      <c r="Q812" s="1625">
        <f t="shared" si="419"/>
        <v>3696.5630815115751</v>
      </c>
      <c r="R812" s="1628">
        <f t="shared" si="420"/>
        <v>2482.9138183740406</v>
      </c>
      <c r="S812" s="1627">
        <f t="shared" si="421"/>
        <v>1301.3138183740407</v>
      </c>
      <c r="T812" s="1627">
        <f t="shared" si="422"/>
        <v>1693.6861816259598</v>
      </c>
      <c r="U812" s="1626">
        <f t="shared" si="423"/>
        <v>325.32845459351017</v>
      </c>
      <c r="V812" s="1626">
        <f t="shared" si="424"/>
        <v>423.42154540648994</v>
      </c>
      <c r="W812" s="1625">
        <f t="shared" si="425"/>
        <v>748.75000000000011</v>
      </c>
      <c r="X812" s="1614"/>
      <c r="Y812" s="1613"/>
      <c r="Z812" s="1612">
        <f t="shared" si="426"/>
        <v>0.32644912976317381</v>
      </c>
      <c r="AA812" s="1611"/>
      <c r="AB812" s="1611"/>
      <c r="AC812" s="1611"/>
      <c r="AD812" s="1611"/>
      <c r="AE812" s="1611"/>
      <c r="AF812" s="1611"/>
      <c r="AG812" s="1611"/>
      <c r="AH812" s="1611"/>
      <c r="AI812" s="1611"/>
      <c r="AJ812" s="1611"/>
      <c r="AK812" s="1611"/>
      <c r="AL812" s="1611"/>
      <c r="AM812" s="1611"/>
      <c r="AN812" s="1611"/>
      <c r="AO812" s="1611"/>
      <c r="AP812" s="1611"/>
      <c r="AQ812" s="1611"/>
    </row>
    <row r="813" spans="1:43" outlineLevel="2">
      <c r="A813" s="1638" t="s">
        <v>329</v>
      </c>
      <c r="B813" s="1637" t="s">
        <v>202</v>
      </c>
      <c r="C813" s="1636"/>
      <c r="D813" s="1635">
        <v>4</v>
      </c>
      <c r="E813" s="1634" t="s">
        <v>935</v>
      </c>
      <c r="F813" s="1633" t="s">
        <v>979</v>
      </c>
      <c r="G813" s="1632">
        <v>4997.8768998856158</v>
      </c>
      <c r="H813" s="1632">
        <v>4176.6000000000004</v>
      </c>
      <c r="I813" s="1630">
        <f t="shared" si="414"/>
        <v>9174.4768998856161</v>
      </c>
      <c r="J813" s="1630">
        <f t="shared" si="415"/>
        <v>36697.907599542465</v>
      </c>
      <c r="K813" s="1631">
        <v>3020</v>
      </c>
      <c r="L813" s="1630">
        <f t="shared" si="416"/>
        <v>3020</v>
      </c>
      <c r="M813" s="1630">
        <f t="shared" si="417"/>
        <v>12080</v>
      </c>
      <c r="N813" s="1625">
        <f t="shared" si="418"/>
        <v>24617.907599542465</v>
      </c>
      <c r="O813" s="1629">
        <v>0.59819999999999995</v>
      </c>
      <c r="P813" s="1629">
        <v>0.40179999999999999</v>
      </c>
      <c r="Q813" s="1625">
        <f t="shared" si="419"/>
        <v>14726.432326046301</v>
      </c>
      <c r="R813" s="1628">
        <f t="shared" si="420"/>
        <v>9891.4752734961621</v>
      </c>
      <c r="S813" s="1627">
        <f t="shared" si="421"/>
        <v>5265.0752734961625</v>
      </c>
      <c r="T813" s="1627">
        <f t="shared" si="422"/>
        <v>6814.9247265038393</v>
      </c>
      <c r="U813" s="1626">
        <f t="shared" si="423"/>
        <v>1316.2688183740406</v>
      </c>
      <c r="V813" s="1626">
        <f t="shared" si="424"/>
        <v>1703.7311816259598</v>
      </c>
      <c r="W813" s="1625">
        <f t="shared" si="425"/>
        <v>3020.0000000000005</v>
      </c>
      <c r="X813" s="1614"/>
      <c r="Y813" s="1613"/>
      <c r="Z813" s="1612">
        <f t="shared" si="426"/>
        <v>0.32917408076286642</v>
      </c>
      <c r="AA813" s="1611"/>
      <c r="AB813" s="1611"/>
      <c r="AC813" s="1611"/>
      <c r="AD813" s="1611"/>
      <c r="AE813" s="1611"/>
      <c r="AF813" s="1611"/>
      <c r="AG813" s="1611"/>
      <c r="AH813" s="1611"/>
      <c r="AI813" s="1611"/>
      <c r="AJ813" s="1611"/>
      <c r="AK813" s="1611"/>
      <c r="AL813" s="1611"/>
      <c r="AM813" s="1611"/>
      <c r="AN813" s="1611"/>
      <c r="AO813" s="1611"/>
      <c r="AP813" s="1611"/>
      <c r="AQ813" s="1611"/>
    </row>
    <row r="814" spans="1:43" outlineLevel="2">
      <c r="A814" s="1638" t="s">
        <v>329</v>
      </c>
      <c r="B814" s="1637" t="s">
        <v>202</v>
      </c>
      <c r="C814" s="1636"/>
      <c r="D814" s="1635">
        <v>0</v>
      </c>
      <c r="E814" s="1634" t="s">
        <v>930</v>
      </c>
      <c r="F814" s="1633" t="s">
        <v>1068</v>
      </c>
      <c r="G814" s="1632">
        <v>4997.8768998856158</v>
      </c>
      <c r="H814" s="1632">
        <v>4176.6000000000004</v>
      </c>
      <c r="I814" s="1630">
        <f t="shared" si="414"/>
        <v>9174.4768998856161</v>
      </c>
      <c r="J814" s="1630">
        <f t="shared" si="415"/>
        <v>0</v>
      </c>
      <c r="K814" s="1631">
        <v>4300</v>
      </c>
      <c r="L814" s="1630">
        <f t="shared" si="416"/>
        <v>4300</v>
      </c>
      <c r="M814" s="1630">
        <f t="shared" si="417"/>
        <v>0</v>
      </c>
      <c r="N814" s="1625">
        <f t="shared" si="418"/>
        <v>0</v>
      </c>
      <c r="O814" s="1629">
        <v>0.59819999999999995</v>
      </c>
      <c r="P814" s="1629">
        <v>0.40179999999999999</v>
      </c>
      <c r="Q814" s="1625">
        <f t="shared" si="419"/>
        <v>0</v>
      </c>
      <c r="R814" s="1628">
        <f t="shared" si="420"/>
        <v>0</v>
      </c>
      <c r="S814" s="1627">
        <f t="shared" si="421"/>
        <v>0</v>
      </c>
      <c r="T814" s="1627">
        <f t="shared" si="422"/>
        <v>0</v>
      </c>
      <c r="U814" s="1626">
        <f t="shared" si="423"/>
        <v>0</v>
      </c>
      <c r="V814" s="1626">
        <f t="shared" si="424"/>
        <v>0</v>
      </c>
      <c r="W814" s="1625">
        <f t="shared" si="425"/>
        <v>0</v>
      </c>
      <c r="X814" s="1614"/>
      <c r="Y814" s="1613"/>
      <c r="Z814" s="1612">
        <f t="shared" si="426"/>
        <v>0.46869157194712768</v>
      </c>
      <c r="AA814" s="1611"/>
      <c r="AB814" s="1611"/>
      <c r="AC814" s="1611"/>
      <c r="AD814" s="1611"/>
      <c r="AE814" s="1611"/>
      <c r="AF814" s="1611"/>
      <c r="AG814" s="1611"/>
      <c r="AH814" s="1611"/>
      <c r="AI814" s="1611"/>
      <c r="AJ814" s="1611"/>
      <c r="AK814" s="1611"/>
      <c r="AL814" s="1611"/>
      <c r="AM814" s="1611"/>
      <c r="AN814" s="1611"/>
      <c r="AO814" s="1611"/>
      <c r="AP814" s="1611"/>
      <c r="AQ814" s="1611"/>
    </row>
    <row r="815" spans="1:43" outlineLevel="1">
      <c r="A815" s="1624"/>
      <c r="B815" s="1623" t="s">
        <v>1087</v>
      </c>
      <c r="C815" s="1622"/>
      <c r="D815" s="1621">
        <f>SUBTOTAL(9,D774:D814)</f>
        <v>209</v>
      </c>
      <c r="E815" s="1620"/>
      <c r="F815" s="1639"/>
      <c r="G815" s="1639"/>
      <c r="H815" s="1639"/>
      <c r="I815" s="1616"/>
      <c r="J815" s="1616">
        <f>SUBTOTAL(9,J774:J814)</f>
        <v>1917465.6720760933</v>
      </c>
      <c r="K815" s="1615"/>
      <c r="L815" s="1616"/>
      <c r="M815" s="1616">
        <f>SUBTOTAL(9,M774:M814)</f>
        <v>957499.72</v>
      </c>
      <c r="N815" s="1615">
        <f>SUBTOTAL(9,N774:N814)</f>
        <v>959965.95207609376</v>
      </c>
      <c r="O815" s="1616"/>
      <c r="P815" s="1616"/>
      <c r="Q815" s="1615">
        <f t="shared" ref="Q815:W815" si="427">SUBTOTAL(9,Q774:Q814)</f>
        <v>574251.63253191928</v>
      </c>
      <c r="R815" s="1615">
        <f t="shared" si="427"/>
        <v>385714.31954417459</v>
      </c>
      <c r="S815" s="1616">
        <f t="shared" si="427"/>
        <v>470304.63954417442</v>
      </c>
      <c r="T815" s="1616">
        <f t="shared" si="427"/>
        <v>487195.08045582549</v>
      </c>
      <c r="U815" s="1616">
        <f t="shared" si="427"/>
        <v>117576.15988604361</v>
      </c>
      <c r="V815" s="1616">
        <f t="shared" si="427"/>
        <v>121798.77011395637</v>
      </c>
      <c r="W815" s="1615">
        <f t="shared" si="427"/>
        <v>239374.93</v>
      </c>
      <c r="X815" s="1614"/>
      <c r="Y815" s="1613"/>
      <c r="Z815" s="1612"/>
      <c r="AA815" s="1611"/>
      <c r="AB815" s="1611"/>
      <c r="AC815" s="1611"/>
      <c r="AD815" s="1611"/>
      <c r="AE815" s="1611"/>
      <c r="AF815" s="1611"/>
      <c r="AG815" s="1611"/>
      <c r="AH815" s="1611"/>
      <c r="AI815" s="1611"/>
      <c r="AJ815" s="1611"/>
      <c r="AK815" s="1611"/>
      <c r="AL815" s="1611"/>
      <c r="AM815" s="1611"/>
      <c r="AN815" s="1611"/>
      <c r="AO815" s="1611"/>
      <c r="AP815" s="1611"/>
      <c r="AQ815" s="1611"/>
    </row>
    <row r="816" spans="1:43" outlineLevel="2">
      <c r="A816" s="1638" t="s">
        <v>330</v>
      </c>
      <c r="B816" s="1637" t="s">
        <v>142</v>
      </c>
      <c r="C816" s="1636"/>
      <c r="D816" s="1635">
        <v>4</v>
      </c>
      <c r="E816" s="1634" t="s">
        <v>927</v>
      </c>
      <c r="F816" s="1633" t="s">
        <v>1070</v>
      </c>
      <c r="G816" s="1632">
        <v>5342.0216691595506</v>
      </c>
      <c r="H816" s="1632">
        <v>2377.36</v>
      </c>
      <c r="I816" s="1630">
        <f t="shared" ref="I816:I823" si="428">G816+H816</f>
        <v>7719.3816691595512</v>
      </c>
      <c r="J816" s="1630">
        <f t="shared" ref="J816:J823" si="429">D816*I816</f>
        <v>30877.526676638205</v>
      </c>
      <c r="K816" s="1631">
        <v>7622</v>
      </c>
      <c r="L816" s="1630">
        <f t="shared" ref="L816:L823" si="430">IF(I816&gt;K816,K816,I816)</f>
        <v>7622</v>
      </c>
      <c r="M816" s="1630">
        <f t="shared" ref="M816:M823" si="431">L816*D816</f>
        <v>30488</v>
      </c>
      <c r="N816" s="1625">
        <f t="shared" ref="N816:N823" si="432">J816-M816</f>
        <v>389.52667663820466</v>
      </c>
      <c r="O816" s="1629">
        <v>0.75239999999999996</v>
      </c>
      <c r="P816" s="1629">
        <v>0.24759999999999999</v>
      </c>
      <c r="Q816" s="1625">
        <f t="shared" ref="Q816:Q823" si="433">N816*O816</f>
        <v>293.07987150258515</v>
      </c>
      <c r="R816" s="1628">
        <f t="shared" ref="R816:R823" si="434">N816*P816</f>
        <v>96.446805135619471</v>
      </c>
      <c r="S816" s="1627">
        <f t="shared" ref="S816:S823" si="435">(G816*D816)-Q816</f>
        <v>21075.006805135617</v>
      </c>
      <c r="T816" s="1627">
        <f t="shared" ref="T816:T823" si="436">(H816*D816)-R816</f>
        <v>9412.9931948643807</v>
      </c>
      <c r="U816" s="1626">
        <f t="shared" ref="U816:V823" si="437">S816/4</f>
        <v>5268.7517012839044</v>
      </c>
      <c r="V816" s="1626">
        <f t="shared" si="437"/>
        <v>2353.2482987160952</v>
      </c>
      <c r="W816" s="1625">
        <f t="shared" ref="W816:W823" si="438">V816+U816</f>
        <v>7622</v>
      </c>
      <c r="X816" s="1614"/>
      <c r="Y816" s="1613"/>
      <c r="Z816" s="1612">
        <f t="shared" ref="Z816:Z823" si="439">K816/I816</f>
        <v>0.98738478373875327</v>
      </c>
      <c r="AA816" s="1611"/>
      <c r="AB816" s="1611"/>
      <c r="AC816" s="1611"/>
      <c r="AD816" s="1611"/>
      <c r="AE816" s="1611"/>
      <c r="AF816" s="1611"/>
      <c r="AG816" s="1611"/>
      <c r="AH816" s="1611"/>
      <c r="AI816" s="1611"/>
      <c r="AJ816" s="1611"/>
      <c r="AK816" s="1611"/>
      <c r="AL816" s="1611"/>
      <c r="AM816" s="1611"/>
      <c r="AN816" s="1611"/>
      <c r="AO816" s="1611"/>
      <c r="AP816" s="1611"/>
      <c r="AQ816" s="1611"/>
    </row>
    <row r="817" spans="1:43" outlineLevel="2">
      <c r="A817" s="1638" t="s">
        <v>330</v>
      </c>
      <c r="B817" s="1637" t="s">
        <v>142</v>
      </c>
      <c r="C817" s="1636"/>
      <c r="D817" s="1635">
        <v>2</v>
      </c>
      <c r="E817" s="1634" t="s">
        <v>927</v>
      </c>
      <c r="F817" s="1633" t="s">
        <v>1069</v>
      </c>
      <c r="G817" s="1632">
        <v>5342.0216691595506</v>
      </c>
      <c r="H817" s="1632">
        <v>2377.36</v>
      </c>
      <c r="I817" s="1630">
        <f t="shared" si="428"/>
        <v>7719.3816691595512</v>
      </c>
      <c r="J817" s="1630">
        <f t="shared" si="429"/>
        <v>15438.763338319102</v>
      </c>
      <c r="K817" s="1631">
        <v>7622</v>
      </c>
      <c r="L817" s="1630">
        <f t="shared" si="430"/>
        <v>7622</v>
      </c>
      <c r="M817" s="1630">
        <f t="shared" si="431"/>
        <v>15244</v>
      </c>
      <c r="N817" s="1625">
        <f t="shared" si="432"/>
        <v>194.76333831910233</v>
      </c>
      <c r="O817" s="1629">
        <v>0.75239999999999996</v>
      </c>
      <c r="P817" s="1629">
        <v>0.24759999999999999</v>
      </c>
      <c r="Q817" s="1625">
        <f t="shared" si="433"/>
        <v>146.53993575129257</v>
      </c>
      <c r="R817" s="1628">
        <f t="shared" si="434"/>
        <v>48.223402567809735</v>
      </c>
      <c r="S817" s="1627">
        <f t="shared" si="435"/>
        <v>10537.503402567809</v>
      </c>
      <c r="T817" s="1627">
        <f t="shared" si="436"/>
        <v>4706.4965974321904</v>
      </c>
      <c r="U817" s="1626">
        <f t="shared" si="437"/>
        <v>2634.3758506419522</v>
      </c>
      <c r="V817" s="1626">
        <f t="shared" si="437"/>
        <v>1176.6241493580476</v>
      </c>
      <c r="W817" s="1625">
        <f t="shared" si="438"/>
        <v>3811</v>
      </c>
      <c r="X817" s="1614"/>
      <c r="Y817" s="1613"/>
      <c r="Z817" s="1612">
        <f t="shared" si="439"/>
        <v>0.98738478373875327</v>
      </c>
      <c r="AA817" s="1611"/>
      <c r="AB817" s="1611"/>
      <c r="AC817" s="1611"/>
      <c r="AD817" s="1611"/>
      <c r="AE817" s="1611"/>
      <c r="AF817" s="1611"/>
      <c r="AG817" s="1611"/>
      <c r="AH817" s="1611"/>
      <c r="AI817" s="1611"/>
      <c r="AJ817" s="1611"/>
      <c r="AK817" s="1611"/>
      <c r="AL817" s="1611"/>
      <c r="AM817" s="1611"/>
      <c r="AN817" s="1611"/>
      <c r="AO817" s="1611"/>
      <c r="AP817" s="1611"/>
      <c r="AQ817" s="1611"/>
    </row>
    <row r="818" spans="1:43" outlineLevel="2">
      <c r="A818" s="1638" t="s">
        <v>330</v>
      </c>
      <c r="B818" s="1637" t="s">
        <v>142</v>
      </c>
      <c r="C818" s="1636"/>
      <c r="D818" s="1635">
        <v>12</v>
      </c>
      <c r="E818" s="1634" t="s">
        <v>927</v>
      </c>
      <c r="F818" s="1633" t="s">
        <v>979</v>
      </c>
      <c r="G818" s="1632">
        <v>5342.0216691595506</v>
      </c>
      <c r="H818" s="1632">
        <v>2377.36</v>
      </c>
      <c r="I818" s="1630">
        <f t="shared" si="428"/>
        <v>7719.3816691595512</v>
      </c>
      <c r="J818" s="1630">
        <f t="shared" si="429"/>
        <v>92632.580029914621</v>
      </c>
      <c r="K818" s="1631">
        <v>7622</v>
      </c>
      <c r="L818" s="1630">
        <f t="shared" si="430"/>
        <v>7622</v>
      </c>
      <c r="M818" s="1630">
        <f t="shared" si="431"/>
        <v>91464</v>
      </c>
      <c r="N818" s="1625">
        <f t="shared" si="432"/>
        <v>1168.5800299146213</v>
      </c>
      <c r="O818" s="1629">
        <v>0.75239999999999996</v>
      </c>
      <c r="P818" s="1629">
        <v>0.24759999999999999</v>
      </c>
      <c r="Q818" s="1625">
        <f t="shared" si="433"/>
        <v>879.23961450776096</v>
      </c>
      <c r="R818" s="1628">
        <f t="shared" si="434"/>
        <v>289.34041540686019</v>
      </c>
      <c r="S818" s="1627">
        <f t="shared" si="435"/>
        <v>63225.020415406849</v>
      </c>
      <c r="T818" s="1627">
        <f t="shared" si="436"/>
        <v>28238.97958459314</v>
      </c>
      <c r="U818" s="1626">
        <f t="shared" si="437"/>
        <v>15806.255103851712</v>
      </c>
      <c r="V818" s="1626">
        <f t="shared" si="437"/>
        <v>7059.7448961482851</v>
      </c>
      <c r="W818" s="1625">
        <f t="shared" si="438"/>
        <v>22865.999999999996</v>
      </c>
      <c r="X818" s="1614"/>
      <c r="Y818" s="1613"/>
      <c r="Z818" s="1612">
        <f t="shared" si="439"/>
        <v>0.98738478373875327</v>
      </c>
      <c r="AA818" s="1611"/>
      <c r="AB818" s="1611"/>
      <c r="AC818" s="1611"/>
      <c r="AD818" s="1611"/>
      <c r="AE818" s="1611"/>
      <c r="AF818" s="1611"/>
      <c r="AG818" s="1611"/>
      <c r="AH818" s="1611"/>
      <c r="AI818" s="1611"/>
      <c r="AJ818" s="1611"/>
      <c r="AK818" s="1611"/>
      <c r="AL818" s="1611"/>
      <c r="AM818" s="1611"/>
      <c r="AN818" s="1611"/>
      <c r="AO818" s="1611"/>
      <c r="AP818" s="1611"/>
      <c r="AQ818" s="1611"/>
    </row>
    <row r="819" spans="1:43" outlineLevel="2">
      <c r="A819" s="1638" t="s">
        <v>330</v>
      </c>
      <c r="B819" s="1637" t="s">
        <v>142</v>
      </c>
      <c r="C819" s="1636"/>
      <c r="D819" s="1635">
        <v>43</v>
      </c>
      <c r="E819" s="1634" t="s">
        <v>928</v>
      </c>
      <c r="F819" s="1633" t="s">
        <v>979</v>
      </c>
      <c r="G819" s="1632">
        <v>5342.0216691595506</v>
      </c>
      <c r="H819" s="1632">
        <v>2377.36</v>
      </c>
      <c r="I819" s="1630">
        <f t="shared" si="428"/>
        <v>7719.3816691595512</v>
      </c>
      <c r="J819" s="1630">
        <f t="shared" si="429"/>
        <v>331933.41177386069</v>
      </c>
      <c r="K819" s="1631">
        <v>4950</v>
      </c>
      <c r="L819" s="1630">
        <f t="shared" si="430"/>
        <v>4950</v>
      </c>
      <c r="M819" s="1630">
        <f t="shared" si="431"/>
        <v>212850</v>
      </c>
      <c r="N819" s="1625">
        <f t="shared" si="432"/>
        <v>119083.41177386069</v>
      </c>
      <c r="O819" s="1629">
        <v>0.75239999999999996</v>
      </c>
      <c r="P819" s="1629">
        <v>0.24759999999999999</v>
      </c>
      <c r="Q819" s="1625">
        <f t="shared" si="433"/>
        <v>89598.359018652773</v>
      </c>
      <c r="R819" s="1628">
        <f t="shared" si="434"/>
        <v>29485.052755207904</v>
      </c>
      <c r="S819" s="1627">
        <f t="shared" si="435"/>
        <v>140108.57275520789</v>
      </c>
      <c r="T819" s="1627">
        <f t="shared" si="436"/>
        <v>72741.42724479211</v>
      </c>
      <c r="U819" s="1626">
        <f t="shared" si="437"/>
        <v>35027.143188801972</v>
      </c>
      <c r="V819" s="1626">
        <f t="shared" si="437"/>
        <v>18185.356811198028</v>
      </c>
      <c r="W819" s="1625">
        <f t="shared" si="438"/>
        <v>53212.5</v>
      </c>
      <c r="X819" s="1614"/>
      <c r="Y819" s="1613"/>
      <c r="Z819" s="1612">
        <f t="shared" si="439"/>
        <v>0.64124306999564795</v>
      </c>
      <c r="AA819" s="1611"/>
      <c r="AB819" s="1611"/>
      <c r="AC819" s="1611"/>
      <c r="AD819" s="1611"/>
      <c r="AE819" s="1611"/>
      <c r="AF819" s="1611"/>
      <c r="AG819" s="1611"/>
      <c r="AH819" s="1611"/>
      <c r="AI819" s="1611"/>
      <c r="AJ819" s="1611"/>
      <c r="AK819" s="1611"/>
      <c r="AL819" s="1611"/>
      <c r="AM819" s="1611"/>
      <c r="AN819" s="1611"/>
      <c r="AO819" s="1611"/>
      <c r="AP819" s="1611"/>
      <c r="AQ819" s="1611"/>
    </row>
    <row r="820" spans="1:43" outlineLevel="2">
      <c r="A820" s="1638" t="s">
        <v>330</v>
      </c>
      <c r="B820" s="1637" t="s">
        <v>142</v>
      </c>
      <c r="C820" s="1636"/>
      <c r="D820" s="1635">
        <v>0</v>
      </c>
      <c r="E820" s="1634" t="s">
        <v>929</v>
      </c>
      <c r="F820" s="1633" t="s">
        <v>1063</v>
      </c>
      <c r="G820" s="1632">
        <v>5342.0216691595506</v>
      </c>
      <c r="H820" s="1632">
        <v>2377.36</v>
      </c>
      <c r="I820" s="1630">
        <f t="shared" si="428"/>
        <v>7719.3816691595512</v>
      </c>
      <c r="J820" s="1630">
        <f t="shared" si="429"/>
        <v>0</v>
      </c>
      <c r="K820" s="1631">
        <v>4600</v>
      </c>
      <c r="L820" s="1630">
        <f t="shared" si="430"/>
        <v>4600</v>
      </c>
      <c r="M820" s="1630">
        <f t="shared" si="431"/>
        <v>0</v>
      </c>
      <c r="N820" s="1625">
        <f t="shared" si="432"/>
        <v>0</v>
      </c>
      <c r="O820" s="1629">
        <v>0.75239999999999996</v>
      </c>
      <c r="P820" s="1629">
        <v>0.24759999999999999</v>
      </c>
      <c r="Q820" s="1625">
        <f t="shared" si="433"/>
        <v>0</v>
      </c>
      <c r="R820" s="1628">
        <f t="shared" si="434"/>
        <v>0</v>
      </c>
      <c r="S820" s="1627">
        <f t="shared" si="435"/>
        <v>0</v>
      </c>
      <c r="T820" s="1627">
        <f t="shared" si="436"/>
        <v>0</v>
      </c>
      <c r="U820" s="1626">
        <f t="shared" si="437"/>
        <v>0</v>
      </c>
      <c r="V820" s="1626">
        <f t="shared" si="437"/>
        <v>0</v>
      </c>
      <c r="W820" s="1625">
        <f t="shared" si="438"/>
        <v>0</v>
      </c>
      <c r="X820" s="1614"/>
      <c r="Y820" s="1613"/>
      <c r="Z820" s="1612">
        <f t="shared" si="439"/>
        <v>0.59590265090504657</v>
      </c>
      <c r="AA820" s="1611"/>
      <c r="AB820" s="1611"/>
      <c r="AC820" s="1611"/>
      <c r="AD820" s="1611"/>
      <c r="AE820" s="1611"/>
      <c r="AF820" s="1611"/>
      <c r="AG820" s="1611"/>
      <c r="AH820" s="1611"/>
      <c r="AI820" s="1611"/>
      <c r="AJ820" s="1611"/>
      <c r="AK820" s="1611"/>
      <c r="AL820" s="1611"/>
      <c r="AM820" s="1611"/>
      <c r="AN820" s="1611"/>
      <c r="AO820" s="1611"/>
      <c r="AP820" s="1611"/>
      <c r="AQ820" s="1611"/>
    </row>
    <row r="821" spans="1:43" outlineLevel="2">
      <c r="A821" s="1638" t="s">
        <v>330</v>
      </c>
      <c r="B821" s="1637" t="s">
        <v>142</v>
      </c>
      <c r="C821" s="1636"/>
      <c r="D821" s="1635">
        <v>1</v>
      </c>
      <c r="E821" s="1634" t="s">
        <v>924</v>
      </c>
      <c r="F821" s="1633" t="s">
        <v>1064</v>
      </c>
      <c r="G821" s="1632">
        <v>5342.0216691595506</v>
      </c>
      <c r="H821" s="1632">
        <v>2377.36</v>
      </c>
      <c r="I821" s="1630">
        <f t="shared" si="428"/>
        <v>7719.3816691595512</v>
      </c>
      <c r="J821" s="1630">
        <f t="shared" si="429"/>
        <v>7719.3816691595512</v>
      </c>
      <c r="K821" s="1631">
        <v>7175</v>
      </c>
      <c r="L821" s="1630">
        <f t="shared" si="430"/>
        <v>7175</v>
      </c>
      <c r="M821" s="1630">
        <f t="shared" si="431"/>
        <v>7175</v>
      </c>
      <c r="N821" s="1625">
        <f t="shared" si="432"/>
        <v>544.38166915955117</v>
      </c>
      <c r="O821" s="1629">
        <v>0.75239999999999996</v>
      </c>
      <c r="P821" s="1629">
        <v>0.24759999999999999</v>
      </c>
      <c r="Q821" s="1625">
        <f t="shared" si="433"/>
        <v>409.5927678756463</v>
      </c>
      <c r="R821" s="1628">
        <f t="shared" si="434"/>
        <v>134.78890128390486</v>
      </c>
      <c r="S821" s="1627">
        <f t="shared" si="435"/>
        <v>4932.4289012839045</v>
      </c>
      <c r="T821" s="1627">
        <f t="shared" si="436"/>
        <v>2242.5710987160951</v>
      </c>
      <c r="U821" s="1626">
        <f t="shared" si="437"/>
        <v>1233.1072253209761</v>
      </c>
      <c r="V821" s="1626">
        <f t="shared" si="437"/>
        <v>560.64277467902377</v>
      </c>
      <c r="W821" s="1625">
        <f t="shared" si="438"/>
        <v>1793.75</v>
      </c>
      <c r="X821" s="1614"/>
      <c r="Y821" s="1613"/>
      <c r="Z821" s="1612">
        <f t="shared" si="439"/>
        <v>0.92947859135732813</v>
      </c>
      <c r="AA821" s="1611"/>
      <c r="AB821" s="1611"/>
      <c r="AC821" s="1611"/>
      <c r="AD821" s="1611"/>
      <c r="AE821" s="1611"/>
      <c r="AF821" s="1611"/>
      <c r="AG821" s="1611"/>
      <c r="AH821" s="1611"/>
      <c r="AI821" s="1611"/>
      <c r="AJ821" s="1611"/>
      <c r="AK821" s="1611"/>
      <c r="AL821" s="1611"/>
      <c r="AM821" s="1611"/>
      <c r="AN821" s="1611"/>
      <c r="AO821" s="1611"/>
      <c r="AP821" s="1611"/>
      <c r="AQ821" s="1611"/>
    </row>
    <row r="822" spans="1:43" outlineLevel="2">
      <c r="A822" s="1638" t="s">
        <v>330</v>
      </c>
      <c r="B822" s="1637" t="s">
        <v>142</v>
      </c>
      <c r="C822" s="1636"/>
      <c r="D822" s="1635">
        <v>1</v>
      </c>
      <c r="E822" s="1634" t="s">
        <v>924</v>
      </c>
      <c r="F822" s="1633" t="s">
        <v>1067</v>
      </c>
      <c r="G822" s="1632">
        <v>5342.0216691595506</v>
      </c>
      <c r="H822" s="1632">
        <v>2377.36</v>
      </c>
      <c r="I822" s="1630">
        <f t="shared" si="428"/>
        <v>7719.3816691595512</v>
      </c>
      <c r="J822" s="1630">
        <f t="shared" si="429"/>
        <v>7719.3816691595512</v>
      </c>
      <c r="K822" s="1631">
        <v>7700</v>
      </c>
      <c r="L822" s="1630">
        <f t="shared" si="430"/>
        <v>7700</v>
      </c>
      <c r="M822" s="1630">
        <f t="shared" si="431"/>
        <v>7700</v>
      </c>
      <c r="N822" s="1625">
        <f t="shared" si="432"/>
        <v>19.381669159551166</v>
      </c>
      <c r="O822" s="1629">
        <v>0.75239999999999996</v>
      </c>
      <c r="P822" s="1629">
        <v>0.24759999999999999</v>
      </c>
      <c r="Q822" s="1625">
        <f t="shared" si="433"/>
        <v>14.582767875646296</v>
      </c>
      <c r="R822" s="1628">
        <f t="shared" si="434"/>
        <v>4.7989012839048684</v>
      </c>
      <c r="S822" s="1627">
        <f t="shared" si="435"/>
        <v>5327.4389012839047</v>
      </c>
      <c r="T822" s="1627">
        <f t="shared" si="436"/>
        <v>2372.5610987160953</v>
      </c>
      <c r="U822" s="1626">
        <f t="shared" si="437"/>
        <v>1331.8597253209762</v>
      </c>
      <c r="V822" s="1626">
        <f t="shared" si="437"/>
        <v>593.14027467902383</v>
      </c>
      <c r="W822" s="1625">
        <f t="shared" si="438"/>
        <v>1925</v>
      </c>
      <c r="X822" s="1614"/>
      <c r="Y822" s="1613"/>
      <c r="Z822" s="1612">
        <f t="shared" si="439"/>
        <v>0.99748921999323015</v>
      </c>
      <c r="AA822" s="1611"/>
      <c r="AB822" s="1611"/>
      <c r="AC822" s="1611"/>
      <c r="AD822" s="1611"/>
      <c r="AE822" s="1611"/>
      <c r="AF822" s="1611"/>
      <c r="AG822" s="1611"/>
      <c r="AH822" s="1611"/>
      <c r="AI822" s="1611"/>
      <c r="AJ822" s="1611"/>
      <c r="AK822" s="1611"/>
      <c r="AL822" s="1611"/>
      <c r="AM822" s="1611"/>
      <c r="AN822" s="1611"/>
      <c r="AO822" s="1611"/>
      <c r="AP822" s="1611"/>
      <c r="AQ822" s="1611"/>
    </row>
    <row r="823" spans="1:43" outlineLevel="2">
      <c r="A823" s="1638" t="s">
        <v>330</v>
      </c>
      <c r="B823" s="1637" t="s">
        <v>142</v>
      </c>
      <c r="C823" s="1636"/>
      <c r="D823" s="1635">
        <v>2</v>
      </c>
      <c r="E823" s="1634" t="s">
        <v>924</v>
      </c>
      <c r="F823" s="1633" t="s">
        <v>979</v>
      </c>
      <c r="G823" s="1632">
        <v>5342.0216691595506</v>
      </c>
      <c r="H823" s="1632">
        <v>2377.36</v>
      </c>
      <c r="I823" s="1630">
        <f t="shared" si="428"/>
        <v>7719.3816691595512</v>
      </c>
      <c r="J823" s="1630">
        <f t="shared" si="429"/>
        <v>15438.763338319102</v>
      </c>
      <c r="K823" s="1631">
        <v>6700</v>
      </c>
      <c r="L823" s="1630">
        <f t="shared" si="430"/>
        <v>6700</v>
      </c>
      <c r="M823" s="1630">
        <f t="shared" si="431"/>
        <v>13400</v>
      </c>
      <c r="N823" s="1625">
        <f t="shared" si="432"/>
        <v>2038.7633383191023</v>
      </c>
      <c r="O823" s="1629">
        <v>0.75239999999999996</v>
      </c>
      <c r="P823" s="1629">
        <v>0.24759999999999999</v>
      </c>
      <c r="Q823" s="1625">
        <f t="shared" si="433"/>
        <v>1533.9655357512925</v>
      </c>
      <c r="R823" s="1628">
        <f t="shared" si="434"/>
        <v>504.7978025678097</v>
      </c>
      <c r="S823" s="1627">
        <f t="shared" si="435"/>
        <v>9150.0778025678082</v>
      </c>
      <c r="T823" s="1627">
        <f t="shared" si="436"/>
        <v>4249.9221974321908</v>
      </c>
      <c r="U823" s="1626">
        <f t="shared" si="437"/>
        <v>2287.5194506419521</v>
      </c>
      <c r="V823" s="1626">
        <f t="shared" si="437"/>
        <v>1062.4805493580477</v>
      </c>
      <c r="W823" s="1625">
        <f t="shared" si="438"/>
        <v>3350</v>
      </c>
      <c r="X823" s="1614"/>
      <c r="Y823" s="1613"/>
      <c r="Z823" s="1612">
        <f t="shared" si="439"/>
        <v>0.86794516544865485</v>
      </c>
      <c r="AA823" s="1611"/>
      <c r="AB823" s="1611"/>
      <c r="AC823" s="1611"/>
      <c r="AD823" s="1611"/>
      <c r="AE823" s="1611"/>
      <c r="AF823" s="1611"/>
      <c r="AG823" s="1611"/>
      <c r="AH823" s="1611"/>
      <c r="AI823" s="1611"/>
      <c r="AJ823" s="1611"/>
      <c r="AK823" s="1611"/>
      <c r="AL823" s="1611"/>
      <c r="AM823" s="1611"/>
      <c r="AN823" s="1611"/>
      <c r="AO823" s="1611"/>
      <c r="AP823" s="1611"/>
      <c r="AQ823" s="1611"/>
    </row>
    <row r="824" spans="1:43" outlineLevel="1">
      <c r="A824" s="1624"/>
      <c r="B824" s="1623" t="s">
        <v>1086</v>
      </c>
      <c r="C824" s="1622"/>
      <c r="D824" s="1621">
        <f>SUBTOTAL(9,D816:D823)</f>
        <v>65</v>
      </c>
      <c r="E824" s="1620"/>
      <c r="F824" s="1639"/>
      <c r="G824" s="1639"/>
      <c r="H824" s="1639"/>
      <c r="I824" s="1616"/>
      <c r="J824" s="1616">
        <f>SUBTOTAL(9,J816:J823)</f>
        <v>501759.80849537085</v>
      </c>
      <c r="K824" s="1615"/>
      <c r="L824" s="1616"/>
      <c r="M824" s="1616">
        <f>SUBTOTAL(9,M816:M823)</f>
        <v>378321</v>
      </c>
      <c r="N824" s="1615">
        <f>SUBTOTAL(9,N816:N823)</f>
        <v>123438.80849537083</v>
      </c>
      <c r="O824" s="1616"/>
      <c r="P824" s="1616"/>
      <c r="Q824" s="1615">
        <f t="shared" ref="Q824:W824" si="440">SUBTOTAL(9,Q816:Q823)</f>
        <v>92875.359511916991</v>
      </c>
      <c r="R824" s="1615">
        <f t="shared" si="440"/>
        <v>30563.448983453814</v>
      </c>
      <c r="S824" s="1616">
        <f t="shared" si="440"/>
        <v>254356.04898345377</v>
      </c>
      <c r="T824" s="1616">
        <f t="shared" si="440"/>
        <v>123964.9510165462</v>
      </c>
      <c r="U824" s="1616">
        <f t="shared" si="440"/>
        <v>63589.012245863443</v>
      </c>
      <c r="V824" s="1616">
        <f t="shared" si="440"/>
        <v>30991.237754136549</v>
      </c>
      <c r="W824" s="1615">
        <f t="shared" si="440"/>
        <v>94580.25</v>
      </c>
      <c r="X824" s="1614"/>
      <c r="Y824" s="1613"/>
      <c r="Z824" s="1612"/>
      <c r="AA824" s="1611"/>
      <c r="AB824" s="1611"/>
      <c r="AC824" s="1611"/>
      <c r="AD824" s="1611"/>
      <c r="AE824" s="1611"/>
      <c r="AF824" s="1611"/>
      <c r="AG824" s="1611"/>
      <c r="AH824" s="1611"/>
      <c r="AI824" s="1611"/>
      <c r="AJ824" s="1611"/>
      <c r="AK824" s="1611"/>
      <c r="AL824" s="1611"/>
      <c r="AM824" s="1611"/>
      <c r="AN824" s="1611"/>
      <c r="AO824" s="1611"/>
      <c r="AP824" s="1611"/>
      <c r="AQ824" s="1611"/>
    </row>
    <row r="825" spans="1:43" outlineLevel="2">
      <c r="A825" s="1638" t="s">
        <v>331</v>
      </c>
      <c r="B825" s="1637" t="s">
        <v>143</v>
      </c>
      <c r="C825" s="1636"/>
      <c r="D825" s="1635">
        <v>1</v>
      </c>
      <c r="E825" s="1634" t="s">
        <v>923</v>
      </c>
      <c r="F825" s="1633" t="s">
        <v>1063</v>
      </c>
      <c r="G825" s="1632">
        <v>5617.0685635897289</v>
      </c>
      <c r="H825" s="1632">
        <v>2874.24</v>
      </c>
      <c r="I825" s="1630">
        <f t="shared" ref="I825:I843" si="441">G825+H825</f>
        <v>8491.3085635897296</v>
      </c>
      <c r="J825" s="1630">
        <f t="shared" ref="J825:J843" si="442">D825*I825</f>
        <v>8491.3085635897296</v>
      </c>
      <c r="K825" s="1631">
        <v>6100</v>
      </c>
      <c r="L825" s="1630">
        <f t="shared" ref="L825:L843" si="443">IF(I825&gt;K825,K825,I825)</f>
        <v>6100</v>
      </c>
      <c r="M825" s="1630">
        <f t="shared" ref="M825:M843" si="444">L825*D825</f>
        <v>6100</v>
      </c>
      <c r="N825" s="1625">
        <f t="shared" ref="N825:N843" si="445">J825-M825</f>
        <v>2391.3085635897296</v>
      </c>
      <c r="O825" s="1629">
        <v>0.74539999999999995</v>
      </c>
      <c r="P825" s="1629">
        <v>0.25459999999999999</v>
      </c>
      <c r="Q825" s="1625">
        <f t="shared" ref="Q825:Q843" si="446">N825*O825</f>
        <v>1782.4814032997842</v>
      </c>
      <c r="R825" s="1628">
        <f t="shared" ref="R825:R843" si="447">N825*P825</f>
        <v>608.82716028994514</v>
      </c>
      <c r="S825" s="1627">
        <f t="shared" ref="S825:S843" si="448">(G825*D825)-Q825</f>
        <v>3834.5871602899447</v>
      </c>
      <c r="T825" s="1627">
        <f t="shared" ref="T825:T843" si="449">(H825*D825)-R825</f>
        <v>2265.4128397100549</v>
      </c>
      <c r="U825" s="1626">
        <f t="shared" ref="U825:U843" si="450">S825/4</f>
        <v>958.64679007248617</v>
      </c>
      <c r="V825" s="1626">
        <f t="shared" ref="V825:V843" si="451">T825/4</f>
        <v>566.35320992751372</v>
      </c>
      <c r="W825" s="1625">
        <f t="shared" ref="W825:W843" si="452">V825+U825</f>
        <v>1525</v>
      </c>
      <c r="X825" s="1614"/>
      <c r="Y825" s="1613"/>
      <c r="Z825" s="1612">
        <f t="shared" ref="Z825:Z843" si="453">K825/I825</f>
        <v>0.71838161978431325</v>
      </c>
      <c r="AA825" s="1611"/>
      <c r="AB825" s="1611"/>
      <c r="AC825" s="1611"/>
      <c r="AD825" s="1611"/>
      <c r="AE825" s="1611"/>
      <c r="AF825" s="1611"/>
      <c r="AG825" s="1611"/>
      <c r="AH825" s="1611"/>
      <c r="AI825" s="1611"/>
      <c r="AJ825" s="1611"/>
      <c r="AK825" s="1611"/>
      <c r="AL825" s="1611"/>
      <c r="AM825" s="1611"/>
      <c r="AN825" s="1611"/>
      <c r="AO825" s="1611"/>
      <c r="AP825" s="1611"/>
      <c r="AQ825" s="1611"/>
    </row>
    <row r="826" spans="1:43" outlineLevel="2">
      <c r="A826" s="1638" t="s">
        <v>331</v>
      </c>
      <c r="B826" s="1637" t="s">
        <v>143</v>
      </c>
      <c r="C826" s="1636"/>
      <c r="D826" s="1635">
        <v>1</v>
      </c>
      <c r="E826" s="1634" t="s">
        <v>923</v>
      </c>
      <c r="F826" s="1633" t="s">
        <v>1072</v>
      </c>
      <c r="G826" s="1632">
        <v>5617.0685635897289</v>
      </c>
      <c r="H826" s="1632">
        <v>2874.24</v>
      </c>
      <c r="I826" s="1630">
        <f t="shared" si="441"/>
        <v>8491.3085635897296</v>
      </c>
      <c r="J826" s="1630">
        <f t="shared" si="442"/>
        <v>8491.3085635897296</v>
      </c>
      <c r="K826" s="1631">
        <v>6100</v>
      </c>
      <c r="L826" s="1630">
        <f t="shared" si="443"/>
        <v>6100</v>
      </c>
      <c r="M826" s="1630">
        <f t="shared" si="444"/>
        <v>6100</v>
      </c>
      <c r="N826" s="1625">
        <f t="shared" si="445"/>
        <v>2391.3085635897296</v>
      </c>
      <c r="O826" s="1629">
        <v>0.74539999999999995</v>
      </c>
      <c r="P826" s="1629">
        <v>0.25459999999999999</v>
      </c>
      <c r="Q826" s="1625">
        <f t="shared" si="446"/>
        <v>1782.4814032997842</v>
      </c>
      <c r="R826" s="1628">
        <f t="shared" si="447"/>
        <v>608.82716028994514</v>
      </c>
      <c r="S826" s="1627">
        <f t="shared" si="448"/>
        <v>3834.5871602899447</v>
      </c>
      <c r="T826" s="1627">
        <f t="shared" si="449"/>
        <v>2265.4128397100549</v>
      </c>
      <c r="U826" s="1626">
        <f t="shared" si="450"/>
        <v>958.64679007248617</v>
      </c>
      <c r="V826" s="1626">
        <f t="shared" si="451"/>
        <v>566.35320992751372</v>
      </c>
      <c r="W826" s="1625">
        <f t="shared" si="452"/>
        <v>1525</v>
      </c>
      <c r="X826" s="1614"/>
      <c r="Y826" s="1613"/>
      <c r="Z826" s="1612">
        <f t="shared" si="453"/>
        <v>0.71838161978431325</v>
      </c>
      <c r="AA826" s="1611"/>
      <c r="AB826" s="1611"/>
      <c r="AC826" s="1611"/>
      <c r="AD826" s="1611"/>
      <c r="AE826" s="1611"/>
      <c r="AF826" s="1611"/>
      <c r="AG826" s="1611"/>
      <c r="AH826" s="1611"/>
      <c r="AI826" s="1611"/>
      <c r="AJ826" s="1611"/>
      <c r="AK826" s="1611"/>
      <c r="AL826" s="1611"/>
      <c r="AM826" s="1611"/>
      <c r="AN826" s="1611"/>
      <c r="AO826" s="1611"/>
      <c r="AP826" s="1611"/>
      <c r="AQ826" s="1611"/>
    </row>
    <row r="827" spans="1:43" outlineLevel="2">
      <c r="A827" s="1638" t="s">
        <v>331</v>
      </c>
      <c r="B827" s="1637" t="s">
        <v>143</v>
      </c>
      <c r="C827" s="1636"/>
      <c r="D827" s="1635">
        <v>1</v>
      </c>
      <c r="E827" s="1634" t="s">
        <v>926</v>
      </c>
      <c r="F827" s="1633" t="s">
        <v>1070</v>
      </c>
      <c r="G827" s="1632">
        <v>5617.0685635897289</v>
      </c>
      <c r="H827" s="1632">
        <v>2874.24</v>
      </c>
      <c r="I827" s="1630">
        <f t="shared" si="441"/>
        <v>8491.3085635897296</v>
      </c>
      <c r="J827" s="1630">
        <f t="shared" si="442"/>
        <v>8491.3085635897296</v>
      </c>
      <c r="K827" s="1631">
        <v>4745</v>
      </c>
      <c r="L827" s="1630">
        <f t="shared" si="443"/>
        <v>4745</v>
      </c>
      <c r="M827" s="1630">
        <f t="shared" si="444"/>
        <v>4745</v>
      </c>
      <c r="N827" s="1625">
        <f t="shared" si="445"/>
        <v>3746.3085635897296</v>
      </c>
      <c r="O827" s="1629">
        <v>0.74539999999999995</v>
      </c>
      <c r="P827" s="1629">
        <v>0.25459999999999999</v>
      </c>
      <c r="Q827" s="1625">
        <f t="shared" si="446"/>
        <v>2792.4984032997841</v>
      </c>
      <c r="R827" s="1628">
        <f t="shared" si="447"/>
        <v>953.81016028994509</v>
      </c>
      <c r="S827" s="1627">
        <f t="shared" si="448"/>
        <v>2824.5701602899449</v>
      </c>
      <c r="T827" s="1627">
        <f t="shared" si="449"/>
        <v>1920.4298397100547</v>
      </c>
      <c r="U827" s="1626">
        <f t="shared" si="450"/>
        <v>706.14254007248621</v>
      </c>
      <c r="V827" s="1626">
        <f t="shared" si="451"/>
        <v>480.10745992751367</v>
      </c>
      <c r="W827" s="1625">
        <f t="shared" si="452"/>
        <v>1186.25</v>
      </c>
      <c r="X827" s="1614"/>
      <c r="Y827" s="1613"/>
      <c r="Z827" s="1612">
        <f t="shared" si="453"/>
        <v>0.55880668620927321</v>
      </c>
      <c r="AA827" s="1611"/>
      <c r="AB827" s="1611"/>
      <c r="AC827" s="1611"/>
      <c r="AD827" s="1611"/>
      <c r="AE827" s="1611"/>
      <c r="AF827" s="1611"/>
      <c r="AG827" s="1611"/>
      <c r="AH827" s="1611"/>
      <c r="AI827" s="1611"/>
      <c r="AJ827" s="1611"/>
      <c r="AK827" s="1611"/>
      <c r="AL827" s="1611"/>
      <c r="AM827" s="1611"/>
      <c r="AN827" s="1611"/>
      <c r="AO827" s="1611"/>
      <c r="AP827" s="1611"/>
      <c r="AQ827" s="1611"/>
    </row>
    <row r="828" spans="1:43" outlineLevel="2">
      <c r="A828" s="1638" t="s">
        <v>331</v>
      </c>
      <c r="B828" s="1637" t="s">
        <v>143</v>
      </c>
      <c r="C828" s="1636"/>
      <c r="D828" s="1635">
        <v>1</v>
      </c>
      <c r="E828" s="1634" t="s">
        <v>926</v>
      </c>
      <c r="F828" s="1633" t="s">
        <v>1069</v>
      </c>
      <c r="G828" s="1632">
        <v>5617.0685635897289</v>
      </c>
      <c r="H828" s="1632">
        <v>2874.24</v>
      </c>
      <c r="I828" s="1630">
        <f t="shared" si="441"/>
        <v>8491.3085635897296</v>
      </c>
      <c r="J828" s="1630">
        <f t="shared" si="442"/>
        <v>8491.3085635897296</v>
      </c>
      <c r="K828" s="1631">
        <v>4745</v>
      </c>
      <c r="L828" s="1630">
        <f t="shared" si="443"/>
        <v>4745</v>
      </c>
      <c r="M828" s="1630">
        <f t="shared" si="444"/>
        <v>4745</v>
      </c>
      <c r="N828" s="1625">
        <f t="shared" si="445"/>
        <v>3746.3085635897296</v>
      </c>
      <c r="O828" s="1629">
        <v>0.74539999999999995</v>
      </c>
      <c r="P828" s="1629">
        <v>0.25459999999999999</v>
      </c>
      <c r="Q828" s="1625">
        <f t="shared" si="446"/>
        <v>2792.4984032997841</v>
      </c>
      <c r="R828" s="1628">
        <f t="shared" si="447"/>
        <v>953.81016028994509</v>
      </c>
      <c r="S828" s="1627">
        <f t="shared" si="448"/>
        <v>2824.5701602899449</v>
      </c>
      <c r="T828" s="1627">
        <f t="shared" si="449"/>
        <v>1920.4298397100547</v>
      </c>
      <c r="U828" s="1626">
        <f t="shared" si="450"/>
        <v>706.14254007248621</v>
      </c>
      <c r="V828" s="1626">
        <f t="shared" si="451"/>
        <v>480.10745992751367</v>
      </c>
      <c r="W828" s="1625">
        <f t="shared" si="452"/>
        <v>1186.25</v>
      </c>
      <c r="X828" s="1614"/>
      <c r="Y828" s="1613"/>
      <c r="Z828" s="1612">
        <f t="shared" si="453"/>
        <v>0.55880668620927321</v>
      </c>
      <c r="AA828" s="1611"/>
      <c r="AB828" s="1611"/>
      <c r="AC828" s="1611"/>
      <c r="AD828" s="1611"/>
      <c r="AE828" s="1611"/>
      <c r="AF828" s="1611"/>
      <c r="AG828" s="1611"/>
      <c r="AH828" s="1611"/>
      <c r="AI828" s="1611"/>
      <c r="AJ828" s="1611"/>
      <c r="AK828" s="1611"/>
      <c r="AL828" s="1611"/>
      <c r="AM828" s="1611"/>
      <c r="AN828" s="1611"/>
      <c r="AO828" s="1611"/>
      <c r="AP828" s="1611"/>
      <c r="AQ828" s="1611"/>
    </row>
    <row r="829" spans="1:43" outlineLevel="2">
      <c r="A829" s="1638" t="s">
        <v>331</v>
      </c>
      <c r="B829" s="1637" t="s">
        <v>143</v>
      </c>
      <c r="C829" s="1636"/>
      <c r="D829" s="1635">
        <v>1</v>
      </c>
      <c r="E829" s="1634" t="s">
        <v>926</v>
      </c>
      <c r="F829" s="1633" t="s">
        <v>1068</v>
      </c>
      <c r="G829" s="1632">
        <v>5617.0685635897289</v>
      </c>
      <c r="H829" s="1632">
        <v>2874.24</v>
      </c>
      <c r="I829" s="1630">
        <f t="shared" si="441"/>
        <v>8491.3085635897296</v>
      </c>
      <c r="J829" s="1630">
        <f t="shared" si="442"/>
        <v>8491.3085635897296</v>
      </c>
      <c r="K829" s="1631">
        <v>4745</v>
      </c>
      <c r="L829" s="1630">
        <f t="shared" si="443"/>
        <v>4745</v>
      </c>
      <c r="M829" s="1630">
        <f t="shared" si="444"/>
        <v>4745</v>
      </c>
      <c r="N829" s="1625">
        <f t="shared" si="445"/>
        <v>3746.3085635897296</v>
      </c>
      <c r="O829" s="1629">
        <v>0.74539999999999995</v>
      </c>
      <c r="P829" s="1629">
        <v>0.25459999999999999</v>
      </c>
      <c r="Q829" s="1625">
        <f t="shared" si="446"/>
        <v>2792.4984032997841</v>
      </c>
      <c r="R829" s="1628">
        <f t="shared" si="447"/>
        <v>953.81016028994509</v>
      </c>
      <c r="S829" s="1627">
        <f t="shared" si="448"/>
        <v>2824.5701602899449</v>
      </c>
      <c r="T829" s="1627">
        <f t="shared" si="449"/>
        <v>1920.4298397100547</v>
      </c>
      <c r="U829" s="1626">
        <f t="shared" si="450"/>
        <v>706.14254007248621</v>
      </c>
      <c r="V829" s="1626">
        <f t="shared" si="451"/>
        <v>480.10745992751367</v>
      </c>
      <c r="W829" s="1625">
        <f t="shared" si="452"/>
        <v>1186.25</v>
      </c>
      <c r="X829" s="1614"/>
      <c r="Y829" s="1613"/>
      <c r="Z829" s="1612">
        <f t="shared" si="453"/>
        <v>0.55880668620927321</v>
      </c>
      <c r="AA829" s="1611"/>
      <c r="AB829" s="1611"/>
      <c r="AC829" s="1611"/>
      <c r="AD829" s="1611"/>
      <c r="AE829" s="1611"/>
      <c r="AF829" s="1611"/>
      <c r="AG829" s="1611"/>
      <c r="AH829" s="1611"/>
      <c r="AI829" s="1611"/>
      <c r="AJ829" s="1611"/>
      <c r="AK829" s="1611"/>
      <c r="AL829" s="1611"/>
      <c r="AM829" s="1611"/>
      <c r="AN829" s="1611"/>
      <c r="AO829" s="1611"/>
      <c r="AP829" s="1611"/>
      <c r="AQ829" s="1611"/>
    </row>
    <row r="830" spans="1:43" outlineLevel="2">
      <c r="A830" s="1638" t="s">
        <v>331</v>
      </c>
      <c r="B830" s="1637" t="s">
        <v>143</v>
      </c>
      <c r="C830" s="1636"/>
      <c r="D830" s="1635">
        <v>1</v>
      </c>
      <c r="E830" s="1634" t="s">
        <v>926</v>
      </c>
      <c r="F830" s="1633" t="s">
        <v>1065</v>
      </c>
      <c r="G830" s="1632">
        <v>5617.0685635897289</v>
      </c>
      <c r="H830" s="1632">
        <v>2874.24</v>
      </c>
      <c r="I830" s="1630">
        <f t="shared" si="441"/>
        <v>8491.3085635897296</v>
      </c>
      <c r="J830" s="1630">
        <f t="shared" si="442"/>
        <v>8491.3085635897296</v>
      </c>
      <c r="K830" s="1631">
        <v>4745</v>
      </c>
      <c r="L830" s="1630">
        <f t="shared" si="443"/>
        <v>4745</v>
      </c>
      <c r="M830" s="1630">
        <f t="shared" si="444"/>
        <v>4745</v>
      </c>
      <c r="N830" s="1625">
        <f t="shared" si="445"/>
        <v>3746.3085635897296</v>
      </c>
      <c r="O830" s="1629">
        <v>0.74539999999999995</v>
      </c>
      <c r="P830" s="1629">
        <v>0.25459999999999999</v>
      </c>
      <c r="Q830" s="1625">
        <f t="shared" si="446"/>
        <v>2792.4984032997841</v>
      </c>
      <c r="R830" s="1628">
        <f t="shared" si="447"/>
        <v>953.81016028994509</v>
      </c>
      <c r="S830" s="1627">
        <f t="shared" si="448"/>
        <v>2824.5701602899449</v>
      </c>
      <c r="T830" s="1627">
        <f t="shared" si="449"/>
        <v>1920.4298397100547</v>
      </c>
      <c r="U830" s="1626">
        <f t="shared" si="450"/>
        <v>706.14254007248621</v>
      </c>
      <c r="V830" s="1626">
        <f t="shared" si="451"/>
        <v>480.10745992751367</v>
      </c>
      <c r="W830" s="1625">
        <f t="shared" si="452"/>
        <v>1186.25</v>
      </c>
      <c r="X830" s="1614"/>
      <c r="Y830" s="1613"/>
      <c r="Z830" s="1612">
        <f t="shared" si="453"/>
        <v>0.55880668620927321</v>
      </c>
      <c r="AA830" s="1611"/>
      <c r="AB830" s="1611"/>
      <c r="AC830" s="1611"/>
      <c r="AD830" s="1611"/>
      <c r="AE830" s="1611"/>
      <c r="AF830" s="1611"/>
      <c r="AG830" s="1611"/>
      <c r="AH830" s="1611"/>
      <c r="AI830" s="1611"/>
      <c r="AJ830" s="1611"/>
      <c r="AK830" s="1611"/>
      <c r="AL830" s="1611"/>
      <c r="AM830" s="1611"/>
      <c r="AN830" s="1611"/>
      <c r="AO830" s="1611"/>
      <c r="AP830" s="1611"/>
      <c r="AQ830" s="1611"/>
    </row>
    <row r="831" spans="1:43" outlineLevel="2">
      <c r="A831" s="1638" t="s">
        <v>331</v>
      </c>
      <c r="B831" s="1637" t="s">
        <v>143</v>
      </c>
      <c r="C831" s="1636"/>
      <c r="D831" s="1635">
        <v>1</v>
      </c>
      <c r="E831" s="1634" t="s">
        <v>926</v>
      </c>
      <c r="F831" s="1633" t="s">
        <v>1063</v>
      </c>
      <c r="G831" s="1632">
        <v>5617.0685635897289</v>
      </c>
      <c r="H831" s="1632">
        <v>2874.24</v>
      </c>
      <c r="I831" s="1630">
        <f t="shared" si="441"/>
        <v>8491.3085635897296</v>
      </c>
      <c r="J831" s="1630">
        <f t="shared" si="442"/>
        <v>8491.3085635897296</v>
      </c>
      <c r="K831" s="1631">
        <v>4745</v>
      </c>
      <c r="L831" s="1630">
        <f t="shared" si="443"/>
        <v>4745</v>
      </c>
      <c r="M831" s="1630">
        <f t="shared" si="444"/>
        <v>4745</v>
      </c>
      <c r="N831" s="1625">
        <f t="shared" si="445"/>
        <v>3746.3085635897296</v>
      </c>
      <c r="O831" s="1629">
        <v>0.74539999999999995</v>
      </c>
      <c r="P831" s="1629">
        <v>0.25459999999999999</v>
      </c>
      <c r="Q831" s="1625">
        <f t="shared" si="446"/>
        <v>2792.4984032997841</v>
      </c>
      <c r="R831" s="1628">
        <f t="shared" si="447"/>
        <v>953.81016028994509</v>
      </c>
      <c r="S831" s="1627">
        <f t="shared" si="448"/>
        <v>2824.5701602899449</v>
      </c>
      <c r="T831" s="1627">
        <f t="shared" si="449"/>
        <v>1920.4298397100547</v>
      </c>
      <c r="U831" s="1626">
        <f t="shared" si="450"/>
        <v>706.14254007248621</v>
      </c>
      <c r="V831" s="1626">
        <f t="shared" si="451"/>
        <v>480.10745992751367</v>
      </c>
      <c r="W831" s="1625">
        <f t="shared" si="452"/>
        <v>1186.25</v>
      </c>
      <c r="X831" s="1614"/>
      <c r="Y831" s="1613"/>
      <c r="Z831" s="1612">
        <f t="shared" si="453"/>
        <v>0.55880668620927321</v>
      </c>
      <c r="AA831" s="1611"/>
      <c r="AB831" s="1611"/>
      <c r="AC831" s="1611"/>
      <c r="AD831" s="1611"/>
      <c r="AE831" s="1611"/>
      <c r="AF831" s="1611"/>
      <c r="AG831" s="1611"/>
      <c r="AH831" s="1611"/>
      <c r="AI831" s="1611"/>
      <c r="AJ831" s="1611"/>
      <c r="AK831" s="1611"/>
      <c r="AL831" s="1611"/>
      <c r="AM831" s="1611"/>
      <c r="AN831" s="1611"/>
      <c r="AO831" s="1611"/>
      <c r="AP831" s="1611"/>
      <c r="AQ831" s="1611"/>
    </row>
    <row r="832" spans="1:43" outlineLevel="2">
      <c r="A832" s="1638" t="s">
        <v>331</v>
      </c>
      <c r="B832" s="1637" t="s">
        <v>143</v>
      </c>
      <c r="C832" s="1636"/>
      <c r="D832" s="1635">
        <v>2</v>
      </c>
      <c r="E832" s="1634" t="s">
        <v>926</v>
      </c>
      <c r="F832" s="1633" t="s">
        <v>979</v>
      </c>
      <c r="G832" s="1632">
        <v>5617.0685635897289</v>
      </c>
      <c r="H832" s="1632">
        <v>2874.24</v>
      </c>
      <c r="I832" s="1630">
        <f t="shared" si="441"/>
        <v>8491.3085635897296</v>
      </c>
      <c r="J832" s="1630">
        <f t="shared" si="442"/>
        <v>16982.617127179459</v>
      </c>
      <c r="K832" s="1631">
        <v>4745</v>
      </c>
      <c r="L832" s="1630">
        <f t="shared" si="443"/>
        <v>4745</v>
      </c>
      <c r="M832" s="1630">
        <f t="shared" si="444"/>
        <v>9490</v>
      </c>
      <c r="N832" s="1625">
        <f t="shared" si="445"/>
        <v>7492.6171271794592</v>
      </c>
      <c r="O832" s="1629">
        <v>0.74539999999999995</v>
      </c>
      <c r="P832" s="1629">
        <v>0.25459999999999999</v>
      </c>
      <c r="Q832" s="1625">
        <f t="shared" si="446"/>
        <v>5584.9968065995681</v>
      </c>
      <c r="R832" s="1628">
        <f t="shared" si="447"/>
        <v>1907.6203205798902</v>
      </c>
      <c r="S832" s="1627">
        <f t="shared" si="448"/>
        <v>5649.1403205798897</v>
      </c>
      <c r="T832" s="1627">
        <f t="shared" si="449"/>
        <v>3840.8596794201094</v>
      </c>
      <c r="U832" s="1626">
        <f t="shared" si="450"/>
        <v>1412.2850801449724</v>
      </c>
      <c r="V832" s="1626">
        <f t="shared" si="451"/>
        <v>960.21491985502735</v>
      </c>
      <c r="W832" s="1625">
        <f t="shared" si="452"/>
        <v>2372.5</v>
      </c>
      <c r="X832" s="1614"/>
      <c r="Y832" s="1613"/>
      <c r="Z832" s="1612">
        <f t="shared" si="453"/>
        <v>0.55880668620927321</v>
      </c>
      <c r="AA832" s="1611"/>
      <c r="AB832" s="1611"/>
      <c r="AC832" s="1611"/>
      <c r="AD832" s="1611"/>
      <c r="AE832" s="1611"/>
      <c r="AF832" s="1611"/>
      <c r="AG832" s="1611"/>
      <c r="AH832" s="1611"/>
      <c r="AI832" s="1611"/>
      <c r="AJ832" s="1611"/>
      <c r="AK832" s="1611"/>
      <c r="AL832" s="1611"/>
      <c r="AM832" s="1611"/>
      <c r="AN832" s="1611"/>
      <c r="AO832" s="1611"/>
      <c r="AP832" s="1611"/>
      <c r="AQ832" s="1611"/>
    </row>
    <row r="833" spans="1:43" outlineLevel="2">
      <c r="A833" s="1638" t="s">
        <v>331</v>
      </c>
      <c r="B833" s="1637" t="s">
        <v>143</v>
      </c>
      <c r="C833" s="1636"/>
      <c r="D833" s="1635">
        <v>1</v>
      </c>
      <c r="E833" s="1634" t="s">
        <v>925</v>
      </c>
      <c r="F833" s="1633" t="s">
        <v>979</v>
      </c>
      <c r="G833" s="1632">
        <v>5617.0685635897289</v>
      </c>
      <c r="H833" s="1632">
        <v>2874.24</v>
      </c>
      <c r="I833" s="1630">
        <f t="shared" si="441"/>
        <v>8491.3085635897296</v>
      </c>
      <c r="J833" s="1630">
        <f t="shared" si="442"/>
        <v>8491.3085635897296</v>
      </c>
      <c r="K833" s="1631">
        <v>4430</v>
      </c>
      <c r="L833" s="1630">
        <f t="shared" si="443"/>
        <v>4430</v>
      </c>
      <c r="M833" s="1630">
        <f t="shared" si="444"/>
        <v>4430</v>
      </c>
      <c r="N833" s="1625">
        <f t="shared" si="445"/>
        <v>4061.3085635897296</v>
      </c>
      <c r="O833" s="1629">
        <v>0.74539999999999995</v>
      </c>
      <c r="P833" s="1629">
        <v>0.25459999999999999</v>
      </c>
      <c r="Q833" s="1625">
        <f t="shared" si="446"/>
        <v>3027.2994032997844</v>
      </c>
      <c r="R833" s="1628">
        <f t="shared" si="447"/>
        <v>1034.0091602899452</v>
      </c>
      <c r="S833" s="1627">
        <f t="shared" si="448"/>
        <v>2589.7691602899445</v>
      </c>
      <c r="T833" s="1627">
        <f t="shared" si="449"/>
        <v>1840.2308397100546</v>
      </c>
      <c r="U833" s="1626">
        <f t="shared" si="450"/>
        <v>647.44229007248612</v>
      </c>
      <c r="V833" s="1626">
        <f t="shared" si="451"/>
        <v>460.05770992751366</v>
      </c>
      <c r="W833" s="1625">
        <f t="shared" si="452"/>
        <v>1107.4999999999998</v>
      </c>
      <c r="X833" s="1614"/>
      <c r="Y833" s="1613"/>
      <c r="Z833" s="1612">
        <f t="shared" si="453"/>
        <v>0.52170993043352587</v>
      </c>
      <c r="AA833" s="1611"/>
      <c r="AB833" s="1611"/>
      <c r="AC833" s="1611"/>
      <c r="AD833" s="1611"/>
      <c r="AE833" s="1611"/>
      <c r="AF833" s="1611"/>
      <c r="AG833" s="1611"/>
      <c r="AH833" s="1611"/>
      <c r="AI833" s="1611"/>
      <c r="AJ833" s="1611"/>
      <c r="AK833" s="1611"/>
      <c r="AL833" s="1611"/>
      <c r="AM833" s="1611"/>
      <c r="AN833" s="1611"/>
      <c r="AO833" s="1611"/>
      <c r="AP833" s="1611"/>
      <c r="AQ833" s="1611"/>
    </row>
    <row r="834" spans="1:43" outlineLevel="2">
      <c r="A834" s="1638" t="s">
        <v>331</v>
      </c>
      <c r="B834" s="1637" t="s">
        <v>143</v>
      </c>
      <c r="C834" s="1636"/>
      <c r="D834" s="1635">
        <v>1</v>
      </c>
      <c r="E834" s="1634" t="s">
        <v>903</v>
      </c>
      <c r="F834" s="1633" t="s">
        <v>1065</v>
      </c>
      <c r="G834" s="1632">
        <v>5617.0685635897289</v>
      </c>
      <c r="H834" s="1632">
        <v>2874.24</v>
      </c>
      <c r="I834" s="1630">
        <f t="shared" si="441"/>
        <v>8491.3085635897296</v>
      </c>
      <c r="J834" s="1630">
        <f t="shared" si="442"/>
        <v>8491.3085635897296</v>
      </c>
      <c r="K834" s="1631">
        <v>3706.85</v>
      </c>
      <c r="L834" s="1630">
        <f t="shared" si="443"/>
        <v>3706.85</v>
      </c>
      <c r="M834" s="1630">
        <f t="shared" si="444"/>
        <v>3706.85</v>
      </c>
      <c r="N834" s="1625">
        <f t="shared" si="445"/>
        <v>4784.4585635897292</v>
      </c>
      <c r="O834" s="1629">
        <v>0.74539999999999995</v>
      </c>
      <c r="P834" s="1629">
        <v>0.25459999999999999</v>
      </c>
      <c r="Q834" s="1625">
        <f t="shared" si="446"/>
        <v>3566.3354132997838</v>
      </c>
      <c r="R834" s="1628">
        <f t="shared" si="447"/>
        <v>1218.123150289945</v>
      </c>
      <c r="S834" s="1627">
        <f t="shared" si="448"/>
        <v>2050.7331502899451</v>
      </c>
      <c r="T834" s="1627">
        <f t="shared" si="449"/>
        <v>1656.1168497100548</v>
      </c>
      <c r="U834" s="1626">
        <f t="shared" si="450"/>
        <v>512.68328757248628</v>
      </c>
      <c r="V834" s="1626">
        <f t="shared" si="451"/>
        <v>414.0292124275137</v>
      </c>
      <c r="W834" s="1625">
        <f t="shared" si="452"/>
        <v>926.71249999999998</v>
      </c>
      <c r="X834" s="1614"/>
      <c r="Y834" s="1613"/>
      <c r="Z834" s="1612">
        <f t="shared" si="453"/>
        <v>0.43654637824548875</v>
      </c>
      <c r="AA834" s="1611"/>
      <c r="AB834" s="1611"/>
      <c r="AC834" s="1611"/>
      <c r="AD834" s="1611"/>
      <c r="AE834" s="1611"/>
      <c r="AF834" s="1611"/>
      <c r="AG834" s="1611"/>
      <c r="AH834" s="1611"/>
      <c r="AI834" s="1611"/>
      <c r="AJ834" s="1611"/>
      <c r="AK834" s="1611"/>
      <c r="AL834" s="1611"/>
      <c r="AM834" s="1611"/>
      <c r="AN834" s="1611"/>
      <c r="AO834" s="1611"/>
      <c r="AP834" s="1611"/>
      <c r="AQ834" s="1611"/>
    </row>
    <row r="835" spans="1:43" outlineLevel="2">
      <c r="A835" s="1638" t="s">
        <v>331</v>
      </c>
      <c r="B835" s="1637" t="s">
        <v>143</v>
      </c>
      <c r="C835" s="1636"/>
      <c r="D835" s="1635">
        <v>1</v>
      </c>
      <c r="E835" s="1634" t="s">
        <v>903</v>
      </c>
      <c r="F835" s="1633" t="s">
        <v>979</v>
      </c>
      <c r="G835" s="1632">
        <v>5617.0685635897289</v>
      </c>
      <c r="H835" s="1632">
        <v>2874.24</v>
      </c>
      <c r="I835" s="1630">
        <f t="shared" si="441"/>
        <v>8491.3085635897296</v>
      </c>
      <c r="J835" s="1630">
        <f t="shared" si="442"/>
        <v>8491.3085635897296</v>
      </c>
      <c r="K835" s="1631">
        <v>3579.95</v>
      </c>
      <c r="L835" s="1630">
        <f t="shared" si="443"/>
        <v>3579.95</v>
      </c>
      <c r="M835" s="1630">
        <f t="shared" si="444"/>
        <v>3579.95</v>
      </c>
      <c r="N835" s="1625">
        <f t="shared" si="445"/>
        <v>4911.3585635897298</v>
      </c>
      <c r="O835" s="1629">
        <v>0.74539999999999995</v>
      </c>
      <c r="P835" s="1629">
        <v>0.25459999999999999</v>
      </c>
      <c r="Q835" s="1625">
        <f t="shared" si="446"/>
        <v>3660.9266732997844</v>
      </c>
      <c r="R835" s="1628">
        <f t="shared" si="447"/>
        <v>1250.4318902899452</v>
      </c>
      <c r="S835" s="1627">
        <f t="shared" si="448"/>
        <v>1956.1418902899445</v>
      </c>
      <c r="T835" s="1627">
        <f t="shared" si="449"/>
        <v>1623.8081097100546</v>
      </c>
      <c r="U835" s="1626">
        <f t="shared" si="450"/>
        <v>489.03547257248613</v>
      </c>
      <c r="V835" s="1626">
        <f t="shared" si="451"/>
        <v>405.95202742751366</v>
      </c>
      <c r="W835" s="1625">
        <f t="shared" si="452"/>
        <v>894.98749999999973</v>
      </c>
      <c r="X835" s="1614"/>
      <c r="Y835" s="1613"/>
      <c r="Z835" s="1612">
        <f t="shared" si="453"/>
        <v>0.42160168520440194</v>
      </c>
      <c r="AA835" s="1611"/>
      <c r="AB835" s="1611"/>
      <c r="AC835" s="1611"/>
      <c r="AD835" s="1611"/>
      <c r="AE835" s="1611"/>
      <c r="AF835" s="1611"/>
      <c r="AG835" s="1611"/>
      <c r="AH835" s="1611"/>
      <c r="AI835" s="1611"/>
      <c r="AJ835" s="1611"/>
      <c r="AK835" s="1611"/>
      <c r="AL835" s="1611"/>
      <c r="AM835" s="1611"/>
      <c r="AN835" s="1611"/>
      <c r="AO835" s="1611"/>
      <c r="AP835" s="1611"/>
      <c r="AQ835" s="1611"/>
    </row>
    <row r="836" spans="1:43" outlineLevel="2">
      <c r="A836" s="1638" t="s">
        <v>331</v>
      </c>
      <c r="B836" s="1637" t="s">
        <v>143</v>
      </c>
      <c r="C836" s="1636"/>
      <c r="D836" s="1635">
        <v>1</v>
      </c>
      <c r="E836" s="1634" t="s">
        <v>924</v>
      </c>
      <c r="F836" s="1633" t="s">
        <v>1069</v>
      </c>
      <c r="G836" s="1632">
        <v>5617.0685635897289</v>
      </c>
      <c r="H836" s="1632">
        <v>2874.24</v>
      </c>
      <c r="I836" s="1630">
        <f t="shared" si="441"/>
        <v>8491.3085635897296</v>
      </c>
      <c r="J836" s="1630">
        <f t="shared" si="442"/>
        <v>8491.3085635897296</v>
      </c>
      <c r="K836" s="1631">
        <v>6700</v>
      </c>
      <c r="L836" s="1630">
        <f t="shared" si="443"/>
        <v>6700</v>
      </c>
      <c r="M836" s="1630">
        <f t="shared" si="444"/>
        <v>6700</v>
      </c>
      <c r="N836" s="1625">
        <f t="shared" si="445"/>
        <v>1791.3085635897296</v>
      </c>
      <c r="O836" s="1629">
        <v>0.74539999999999995</v>
      </c>
      <c r="P836" s="1629">
        <v>0.25459999999999999</v>
      </c>
      <c r="Q836" s="1625">
        <f t="shared" si="446"/>
        <v>1335.2414032997845</v>
      </c>
      <c r="R836" s="1628">
        <f t="shared" si="447"/>
        <v>456.06716028994515</v>
      </c>
      <c r="S836" s="1627">
        <f t="shared" si="448"/>
        <v>4281.827160289944</v>
      </c>
      <c r="T836" s="1627">
        <f t="shared" si="449"/>
        <v>2418.1728397100546</v>
      </c>
      <c r="U836" s="1626">
        <f t="shared" si="450"/>
        <v>1070.456790072486</v>
      </c>
      <c r="V836" s="1626">
        <f t="shared" si="451"/>
        <v>604.54320992751366</v>
      </c>
      <c r="W836" s="1625">
        <f t="shared" si="452"/>
        <v>1674.9999999999995</v>
      </c>
      <c r="X836" s="1614"/>
      <c r="Y836" s="1613"/>
      <c r="Z836" s="1612">
        <f t="shared" si="453"/>
        <v>0.78904210697621291</v>
      </c>
      <c r="AA836" s="1611"/>
      <c r="AB836" s="1611"/>
      <c r="AC836" s="1611"/>
      <c r="AD836" s="1611"/>
      <c r="AE836" s="1611"/>
      <c r="AF836" s="1611"/>
      <c r="AG836" s="1611"/>
      <c r="AH836" s="1611"/>
      <c r="AI836" s="1611"/>
      <c r="AJ836" s="1611"/>
      <c r="AK836" s="1611"/>
      <c r="AL836" s="1611"/>
      <c r="AM836" s="1611"/>
      <c r="AN836" s="1611"/>
      <c r="AO836" s="1611"/>
      <c r="AP836" s="1611"/>
      <c r="AQ836" s="1611"/>
    </row>
    <row r="837" spans="1:43" outlineLevel="2">
      <c r="A837" s="1638" t="s">
        <v>331</v>
      </c>
      <c r="B837" s="1637" t="s">
        <v>143</v>
      </c>
      <c r="C837" s="1636"/>
      <c r="D837" s="1635">
        <v>2</v>
      </c>
      <c r="E837" s="1634" t="s">
        <v>924</v>
      </c>
      <c r="F837" s="1633" t="s">
        <v>1071</v>
      </c>
      <c r="G837" s="1632">
        <v>5617.0685635897289</v>
      </c>
      <c r="H837" s="1632">
        <v>2874.24</v>
      </c>
      <c r="I837" s="1630">
        <f t="shared" si="441"/>
        <v>8491.3085635897296</v>
      </c>
      <c r="J837" s="1630">
        <f t="shared" si="442"/>
        <v>16982.617127179459</v>
      </c>
      <c r="K837" s="1631">
        <v>6700</v>
      </c>
      <c r="L837" s="1630">
        <f t="shared" si="443"/>
        <v>6700</v>
      </c>
      <c r="M837" s="1630">
        <f t="shared" si="444"/>
        <v>13400</v>
      </c>
      <c r="N837" s="1625">
        <f t="shared" si="445"/>
        <v>3582.6171271794592</v>
      </c>
      <c r="O837" s="1629">
        <v>0.74539999999999995</v>
      </c>
      <c r="P837" s="1629">
        <v>0.25459999999999999</v>
      </c>
      <c r="Q837" s="1625">
        <f t="shared" si="446"/>
        <v>2670.4828065995689</v>
      </c>
      <c r="R837" s="1628">
        <f t="shared" si="447"/>
        <v>912.1343205798903</v>
      </c>
      <c r="S837" s="1627">
        <f t="shared" si="448"/>
        <v>8563.654320579888</v>
      </c>
      <c r="T837" s="1627">
        <f t="shared" si="449"/>
        <v>4836.3456794201093</v>
      </c>
      <c r="U837" s="1626">
        <f t="shared" si="450"/>
        <v>2140.913580144972</v>
      </c>
      <c r="V837" s="1626">
        <f t="shared" si="451"/>
        <v>1209.0864198550273</v>
      </c>
      <c r="W837" s="1625">
        <f t="shared" si="452"/>
        <v>3349.9999999999991</v>
      </c>
      <c r="X837" s="1614"/>
      <c r="Y837" s="1613"/>
      <c r="Z837" s="1612">
        <f t="shared" si="453"/>
        <v>0.78904210697621291</v>
      </c>
      <c r="AA837" s="1611"/>
      <c r="AB837" s="1611"/>
      <c r="AC837" s="1611"/>
      <c r="AD837" s="1611"/>
      <c r="AE837" s="1611"/>
      <c r="AF837" s="1611"/>
      <c r="AG837" s="1611"/>
      <c r="AH837" s="1611"/>
      <c r="AI837" s="1611"/>
      <c r="AJ837" s="1611"/>
      <c r="AK837" s="1611"/>
      <c r="AL837" s="1611"/>
      <c r="AM837" s="1611"/>
      <c r="AN837" s="1611"/>
      <c r="AO837" s="1611"/>
      <c r="AP837" s="1611"/>
      <c r="AQ837" s="1611"/>
    </row>
    <row r="838" spans="1:43" outlineLevel="2">
      <c r="A838" s="1638" t="s">
        <v>331</v>
      </c>
      <c r="B838" s="1637" t="s">
        <v>143</v>
      </c>
      <c r="C838" s="1636"/>
      <c r="D838" s="1635">
        <v>1</v>
      </c>
      <c r="E838" s="1634" t="s">
        <v>924</v>
      </c>
      <c r="F838" s="1633" t="s">
        <v>1065</v>
      </c>
      <c r="G838" s="1632">
        <v>5617.0685635897289</v>
      </c>
      <c r="H838" s="1632">
        <v>2874.24</v>
      </c>
      <c r="I838" s="1630">
        <f t="shared" si="441"/>
        <v>8491.3085635897296</v>
      </c>
      <c r="J838" s="1630">
        <f t="shared" si="442"/>
        <v>8491.3085635897296</v>
      </c>
      <c r="K838" s="1631">
        <v>7175</v>
      </c>
      <c r="L838" s="1630">
        <f t="shared" si="443"/>
        <v>7175</v>
      </c>
      <c r="M838" s="1630">
        <f t="shared" si="444"/>
        <v>7175</v>
      </c>
      <c r="N838" s="1625">
        <f t="shared" si="445"/>
        <v>1316.3085635897296</v>
      </c>
      <c r="O838" s="1629">
        <v>0.74539999999999995</v>
      </c>
      <c r="P838" s="1629">
        <v>0.25459999999999999</v>
      </c>
      <c r="Q838" s="1625">
        <f t="shared" si="446"/>
        <v>981.1764032997844</v>
      </c>
      <c r="R838" s="1628">
        <f t="shared" si="447"/>
        <v>335.13216028994515</v>
      </c>
      <c r="S838" s="1627">
        <f t="shared" si="448"/>
        <v>4635.8921602899445</v>
      </c>
      <c r="T838" s="1627">
        <f t="shared" si="449"/>
        <v>2539.1078397100546</v>
      </c>
      <c r="U838" s="1626">
        <f t="shared" si="450"/>
        <v>1158.9730400724861</v>
      </c>
      <c r="V838" s="1626">
        <f t="shared" si="451"/>
        <v>634.77695992751364</v>
      </c>
      <c r="W838" s="1625">
        <f t="shared" si="452"/>
        <v>1793.7499999999998</v>
      </c>
      <c r="X838" s="1614"/>
      <c r="Y838" s="1613"/>
      <c r="Z838" s="1612">
        <f t="shared" si="453"/>
        <v>0.84498165933646674</v>
      </c>
      <c r="AA838" s="1611"/>
      <c r="AB838" s="1611"/>
      <c r="AC838" s="1611"/>
      <c r="AD838" s="1611"/>
      <c r="AE838" s="1611"/>
      <c r="AF838" s="1611"/>
      <c r="AG838" s="1611"/>
      <c r="AH838" s="1611"/>
      <c r="AI838" s="1611"/>
      <c r="AJ838" s="1611"/>
      <c r="AK838" s="1611"/>
      <c r="AL838" s="1611"/>
      <c r="AM838" s="1611"/>
      <c r="AN838" s="1611"/>
      <c r="AO838" s="1611"/>
      <c r="AP838" s="1611"/>
      <c r="AQ838" s="1611"/>
    </row>
    <row r="839" spans="1:43" outlineLevel="2">
      <c r="A839" s="1638" t="s">
        <v>331</v>
      </c>
      <c r="B839" s="1637" t="s">
        <v>143</v>
      </c>
      <c r="C839" s="1636"/>
      <c r="D839" s="1635">
        <v>5</v>
      </c>
      <c r="E839" s="1634" t="s">
        <v>924</v>
      </c>
      <c r="F839" s="1633" t="s">
        <v>1064</v>
      </c>
      <c r="G839" s="1632">
        <v>5617.0685635897289</v>
      </c>
      <c r="H839" s="1632">
        <v>2874.24</v>
      </c>
      <c r="I839" s="1630">
        <f t="shared" si="441"/>
        <v>8491.3085635897296</v>
      </c>
      <c r="J839" s="1630">
        <f t="shared" si="442"/>
        <v>42456.542817948648</v>
      </c>
      <c r="K839" s="1631">
        <v>7175</v>
      </c>
      <c r="L839" s="1630">
        <f t="shared" si="443"/>
        <v>7175</v>
      </c>
      <c r="M839" s="1630">
        <f t="shared" si="444"/>
        <v>35875</v>
      </c>
      <c r="N839" s="1625">
        <f t="shared" si="445"/>
        <v>6581.542817948648</v>
      </c>
      <c r="O839" s="1629">
        <v>0.74539999999999995</v>
      </c>
      <c r="P839" s="1629">
        <v>0.25459999999999999</v>
      </c>
      <c r="Q839" s="1625">
        <f t="shared" si="446"/>
        <v>4905.882016498922</v>
      </c>
      <c r="R839" s="1628">
        <f t="shared" si="447"/>
        <v>1675.6608014497258</v>
      </c>
      <c r="S839" s="1627">
        <f t="shared" si="448"/>
        <v>23179.460801449721</v>
      </c>
      <c r="T839" s="1627">
        <f t="shared" si="449"/>
        <v>12695.539198550274</v>
      </c>
      <c r="U839" s="1626">
        <f t="shared" si="450"/>
        <v>5794.8652003624302</v>
      </c>
      <c r="V839" s="1626">
        <f t="shared" si="451"/>
        <v>3173.8847996375684</v>
      </c>
      <c r="W839" s="1625">
        <f t="shared" si="452"/>
        <v>8968.7499999999982</v>
      </c>
      <c r="X839" s="1614"/>
      <c r="Y839" s="1613"/>
      <c r="Z839" s="1612">
        <f t="shared" si="453"/>
        <v>0.84498165933646674</v>
      </c>
      <c r="AA839" s="1611"/>
      <c r="AB839" s="1611"/>
      <c r="AC839" s="1611"/>
      <c r="AD839" s="1611"/>
      <c r="AE839" s="1611"/>
      <c r="AF839" s="1611"/>
      <c r="AG839" s="1611"/>
      <c r="AH839" s="1611"/>
      <c r="AI839" s="1611"/>
      <c r="AJ839" s="1611"/>
      <c r="AK839" s="1611"/>
      <c r="AL839" s="1611"/>
      <c r="AM839" s="1611"/>
      <c r="AN839" s="1611"/>
      <c r="AO839" s="1611"/>
      <c r="AP839" s="1611"/>
      <c r="AQ839" s="1611"/>
    </row>
    <row r="840" spans="1:43" outlineLevel="2">
      <c r="A840" s="1638" t="s">
        <v>331</v>
      </c>
      <c r="B840" s="1637" t="s">
        <v>143</v>
      </c>
      <c r="C840" s="1636"/>
      <c r="D840" s="1635">
        <v>1</v>
      </c>
      <c r="E840" s="1634" t="s">
        <v>924</v>
      </c>
      <c r="F840" s="1633" t="s">
        <v>1063</v>
      </c>
      <c r="G840" s="1632">
        <v>5617.0685635897289</v>
      </c>
      <c r="H840" s="1632">
        <v>2874.24</v>
      </c>
      <c r="I840" s="1630">
        <f t="shared" si="441"/>
        <v>8491.3085635897296</v>
      </c>
      <c r="J840" s="1630">
        <f t="shared" si="442"/>
        <v>8491.3085635897296</v>
      </c>
      <c r="K840" s="1631">
        <v>7175</v>
      </c>
      <c r="L840" s="1630">
        <f t="shared" si="443"/>
        <v>7175</v>
      </c>
      <c r="M840" s="1630">
        <f t="shared" si="444"/>
        <v>7175</v>
      </c>
      <c r="N840" s="1625">
        <f t="shared" si="445"/>
        <v>1316.3085635897296</v>
      </c>
      <c r="O840" s="1629">
        <v>0.74539999999999995</v>
      </c>
      <c r="P840" s="1629">
        <v>0.25459999999999999</v>
      </c>
      <c r="Q840" s="1625">
        <f t="shared" si="446"/>
        <v>981.1764032997844</v>
      </c>
      <c r="R840" s="1628">
        <f t="shared" si="447"/>
        <v>335.13216028994515</v>
      </c>
      <c r="S840" s="1627">
        <f t="shared" si="448"/>
        <v>4635.8921602899445</v>
      </c>
      <c r="T840" s="1627">
        <f t="shared" si="449"/>
        <v>2539.1078397100546</v>
      </c>
      <c r="U840" s="1626">
        <f t="shared" si="450"/>
        <v>1158.9730400724861</v>
      </c>
      <c r="V840" s="1626">
        <f t="shared" si="451"/>
        <v>634.77695992751364</v>
      </c>
      <c r="W840" s="1625">
        <f t="shared" si="452"/>
        <v>1793.7499999999998</v>
      </c>
      <c r="X840" s="1614"/>
      <c r="Y840" s="1613"/>
      <c r="Z840" s="1612">
        <f t="shared" si="453"/>
        <v>0.84498165933646674</v>
      </c>
      <c r="AA840" s="1611"/>
      <c r="AB840" s="1611"/>
      <c r="AC840" s="1611"/>
      <c r="AD840" s="1611"/>
      <c r="AE840" s="1611"/>
      <c r="AF840" s="1611"/>
      <c r="AG840" s="1611"/>
      <c r="AH840" s="1611"/>
      <c r="AI840" s="1611"/>
      <c r="AJ840" s="1611"/>
      <c r="AK840" s="1611"/>
      <c r="AL840" s="1611"/>
      <c r="AM840" s="1611"/>
      <c r="AN840" s="1611"/>
      <c r="AO840" s="1611"/>
      <c r="AP840" s="1611"/>
      <c r="AQ840" s="1611"/>
    </row>
    <row r="841" spans="1:43" outlineLevel="2">
      <c r="A841" s="1638" t="s">
        <v>331</v>
      </c>
      <c r="B841" s="1637" t="s">
        <v>143</v>
      </c>
      <c r="C841" s="1636"/>
      <c r="D841" s="1635">
        <v>2</v>
      </c>
      <c r="E841" s="1634" t="s">
        <v>924</v>
      </c>
      <c r="F841" s="1633" t="s">
        <v>1067</v>
      </c>
      <c r="G841" s="1632">
        <v>5617.0685635897289</v>
      </c>
      <c r="H841" s="1632">
        <v>2874.24</v>
      </c>
      <c r="I841" s="1630">
        <f t="shared" si="441"/>
        <v>8491.3085635897296</v>
      </c>
      <c r="J841" s="1630">
        <f t="shared" si="442"/>
        <v>16982.617127179459</v>
      </c>
      <c r="K841" s="1631">
        <v>7700</v>
      </c>
      <c r="L841" s="1630">
        <f t="shared" si="443"/>
        <v>7700</v>
      </c>
      <c r="M841" s="1630">
        <f t="shared" si="444"/>
        <v>15400</v>
      </c>
      <c r="N841" s="1625">
        <f t="shared" si="445"/>
        <v>1582.6171271794592</v>
      </c>
      <c r="O841" s="1629">
        <v>0.74539999999999995</v>
      </c>
      <c r="P841" s="1629">
        <v>0.25459999999999999</v>
      </c>
      <c r="Q841" s="1625">
        <f t="shared" si="446"/>
        <v>1179.6828065995687</v>
      </c>
      <c r="R841" s="1628">
        <f t="shared" si="447"/>
        <v>402.93432057989031</v>
      </c>
      <c r="S841" s="1627">
        <f t="shared" si="448"/>
        <v>10054.454320579889</v>
      </c>
      <c r="T841" s="1627">
        <f t="shared" si="449"/>
        <v>5345.5456794201091</v>
      </c>
      <c r="U841" s="1626">
        <f t="shared" si="450"/>
        <v>2513.6135801449723</v>
      </c>
      <c r="V841" s="1626">
        <f t="shared" si="451"/>
        <v>1336.3864198550273</v>
      </c>
      <c r="W841" s="1625">
        <f t="shared" si="452"/>
        <v>3849.9999999999995</v>
      </c>
      <c r="X841" s="1614"/>
      <c r="Y841" s="1613"/>
      <c r="Z841" s="1612">
        <f t="shared" si="453"/>
        <v>0.90680958562937897</v>
      </c>
      <c r="AA841" s="1611"/>
      <c r="AB841" s="1611"/>
      <c r="AC841" s="1611"/>
      <c r="AD841" s="1611"/>
      <c r="AE841" s="1611"/>
      <c r="AF841" s="1611"/>
      <c r="AG841" s="1611"/>
      <c r="AH841" s="1611"/>
      <c r="AI841" s="1611"/>
      <c r="AJ841" s="1611"/>
      <c r="AK841" s="1611"/>
      <c r="AL841" s="1611"/>
      <c r="AM841" s="1611"/>
      <c r="AN841" s="1611"/>
      <c r="AO841" s="1611"/>
      <c r="AP841" s="1611"/>
      <c r="AQ841" s="1611"/>
    </row>
    <row r="842" spans="1:43" outlineLevel="2">
      <c r="A842" s="1638" t="s">
        <v>331</v>
      </c>
      <c r="B842" s="1637" t="s">
        <v>143</v>
      </c>
      <c r="C842" s="1636"/>
      <c r="D842" s="1635">
        <v>2</v>
      </c>
      <c r="E842" s="1634" t="s">
        <v>924</v>
      </c>
      <c r="F842" s="1633" t="s">
        <v>1072</v>
      </c>
      <c r="G842" s="1632">
        <v>5617.0685635897289</v>
      </c>
      <c r="H842" s="1632">
        <v>2874.24</v>
      </c>
      <c r="I842" s="1630">
        <f t="shared" si="441"/>
        <v>8491.3085635897296</v>
      </c>
      <c r="J842" s="1630">
        <f t="shared" si="442"/>
        <v>16982.617127179459</v>
      </c>
      <c r="K842" s="1631">
        <v>7700</v>
      </c>
      <c r="L842" s="1630">
        <f t="shared" si="443"/>
        <v>7700</v>
      </c>
      <c r="M842" s="1630">
        <f t="shared" si="444"/>
        <v>15400</v>
      </c>
      <c r="N842" s="1625">
        <f t="shared" si="445"/>
        <v>1582.6171271794592</v>
      </c>
      <c r="O842" s="1629">
        <v>0.74539999999999995</v>
      </c>
      <c r="P842" s="1629">
        <v>0.25459999999999999</v>
      </c>
      <c r="Q842" s="1625">
        <f t="shared" si="446"/>
        <v>1179.6828065995687</v>
      </c>
      <c r="R842" s="1628">
        <f t="shared" si="447"/>
        <v>402.93432057989031</v>
      </c>
      <c r="S842" s="1627">
        <f t="shared" si="448"/>
        <v>10054.454320579889</v>
      </c>
      <c r="T842" s="1627">
        <f t="shared" si="449"/>
        <v>5345.5456794201091</v>
      </c>
      <c r="U842" s="1626">
        <f t="shared" si="450"/>
        <v>2513.6135801449723</v>
      </c>
      <c r="V842" s="1626">
        <f t="shared" si="451"/>
        <v>1336.3864198550273</v>
      </c>
      <c r="W842" s="1625">
        <f t="shared" si="452"/>
        <v>3849.9999999999995</v>
      </c>
      <c r="X842" s="1614"/>
      <c r="Y842" s="1613"/>
      <c r="Z842" s="1612">
        <f t="shared" si="453"/>
        <v>0.90680958562937897</v>
      </c>
      <c r="AA842" s="1611"/>
      <c r="AB842" s="1611"/>
      <c r="AC842" s="1611"/>
      <c r="AD842" s="1611"/>
      <c r="AE842" s="1611"/>
      <c r="AF842" s="1611"/>
      <c r="AG842" s="1611"/>
      <c r="AH842" s="1611"/>
      <c r="AI842" s="1611"/>
      <c r="AJ842" s="1611"/>
      <c r="AK842" s="1611"/>
      <c r="AL842" s="1611"/>
      <c r="AM842" s="1611"/>
      <c r="AN842" s="1611"/>
      <c r="AO842" s="1611"/>
      <c r="AP842" s="1611"/>
      <c r="AQ842" s="1611"/>
    </row>
    <row r="843" spans="1:43" outlineLevel="2">
      <c r="A843" s="1638" t="s">
        <v>331</v>
      </c>
      <c r="B843" s="1637" t="s">
        <v>143</v>
      </c>
      <c r="C843" s="1636"/>
      <c r="D843" s="1635">
        <v>1</v>
      </c>
      <c r="E843" s="1634" t="s">
        <v>924</v>
      </c>
      <c r="F843" s="1633" t="s">
        <v>979</v>
      </c>
      <c r="G843" s="1632">
        <v>5617.0685635897289</v>
      </c>
      <c r="H843" s="1632">
        <v>2874.24</v>
      </c>
      <c r="I843" s="1630">
        <f t="shared" si="441"/>
        <v>8491.3085635897296</v>
      </c>
      <c r="J843" s="1630">
        <f t="shared" si="442"/>
        <v>8491.3085635897296</v>
      </c>
      <c r="K843" s="1631">
        <v>6700</v>
      </c>
      <c r="L843" s="1630">
        <f t="shared" si="443"/>
        <v>6700</v>
      </c>
      <c r="M843" s="1630">
        <f t="shared" si="444"/>
        <v>6700</v>
      </c>
      <c r="N843" s="1625">
        <f t="shared" si="445"/>
        <v>1791.3085635897296</v>
      </c>
      <c r="O843" s="1629">
        <v>0.74539999999999995</v>
      </c>
      <c r="P843" s="1629">
        <v>0.25459999999999999</v>
      </c>
      <c r="Q843" s="1625">
        <f t="shared" si="446"/>
        <v>1335.2414032997845</v>
      </c>
      <c r="R843" s="1628">
        <f t="shared" si="447"/>
        <v>456.06716028994515</v>
      </c>
      <c r="S843" s="1627">
        <f t="shared" si="448"/>
        <v>4281.827160289944</v>
      </c>
      <c r="T843" s="1627">
        <f t="shared" si="449"/>
        <v>2418.1728397100546</v>
      </c>
      <c r="U843" s="1626">
        <f t="shared" si="450"/>
        <v>1070.456790072486</v>
      </c>
      <c r="V843" s="1626">
        <f t="shared" si="451"/>
        <v>604.54320992751366</v>
      </c>
      <c r="W843" s="1625">
        <f t="shared" si="452"/>
        <v>1674.9999999999995</v>
      </c>
      <c r="X843" s="1614"/>
      <c r="Y843" s="1613"/>
      <c r="Z843" s="1612">
        <f t="shared" si="453"/>
        <v>0.78904210697621291</v>
      </c>
      <c r="AA843" s="1611"/>
      <c r="AB843" s="1611"/>
      <c r="AC843" s="1611"/>
      <c r="AD843" s="1611"/>
      <c r="AE843" s="1611"/>
      <c r="AF843" s="1611"/>
      <c r="AG843" s="1611"/>
      <c r="AH843" s="1611"/>
      <c r="AI843" s="1611"/>
      <c r="AJ843" s="1611"/>
      <c r="AK843" s="1611"/>
      <c r="AL843" s="1611"/>
      <c r="AM843" s="1611"/>
      <c r="AN843" s="1611"/>
      <c r="AO843" s="1611"/>
      <c r="AP843" s="1611"/>
      <c r="AQ843" s="1611"/>
    </row>
    <row r="844" spans="1:43" outlineLevel="1">
      <c r="A844" s="1624"/>
      <c r="B844" s="1623" t="s">
        <v>1085</v>
      </c>
      <c r="C844" s="1622"/>
      <c r="D844" s="1621">
        <f>SUBTOTAL(9,D825:D843)</f>
        <v>27</v>
      </c>
      <c r="E844" s="1620"/>
      <c r="F844" s="1639"/>
      <c r="G844" s="1639"/>
      <c r="H844" s="1639"/>
      <c r="I844" s="1616"/>
      <c r="J844" s="1616">
        <f>SUBTOTAL(9,J825:J843)</f>
        <v>229265.3312169227</v>
      </c>
      <c r="K844" s="1615"/>
      <c r="L844" s="1616"/>
      <c r="M844" s="1616">
        <f>SUBTOTAL(9,M825:M843)</f>
        <v>164956.79999999999</v>
      </c>
      <c r="N844" s="1615">
        <f>SUBTOTAL(9,N825:N843)</f>
        <v>64308.531216922704</v>
      </c>
      <c r="O844" s="1616"/>
      <c r="P844" s="1616"/>
      <c r="Q844" s="1615">
        <f t="shared" ref="Q844:W844" si="454">SUBTOTAL(9,Q825:Q843)</f>
        <v>47935.579169094162</v>
      </c>
      <c r="R844" s="1615">
        <f t="shared" si="454"/>
        <v>16372.952047828516</v>
      </c>
      <c r="S844" s="1616">
        <f t="shared" si="454"/>
        <v>103725.2720478285</v>
      </c>
      <c r="T844" s="1616">
        <f t="shared" si="454"/>
        <v>61231.527952171469</v>
      </c>
      <c r="U844" s="1616">
        <f t="shared" si="454"/>
        <v>25931.318011957126</v>
      </c>
      <c r="V844" s="1616">
        <f t="shared" si="454"/>
        <v>15307.881988042867</v>
      </c>
      <c r="W844" s="1615">
        <f t="shared" si="454"/>
        <v>41239.199999999997</v>
      </c>
      <c r="X844" s="1614"/>
      <c r="Y844" s="1613"/>
      <c r="Z844" s="1612"/>
      <c r="AA844" s="1611"/>
      <c r="AB844" s="1611"/>
      <c r="AC844" s="1611"/>
      <c r="AD844" s="1611"/>
      <c r="AE844" s="1611"/>
      <c r="AF844" s="1611"/>
      <c r="AG844" s="1611"/>
      <c r="AH844" s="1611"/>
      <c r="AI844" s="1611"/>
      <c r="AJ844" s="1611"/>
      <c r="AK844" s="1611"/>
      <c r="AL844" s="1611"/>
      <c r="AM844" s="1611"/>
      <c r="AN844" s="1611"/>
      <c r="AO844" s="1611"/>
      <c r="AP844" s="1611"/>
      <c r="AQ844" s="1611"/>
    </row>
    <row r="845" spans="1:43" outlineLevel="2">
      <c r="A845" s="1638" t="s">
        <v>332</v>
      </c>
      <c r="B845" s="1637" t="s">
        <v>144</v>
      </c>
      <c r="C845" s="1636"/>
      <c r="D845" s="1635">
        <v>2</v>
      </c>
      <c r="E845" s="1634" t="s">
        <v>923</v>
      </c>
      <c r="F845" s="1633" t="s">
        <v>1063</v>
      </c>
      <c r="G845" s="1632">
        <v>5032.2327269238049</v>
      </c>
      <c r="H845" s="1632">
        <v>3925.75</v>
      </c>
      <c r="I845" s="1630">
        <f>G845+H845</f>
        <v>8957.9827269238049</v>
      </c>
      <c r="J845" s="1630">
        <f>D845*I845</f>
        <v>17915.96545384761</v>
      </c>
      <c r="K845" s="1631">
        <v>6100</v>
      </c>
      <c r="L845" s="1630">
        <f>IF(I845&gt;K845,K845,I845)</f>
        <v>6100</v>
      </c>
      <c r="M845" s="1630">
        <f>L845*D845</f>
        <v>12200</v>
      </c>
      <c r="N845" s="1625">
        <f>J845-M845</f>
        <v>5715.9654538476098</v>
      </c>
      <c r="O845" s="1629">
        <v>0.63200000000000001</v>
      </c>
      <c r="P845" s="1629">
        <v>0.36799999999999999</v>
      </c>
      <c r="Q845" s="1625">
        <f>N845*O845</f>
        <v>3612.4901668316893</v>
      </c>
      <c r="R845" s="1628">
        <f>N845*P845</f>
        <v>2103.4752870159205</v>
      </c>
      <c r="S845" s="1627">
        <f>(G845*D845)-Q845</f>
        <v>6451.9752870159209</v>
      </c>
      <c r="T845" s="1627">
        <f>(H845*D845)-R845</f>
        <v>5748.0247129840791</v>
      </c>
      <c r="U845" s="1626">
        <f t="shared" ref="U845:V847" si="455">S845/4</f>
        <v>1612.9938217539802</v>
      </c>
      <c r="V845" s="1626">
        <f t="shared" si="455"/>
        <v>1437.0061782460198</v>
      </c>
      <c r="W845" s="1625">
        <f>V845+U845</f>
        <v>3050</v>
      </c>
      <c r="X845" s="1614"/>
      <c r="Y845" s="1613"/>
      <c r="Z845" s="1612">
        <f>K845/I845</f>
        <v>0.6809568834807026</v>
      </c>
      <c r="AA845" s="1611"/>
      <c r="AB845" s="1611"/>
      <c r="AC845" s="1611"/>
      <c r="AD845" s="1611"/>
      <c r="AE845" s="1611"/>
      <c r="AF845" s="1611"/>
      <c r="AG845" s="1611"/>
      <c r="AH845" s="1611"/>
      <c r="AI845" s="1611"/>
      <c r="AJ845" s="1611"/>
      <c r="AK845" s="1611"/>
      <c r="AL845" s="1611"/>
      <c r="AM845" s="1611"/>
      <c r="AN845" s="1611"/>
      <c r="AO845" s="1611"/>
      <c r="AP845" s="1611"/>
      <c r="AQ845" s="1611"/>
    </row>
    <row r="846" spans="1:43" outlineLevel="2">
      <c r="A846" s="1638" t="s">
        <v>332</v>
      </c>
      <c r="B846" s="1637" t="s">
        <v>144</v>
      </c>
      <c r="C846" s="1636"/>
      <c r="D846" s="1635">
        <v>1</v>
      </c>
      <c r="E846" s="1634" t="s">
        <v>923</v>
      </c>
      <c r="F846" s="1633" t="s">
        <v>1067</v>
      </c>
      <c r="G846" s="1632">
        <v>5032.2327269238049</v>
      </c>
      <c r="H846" s="1632">
        <v>3925.75</v>
      </c>
      <c r="I846" s="1630">
        <f>G846+H846</f>
        <v>8957.9827269238049</v>
      </c>
      <c r="J846" s="1630">
        <f>D846*I846</f>
        <v>8957.9827269238049</v>
      </c>
      <c r="K846" s="1631">
        <v>6100</v>
      </c>
      <c r="L846" s="1630">
        <f>IF(I846&gt;K846,K846,I846)</f>
        <v>6100</v>
      </c>
      <c r="M846" s="1630">
        <f>L846*D846</f>
        <v>6100</v>
      </c>
      <c r="N846" s="1625">
        <f>J846-M846</f>
        <v>2857.9827269238049</v>
      </c>
      <c r="O846" s="1629">
        <v>0.63200000000000001</v>
      </c>
      <c r="P846" s="1629">
        <v>0.36799999999999999</v>
      </c>
      <c r="Q846" s="1625">
        <f>N846*O846</f>
        <v>1806.2450834158446</v>
      </c>
      <c r="R846" s="1628">
        <f>N846*P846</f>
        <v>1051.7376435079602</v>
      </c>
      <c r="S846" s="1627">
        <f>(G846*D846)-Q846</f>
        <v>3225.9876435079605</v>
      </c>
      <c r="T846" s="1627">
        <f>(H846*D846)-R846</f>
        <v>2874.0123564920395</v>
      </c>
      <c r="U846" s="1626">
        <f t="shared" si="455"/>
        <v>806.49691087699011</v>
      </c>
      <c r="V846" s="1626">
        <f t="shared" si="455"/>
        <v>718.50308912300989</v>
      </c>
      <c r="W846" s="1625">
        <f>V846+U846</f>
        <v>1525</v>
      </c>
      <c r="X846" s="1614"/>
      <c r="Y846" s="1613"/>
      <c r="Z846" s="1612">
        <f>K846/I846</f>
        <v>0.6809568834807026</v>
      </c>
      <c r="AA846" s="1611"/>
      <c r="AB846" s="1611"/>
      <c r="AC846" s="1611"/>
      <c r="AD846" s="1611"/>
      <c r="AE846" s="1611"/>
      <c r="AF846" s="1611"/>
      <c r="AG846" s="1611"/>
      <c r="AH846" s="1611"/>
      <c r="AI846" s="1611"/>
      <c r="AJ846" s="1611"/>
      <c r="AK846" s="1611"/>
      <c r="AL846" s="1611"/>
      <c r="AM846" s="1611"/>
      <c r="AN846" s="1611"/>
      <c r="AO846" s="1611"/>
      <c r="AP846" s="1611"/>
      <c r="AQ846" s="1611"/>
    </row>
    <row r="847" spans="1:43" outlineLevel="2">
      <c r="A847" s="1638" t="s">
        <v>332</v>
      </c>
      <c r="B847" s="1637" t="s">
        <v>144</v>
      </c>
      <c r="C847" s="1636"/>
      <c r="D847" s="1635">
        <v>1</v>
      </c>
      <c r="E847" s="1634" t="s">
        <v>923</v>
      </c>
      <c r="F847" s="1633" t="s">
        <v>1072</v>
      </c>
      <c r="G847" s="1632">
        <v>5032.2327269238049</v>
      </c>
      <c r="H847" s="1632">
        <v>3925.75</v>
      </c>
      <c r="I847" s="1630">
        <f>G847+H847</f>
        <v>8957.9827269238049</v>
      </c>
      <c r="J847" s="1630">
        <f>D847*I847</f>
        <v>8957.9827269238049</v>
      </c>
      <c r="K847" s="1631">
        <v>6100</v>
      </c>
      <c r="L847" s="1630">
        <f>IF(I847&gt;K847,K847,I847)</f>
        <v>6100</v>
      </c>
      <c r="M847" s="1630">
        <f>L847*D847</f>
        <v>6100</v>
      </c>
      <c r="N847" s="1625">
        <f>J847-M847</f>
        <v>2857.9827269238049</v>
      </c>
      <c r="O847" s="1629">
        <v>0.63200000000000001</v>
      </c>
      <c r="P847" s="1629">
        <v>0.36799999999999999</v>
      </c>
      <c r="Q847" s="1625">
        <f>N847*O847</f>
        <v>1806.2450834158446</v>
      </c>
      <c r="R847" s="1628">
        <f>N847*P847</f>
        <v>1051.7376435079602</v>
      </c>
      <c r="S847" s="1627">
        <f>(G847*D847)-Q847</f>
        <v>3225.9876435079605</v>
      </c>
      <c r="T847" s="1627">
        <f>(H847*D847)-R847</f>
        <v>2874.0123564920395</v>
      </c>
      <c r="U847" s="1626">
        <f t="shared" si="455"/>
        <v>806.49691087699011</v>
      </c>
      <c r="V847" s="1626">
        <f t="shared" si="455"/>
        <v>718.50308912300989</v>
      </c>
      <c r="W847" s="1625">
        <f>V847+U847</f>
        <v>1525</v>
      </c>
      <c r="X847" s="1614"/>
      <c r="Y847" s="1613"/>
      <c r="Z847" s="1612">
        <f>K847/I847</f>
        <v>0.6809568834807026</v>
      </c>
      <c r="AA847" s="1611"/>
      <c r="AB847" s="1611"/>
      <c r="AC847" s="1611"/>
      <c r="AD847" s="1611"/>
      <c r="AE847" s="1611"/>
      <c r="AF847" s="1611"/>
      <c r="AG847" s="1611"/>
      <c r="AH847" s="1611"/>
      <c r="AI847" s="1611"/>
      <c r="AJ847" s="1611"/>
      <c r="AK847" s="1611"/>
      <c r="AL847" s="1611"/>
      <c r="AM847" s="1611"/>
      <c r="AN847" s="1611"/>
      <c r="AO847" s="1611"/>
      <c r="AP847" s="1611"/>
      <c r="AQ847" s="1611"/>
    </row>
    <row r="848" spans="1:43" outlineLevel="1">
      <c r="A848" s="1624"/>
      <c r="B848" s="1623" t="s">
        <v>1084</v>
      </c>
      <c r="C848" s="1622"/>
      <c r="D848" s="1621">
        <f>SUBTOTAL(9,D845:D847)</f>
        <v>4</v>
      </c>
      <c r="E848" s="1620"/>
      <c r="F848" s="1639"/>
      <c r="G848" s="1639"/>
      <c r="H848" s="1639"/>
      <c r="I848" s="1616"/>
      <c r="J848" s="1616">
        <f>SUBTOTAL(9,J845:J847)</f>
        <v>35831.93090769522</v>
      </c>
      <c r="K848" s="1615"/>
      <c r="L848" s="1616"/>
      <c r="M848" s="1616">
        <f>SUBTOTAL(9,M845:M847)</f>
        <v>24400</v>
      </c>
      <c r="N848" s="1615">
        <f>SUBTOTAL(9,N845:N847)</f>
        <v>11431.93090769522</v>
      </c>
      <c r="O848" s="1616"/>
      <c r="P848" s="1616"/>
      <c r="Q848" s="1615">
        <f t="shared" ref="Q848:W848" si="456">SUBTOTAL(9,Q845:Q847)</f>
        <v>7224.9803336633786</v>
      </c>
      <c r="R848" s="1615">
        <f t="shared" si="456"/>
        <v>4206.9505740318409</v>
      </c>
      <c r="S848" s="1616">
        <f t="shared" si="456"/>
        <v>12903.950574031842</v>
      </c>
      <c r="T848" s="1616">
        <f t="shared" si="456"/>
        <v>11496.049425968158</v>
      </c>
      <c r="U848" s="1616">
        <f t="shared" si="456"/>
        <v>3225.9876435079605</v>
      </c>
      <c r="V848" s="1616">
        <f t="shared" si="456"/>
        <v>2874.0123564920395</v>
      </c>
      <c r="W848" s="1615">
        <f t="shared" si="456"/>
        <v>6100</v>
      </c>
      <c r="X848" s="1614"/>
      <c r="Y848" s="1613"/>
      <c r="Z848" s="1612"/>
      <c r="AA848" s="1611"/>
      <c r="AB848" s="1611"/>
      <c r="AC848" s="1611"/>
      <c r="AD848" s="1611"/>
      <c r="AE848" s="1611"/>
      <c r="AF848" s="1611"/>
      <c r="AG848" s="1611"/>
      <c r="AH848" s="1611"/>
      <c r="AI848" s="1611"/>
      <c r="AJ848" s="1611"/>
      <c r="AK848" s="1611"/>
      <c r="AL848" s="1611"/>
      <c r="AM848" s="1611"/>
      <c r="AN848" s="1611"/>
      <c r="AO848" s="1611"/>
      <c r="AP848" s="1611"/>
      <c r="AQ848" s="1611"/>
    </row>
    <row r="849" spans="1:43" outlineLevel="2">
      <c r="A849" s="1638" t="s">
        <v>333</v>
      </c>
      <c r="B849" s="1637" t="s">
        <v>145</v>
      </c>
      <c r="C849" s="1636"/>
      <c r="D849" s="1635">
        <v>1</v>
      </c>
      <c r="E849" s="1634" t="s">
        <v>920</v>
      </c>
      <c r="F849" s="1633" t="s">
        <v>979</v>
      </c>
      <c r="G849" s="1632">
        <v>5614.1518053088612</v>
      </c>
      <c r="H849" s="1632">
        <v>3535.68</v>
      </c>
      <c r="I849" s="1630">
        <f t="shared" ref="I849:I866" si="457">G849+H849</f>
        <v>9149.8318053088606</v>
      </c>
      <c r="J849" s="1630">
        <f t="shared" ref="J849:J866" si="458">D849*I849</f>
        <v>9149.8318053088606</v>
      </c>
      <c r="K849" s="1631">
        <v>3815</v>
      </c>
      <c r="L849" s="1630">
        <f t="shared" ref="L849:L866" si="459">IF(I849&gt;K849,K849,I849)</f>
        <v>3815</v>
      </c>
      <c r="M849" s="1630">
        <f t="shared" ref="M849:M866" si="460">L849*D849</f>
        <v>3815</v>
      </c>
      <c r="N849" s="1625">
        <f t="shared" ref="N849:N866" si="461">J849-M849</f>
        <v>5334.8318053088606</v>
      </c>
      <c r="O849" s="1629">
        <v>0.70689999999999997</v>
      </c>
      <c r="P849" s="1629">
        <v>0.29310000000000003</v>
      </c>
      <c r="Q849" s="1625">
        <f t="shared" ref="Q849:Q866" si="462">N849*O849</f>
        <v>3771.1926031728335</v>
      </c>
      <c r="R849" s="1628">
        <f t="shared" ref="R849:R866" si="463">N849*P849</f>
        <v>1563.6392021360273</v>
      </c>
      <c r="S849" s="1627">
        <f t="shared" ref="S849:S866" si="464">(G849*D849)-Q849</f>
        <v>1842.9592021360277</v>
      </c>
      <c r="T849" s="1627">
        <f t="shared" ref="T849:T866" si="465">(H849*D849)-R849</f>
        <v>1972.0407978639726</v>
      </c>
      <c r="U849" s="1626">
        <f t="shared" ref="U849:U866" si="466">S849/4</f>
        <v>460.73980053400692</v>
      </c>
      <c r="V849" s="1626">
        <f t="shared" ref="V849:V866" si="467">T849/4</f>
        <v>493.01019946599314</v>
      </c>
      <c r="W849" s="1625">
        <f t="shared" ref="W849:W866" si="468">V849+U849</f>
        <v>953.75</v>
      </c>
      <c r="X849" s="1614"/>
      <c r="Y849" s="1613"/>
      <c r="Z849" s="1612">
        <f t="shared" ref="Z849:Z866" si="469">K849/I849</f>
        <v>0.41694755501259417</v>
      </c>
      <c r="AA849" s="1611"/>
      <c r="AB849" s="1611"/>
      <c r="AC849" s="1611"/>
      <c r="AD849" s="1611"/>
      <c r="AE849" s="1611"/>
      <c r="AF849" s="1611"/>
      <c r="AG849" s="1611"/>
      <c r="AH849" s="1611"/>
      <c r="AI849" s="1611"/>
      <c r="AJ849" s="1611"/>
      <c r="AK849" s="1611"/>
      <c r="AL849" s="1611"/>
      <c r="AM849" s="1611"/>
      <c r="AN849" s="1611"/>
      <c r="AO849" s="1611"/>
      <c r="AP849" s="1611"/>
      <c r="AQ849" s="1611"/>
    </row>
    <row r="850" spans="1:43" outlineLevel="2">
      <c r="A850" s="1638" t="s">
        <v>333</v>
      </c>
      <c r="B850" s="1637" t="s">
        <v>145</v>
      </c>
      <c r="C850" s="1636"/>
      <c r="D850" s="1635">
        <v>1</v>
      </c>
      <c r="E850" s="1634" t="s">
        <v>919</v>
      </c>
      <c r="F850" s="1633" t="s">
        <v>979</v>
      </c>
      <c r="G850" s="1632">
        <v>5614.1518053088612</v>
      </c>
      <c r="H850" s="1632">
        <v>3535.68</v>
      </c>
      <c r="I850" s="1630">
        <f t="shared" si="457"/>
        <v>9149.8318053088606</v>
      </c>
      <c r="J850" s="1630">
        <f t="shared" si="458"/>
        <v>9149.8318053088606</v>
      </c>
      <c r="K850" s="1631">
        <v>4290</v>
      </c>
      <c r="L850" s="1630">
        <f t="shared" si="459"/>
        <v>4290</v>
      </c>
      <c r="M850" s="1630">
        <f t="shared" si="460"/>
        <v>4290</v>
      </c>
      <c r="N850" s="1625">
        <f t="shared" si="461"/>
        <v>4859.8318053088606</v>
      </c>
      <c r="O850" s="1629">
        <v>0.70689999999999997</v>
      </c>
      <c r="P850" s="1629">
        <v>0.29310000000000003</v>
      </c>
      <c r="Q850" s="1625">
        <f t="shared" si="462"/>
        <v>3435.4151031728334</v>
      </c>
      <c r="R850" s="1628">
        <f t="shared" si="463"/>
        <v>1424.4167021360272</v>
      </c>
      <c r="S850" s="1627">
        <f t="shared" si="464"/>
        <v>2178.7367021360278</v>
      </c>
      <c r="T850" s="1627">
        <f t="shared" si="465"/>
        <v>2111.2632978639726</v>
      </c>
      <c r="U850" s="1626">
        <f t="shared" si="466"/>
        <v>544.68417553400695</v>
      </c>
      <c r="V850" s="1626">
        <f t="shared" si="467"/>
        <v>527.81582446599316</v>
      </c>
      <c r="W850" s="1625">
        <f t="shared" si="468"/>
        <v>1072.5</v>
      </c>
      <c r="X850" s="1614"/>
      <c r="Y850" s="1613"/>
      <c r="Z850" s="1612">
        <f t="shared" si="469"/>
        <v>0.46886107758952267</v>
      </c>
      <c r="AA850" s="1611"/>
      <c r="AB850" s="1611"/>
      <c r="AC850" s="1611"/>
      <c r="AD850" s="1611"/>
      <c r="AE850" s="1611"/>
      <c r="AF850" s="1611"/>
      <c r="AG850" s="1611"/>
      <c r="AH850" s="1611"/>
      <c r="AI850" s="1611"/>
      <c r="AJ850" s="1611"/>
      <c r="AK850" s="1611"/>
      <c r="AL850" s="1611"/>
      <c r="AM850" s="1611"/>
      <c r="AN850" s="1611"/>
      <c r="AO850" s="1611"/>
      <c r="AP850" s="1611"/>
      <c r="AQ850" s="1611"/>
    </row>
    <row r="851" spans="1:43" outlineLevel="2">
      <c r="A851" s="1638" t="s">
        <v>333</v>
      </c>
      <c r="B851" s="1637" t="s">
        <v>145</v>
      </c>
      <c r="C851" s="1636"/>
      <c r="D851" s="1635">
        <v>1</v>
      </c>
      <c r="E851" s="1634" t="s">
        <v>918</v>
      </c>
      <c r="F851" s="1633" t="s">
        <v>1070</v>
      </c>
      <c r="G851" s="1632">
        <v>5614.1518053088612</v>
      </c>
      <c r="H851" s="1632">
        <v>3535.68</v>
      </c>
      <c r="I851" s="1630">
        <f t="shared" si="457"/>
        <v>9149.8318053088606</v>
      </c>
      <c r="J851" s="1630">
        <f t="shared" si="458"/>
        <v>9149.8318053088606</v>
      </c>
      <c r="K851" s="1631">
        <v>5130</v>
      </c>
      <c r="L851" s="1630">
        <f t="shared" si="459"/>
        <v>5130</v>
      </c>
      <c r="M851" s="1630">
        <f t="shared" si="460"/>
        <v>5130</v>
      </c>
      <c r="N851" s="1625">
        <f t="shared" si="461"/>
        <v>4019.8318053088606</v>
      </c>
      <c r="O851" s="1629">
        <v>0.70689999999999997</v>
      </c>
      <c r="P851" s="1629">
        <v>0.29310000000000003</v>
      </c>
      <c r="Q851" s="1625">
        <f t="shared" si="462"/>
        <v>2841.6191031728335</v>
      </c>
      <c r="R851" s="1628">
        <f t="shared" si="463"/>
        <v>1178.2127021360272</v>
      </c>
      <c r="S851" s="1627">
        <f t="shared" si="464"/>
        <v>2772.5327021360276</v>
      </c>
      <c r="T851" s="1627">
        <f t="shared" si="465"/>
        <v>2357.4672978639728</v>
      </c>
      <c r="U851" s="1626">
        <f t="shared" si="466"/>
        <v>693.13317553400691</v>
      </c>
      <c r="V851" s="1626">
        <f t="shared" si="467"/>
        <v>589.3668244659932</v>
      </c>
      <c r="W851" s="1625">
        <f t="shared" si="468"/>
        <v>1282.5</v>
      </c>
      <c r="X851" s="1614"/>
      <c r="Y851" s="1613"/>
      <c r="Z851" s="1612">
        <f t="shared" si="469"/>
        <v>0.56066604383082785</v>
      </c>
      <c r="AA851" s="1611"/>
      <c r="AB851" s="1611"/>
      <c r="AC851" s="1611"/>
      <c r="AD851" s="1611"/>
      <c r="AE851" s="1611"/>
      <c r="AF851" s="1611"/>
      <c r="AG851" s="1611"/>
      <c r="AH851" s="1611"/>
      <c r="AI851" s="1611"/>
      <c r="AJ851" s="1611"/>
      <c r="AK851" s="1611"/>
      <c r="AL851" s="1611"/>
      <c r="AM851" s="1611"/>
      <c r="AN851" s="1611"/>
      <c r="AO851" s="1611"/>
      <c r="AP851" s="1611"/>
      <c r="AQ851" s="1611"/>
    </row>
    <row r="852" spans="1:43" outlineLevel="2">
      <c r="A852" s="1638" t="s">
        <v>333</v>
      </c>
      <c r="B852" s="1637" t="s">
        <v>145</v>
      </c>
      <c r="C852" s="1636"/>
      <c r="D852" s="1635">
        <v>1</v>
      </c>
      <c r="E852" s="1634" t="s">
        <v>917</v>
      </c>
      <c r="F852" s="1633" t="s">
        <v>1068</v>
      </c>
      <c r="G852" s="1632">
        <v>5614.1518053088612</v>
      </c>
      <c r="H852" s="1632">
        <v>3535.68</v>
      </c>
      <c r="I852" s="1630">
        <f t="shared" si="457"/>
        <v>9149.8318053088606</v>
      </c>
      <c r="J852" s="1630">
        <f t="shared" si="458"/>
        <v>9149.8318053088606</v>
      </c>
      <c r="K852" s="1631">
        <v>4580</v>
      </c>
      <c r="L852" s="1630">
        <f t="shared" si="459"/>
        <v>4580</v>
      </c>
      <c r="M852" s="1630">
        <f t="shared" si="460"/>
        <v>4580</v>
      </c>
      <c r="N852" s="1625">
        <f t="shared" si="461"/>
        <v>4569.8318053088606</v>
      </c>
      <c r="O852" s="1629">
        <v>0.70689999999999997</v>
      </c>
      <c r="P852" s="1629">
        <v>0.29310000000000003</v>
      </c>
      <c r="Q852" s="1625">
        <f t="shared" si="462"/>
        <v>3230.4141031728336</v>
      </c>
      <c r="R852" s="1628">
        <f t="shared" si="463"/>
        <v>1339.4177021360272</v>
      </c>
      <c r="S852" s="1627">
        <f t="shared" si="464"/>
        <v>2383.7377021360276</v>
      </c>
      <c r="T852" s="1627">
        <f t="shared" si="465"/>
        <v>2196.2622978639729</v>
      </c>
      <c r="U852" s="1626">
        <f t="shared" si="466"/>
        <v>595.93442553400689</v>
      </c>
      <c r="V852" s="1626">
        <f t="shared" si="467"/>
        <v>549.06557446599322</v>
      </c>
      <c r="W852" s="1625">
        <f t="shared" si="468"/>
        <v>1145</v>
      </c>
      <c r="X852" s="1614"/>
      <c r="Y852" s="1613"/>
      <c r="Z852" s="1612">
        <f t="shared" si="469"/>
        <v>0.5005556492680685</v>
      </c>
      <c r="AA852" s="1611"/>
      <c r="AB852" s="1611"/>
      <c r="AC852" s="1611"/>
      <c r="AD852" s="1611"/>
      <c r="AE852" s="1611"/>
      <c r="AF852" s="1611"/>
      <c r="AG852" s="1611"/>
      <c r="AH852" s="1611"/>
      <c r="AI852" s="1611"/>
      <c r="AJ852" s="1611"/>
      <c r="AK852" s="1611"/>
      <c r="AL852" s="1611"/>
      <c r="AM852" s="1611"/>
      <c r="AN852" s="1611"/>
      <c r="AO852" s="1611"/>
      <c r="AP852" s="1611"/>
      <c r="AQ852" s="1611"/>
    </row>
    <row r="853" spans="1:43" outlineLevel="2">
      <c r="A853" s="1638" t="s">
        <v>333</v>
      </c>
      <c r="B853" s="1637" t="s">
        <v>145</v>
      </c>
      <c r="C853" s="1636"/>
      <c r="D853" s="1635">
        <v>1</v>
      </c>
      <c r="E853" s="1634" t="s">
        <v>917</v>
      </c>
      <c r="F853" s="1633" t="s">
        <v>1065</v>
      </c>
      <c r="G853" s="1632">
        <v>5614.1518053088612</v>
      </c>
      <c r="H853" s="1632">
        <v>3535.68</v>
      </c>
      <c r="I853" s="1630">
        <f t="shared" si="457"/>
        <v>9149.8318053088606</v>
      </c>
      <c r="J853" s="1630">
        <f t="shared" si="458"/>
        <v>9149.8318053088606</v>
      </c>
      <c r="K853" s="1631">
        <v>4580</v>
      </c>
      <c r="L853" s="1630">
        <f t="shared" si="459"/>
        <v>4580</v>
      </c>
      <c r="M853" s="1630">
        <f t="shared" si="460"/>
        <v>4580</v>
      </c>
      <c r="N853" s="1625">
        <f t="shared" si="461"/>
        <v>4569.8318053088606</v>
      </c>
      <c r="O853" s="1629">
        <v>0.70689999999999997</v>
      </c>
      <c r="P853" s="1629">
        <v>0.29310000000000003</v>
      </c>
      <c r="Q853" s="1625">
        <f t="shared" si="462"/>
        <v>3230.4141031728336</v>
      </c>
      <c r="R853" s="1628">
        <f t="shared" si="463"/>
        <v>1339.4177021360272</v>
      </c>
      <c r="S853" s="1627">
        <f t="shared" si="464"/>
        <v>2383.7377021360276</v>
      </c>
      <c r="T853" s="1627">
        <f t="shared" si="465"/>
        <v>2196.2622978639729</v>
      </c>
      <c r="U853" s="1626">
        <f t="shared" si="466"/>
        <v>595.93442553400689</v>
      </c>
      <c r="V853" s="1626">
        <f t="shared" si="467"/>
        <v>549.06557446599322</v>
      </c>
      <c r="W853" s="1625">
        <f t="shared" si="468"/>
        <v>1145</v>
      </c>
      <c r="X853" s="1614"/>
      <c r="Y853" s="1613"/>
      <c r="Z853" s="1612">
        <f t="shared" si="469"/>
        <v>0.5005556492680685</v>
      </c>
      <c r="AA853" s="1611"/>
      <c r="AB853" s="1611"/>
      <c r="AC853" s="1611"/>
      <c r="AD853" s="1611"/>
      <c r="AE853" s="1611"/>
      <c r="AF853" s="1611"/>
      <c r="AG853" s="1611"/>
      <c r="AH853" s="1611"/>
      <c r="AI853" s="1611"/>
      <c r="AJ853" s="1611"/>
      <c r="AK853" s="1611"/>
      <c r="AL853" s="1611"/>
      <c r="AM853" s="1611"/>
      <c r="AN853" s="1611"/>
      <c r="AO853" s="1611"/>
      <c r="AP853" s="1611"/>
      <c r="AQ853" s="1611"/>
    </row>
    <row r="854" spans="1:43" outlineLevel="2">
      <c r="A854" s="1638" t="s">
        <v>333</v>
      </c>
      <c r="B854" s="1637" t="s">
        <v>145</v>
      </c>
      <c r="C854" s="1636"/>
      <c r="D854" s="1635">
        <v>5</v>
      </c>
      <c r="E854" s="1634" t="s">
        <v>921</v>
      </c>
      <c r="F854" s="1633" t="s">
        <v>1063</v>
      </c>
      <c r="G854" s="1632">
        <v>5614.1518053088612</v>
      </c>
      <c r="H854" s="1632">
        <v>3535.68</v>
      </c>
      <c r="I854" s="1630">
        <f t="shared" si="457"/>
        <v>9149.8318053088606</v>
      </c>
      <c r="J854" s="1630">
        <f t="shared" si="458"/>
        <v>45749.159026544301</v>
      </c>
      <c r="K854" s="1631">
        <v>9143</v>
      </c>
      <c r="L854" s="1630">
        <f t="shared" si="459"/>
        <v>9143</v>
      </c>
      <c r="M854" s="1630">
        <f t="shared" si="460"/>
        <v>45715</v>
      </c>
      <c r="N854" s="1625">
        <f t="shared" si="461"/>
        <v>34.159026544301014</v>
      </c>
      <c r="O854" s="1629">
        <v>0.70689999999999997</v>
      </c>
      <c r="P854" s="1629">
        <v>0.29310000000000003</v>
      </c>
      <c r="Q854" s="1625">
        <f t="shared" si="462"/>
        <v>24.147015864166384</v>
      </c>
      <c r="R854" s="1628">
        <f t="shared" si="463"/>
        <v>10.012010680134628</v>
      </c>
      <c r="S854" s="1627">
        <f t="shared" si="464"/>
        <v>28046.612010680139</v>
      </c>
      <c r="T854" s="1627">
        <f t="shared" si="465"/>
        <v>17668.387989319865</v>
      </c>
      <c r="U854" s="1626">
        <f t="shared" si="466"/>
        <v>7011.6530026700348</v>
      </c>
      <c r="V854" s="1626">
        <f t="shared" si="467"/>
        <v>4417.0969973299661</v>
      </c>
      <c r="W854" s="1625">
        <f t="shared" si="468"/>
        <v>11428.75</v>
      </c>
      <c r="X854" s="1614"/>
      <c r="Y854" s="1613"/>
      <c r="Z854" s="1612">
        <f t="shared" si="469"/>
        <v>0.99925334088601536</v>
      </c>
      <c r="AA854" s="1611"/>
      <c r="AB854" s="1611"/>
      <c r="AC854" s="1611"/>
      <c r="AD854" s="1611"/>
      <c r="AE854" s="1611"/>
      <c r="AF854" s="1611"/>
      <c r="AG854" s="1611"/>
      <c r="AH854" s="1611"/>
      <c r="AI854" s="1611"/>
      <c r="AJ854" s="1611"/>
      <c r="AK854" s="1611"/>
      <c r="AL854" s="1611"/>
      <c r="AM854" s="1611"/>
      <c r="AN854" s="1611"/>
      <c r="AO854" s="1611"/>
      <c r="AP854" s="1611"/>
      <c r="AQ854" s="1611"/>
    </row>
    <row r="855" spans="1:43" outlineLevel="2">
      <c r="A855" s="1638" t="s">
        <v>333</v>
      </c>
      <c r="B855" s="1637" t="s">
        <v>145</v>
      </c>
      <c r="C855" s="1636"/>
      <c r="D855" s="1635">
        <v>4</v>
      </c>
      <c r="E855" s="1634" t="s">
        <v>921</v>
      </c>
      <c r="F855" s="1633" t="s">
        <v>1066</v>
      </c>
      <c r="G855" s="1632">
        <v>5614.1518053088612</v>
      </c>
      <c r="H855" s="1632">
        <v>3535.68</v>
      </c>
      <c r="I855" s="1630">
        <f t="shared" si="457"/>
        <v>9149.8318053088606</v>
      </c>
      <c r="J855" s="1630">
        <f t="shared" si="458"/>
        <v>36599.327221235442</v>
      </c>
      <c r="K855" s="1631">
        <v>9143</v>
      </c>
      <c r="L855" s="1630">
        <f t="shared" si="459"/>
        <v>9143</v>
      </c>
      <c r="M855" s="1630">
        <f t="shared" si="460"/>
        <v>36572</v>
      </c>
      <c r="N855" s="1625">
        <f t="shared" si="461"/>
        <v>27.327221235442266</v>
      </c>
      <c r="O855" s="1629">
        <v>0.70689999999999997</v>
      </c>
      <c r="P855" s="1629">
        <v>0.29310000000000003</v>
      </c>
      <c r="Q855" s="1625">
        <f t="shared" si="462"/>
        <v>19.317612691334137</v>
      </c>
      <c r="R855" s="1628">
        <f t="shared" si="463"/>
        <v>8.0096085441081293</v>
      </c>
      <c r="S855" s="1627">
        <f t="shared" si="464"/>
        <v>22437.28960854411</v>
      </c>
      <c r="T855" s="1627">
        <f t="shared" si="465"/>
        <v>14134.710391455892</v>
      </c>
      <c r="U855" s="1626">
        <f t="shared" si="466"/>
        <v>5609.3224021360274</v>
      </c>
      <c r="V855" s="1626">
        <f t="shared" si="467"/>
        <v>3533.677597863973</v>
      </c>
      <c r="W855" s="1625">
        <f t="shared" si="468"/>
        <v>9143</v>
      </c>
      <c r="X855" s="1614"/>
      <c r="Y855" s="1613"/>
      <c r="Z855" s="1612">
        <f t="shared" si="469"/>
        <v>0.99925334088601536</v>
      </c>
      <c r="AA855" s="1611"/>
      <c r="AB855" s="1611"/>
      <c r="AC855" s="1611"/>
      <c r="AD855" s="1611"/>
      <c r="AE855" s="1611"/>
      <c r="AF855" s="1611"/>
      <c r="AG855" s="1611"/>
      <c r="AH855" s="1611"/>
      <c r="AI855" s="1611"/>
      <c r="AJ855" s="1611"/>
      <c r="AK855" s="1611"/>
      <c r="AL855" s="1611"/>
      <c r="AM855" s="1611"/>
      <c r="AN855" s="1611"/>
      <c r="AO855" s="1611"/>
      <c r="AP855" s="1611"/>
      <c r="AQ855" s="1611"/>
    </row>
    <row r="856" spans="1:43" outlineLevel="2">
      <c r="A856" s="1638" t="s">
        <v>333</v>
      </c>
      <c r="B856" s="1637" t="s">
        <v>145</v>
      </c>
      <c r="C856" s="1636"/>
      <c r="D856" s="1635">
        <v>3</v>
      </c>
      <c r="E856" s="1634" t="s">
        <v>921</v>
      </c>
      <c r="F856" s="1633" t="s">
        <v>1067</v>
      </c>
      <c r="G856" s="1632">
        <v>5614.1518053088612</v>
      </c>
      <c r="H856" s="1632">
        <v>3535.68</v>
      </c>
      <c r="I856" s="1630">
        <f t="shared" si="457"/>
        <v>9149.8318053088606</v>
      </c>
      <c r="J856" s="1630">
        <f t="shared" si="458"/>
        <v>27449.495415926584</v>
      </c>
      <c r="K856" s="1631">
        <v>9143</v>
      </c>
      <c r="L856" s="1630">
        <f t="shared" si="459"/>
        <v>9143</v>
      </c>
      <c r="M856" s="1630">
        <f t="shared" si="460"/>
        <v>27429</v>
      </c>
      <c r="N856" s="1625">
        <f t="shared" si="461"/>
        <v>20.495415926583519</v>
      </c>
      <c r="O856" s="1629">
        <v>0.70689999999999997</v>
      </c>
      <c r="P856" s="1629">
        <v>0.29310000000000003</v>
      </c>
      <c r="Q856" s="1625">
        <f t="shared" si="462"/>
        <v>14.488209518501888</v>
      </c>
      <c r="R856" s="1628">
        <f t="shared" si="463"/>
        <v>6.0072064080816299</v>
      </c>
      <c r="S856" s="1627">
        <f t="shared" si="464"/>
        <v>16827.967206408081</v>
      </c>
      <c r="T856" s="1627">
        <f t="shared" si="465"/>
        <v>10601.032793591918</v>
      </c>
      <c r="U856" s="1626">
        <f t="shared" si="466"/>
        <v>4206.9918016020201</v>
      </c>
      <c r="V856" s="1626">
        <f t="shared" si="467"/>
        <v>2650.2581983979794</v>
      </c>
      <c r="W856" s="1625">
        <f t="shared" si="468"/>
        <v>6857.25</v>
      </c>
      <c r="X856" s="1614"/>
      <c r="Y856" s="1613"/>
      <c r="Z856" s="1612">
        <f t="shared" si="469"/>
        <v>0.99925334088601536</v>
      </c>
      <c r="AA856" s="1611"/>
      <c r="AB856" s="1611"/>
      <c r="AC856" s="1611"/>
      <c r="AD856" s="1611"/>
      <c r="AE856" s="1611"/>
      <c r="AF856" s="1611"/>
      <c r="AG856" s="1611"/>
      <c r="AH856" s="1611"/>
      <c r="AI856" s="1611"/>
      <c r="AJ856" s="1611"/>
      <c r="AK856" s="1611"/>
      <c r="AL856" s="1611"/>
      <c r="AM856" s="1611"/>
      <c r="AN856" s="1611"/>
      <c r="AO856" s="1611"/>
      <c r="AP856" s="1611"/>
      <c r="AQ856" s="1611"/>
    </row>
    <row r="857" spans="1:43" outlineLevel="2">
      <c r="A857" s="1638" t="s">
        <v>333</v>
      </c>
      <c r="B857" s="1637" t="s">
        <v>145</v>
      </c>
      <c r="C857" s="1636"/>
      <c r="D857" s="1635">
        <v>3</v>
      </c>
      <c r="E857" s="1634" t="s">
        <v>921</v>
      </c>
      <c r="F857" s="1633" t="s">
        <v>1072</v>
      </c>
      <c r="G857" s="1632">
        <v>5614.1518053088612</v>
      </c>
      <c r="H857" s="1632">
        <v>3535.68</v>
      </c>
      <c r="I857" s="1630">
        <f t="shared" si="457"/>
        <v>9149.8318053088606</v>
      </c>
      <c r="J857" s="1630">
        <f t="shared" si="458"/>
        <v>27449.495415926584</v>
      </c>
      <c r="K857" s="1631">
        <v>9143</v>
      </c>
      <c r="L857" s="1630">
        <f t="shared" si="459"/>
        <v>9143</v>
      </c>
      <c r="M857" s="1630">
        <f t="shared" si="460"/>
        <v>27429</v>
      </c>
      <c r="N857" s="1625">
        <f t="shared" si="461"/>
        <v>20.495415926583519</v>
      </c>
      <c r="O857" s="1629">
        <v>0.70689999999999997</v>
      </c>
      <c r="P857" s="1629">
        <v>0.29310000000000003</v>
      </c>
      <c r="Q857" s="1625">
        <f t="shared" si="462"/>
        <v>14.488209518501888</v>
      </c>
      <c r="R857" s="1628">
        <f t="shared" si="463"/>
        <v>6.0072064080816299</v>
      </c>
      <c r="S857" s="1627">
        <f t="shared" si="464"/>
        <v>16827.967206408081</v>
      </c>
      <c r="T857" s="1627">
        <f t="shared" si="465"/>
        <v>10601.032793591918</v>
      </c>
      <c r="U857" s="1626">
        <f t="shared" si="466"/>
        <v>4206.9918016020201</v>
      </c>
      <c r="V857" s="1626">
        <f t="shared" si="467"/>
        <v>2650.2581983979794</v>
      </c>
      <c r="W857" s="1625">
        <f t="shared" si="468"/>
        <v>6857.25</v>
      </c>
      <c r="X857" s="1614"/>
      <c r="Y857" s="1613"/>
      <c r="Z857" s="1612">
        <f t="shared" si="469"/>
        <v>0.99925334088601536</v>
      </c>
      <c r="AA857" s="1611"/>
      <c r="AB857" s="1611"/>
      <c r="AC857" s="1611"/>
      <c r="AD857" s="1611"/>
      <c r="AE857" s="1611"/>
      <c r="AF857" s="1611"/>
      <c r="AG857" s="1611"/>
      <c r="AH857" s="1611"/>
      <c r="AI857" s="1611"/>
      <c r="AJ857" s="1611"/>
      <c r="AK857" s="1611"/>
      <c r="AL857" s="1611"/>
      <c r="AM857" s="1611"/>
      <c r="AN857" s="1611"/>
      <c r="AO857" s="1611"/>
      <c r="AP857" s="1611"/>
      <c r="AQ857" s="1611"/>
    </row>
    <row r="858" spans="1:43" outlineLevel="2">
      <c r="A858" s="1638" t="s">
        <v>333</v>
      </c>
      <c r="B858" s="1637" t="s">
        <v>145</v>
      </c>
      <c r="C858" s="1636"/>
      <c r="D858" s="1635">
        <v>1</v>
      </c>
      <c r="E858" s="1634" t="s">
        <v>921</v>
      </c>
      <c r="F858" s="1633" t="s">
        <v>1079</v>
      </c>
      <c r="G858" s="1632">
        <v>5614.1518053088612</v>
      </c>
      <c r="H858" s="1632">
        <v>3535.68</v>
      </c>
      <c r="I858" s="1630">
        <f t="shared" si="457"/>
        <v>9149.8318053088606</v>
      </c>
      <c r="J858" s="1630">
        <f t="shared" si="458"/>
        <v>9149.8318053088606</v>
      </c>
      <c r="K858" s="1631">
        <v>9143</v>
      </c>
      <c r="L858" s="1630">
        <f t="shared" si="459"/>
        <v>9143</v>
      </c>
      <c r="M858" s="1630">
        <f t="shared" si="460"/>
        <v>9143</v>
      </c>
      <c r="N858" s="1625">
        <f t="shared" si="461"/>
        <v>6.8318053088605666</v>
      </c>
      <c r="O858" s="1629">
        <v>0.70689999999999997</v>
      </c>
      <c r="P858" s="1629">
        <v>0.29310000000000003</v>
      </c>
      <c r="Q858" s="1625">
        <f t="shared" si="462"/>
        <v>4.8294031728335343</v>
      </c>
      <c r="R858" s="1628">
        <f t="shared" si="463"/>
        <v>2.0024021360270323</v>
      </c>
      <c r="S858" s="1627">
        <f t="shared" si="464"/>
        <v>5609.3224021360274</v>
      </c>
      <c r="T858" s="1627">
        <f t="shared" si="465"/>
        <v>3533.677597863973</v>
      </c>
      <c r="U858" s="1626">
        <f t="shared" si="466"/>
        <v>1402.3306005340069</v>
      </c>
      <c r="V858" s="1626">
        <f t="shared" si="467"/>
        <v>883.41939946599325</v>
      </c>
      <c r="W858" s="1625">
        <f t="shared" si="468"/>
        <v>2285.75</v>
      </c>
      <c r="X858" s="1614"/>
      <c r="Y858" s="1613"/>
      <c r="Z858" s="1612">
        <f t="shared" si="469"/>
        <v>0.99925334088601536</v>
      </c>
      <c r="AA858" s="1611"/>
      <c r="AB858" s="1611"/>
      <c r="AC858" s="1611"/>
      <c r="AD858" s="1611"/>
      <c r="AE858" s="1611"/>
      <c r="AF858" s="1611"/>
      <c r="AG858" s="1611"/>
      <c r="AH858" s="1611"/>
      <c r="AI858" s="1611"/>
      <c r="AJ858" s="1611"/>
      <c r="AK858" s="1611"/>
      <c r="AL858" s="1611"/>
      <c r="AM858" s="1611"/>
      <c r="AN858" s="1611"/>
      <c r="AO858" s="1611"/>
      <c r="AP858" s="1611"/>
      <c r="AQ858" s="1611"/>
    </row>
    <row r="859" spans="1:43" outlineLevel="2">
      <c r="A859" s="1638" t="s">
        <v>333</v>
      </c>
      <c r="B859" s="1637" t="s">
        <v>145</v>
      </c>
      <c r="C859" s="1636"/>
      <c r="D859" s="1635">
        <v>3</v>
      </c>
      <c r="E859" s="1634" t="s">
        <v>889</v>
      </c>
      <c r="F859" s="1633" t="s">
        <v>1070</v>
      </c>
      <c r="G859" s="1632">
        <v>5614.1518053088612</v>
      </c>
      <c r="H859" s="1632">
        <v>3535.68</v>
      </c>
      <c r="I859" s="1630">
        <f t="shared" si="457"/>
        <v>9149.8318053088606</v>
      </c>
      <c r="J859" s="1630">
        <f t="shared" si="458"/>
        <v>27449.495415926584</v>
      </c>
      <c r="K859" s="1631">
        <v>8745</v>
      </c>
      <c r="L859" s="1630">
        <f t="shared" si="459"/>
        <v>8745</v>
      </c>
      <c r="M859" s="1630">
        <f t="shared" si="460"/>
        <v>26235</v>
      </c>
      <c r="N859" s="1625">
        <f t="shared" si="461"/>
        <v>1214.4954159265835</v>
      </c>
      <c r="O859" s="1629">
        <v>0.70689999999999997</v>
      </c>
      <c r="P859" s="1629">
        <v>0.29310000000000003</v>
      </c>
      <c r="Q859" s="1625">
        <f t="shared" si="462"/>
        <v>858.52680951850186</v>
      </c>
      <c r="R859" s="1628">
        <f t="shared" si="463"/>
        <v>355.96860640808165</v>
      </c>
      <c r="S859" s="1627">
        <f t="shared" si="464"/>
        <v>15983.928606408081</v>
      </c>
      <c r="T859" s="1627">
        <f t="shared" si="465"/>
        <v>10251.071393591918</v>
      </c>
      <c r="U859" s="1626">
        <f t="shared" si="466"/>
        <v>3995.9821516020202</v>
      </c>
      <c r="V859" s="1626">
        <f t="shared" si="467"/>
        <v>2562.7678483979794</v>
      </c>
      <c r="W859" s="1625">
        <f t="shared" si="468"/>
        <v>6558.75</v>
      </c>
      <c r="X859" s="1614"/>
      <c r="Y859" s="1613"/>
      <c r="Z859" s="1612">
        <f t="shared" si="469"/>
        <v>0.95575527354787315</v>
      </c>
      <c r="AA859" s="1611"/>
      <c r="AB859" s="1611"/>
      <c r="AC859" s="1611"/>
      <c r="AD859" s="1611"/>
      <c r="AE859" s="1611"/>
      <c r="AF859" s="1611"/>
      <c r="AG859" s="1611"/>
      <c r="AH859" s="1611"/>
      <c r="AI859" s="1611"/>
      <c r="AJ859" s="1611"/>
      <c r="AK859" s="1611"/>
      <c r="AL859" s="1611"/>
      <c r="AM859" s="1611"/>
      <c r="AN859" s="1611"/>
      <c r="AO859" s="1611"/>
      <c r="AP859" s="1611"/>
      <c r="AQ859" s="1611"/>
    </row>
    <row r="860" spans="1:43" outlineLevel="2">
      <c r="A860" s="1638" t="s">
        <v>333</v>
      </c>
      <c r="B860" s="1637" t="s">
        <v>145</v>
      </c>
      <c r="C860" s="1636"/>
      <c r="D860" s="1635">
        <v>2</v>
      </c>
      <c r="E860" s="1634" t="s">
        <v>889</v>
      </c>
      <c r="F860" s="1633" t="s">
        <v>1069</v>
      </c>
      <c r="G860" s="1632">
        <v>5614.1518053088612</v>
      </c>
      <c r="H860" s="1632">
        <v>3535.68</v>
      </c>
      <c r="I860" s="1630">
        <f t="shared" si="457"/>
        <v>9149.8318053088606</v>
      </c>
      <c r="J860" s="1630">
        <f t="shared" si="458"/>
        <v>18299.663610617721</v>
      </c>
      <c r="K860" s="1631">
        <v>8745</v>
      </c>
      <c r="L860" s="1630">
        <f t="shared" si="459"/>
        <v>8745</v>
      </c>
      <c r="M860" s="1630">
        <f t="shared" si="460"/>
        <v>17490</v>
      </c>
      <c r="N860" s="1625">
        <f t="shared" si="461"/>
        <v>809.66361061772113</v>
      </c>
      <c r="O860" s="1629">
        <v>0.70689999999999997</v>
      </c>
      <c r="P860" s="1629">
        <v>0.29310000000000003</v>
      </c>
      <c r="Q860" s="1625">
        <f t="shared" si="462"/>
        <v>572.35120634566704</v>
      </c>
      <c r="R860" s="1628">
        <f t="shared" si="463"/>
        <v>237.3124042720541</v>
      </c>
      <c r="S860" s="1627">
        <f t="shared" si="464"/>
        <v>10655.952404272055</v>
      </c>
      <c r="T860" s="1627">
        <f t="shared" si="465"/>
        <v>6834.0475957279459</v>
      </c>
      <c r="U860" s="1626">
        <f t="shared" si="466"/>
        <v>2663.9881010680137</v>
      </c>
      <c r="V860" s="1626">
        <f t="shared" si="467"/>
        <v>1708.5118989319865</v>
      </c>
      <c r="W860" s="1625">
        <f t="shared" si="468"/>
        <v>4372.5</v>
      </c>
      <c r="X860" s="1614"/>
      <c r="Y860" s="1613"/>
      <c r="Z860" s="1612">
        <f t="shared" si="469"/>
        <v>0.95575527354787315</v>
      </c>
      <c r="AA860" s="1611"/>
      <c r="AB860" s="1611"/>
      <c r="AC860" s="1611"/>
      <c r="AD860" s="1611"/>
      <c r="AE860" s="1611"/>
      <c r="AF860" s="1611"/>
      <c r="AG860" s="1611"/>
      <c r="AH860" s="1611"/>
      <c r="AI860" s="1611"/>
      <c r="AJ860" s="1611"/>
      <c r="AK860" s="1611"/>
      <c r="AL860" s="1611"/>
      <c r="AM860" s="1611"/>
      <c r="AN860" s="1611"/>
      <c r="AO860" s="1611"/>
      <c r="AP860" s="1611"/>
      <c r="AQ860" s="1611"/>
    </row>
    <row r="861" spans="1:43" outlineLevel="2">
      <c r="A861" s="1638" t="s">
        <v>333</v>
      </c>
      <c r="B861" s="1637" t="s">
        <v>145</v>
      </c>
      <c r="C861" s="1636"/>
      <c r="D861" s="1635">
        <v>5</v>
      </c>
      <c r="E861" s="1634" t="s">
        <v>889</v>
      </c>
      <c r="F861" s="1633" t="s">
        <v>1068</v>
      </c>
      <c r="G861" s="1632">
        <v>5614.1518053088612</v>
      </c>
      <c r="H861" s="1632">
        <v>3535.68</v>
      </c>
      <c r="I861" s="1630">
        <f t="shared" si="457"/>
        <v>9149.8318053088606</v>
      </c>
      <c r="J861" s="1630">
        <f t="shared" si="458"/>
        <v>45749.159026544301</v>
      </c>
      <c r="K861" s="1631">
        <v>8745</v>
      </c>
      <c r="L861" s="1630">
        <f t="shared" si="459"/>
        <v>8745</v>
      </c>
      <c r="M861" s="1630">
        <f t="shared" si="460"/>
        <v>43725</v>
      </c>
      <c r="N861" s="1625">
        <f t="shared" si="461"/>
        <v>2024.159026544301</v>
      </c>
      <c r="O861" s="1629">
        <v>0.70689999999999997</v>
      </c>
      <c r="P861" s="1629">
        <v>0.29310000000000003</v>
      </c>
      <c r="Q861" s="1625">
        <f t="shared" si="462"/>
        <v>1430.8780158641664</v>
      </c>
      <c r="R861" s="1628">
        <f t="shared" si="463"/>
        <v>593.28101068013473</v>
      </c>
      <c r="S861" s="1627">
        <f t="shared" si="464"/>
        <v>26639.881010680139</v>
      </c>
      <c r="T861" s="1627">
        <f t="shared" si="465"/>
        <v>17085.118989319864</v>
      </c>
      <c r="U861" s="1626">
        <f t="shared" si="466"/>
        <v>6659.9702526700348</v>
      </c>
      <c r="V861" s="1626">
        <f t="shared" si="467"/>
        <v>4271.2797473299661</v>
      </c>
      <c r="W861" s="1625">
        <f t="shared" si="468"/>
        <v>10931.25</v>
      </c>
      <c r="X861" s="1614"/>
      <c r="Y861" s="1613"/>
      <c r="Z861" s="1612">
        <f t="shared" si="469"/>
        <v>0.95575527354787315</v>
      </c>
      <c r="AA861" s="1611"/>
      <c r="AB861" s="1611"/>
      <c r="AC861" s="1611"/>
      <c r="AD861" s="1611"/>
      <c r="AE861" s="1611"/>
      <c r="AF861" s="1611"/>
      <c r="AG861" s="1611"/>
      <c r="AH861" s="1611"/>
      <c r="AI861" s="1611"/>
      <c r="AJ861" s="1611"/>
      <c r="AK861" s="1611"/>
      <c r="AL861" s="1611"/>
      <c r="AM861" s="1611"/>
      <c r="AN861" s="1611"/>
      <c r="AO861" s="1611"/>
      <c r="AP861" s="1611"/>
      <c r="AQ861" s="1611"/>
    </row>
    <row r="862" spans="1:43" outlineLevel="2">
      <c r="A862" s="1638" t="s">
        <v>333</v>
      </c>
      <c r="B862" s="1637" t="s">
        <v>145</v>
      </c>
      <c r="C862" s="1636"/>
      <c r="D862" s="1635">
        <v>3</v>
      </c>
      <c r="E862" s="1634" t="s">
        <v>889</v>
      </c>
      <c r="F862" s="1633" t="s">
        <v>1065</v>
      </c>
      <c r="G862" s="1632">
        <v>5614.1518053088612</v>
      </c>
      <c r="H862" s="1632">
        <v>3535.68</v>
      </c>
      <c r="I862" s="1630">
        <f t="shared" si="457"/>
        <v>9149.8318053088606</v>
      </c>
      <c r="J862" s="1630">
        <f t="shared" si="458"/>
        <v>27449.495415926584</v>
      </c>
      <c r="K862" s="1631">
        <v>8745</v>
      </c>
      <c r="L862" s="1630">
        <f t="shared" si="459"/>
        <v>8745</v>
      </c>
      <c r="M862" s="1630">
        <f t="shared" si="460"/>
        <v>26235</v>
      </c>
      <c r="N862" s="1625">
        <f t="shared" si="461"/>
        <v>1214.4954159265835</v>
      </c>
      <c r="O862" s="1629">
        <v>0.70689999999999997</v>
      </c>
      <c r="P862" s="1629">
        <v>0.29310000000000003</v>
      </c>
      <c r="Q862" s="1625">
        <f t="shared" si="462"/>
        <v>858.52680951850186</v>
      </c>
      <c r="R862" s="1628">
        <f t="shared" si="463"/>
        <v>355.96860640808165</v>
      </c>
      <c r="S862" s="1627">
        <f t="shared" si="464"/>
        <v>15983.928606408081</v>
      </c>
      <c r="T862" s="1627">
        <f t="shared" si="465"/>
        <v>10251.071393591918</v>
      </c>
      <c r="U862" s="1626">
        <f t="shared" si="466"/>
        <v>3995.9821516020202</v>
      </c>
      <c r="V862" s="1626">
        <f t="shared" si="467"/>
        <v>2562.7678483979794</v>
      </c>
      <c r="W862" s="1625">
        <f t="shared" si="468"/>
        <v>6558.75</v>
      </c>
      <c r="X862" s="1614"/>
      <c r="Y862" s="1613"/>
      <c r="Z862" s="1612">
        <f t="shared" si="469"/>
        <v>0.95575527354787315</v>
      </c>
      <c r="AA862" s="1611"/>
      <c r="AB862" s="1611"/>
      <c r="AC862" s="1611"/>
      <c r="AD862" s="1611"/>
      <c r="AE862" s="1611"/>
      <c r="AF862" s="1611"/>
      <c r="AG862" s="1611"/>
      <c r="AH862" s="1611"/>
      <c r="AI862" s="1611"/>
      <c r="AJ862" s="1611"/>
      <c r="AK862" s="1611"/>
      <c r="AL862" s="1611"/>
      <c r="AM862" s="1611"/>
      <c r="AN862" s="1611"/>
      <c r="AO862" s="1611"/>
      <c r="AP862" s="1611"/>
      <c r="AQ862" s="1611"/>
    </row>
    <row r="863" spans="1:43" outlineLevel="2">
      <c r="A863" s="1638" t="s">
        <v>333</v>
      </c>
      <c r="B863" s="1637" t="s">
        <v>145</v>
      </c>
      <c r="C863" s="1636"/>
      <c r="D863" s="1635">
        <v>1</v>
      </c>
      <c r="E863" s="1634" t="s">
        <v>889</v>
      </c>
      <c r="F863" s="1633" t="s">
        <v>1064</v>
      </c>
      <c r="G863" s="1632">
        <v>5614.1518053088612</v>
      </c>
      <c r="H863" s="1632">
        <v>3535.68</v>
      </c>
      <c r="I863" s="1630">
        <f t="shared" si="457"/>
        <v>9149.8318053088606</v>
      </c>
      <c r="J863" s="1630">
        <f t="shared" si="458"/>
        <v>9149.8318053088606</v>
      </c>
      <c r="K863" s="1631">
        <v>8745</v>
      </c>
      <c r="L863" s="1630">
        <f t="shared" si="459"/>
        <v>8745</v>
      </c>
      <c r="M863" s="1630">
        <f t="shared" si="460"/>
        <v>8745</v>
      </c>
      <c r="N863" s="1625">
        <f t="shared" si="461"/>
        <v>404.83180530886057</v>
      </c>
      <c r="O863" s="1629">
        <v>0.70689999999999997</v>
      </c>
      <c r="P863" s="1629">
        <v>0.29310000000000003</v>
      </c>
      <c r="Q863" s="1625">
        <f t="shared" si="462"/>
        <v>286.17560317283352</v>
      </c>
      <c r="R863" s="1628">
        <f t="shared" si="463"/>
        <v>118.65620213602705</v>
      </c>
      <c r="S863" s="1627">
        <f t="shared" si="464"/>
        <v>5327.9762021360275</v>
      </c>
      <c r="T863" s="1627">
        <f t="shared" si="465"/>
        <v>3417.023797863973</v>
      </c>
      <c r="U863" s="1626">
        <f t="shared" si="466"/>
        <v>1331.9940505340069</v>
      </c>
      <c r="V863" s="1626">
        <f t="shared" si="467"/>
        <v>854.25594946599324</v>
      </c>
      <c r="W863" s="1625">
        <f t="shared" si="468"/>
        <v>2186.25</v>
      </c>
      <c r="X863" s="1614"/>
      <c r="Y863" s="1613"/>
      <c r="Z863" s="1612">
        <f t="shared" si="469"/>
        <v>0.95575527354787315</v>
      </c>
      <c r="AA863" s="1611"/>
      <c r="AB863" s="1611"/>
      <c r="AC863" s="1611"/>
      <c r="AD863" s="1611"/>
      <c r="AE863" s="1611"/>
      <c r="AF863" s="1611"/>
      <c r="AG863" s="1611"/>
      <c r="AH863" s="1611"/>
      <c r="AI863" s="1611"/>
      <c r="AJ863" s="1611"/>
      <c r="AK863" s="1611"/>
      <c r="AL863" s="1611"/>
      <c r="AM863" s="1611"/>
      <c r="AN863" s="1611"/>
      <c r="AO863" s="1611"/>
      <c r="AP863" s="1611"/>
      <c r="AQ863" s="1611"/>
    </row>
    <row r="864" spans="1:43" outlineLevel="2">
      <c r="A864" s="1638" t="s">
        <v>333</v>
      </c>
      <c r="B864" s="1637" t="s">
        <v>145</v>
      </c>
      <c r="C864" s="1636"/>
      <c r="D864" s="1635">
        <v>7</v>
      </c>
      <c r="E864" s="1634" t="s">
        <v>889</v>
      </c>
      <c r="F864" s="1633" t="s">
        <v>979</v>
      </c>
      <c r="G864" s="1632">
        <v>5614.1518053088612</v>
      </c>
      <c r="H864" s="1632">
        <v>3535.68</v>
      </c>
      <c r="I864" s="1630">
        <f t="shared" si="457"/>
        <v>9149.8318053088606</v>
      </c>
      <c r="J864" s="1630">
        <f t="shared" si="458"/>
        <v>64048.822637162026</v>
      </c>
      <c r="K864" s="1631">
        <v>8745</v>
      </c>
      <c r="L864" s="1630">
        <f t="shared" si="459"/>
        <v>8745</v>
      </c>
      <c r="M864" s="1630">
        <f t="shared" si="460"/>
        <v>61215</v>
      </c>
      <c r="N864" s="1625">
        <f t="shared" si="461"/>
        <v>2833.8226371620258</v>
      </c>
      <c r="O864" s="1629">
        <v>0.70689999999999997</v>
      </c>
      <c r="P864" s="1629">
        <v>0.29310000000000003</v>
      </c>
      <c r="Q864" s="1625">
        <f t="shared" si="462"/>
        <v>2003.2292222098361</v>
      </c>
      <c r="R864" s="1628">
        <f t="shared" si="463"/>
        <v>830.59341495218985</v>
      </c>
      <c r="S864" s="1627">
        <f t="shared" si="464"/>
        <v>37295.833414952198</v>
      </c>
      <c r="T864" s="1627">
        <f t="shared" si="465"/>
        <v>23919.166585047809</v>
      </c>
      <c r="U864" s="1626">
        <f t="shared" si="466"/>
        <v>9323.9583537380495</v>
      </c>
      <c r="V864" s="1626">
        <f t="shared" si="467"/>
        <v>5979.7916462619523</v>
      </c>
      <c r="W864" s="1625">
        <f t="shared" si="468"/>
        <v>15303.750000000002</v>
      </c>
      <c r="X864" s="1614"/>
      <c r="Y864" s="1613"/>
      <c r="Z864" s="1612">
        <f t="shared" si="469"/>
        <v>0.95575527354787315</v>
      </c>
      <c r="AA864" s="1611"/>
      <c r="AB864" s="1611"/>
      <c r="AC864" s="1611"/>
      <c r="AD864" s="1611"/>
      <c r="AE864" s="1611"/>
      <c r="AF864" s="1611"/>
      <c r="AG864" s="1611"/>
      <c r="AH864" s="1611"/>
      <c r="AI864" s="1611"/>
      <c r="AJ864" s="1611"/>
      <c r="AK864" s="1611"/>
      <c r="AL864" s="1611"/>
      <c r="AM864" s="1611"/>
      <c r="AN864" s="1611"/>
      <c r="AO864" s="1611"/>
      <c r="AP864" s="1611"/>
      <c r="AQ864" s="1611"/>
    </row>
    <row r="865" spans="1:43" outlineLevel="2">
      <c r="A865" s="1638" t="s">
        <v>333</v>
      </c>
      <c r="B865" s="1637" t="s">
        <v>145</v>
      </c>
      <c r="C865" s="1636"/>
      <c r="D865" s="1635">
        <v>1</v>
      </c>
      <c r="E865" s="1634" t="s">
        <v>922</v>
      </c>
      <c r="F865" s="1633" t="s">
        <v>1064</v>
      </c>
      <c r="G865" s="1632">
        <v>5614.1518053088612</v>
      </c>
      <c r="H865" s="1632">
        <v>3535.68</v>
      </c>
      <c r="I865" s="1630">
        <f t="shared" si="457"/>
        <v>9149.8318053088606</v>
      </c>
      <c r="J865" s="1630">
        <f t="shared" si="458"/>
        <v>9149.8318053088606</v>
      </c>
      <c r="K865" s="1631">
        <v>5082</v>
      </c>
      <c r="L865" s="1630">
        <f t="shared" si="459"/>
        <v>5082</v>
      </c>
      <c r="M865" s="1630">
        <f t="shared" si="460"/>
        <v>5082</v>
      </c>
      <c r="N865" s="1625">
        <f t="shared" si="461"/>
        <v>4067.8318053088606</v>
      </c>
      <c r="O865" s="1629">
        <v>0.70689999999999997</v>
      </c>
      <c r="P865" s="1629">
        <v>0.29310000000000003</v>
      </c>
      <c r="Q865" s="1625">
        <f t="shared" si="462"/>
        <v>2875.5503031728335</v>
      </c>
      <c r="R865" s="1628">
        <f t="shared" si="463"/>
        <v>1192.281502136027</v>
      </c>
      <c r="S865" s="1627">
        <f t="shared" si="464"/>
        <v>2738.6015021360276</v>
      </c>
      <c r="T865" s="1627">
        <f t="shared" si="465"/>
        <v>2343.3984978639728</v>
      </c>
      <c r="U865" s="1626">
        <f t="shared" si="466"/>
        <v>684.65037553400691</v>
      </c>
      <c r="V865" s="1626">
        <f t="shared" si="467"/>
        <v>585.8496244659932</v>
      </c>
      <c r="W865" s="1625">
        <f t="shared" si="468"/>
        <v>1270.5</v>
      </c>
      <c r="X865" s="1614"/>
      <c r="Y865" s="1613"/>
      <c r="Z865" s="1612">
        <f t="shared" si="469"/>
        <v>0.55542004575989612</v>
      </c>
      <c r="AA865" s="1611"/>
      <c r="AB865" s="1611"/>
      <c r="AC865" s="1611"/>
      <c r="AD865" s="1611"/>
      <c r="AE865" s="1611"/>
      <c r="AF865" s="1611"/>
      <c r="AG865" s="1611"/>
      <c r="AH865" s="1611"/>
      <c r="AI865" s="1611"/>
      <c r="AJ865" s="1611"/>
      <c r="AK865" s="1611"/>
      <c r="AL865" s="1611"/>
      <c r="AM865" s="1611"/>
      <c r="AN865" s="1611"/>
      <c r="AO865" s="1611"/>
      <c r="AP865" s="1611"/>
      <c r="AQ865" s="1611"/>
    </row>
    <row r="866" spans="1:43" outlineLevel="2">
      <c r="A866" s="1638" t="s">
        <v>333</v>
      </c>
      <c r="B866" s="1637" t="s">
        <v>145</v>
      </c>
      <c r="C866" s="1636"/>
      <c r="D866" s="1635">
        <v>1</v>
      </c>
      <c r="E866" s="1634" t="s">
        <v>916</v>
      </c>
      <c r="F866" s="1633" t="s">
        <v>979</v>
      </c>
      <c r="G866" s="1632">
        <v>5614.1518053088612</v>
      </c>
      <c r="H866" s="1632">
        <v>3535.68</v>
      </c>
      <c r="I866" s="1630">
        <f t="shared" si="457"/>
        <v>9149.8318053088606</v>
      </c>
      <c r="J866" s="1630">
        <f t="shared" si="458"/>
        <v>9149.8318053088606</v>
      </c>
      <c r="K866" s="1631">
        <v>6900</v>
      </c>
      <c r="L866" s="1630">
        <f t="shared" si="459"/>
        <v>6900</v>
      </c>
      <c r="M866" s="1630">
        <f t="shared" si="460"/>
        <v>6900</v>
      </c>
      <c r="N866" s="1625">
        <f t="shared" si="461"/>
        <v>2249.8318053088606</v>
      </c>
      <c r="O866" s="1629">
        <v>0.70689999999999997</v>
      </c>
      <c r="P866" s="1629">
        <v>0.29310000000000003</v>
      </c>
      <c r="Q866" s="1625">
        <f t="shared" si="462"/>
        <v>1590.4061031728336</v>
      </c>
      <c r="R866" s="1628">
        <f t="shared" si="463"/>
        <v>659.4257021360271</v>
      </c>
      <c r="S866" s="1627">
        <f t="shared" si="464"/>
        <v>4023.7457021360278</v>
      </c>
      <c r="T866" s="1627">
        <f t="shared" si="465"/>
        <v>2876.2542978639726</v>
      </c>
      <c r="U866" s="1626">
        <f t="shared" si="466"/>
        <v>1005.936425534007</v>
      </c>
      <c r="V866" s="1626">
        <f t="shared" si="467"/>
        <v>719.06357446599316</v>
      </c>
      <c r="W866" s="1625">
        <f t="shared" si="468"/>
        <v>1725</v>
      </c>
      <c r="X866" s="1614"/>
      <c r="Y866" s="1613"/>
      <c r="Z866" s="1612">
        <f t="shared" si="469"/>
        <v>0.75411222269643507</v>
      </c>
      <c r="AA866" s="1611"/>
      <c r="AB866" s="1611"/>
      <c r="AC866" s="1611"/>
      <c r="AD866" s="1611"/>
      <c r="AE866" s="1611"/>
      <c r="AF866" s="1611"/>
      <c r="AG866" s="1611"/>
      <c r="AH866" s="1611"/>
      <c r="AI866" s="1611"/>
      <c r="AJ866" s="1611"/>
      <c r="AK866" s="1611"/>
      <c r="AL866" s="1611"/>
      <c r="AM866" s="1611"/>
      <c r="AN866" s="1611"/>
      <c r="AO866" s="1611"/>
      <c r="AP866" s="1611"/>
      <c r="AQ866" s="1611"/>
    </row>
    <row r="867" spans="1:43" outlineLevel="1">
      <c r="A867" s="1624"/>
      <c r="B867" s="1623" t="s">
        <v>1083</v>
      </c>
      <c r="C867" s="1622"/>
      <c r="D867" s="1621">
        <f>SUBTOTAL(9,D849:D866)</f>
        <v>44</v>
      </c>
      <c r="E867" s="1620"/>
      <c r="F867" s="1639"/>
      <c r="G867" s="1639"/>
      <c r="H867" s="1639"/>
      <c r="I867" s="1616"/>
      <c r="J867" s="1616">
        <f>SUBTOTAL(9,J849:J866)</f>
        <v>402592.59943358996</v>
      </c>
      <c r="K867" s="1615"/>
      <c r="L867" s="1616"/>
      <c r="M867" s="1616">
        <f>SUBTOTAL(9,M849:M866)</f>
        <v>364310</v>
      </c>
      <c r="N867" s="1615">
        <f>SUBTOTAL(9,N849:N866)</f>
        <v>38282.599433589865</v>
      </c>
      <c r="O867" s="1616"/>
      <c r="P867" s="1616"/>
      <c r="Q867" s="1615">
        <f t="shared" ref="Q867:W867" si="470">SUBTOTAL(9,Q849:Q866)</f>
        <v>27061.969539604681</v>
      </c>
      <c r="R867" s="1615">
        <f t="shared" si="470"/>
        <v>11220.629893985191</v>
      </c>
      <c r="S867" s="1616">
        <f t="shared" si="470"/>
        <v>219960.70989398519</v>
      </c>
      <c r="T867" s="1616">
        <f t="shared" si="470"/>
        <v>144349.29010601481</v>
      </c>
      <c r="U867" s="1616">
        <f t="shared" si="470"/>
        <v>54990.177473496296</v>
      </c>
      <c r="V867" s="1616">
        <f t="shared" si="470"/>
        <v>36087.322526503704</v>
      </c>
      <c r="W867" s="1615">
        <f t="shared" si="470"/>
        <v>91077.5</v>
      </c>
      <c r="X867" s="1614"/>
      <c r="Y867" s="1613"/>
      <c r="Z867" s="1612"/>
      <c r="AA867" s="1611"/>
      <c r="AB867" s="1611"/>
      <c r="AC867" s="1611"/>
      <c r="AD867" s="1611"/>
      <c r="AE867" s="1611"/>
      <c r="AF867" s="1611"/>
      <c r="AG867" s="1611"/>
      <c r="AH867" s="1611"/>
      <c r="AI867" s="1611"/>
      <c r="AJ867" s="1611"/>
      <c r="AK867" s="1611"/>
      <c r="AL867" s="1611"/>
      <c r="AM867" s="1611"/>
      <c r="AN867" s="1611"/>
      <c r="AO867" s="1611"/>
      <c r="AP867" s="1611"/>
      <c r="AQ867" s="1611"/>
    </row>
    <row r="868" spans="1:43" outlineLevel="2">
      <c r="A868" s="1638" t="s">
        <v>334</v>
      </c>
      <c r="B868" s="1637" t="s">
        <v>146</v>
      </c>
      <c r="C868" s="1636"/>
      <c r="D868" s="1635">
        <v>1</v>
      </c>
      <c r="E868" s="1634" t="s">
        <v>915</v>
      </c>
      <c r="F868" s="1633" t="s">
        <v>1068</v>
      </c>
      <c r="G868" s="1632">
        <v>5430.2286910331122</v>
      </c>
      <c r="H868" s="1632">
        <v>1928.74</v>
      </c>
      <c r="I868" s="1630">
        <f t="shared" ref="I868:I880" si="471">G868+H868</f>
        <v>7358.968691033112</v>
      </c>
      <c r="J868" s="1630">
        <f t="shared" ref="J868:J880" si="472">D868*I868</f>
        <v>7358.968691033112</v>
      </c>
      <c r="K868" s="1631">
        <v>5975</v>
      </c>
      <c r="L868" s="1630">
        <f t="shared" ref="L868:L880" si="473">IF(I868&gt;K868,K868,I868)</f>
        <v>5975</v>
      </c>
      <c r="M868" s="1630">
        <f t="shared" ref="M868:M880" si="474">L868*D868</f>
        <v>5975</v>
      </c>
      <c r="N868" s="1625">
        <f t="shared" ref="N868:N880" si="475">J868-M868</f>
        <v>1383.968691033112</v>
      </c>
      <c r="O868" s="1629">
        <v>0.77849999999999997</v>
      </c>
      <c r="P868" s="1629">
        <v>0.2215</v>
      </c>
      <c r="Q868" s="1625">
        <f t="shared" ref="Q868:Q880" si="476">N868*O868</f>
        <v>1077.4196259692776</v>
      </c>
      <c r="R868" s="1628">
        <f t="shared" ref="R868:R880" si="477">N868*P868</f>
        <v>306.54906506383429</v>
      </c>
      <c r="S868" s="1627">
        <f t="shared" ref="S868:S880" si="478">(G868*D868)-Q868</f>
        <v>4352.8090650638351</v>
      </c>
      <c r="T868" s="1627">
        <f t="shared" ref="T868:T880" si="479">(H868*D868)-R868</f>
        <v>1622.1909349361658</v>
      </c>
      <c r="U868" s="1626">
        <f t="shared" ref="U868:U880" si="480">S868/4</f>
        <v>1088.2022662659588</v>
      </c>
      <c r="V868" s="1626">
        <f t="shared" ref="V868:V880" si="481">T868/4</f>
        <v>405.54773373404146</v>
      </c>
      <c r="W868" s="1625">
        <f t="shared" ref="W868:W880" si="482">V868+U868</f>
        <v>1493.7500000000002</v>
      </c>
      <c r="X868" s="1614"/>
      <c r="Y868" s="1613"/>
      <c r="Z868" s="1612">
        <f t="shared" ref="Z868:Z880" si="483">K868/I868</f>
        <v>0.81193442326783172</v>
      </c>
      <c r="AA868" s="1611"/>
      <c r="AB868" s="1611"/>
      <c r="AC868" s="1611"/>
      <c r="AD868" s="1611"/>
      <c r="AE868" s="1611"/>
      <c r="AF868" s="1611"/>
      <c r="AG868" s="1611"/>
      <c r="AH868" s="1611"/>
      <c r="AI868" s="1611"/>
      <c r="AJ868" s="1611"/>
      <c r="AK868" s="1611"/>
      <c r="AL868" s="1611"/>
      <c r="AM868" s="1611"/>
      <c r="AN868" s="1611"/>
      <c r="AO868" s="1611"/>
      <c r="AP868" s="1611"/>
      <c r="AQ868" s="1611"/>
    </row>
    <row r="869" spans="1:43" outlineLevel="2">
      <c r="A869" s="1638" t="s">
        <v>334</v>
      </c>
      <c r="B869" s="1637" t="s">
        <v>146</v>
      </c>
      <c r="C869" s="1636"/>
      <c r="D869" s="1635">
        <v>3</v>
      </c>
      <c r="E869" s="1634" t="s">
        <v>915</v>
      </c>
      <c r="F869" s="1633" t="s">
        <v>1071</v>
      </c>
      <c r="G869" s="1632">
        <v>5430.2286910331122</v>
      </c>
      <c r="H869" s="1632">
        <v>1928.74</v>
      </c>
      <c r="I869" s="1630">
        <f t="shared" si="471"/>
        <v>7358.968691033112</v>
      </c>
      <c r="J869" s="1630">
        <f t="shared" si="472"/>
        <v>22076.906073099337</v>
      </c>
      <c r="K869" s="1631">
        <v>5975</v>
      </c>
      <c r="L869" s="1630">
        <f t="shared" si="473"/>
        <v>5975</v>
      </c>
      <c r="M869" s="1630">
        <f t="shared" si="474"/>
        <v>17925</v>
      </c>
      <c r="N869" s="1625">
        <f t="shared" si="475"/>
        <v>4151.9060730993369</v>
      </c>
      <c r="O869" s="1629">
        <v>0.77849999999999997</v>
      </c>
      <c r="P869" s="1629">
        <v>0.2215</v>
      </c>
      <c r="Q869" s="1625">
        <f t="shared" si="476"/>
        <v>3232.2588779078337</v>
      </c>
      <c r="R869" s="1628">
        <f t="shared" si="477"/>
        <v>919.6471951915031</v>
      </c>
      <c r="S869" s="1627">
        <f t="shared" si="478"/>
        <v>13058.427195191502</v>
      </c>
      <c r="T869" s="1627">
        <f t="shared" si="479"/>
        <v>4866.5728048084975</v>
      </c>
      <c r="U869" s="1626">
        <f t="shared" si="480"/>
        <v>3264.6067987978754</v>
      </c>
      <c r="V869" s="1626">
        <f t="shared" si="481"/>
        <v>1216.6432012021244</v>
      </c>
      <c r="W869" s="1625">
        <f t="shared" si="482"/>
        <v>4481.25</v>
      </c>
      <c r="X869" s="1614"/>
      <c r="Y869" s="1613"/>
      <c r="Z869" s="1612">
        <f t="shared" si="483"/>
        <v>0.81193442326783172</v>
      </c>
      <c r="AA869" s="1611"/>
      <c r="AB869" s="1611"/>
      <c r="AC869" s="1611"/>
      <c r="AD869" s="1611"/>
      <c r="AE869" s="1611"/>
      <c r="AF869" s="1611"/>
      <c r="AG869" s="1611"/>
      <c r="AH869" s="1611"/>
      <c r="AI869" s="1611"/>
      <c r="AJ869" s="1611"/>
      <c r="AK869" s="1611"/>
      <c r="AL869" s="1611"/>
      <c r="AM869" s="1611"/>
      <c r="AN869" s="1611"/>
      <c r="AO869" s="1611"/>
      <c r="AP869" s="1611"/>
      <c r="AQ869" s="1611"/>
    </row>
    <row r="870" spans="1:43" outlineLevel="2">
      <c r="A870" s="1638" t="s">
        <v>334</v>
      </c>
      <c r="B870" s="1637" t="s">
        <v>146</v>
      </c>
      <c r="C870" s="1636"/>
      <c r="D870" s="1635">
        <v>1</v>
      </c>
      <c r="E870" s="1634" t="s">
        <v>915</v>
      </c>
      <c r="F870" s="1633" t="s">
        <v>979</v>
      </c>
      <c r="G870" s="1632">
        <v>5430.2286910331122</v>
      </c>
      <c r="H870" s="1632">
        <v>1928.74</v>
      </c>
      <c r="I870" s="1630">
        <f t="shared" si="471"/>
        <v>7358.968691033112</v>
      </c>
      <c r="J870" s="1630">
        <f t="shared" si="472"/>
        <v>7358.968691033112</v>
      </c>
      <c r="K870" s="1631">
        <v>5975</v>
      </c>
      <c r="L870" s="1630">
        <f t="shared" si="473"/>
        <v>5975</v>
      </c>
      <c r="M870" s="1630">
        <f t="shared" si="474"/>
        <v>5975</v>
      </c>
      <c r="N870" s="1625">
        <f t="shared" si="475"/>
        <v>1383.968691033112</v>
      </c>
      <c r="O870" s="1629">
        <v>0.77849999999999997</v>
      </c>
      <c r="P870" s="1629">
        <v>0.2215</v>
      </c>
      <c r="Q870" s="1625">
        <f t="shared" si="476"/>
        <v>1077.4196259692776</v>
      </c>
      <c r="R870" s="1628">
        <f t="shared" si="477"/>
        <v>306.54906506383429</v>
      </c>
      <c r="S870" s="1627">
        <f t="shared" si="478"/>
        <v>4352.8090650638351</v>
      </c>
      <c r="T870" s="1627">
        <f t="shared" si="479"/>
        <v>1622.1909349361658</v>
      </c>
      <c r="U870" s="1626">
        <f t="shared" si="480"/>
        <v>1088.2022662659588</v>
      </c>
      <c r="V870" s="1626">
        <f t="shared" si="481"/>
        <v>405.54773373404146</v>
      </c>
      <c r="W870" s="1625">
        <f t="shared" si="482"/>
        <v>1493.7500000000002</v>
      </c>
      <c r="X870" s="1614"/>
      <c r="Y870" s="1613"/>
      <c r="Z870" s="1612">
        <f t="shared" si="483"/>
        <v>0.81193442326783172</v>
      </c>
      <c r="AA870" s="1611"/>
      <c r="AB870" s="1611"/>
      <c r="AC870" s="1611"/>
      <c r="AD870" s="1611"/>
      <c r="AE870" s="1611"/>
      <c r="AF870" s="1611"/>
      <c r="AG870" s="1611"/>
      <c r="AH870" s="1611"/>
      <c r="AI870" s="1611"/>
      <c r="AJ870" s="1611"/>
      <c r="AK870" s="1611"/>
      <c r="AL870" s="1611"/>
      <c r="AM870" s="1611"/>
      <c r="AN870" s="1611"/>
      <c r="AO870" s="1611"/>
      <c r="AP870" s="1611"/>
      <c r="AQ870" s="1611"/>
    </row>
    <row r="871" spans="1:43" outlineLevel="2">
      <c r="A871" s="1638" t="s">
        <v>334</v>
      </c>
      <c r="B871" s="1637" t="s">
        <v>146</v>
      </c>
      <c r="C871" s="1636"/>
      <c r="D871" s="1635">
        <v>3</v>
      </c>
      <c r="E871" s="1634" t="s">
        <v>914</v>
      </c>
      <c r="F871" s="1633" t="s">
        <v>1070</v>
      </c>
      <c r="G871" s="1632">
        <v>5430.2286910331122</v>
      </c>
      <c r="H871" s="1632">
        <v>1928.74</v>
      </c>
      <c r="I871" s="1630">
        <f t="shared" si="471"/>
        <v>7358.968691033112</v>
      </c>
      <c r="J871" s="1630">
        <f t="shared" si="472"/>
        <v>22076.906073099337</v>
      </c>
      <c r="K871" s="1631">
        <v>4145</v>
      </c>
      <c r="L871" s="1630">
        <f t="shared" si="473"/>
        <v>4145</v>
      </c>
      <c r="M871" s="1630">
        <f t="shared" si="474"/>
        <v>12435</v>
      </c>
      <c r="N871" s="1625">
        <f t="shared" si="475"/>
        <v>9641.9060730993369</v>
      </c>
      <c r="O871" s="1629">
        <v>0.77849999999999997</v>
      </c>
      <c r="P871" s="1629">
        <v>0.2215</v>
      </c>
      <c r="Q871" s="1625">
        <f t="shared" si="476"/>
        <v>7506.2238779078334</v>
      </c>
      <c r="R871" s="1628">
        <f t="shared" si="477"/>
        <v>2135.6821951915031</v>
      </c>
      <c r="S871" s="1627">
        <f t="shared" si="478"/>
        <v>8784.4621951915033</v>
      </c>
      <c r="T871" s="1627">
        <f t="shared" si="479"/>
        <v>3650.5378048084972</v>
      </c>
      <c r="U871" s="1626">
        <f t="shared" si="480"/>
        <v>2196.1155487978758</v>
      </c>
      <c r="V871" s="1626">
        <f t="shared" si="481"/>
        <v>912.6344512021243</v>
      </c>
      <c r="W871" s="1625">
        <f t="shared" si="482"/>
        <v>3108.75</v>
      </c>
      <c r="X871" s="1614"/>
      <c r="Y871" s="1613"/>
      <c r="Z871" s="1612">
        <f t="shared" si="483"/>
        <v>0.56325827354730751</v>
      </c>
      <c r="AA871" s="1611"/>
      <c r="AB871" s="1611"/>
      <c r="AC871" s="1611"/>
      <c r="AD871" s="1611"/>
      <c r="AE871" s="1611"/>
      <c r="AF871" s="1611"/>
      <c r="AG871" s="1611"/>
      <c r="AH871" s="1611"/>
      <c r="AI871" s="1611"/>
      <c r="AJ871" s="1611"/>
      <c r="AK871" s="1611"/>
      <c r="AL871" s="1611"/>
      <c r="AM871" s="1611"/>
      <c r="AN871" s="1611"/>
      <c r="AO871" s="1611"/>
      <c r="AP871" s="1611"/>
      <c r="AQ871" s="1611"/>
    </row>
    <row r="872" spans="1:43" outlineLevel="2">
      <c r="A872" s="1638" t="s">
        <v>334</v>
      </c>
      <c r="B872" s="1637" t="s">
        <v>146</v>
      </c>
      <c r="C872" s="1636"/>
      <c r="D872" s="1635">
        <v>6</v>
      </c>
      <c r="E872" s="1634" t="s">
        <v>914</v>
      </c>
      <c r="F872" s="1633" t="s">
        <v>1069</v>
      </c>
      <c r="G872" s="1632">
        <v>5430.2286910331122</v>
      </c>
      <c r="H872" s="1632">
        <v>1928.74</v>
      </c>
      <c r="I872" s="1630">
        <f t="shared" si="471"/>
        <v>7358.968691033112</v>
      </c>
      <c r="J872" s="1630">
        <f t="shared" si="472"/>
        <v>44153.812146198674</v>
      </c>
      <c r="K872" s="1631">
        <v>4145</v>
      </c>
      <c r="L872" s="1630">
        <f t="shared" si="473"/>
        <v>4145</v>
      </c>
      <c r="M872" s="1630">
        <f t="shared" si="474"/>
        <v>24870</v>
      </c>
      <c r="N872" s="1625">
        <f t="shared" si="475"/>
        <v>19283.812146198674</v>
      </c>
      <c r="O872" s="1629">
        <v>0.77849999999999997</v>
      </c>
      <c r="P872" s="1629">
        <v>0.2215</v>
      </c>
      <c r="Q872" s="1625">
        <f t="shared" si="476"/>
        <v>15012.447755815667</v>
      </c>
      <c r="R872" s="1628">
        <f t="shared" si="477"/>
        <v>4271.3643903830061</v>
      </c>
      <c r="S872" s="1627">
        <f t="shared" si="478"/>
        <v>17568.924390383007</v>
      </c>
      <c r="T872" s="1627">
        <f t="shared" si="479"/>
        <v>7301.0756096169944</v>
      </c>
      <c r="U872" s="1626">
        <f t="shared" si="480"/>
        <v>4392.2310975957516</v>
      </c>
      <c r="V872" s="1626">
        <f t="shared" si="481"/>
        <v>1825.2689024042486</v>
      </c>
      <c r="W872" s="1625">
        <f t="shared" si="482"/>
        <v>6217.5</v>
      </c>
      <c r="X872" s="1614"/>
      <c r="Y872" s="1613"/>
      <c r="Z872" s="1612">
        <f t="shared" si="483"/>
        <v>0.56325827354730751</v>
      </c>
      <c r="AA872" s="1611"/>
      <c r="AB872" s="1611"/>
      <c r="AC872" s="1611"/>
      <c r="AD872" s="1611"/>
      <c r="AE872" s="1611"/>
      <c r="AF872" s="1611"/>
      <c r="AG872" s="1611"/>
      <c r="AH872" s="1611"/>
      <c r="AI872" s="1611"/>
      <c r="AJ872" s="1611"/>
      <c r="AK872" s="1611"/>
      <c r="AL872" s="1611"/>
      <c r="AM872" s="1611"/>
      <c r="AN872" s="1611"/>
      <c r="AO872" s="1611"/>
      <c r="AP872" s="1611"/>
      <c r="AQ872" s="1611"/>
    </row>
    <row r="873" spans="1:43" outlineLevel="2">
      <c r="A873" s="1638" t="s">
        <v>334</v>
      </c>
      <c r="B873" s="1637" t="s">
        <v>146</v>
      </c>
      <c r="C873" s="1636"/>
      <c r="D873" s="1635">
        <v>7</v>
      </c>
      <c r="E873" s="1634" t="s">
        <v>914</v>
      </c>
      <c r="F873" s="1633" t="s">
        <v>1068</v>
      </c>
      <c r="G873" s="1632">
        <v>5430.2286910331122</v>
      </c>
      <c r="H873" s="1632">
        <v>1928.74</v>
      </c>
      <c r="I873" s="1630">
        <f t="shared" si="471"/>
        <v>7358.968691033112</v>
      </c>
      <c r="J873" s="1630">
        <f t="shared" si="472"/>
        <v>51512.780837231781</v>
      </c>
      <c r="K873" s="1631">
        <v>4145</v>
      </c>
      <c r="L873" s="1630">
        <f t="shared" si="473"/>
        <v>4145</v>
      </c>
      <c r="M873" s="1630">
        <f t="shared" si="474"/>
        <v>29015</v>
      </c>
      <c r="N873" s="1625">
        <f t="shared" si="475"/>
        <v>22497.780837231781</v>
      </c>
      <c r="O873" s="1629">
        <v>0.77849999999999997</v>
      </c>
      <c r="P873" s="1629">
        <v>0.2215</v>
      </c>
      <c r="Q873" s="1625">
        <f t="shared" si="476"/>
        <v>17514.52238178494</v>
      </c>
      <c r="R873" s="1628">
        <f t="shared" si="477"/>
        <v>4983.2584554468394</v>
      </c>
      <c r="S873" s="1627">
        <f t="shared" si="478"/>
        <v>20497.078455446848</v>
      </c>
      <c r="T873" s="1627">
        <f t="shared" si="479"/>
        <v>8517.9215445531609</v>
      </c>
      <c r="U873" s="1626">
        <f t="shared" si="480"/>
        <v>5124.2696138617121</v>
      </c>
      <c r="V873" s="1626">
        <f t="shared" si="481"/>
        <v>2129.4803861382902</v>
      </c>
      <c r="W873" s="1625">
        <f t="shared" si="482"/>
        <v>7253.7500000000018</v>
      </c>
      <c r="X873" s="1614"/>
      <c r="Y873" s="1613"/>
      <c r="Z873" s="1612">
        <f t="shared" si="483"/>
        <v>0.56325827354730751</v>
      </c>
      <c r="AA873" s="1611"/>
      <c r="AB873" s="1611"/>
      <c r="AC873" s="1611"/>
      <c r="AD873" s="1611"/>
      <c r="AE873" s="1611"/>
      <c r="AF873" s="1611"/>
      <c r="AG873" s="1611"/>
      <c r="AH873" s="1611"/>
      <c r="AI873" s="1611"/>
      <c r="AJ873" s="1611"/>
      <c r="AK873" s="1611"/>
      <c r="AL873" s="1611"/>
      <c r="AM873" s="1611"/>
      <c r="AN873" s="1611"/>
      <c r="AO873" s="1611"/>
      <c r="AP873" s="1611"/>
      <c r="AQ873" s="1611"/>
    </row>
    <row r="874" spans="1:43" outlineLevel="2">
      <c r="A874" s="1638" t="s">
        <v>334</v>
      </c>
      <c r="B874" s="1637" t="s">
        <v>146</v>
      </c>
      <c r="C874" s="1636"/>
      <c r="D874" s="1635">
        <v>6</v>
      </c>
      <c r="E874" s="1634" t="s">
        <v>914</v>
      </c>
      <c r="F874" s="1633" t="s">
        <v>1071</v>
      </c>
      <c r="G874" s="1632">
        <v>5430.2286910331122</v>
      </c>
      <c r="H874" s="1632">
        <v>1928.74</v>
      </c>
      <c r="I874" s="1630">
        <f t="shared" si="471"/>
        <v>7358.968691033112</v>
      </c>
      <c r="J874" s="1630">
        <f t="shared" si="472"/>
        <v>44153.812146198674</v>
      </c>
      <c r="K874" s="1631">
        <v>4145</v>
      </c>
      <c r="L874" s="1630">
        <f t="shared" si="473"/>
        <v>4145</v>
      </c>
      <c r="M874" s="1630">
        <f t="shared" si="474"/>
        <v>24870</v>
      </c>
      <c r="N874" s="1625">
        <f t="shared" si="475"/>
        <v>19283.812146198674</v>
      </c>
      <c r="O874" s="1629">
        <v>0.77849999999999997</v>
      </c>
      <c r="P874" s="1629">
        <v>0.2215</v>
      </c>
      <c r="Q874" s="1625">
        <f t="shared" si="476"/>
        <v>15012.447755815667</v>
      </c>
      <c r="R874" s="1628">
        <f t="shared" si="477"/>
        <v>4271.3643903830061</v>
      </c>
      <c r="S874" s="1627">
        <f t="shared" si="478"/>
        <v>17568.924390383007</v>
      </c>
      <c r="T874" s="1627">
        <f t="shared" si="479"/>
        <v>7301.0756096169944</v>
      </c>
      <c r="U874" s="1626">
        <f t="shared" si="480"/>
        <v>4392.2310975957516</v>
      </c>
      <c r="V874" s="1626">
        <f t="shared" si="481"/>
        <v>1825.2689024042486</v>
      </c>
      <c r="W874" s="1625">
        <f t="shared" si="482"/>
        <v>6217.5</v>
      </c>
      <c r="X874" s="1614"/>
      <c r="Y874" s="1613"/>
      <c r="Z874" s="1612">
        <f t="shared" si="483"/>
        <v>0.56325827354730751</v>
      </c>
      <c r="AA874" s="1611"/>
      <c r="AB874" s="1611"/>
      <c r="AC874" s="1611"/>
      <c r="AD874" s="1611"/>
      <c r="AE874" s="1611"/>
      <c r="AF874" s="1611"/>
      <c r="AG874" s="1611"/>
      <c r="AH874" s="1611"/>
      <c r="AI874" s="1611"/>
      <c r="AJ874" s="1611"/>
      <c r="AK874" s="1611"/>
      <c r="AL874" s="1611"/>
      <c r="AM874" s="1611"/>
      <c r="AN874" s="1611"/>
      <c r="AO874" s="1611"/>
      <c r="AP874" s="1611"/>
      <c r="AQ874" s="1611"/>
    </row>
    <row r="875" spans="1:43" outlineLevel="2">
      <c r="A875" s="1638" t="s">
        <v>334</v>
      </c>
      <c r="B875" s="1637" t="s">
        <v>146</v>
      </c>
      <c r="C875" s="1636"/>
      <c r="D875" s="1635">
        <v>2</v>
      </c>
      <c r="E875" s="1634" t="s">
        <v>914</v>
      </c>
      <c r="F875" s="1633" t="s">
        <v>1065</v>
      </c>
      <c r="G875" s="1632">
        <v>5430.2286910331122</v>
      </c>
      <c r="H875" s="1632">
        <v>1928.74</v>
      </c>
      <c r="I875" s="1630">
        <f t="shared" si="471"/>
        <v>7358.968691033112</v>
      </c>
      <c r="J875" s="1630">
        <f t="shared" si="472"/>
        <v>14717.937382066224</v>
      </c>
      <c r="K875" s="1631">
        <v>4145</v>
      </c>
      <c r="L875" s="1630">
        <f t="shared" si="473"/>
        <v>4145</v>
      </c>
      <c r="M875" s="1630">
        <f t="shared" si="474"/>
        <v>8290</v>
      </c>
      <c r="N875" s="1625">
        <f t="shared" si="475"/>
        <v>6427.937382066224</v>
      </c>
      <c r="O875" s="1629">
        <v>0.77849999999999997</v>
      </c>
      <c r="P875" s="1629">
        <v>0.2215</v>
      </c>
      <c r="Q875" s="1625">
        <f t="shared" si="476"/>
        <v>5004.1492519385556</v>
      </c>
      <c r="R875" s="1628">
        <f t="shared" si="477"/>
        <v>1423.7881301276686</v>
      </c>
      <c r="S875" s="1627">
        <f t="shared" si="478"/>
        <v>5856.3081301276688</v>
      </c>
      <c r="T875" s="1627">
        <f t="shared" si="479"/>
        <v>2433.6918698723312</v>
      </c>
      <c r="U875" s="1626">
        <f t="shared" si="480"/>
        <v>1464.0770325319172</v>
      </c>
      <c r="V875" s="1626">
        <f t="shared" si="481"/>
        <v>608.42296746808279</v>
      </c>
      <c r="W875" s="1625">
        <f t="shared" si="482"/>
        <v>2072.5</v>
      </c>
      <c r="X875" s="1614"/>
      <c r="Y875" s="1613"/>
      <c r="Z875" s="1612">
        <f t="shared" si="483"/>
        <v>0.56325827354730751</v>
      </c>
      <c r="AA875" s="1611"/>
      <c r="AB875" s="1611"/>
      <c r="AC875" s="1611"/>
      <c r="AD875" s="1611"/>
      <c r="AE875" s="1611"/>
      <c r="AF875" s="1611"/>
      <c r="AG875" s="1611"/>
      <c r="AH875" s="1611"/>
      <c r="AI875" s="1611"/>
      <c r="AJ875" s="1611"/>
      <c r="AK875" s="1611"/>
      <c r="AL875" s="1611"/>
      <c r="AM875" s="1611"/>
      <c r="AN875" s="1611"/>
      <c r="AO875" s="1611"/>
      <c r="AP875" s="1611"/>
      <c r="AQ875" s="1611"/>
    </row>
    <row r="876" spans="1:43" outlineLevel="2">
      <c r="A876" s="1638" t="s">
        <v>334</v>
      </c>
      <c r="B876" s="1637" t="s">
        <v>146</v>
      </c>
      <c r="C876" s="1636"/>
      <c r="D876" s="1635">
        <v>3</v>
      </c>
      <c r="E876" s="1634" t="s">
        <v>914</v>
      </c>
      <c r="F876" s="1633" t="s">
        <v>1064</v>
      </c>
      <c r="G876" s="1632">
        <v>5430.2286910331122</v>
      </c>
      <c r="H876" s="1632">
        <v>1928.74</v>
      </c>
      <c r="I876" s="1630">
        <f t="shared" si="471"/>
        <v>7358.968691033112</v>
      </c>
      <c r="J876" s="1630">
        <f t="shared" si="472"/>
        <v>22076.906073099337</v>
      </c>
      <c r="K876" s="1631">
        <v>4145</v>
      </c>
      <c r="L876" s="1630">
        <f t="shared" si="473"/>
        <v>4145</v>
      </c>
      <c r="M876" s="1630">
        <f t="shared" si="474"/>
        <v>12435</v>
      </c>
      <c r="N876" s="1625">
        <f t="shared" si="475"/>
        <v>9641.9060730993369</v>
      </c>
      <c r="O876" s="1629">
        <v>0.77849999999999997</v>
      </c>
      <c r="P876" s="1629">
        <v>0.2215</v>
      </c>
      <c r="Q876" s="1625">
        <f t="shared" si="476"/>
        <v>7506.2238779078334</v>
      </c>
      <c r="R876" s="1628">
        <f t="shared" si="477"/>
        <v>2135.6821951915031</v>
      </c>
      <c r="S876" s="1627">
        <f t="shared" si="478"/>
        <v>8784.4621951915033</v>
      </c>
      <c r="T876" s="1627">
        <f t="shared" si="479"/>
        <v>3650.5378048084972</v>
      </c>
      <c r="U876" s="1626">
        <f t="shared" si="480"/>
        <v>2196.1155487978758</v>
      </c>
      <c r="V876" s="1626">
        <f t="shared" si="481"/>
        <v>912.6344512021243</v>
      </c>
      <c r="W876" s="1625">
        <f t="shared" si="482"/>
        <v>3108.75</v>
      </c>
      <c r="X876" s="1614"/>
      <c r="Y876" s="1613"/>
      <c r="Z876" s="1612">
        <f t="shared" si="483"/>
        <v>0.56325827354730751</v>
      </c>
      <c r="AA876" s="1611"/>
      <c r="AB876" s="1611"/>
      <c r="AC876" s="1611"/>
      <c r="AD876" s="1611"/>
      <c r="AE876" s="1611"/>
      <c r="AF876" s="1611"/>
      <c r="AG876" s="1611"/>
      <c r="AH876" s="1611"/>
      <c r="AI876" s="1611"/>
      <c r="AJ876" s="1611"/>
      <c r="AK876" s="1611"/>
      <c r="AL876" s="1611"/>
      <c r="AM876" s="1611"/>
      <c r="AN876" s="1611"/>
      <c r="AO876" s="1611"/>
      <c r="AP876" s="1611"/>
      <c r="AQ876" s="1611"/>
    </row>
    <row r="877" spans="1:43" outlineLevel="2">
      <c r="A877" s="1638" t="s">
        <v>334</v>
      </c>
      <c r="B877" s="1637" t="s">
        <v>146</v>
      </c>
      <c r="C877" s="1636"/>
      <c r="D877" s="1635">
        <v>7</v>
      </c>
      <c r="E877" s="1634" t="s">
        <v>914</v>
      </c>
      <c r="F877" s="1633" t="s">
        <v>979</v>
      </c>
      <c r="G877" s="1632">
        <v>5430.2286910331122</v>
      </c>
      <c r="H877" s="1632">
        <v>1928.74</v>
      </c>
      <c r="I877" s="1630">
        <f t="shared" si="471"/>
        <v>7358.968691033112</v>
      </c>
      <c r="J877" s="1630">
        <f t="shared" si="472"/>
        <v>51512.780837231781</v>
      </c>
      <c r="K877" s="1631">
        <v>4145</v>
      </c>
      <c r="L877" s="1630">
        <f t="shared" si="473"/>
        <v>4145</v>
      </c>
      <c r="M877" s="1630">
        <f t="shared" si="474"/>
        <v>29015</v>
      </c>
      <c r="N877" s="1625">
        <f t="shared" si="475"/>
        <v>22497.780837231781</v>
      </c>
      <c r="O877" s="1629">
        <v>0.77849999999999997</v>
      </c>
      <c r="P877" s="1629">
        <v>0.2215</v>
      </c>
      <c r="Q877" s="1625">
        <f t="shared" si="476"/>
        <v>17514.52238178494</v>
      </c>
      <c r="R877" s="1628">
        <f t="shared" si="477"/>
        <v>4983.2584554468394</v>
      </c>
      <c r="S877" s="1627">
        <f t="shared" si="478"/>
        <v>20497.078455446848</v>
      </c>
      <c r="T877" s="1627">
        <f t="shared" si="479"/>
        <v>8517.9215445531609</v>
      </c>
      <c r="U877" s="1626">
        <f t="shared" si="480"/>
        <v>5124.2696138617121</v>
      </c>
      <c r="V877" s="1626">
        <f t="shared" si="481"/>
        <v>2129.4803861382902</v>
      </c>
      <c r="W877" s="1625">
        <f t="shared" si="482"/>
        <v>7253.7500000000018</v>
      </c>
      <c r="X877" s="1614"/>
      <c r="Y877" s="1613"/>
      <c r="Z877" s="1612">
        <f t="shared" si="483"/>
        <v>0.56325827354730751</v>
      </c>
      <c r="AA877" s="1611"/>
      <c r="AB877" s="1611"/>
      <c r="AC877" s="1611"/>
      <c r="AD877" s="1611"/>
      <c r="AE877" s="1611"/>
      <c r="AF877" s="1611"/>
      <c r="AG877" s="1611"/>
      <c r="AH877" s="1611"/>
      <c r="AI877" s="1611"/>
      <c r="AJ877" s="1611"/>
      <c r="AK877" s="1611"/>
      <c r="AL877" s="1611"/>
      <c r="AM877" s="1611"/>
      <c r="AN877" s="1611"/>
      <c r="AO877" s="1611"/>
      <c r="AP877" s="1611"/>
      <c r="AQ877" s="1611"/>
    </row>
    <row r="878" spans="1:43" outlineLevel="2">
      <c r="A878" s="1638" t="s">
        <v>334</v>
      </c>
      <c r="B878" s="1637" t="s">
        <v>146</v>
      </c>
      <c r="C878" s="1636"/>
      <c r="D878" s="1635">
        <v>1</v>
      </c>
      <c r="E878" s="1634" t="s">
        <v>912</v>
      </c>
      <c r="F878" s="1633" t="s">
        <v>1068</v>
      </c>
      <c r="G878" s="1632">
        <v>5430.2286910331122</v>
      </c>
      <c r="H878" s="1632">
        <v>1928.74</v>
      </c>
      <c r="I878" s="1630">
        <f t="shared" si="471"/>
        <v>7358.968691033112</v>
      </c>
      <c r="J878" s="1630">
        <f t="shared" si="472"/>
        <v>7358.968691033112</v>
      </c>
      <c r="K878" s="1631">
        <v>4550</v>
      </c>
      <c r="L878" s="1630">
        <f t="shared" si="473"/>
        <v>4550</v>
      </c>
      <c r="M878" s="1630">
        <f t="shared" si="474"/>
        <v>4550</v>
      </c>
      <c r="N878" s="1625">
        <f t="shared" si="475"/>
        <v>2808.968691033112</v>
      </c>
      <c r="O878" s="1629">
        <v>0.77849999999999997</v>
      </c>
      <c r="P878" s="1629">
        <v>0.2215</v>
      </c>
      <c r="Q878" s="1625">
        <f t="shared" si="476"/>
        <v>2186.7821259692778</v>
      </c>
      <c r="R878" s="1628">
        <f t="shared" si="477"/>
        <v>622.18656506383434</v>
      </c>
      <c r="S878" s="1627">
        <f t="shared" si="478"/>
        <v>3243.4465650638344</v>
      </c>
      <c r="T878" s="1627">
        <f t="shared" si="479"/>
        <v>1306.5534349361656</v>
      </c>
      <c r="U878" s="1626">
        <f t="shared" si="480"/>
        <v>810.86164126595861</v>
      </c>
      <c r="V878" s="1626">
        <f t="shared" si="481"/>
        <v>326.63835873404139</v>
      </c>
      <c r="W878" s="1625">
        <f t="shared" si="482"/>
        <v>1137.5</v>
      </c>
      <c r="X878" s="1614"/>
      <c r="Y878" s="1613"/>
      <c r="Z878" s="1612">
        <f t="shared" si="483"/>
        <v>0.61829315914119398</v>
      </c>
      <c r="AA878" s="1611"/>
      <c r="AB878" s="1611"/>
      <c r="AC878" s="1611"/>
      <c r="AD878" s="1611"/>
      <c r="AE878" s="1611"/>
      <c r="AF878" s="1611"/>
      <c r="AG878" s="1611"/>
      <c r="AH878" s="1611"/>
      <c r="AI878" s="1611"/>
      <c r="AJ878" s="1611"/>
      <c r="AK878" s="1611"/>
      <c r="AL878" s="1611"/>
      <c r="AM878" s="1611"/>
      <c r="AN878" s="1611"/>
      <c r="AO878" s="1611"/>
      <c r="AP878" s="1611"/>
      <c r="AQ878" s="1611"/>
    </row>
    <row r="879" spans="1:43" outlineLevel="2">
      <c r="A879" s="1638" t="s">
        <v>334</v>
      </c>
      <c r="B879" s="1637" t="s">
        <v>146</v>
      </c>
      <c r="C879" s="1636"/>
      <c r="D879" s="1635">
        <v>8</v>
      </c>
      <c r="E879" s="1634" t="s">
        <v>911</v>
      </c>
      <c r="F879" s="1633" t="s">
        <v>1067</v>
      </c>
      <c r="G879" s="1632">
        <v>5430.2286910331122</v>
      </c>
      <c r="H879" s="1632">
        <v>1928.74</v>
      </c>
      <c r="I879" s="1630">
        <f t="shared" si="471"/>
        <v>7358.968691033112</v>
      </c>
      <c r="J879" s="1630">
        <f t="shared" si="472"/>
        <v>58871.749528264896</v>
      </c>
      <c r="K879" s="1631">
        <v>7630</v>
      </c>
      <c r="L879" s="1630">
        <f t="shared" si="473"/>
        <v>7358.968691033112</v>
      </c>
      <c r="M879" s="1630">
        <f t="shared" si="474"/>
        <v>58871.749528264896</v>
      </c>
      <c r="N879" s="1625">
        <f t="shared" si="475"/>
        <v>0</v>
      </c>
      <c r="O879" s="1629">
        <v>0.77849999999999997</v>
      </c>
      <c r="P879" s="1629">
        <v>0.2215</v>
      </c>
      <c r="Q879" s="1625">
        <f t="shared" si="476"/>
        <v>0</v>
      </c>
      <c r="R879" s="1628">
        <f t="shared" si="477"/>
        <v>0</v>
      </c>
      <c r="S879" s="1627">
        <f t="shared" si="478"/>
        <v>43441.829528264898</v>
      </c>
      <c r="T879" s="1627">
        <f t="shared" si="479"/>
        <v>15429.92</v>
      </c>
      <c r="U879" s="1626">
        <f t="shared" si="480"/>
        <v>10860.457382066224</v>
      </c>
      <c r="V879" s="1626">
        <f t="shared" si="481"/>
        <v>3857.48</v>
      </c>
      <c r="W879" s="1625">
        <f t="shared" si="482"/>
        <v>14717.937382066224</v>
      </c>
      <c r="X879" s="1614"/>
      <c r="Y879" s="1613"/>
      <c r="Z879" s="1612">
        <f t="shared" si="483"/>
        <v>1.0368300668675408</v>
      </c>
      <c r="AA879" s="1611"/>
      <c r="AB879" s="1611"/>
      <c r="AC879" s="1611"/>
      <c r="AD879" s="1611"/>
      <c r="AE879" s="1611"/>
      <c r="AF879" s="1611"/>
      <c r="AG879" s="1611"/>
      <c r="AH879" s="1611"/>
      <c r="AI879" s="1611"/>
      <c r="AJ879" s="1611"/>
      <c r="AK879" s="1611"/>
      <c r="AL879" s="1611"/>
      <c r="AM879" s="1611"/>
      <c r="AN879" s="1611"/>
      <c r="AO879" s="1611"/>
      <c r="AP879" s="1611"/>
      <c r="AQ879" s="1611"/>
    </row>
    <row r="880" spans="1:43" outlineLevel="2">
      <c r="A880" s="1638" t="s">
        <v>334</v>
      </c>
      <c r="B880" s="1637" t="s">
        <v>146</v>
      </c>
      <c r="C880" s="1636"/>
      <c r="D880" s="1635">
        <v>1</v>
      </c>
      <c r="E880" s="1634" t="s">
        <v>913</v>
      </c>
      <c r="F880" s="1633" t="s">
        <v>1067</v>
      </c>
      <c r="G880" s="1632">
        <v>5430.2286910331122</v>
      </c>
      <c r="H880" s="1632">
        <v>1928.74</v>
      </c>
      <c r="I880" s="1630">
        <f t="shared" si="471"/>
        <v>7358.968691033112</v>
      </c>
      <c r="J880" s="1630">
        <f t="shared" si="472"/>
        <v>7358.968691033112</v>
      </c>
      <c r="K880" s="1631">
        <v>7050</v>
      </c>
      <c r="L880" s="1630">
        <f t="shared" si="473"/>
        <v>7050</v>
      </c>
      <c r="M880" s="1630">
        <f t="shared" si="474"/>
        <v>7050</v>
      </c>
      <c r="N880" s="1625">
        <f t="shared" si="475"/>
        <v>308.96869103311201</v>
      </c>
      <c r="O880" s="1629">
        <v>0.77849999999999997</v>
      </c>
      <c r="P880" s="1629">
        <v>0.2215</v>
      </c>
      <c r="Q880" s="1625">
        <f t="shared" si="476"/>
        <v>240.5321259692777</v>
      </c>
      <c r="R880" s="1628">
        <f t="shared" si="477"/>
        <v>68.436565063834308</v>
      </c>
      <c r="S880" s="1627">
        <f t="shared" si="478"/>
        <v>5189.6965650638349</v>
      </c>
      <c r="T880" s="1627">
        <f t="shared" si="479"/>
        <v>1860.3034349361658</v>
      </c>
      <c r="U880" s="1626">
        <f t="shared" si="480"/>
        <v>1297.4241412659587</v>
      </c>
      <c r="V880" s="1626">
        <f t="shared" si="481"/>
        <v>465.07585873404145</v>
      </c>
      <c r="W880" s="1625">
        <f t="shared" si="482"/>
        <v>1762.5000000000002</v>
      </c>
      <c r="X880" s="1614"/>
      <c r="Y880" s="1613"/>
      <c r="Z880" s="1612">
        <f t="shared" si="483"/>
        <v>0.958014675152839</v>
      </c>
      <c r="AA880" s="1611"/>
      <c r="AB880" s="1611"/>
      <c r="AC880" s="1611"/>
      <c r="AD880" s="1611"/>
      <c r="AE880" s="1611"/>
      <c r="AF880" s="1611"/>
      <c r="AG880" s="1611"/>
      <c r="AH880" s="1611"/>
      <c r="AI880" s="1611"/>
      <c r="AJ880" s="1611"/>
      <c r="AK880" s="1611"/>
      <c r="AL880" s="1611"/>
      <c r="AM880" s="1611"/>
      <c r="AN880" s="1611"/>
      <c r="AO880" s="1611"/>
      <c r="AP880" s="1611"/>
      <c r="AQ880" s="1611"/>
    </row>
    <row r="881" spans="1:43" outlineLevel="1">
      <c r="A881" s="1624"/>
      <c r="B881" s="1623" t="s">
        <v>1082</v>
      </c>
      <c r="C881" s="1622"/>
      <c r="D881" s="1621">
        <f>SUBTOTAL(9,D868:D880)</f>
        <v>49</v>
      </c>
      <c r="E881" s="1620"/>
      <c r="F881" s="1639"/>
      <c r="G881" s="1639"/>
      <c r="H881" s="1639"/>
      <c r="I881" s="1616"/>
      <c r="J881" s="1616">
        <f>SUBTOTAL(9,J868:J880)</f>
        <v>360589.46586062253</v>
      </c>
      <c r="K881" s="1615"/>
      <c r="L881" s="1616"/>
      <c r="M881" s="1616">
        <f>SUBTOTAL(9,M868:M880)</f>
        <v>241276.74952826489</v>
      </c>
      <c r="N881" s="1615">
        <f>SUBTOTAL(9,N868:N880)</f>
        <v>119312.71633235758</v>
      </c>
      <c r="O881" s="1616"/>
      <c r="P881" s="1616"/>
      <c r="Q881" s="1615">
        <f t="shared" ref="Q881:W881" si="484">SUBTOTAL(9,Q868:Q880)</f>
        <v>92884.949664740358</v>
      </c>
      <c r="R881" s="1615">
        <f t="shared" si="484"/>
        <v>26427.766667617208</v>
      </c>
      <c r="S881" s="1616">
        <f t="shared" si="484"/>
        <v>173196.25619588213</v>
      </c>
      <c r="T881" s="1616">
        <f t="shared" si="484"/>
        <v>68080.493332382801</v>
      </c>
      <c r="U881" s="1616">
        <f t="shared" si="484"/>
        <v>43299.064048970533</v>
      </c>
      <c r="V881" s="1616">
        <f t="shared" si="484"/>
        <v>17020.1233330957</v>
      </c>
      <c r="W881" s="1615">
        <f t="shared" si="484"/>
        <v>60319.187382066222</v>
      </c>
      <c r="X881" s="1614"/>
      <c r="Y881" s="1613"/>
      <c r="Z881" s="1612"/>
      <c r="AA881" s="1611"/>
      <c r="AB881" s="1611"/>
      <c r="AC881" s="1611"/>
      <c r="AD881" s="1611"/>
      <c r="AE881" s="1611"/>
      <c r="AF881" s="1611"/>
      <c r="AG881" s="1611"/>
      <c r="AH881" s="1611"/>
      <c r="AI881" s="1611"/>
      <c r="AJ881" s="1611"/>
      <c r="AK881" s="1611"/>
      <c r="AL881" s="1611"/>
      <c r="AM881" s="1611"/>
      <c r="AN881" s="1611"/>
      <c r="AO881" s="1611"/>
      <c r="AP881" s="1611"/>
      <c r="AQ881" s="1611"/>
    </row>
    <row r="882" spans="1:43" outlineLevel="2">
      <c r="A882" s="1638" t="s">
        <v>335</v>
      </c>
      <c r="B882" s="1637" t="s">
        <v>148</v>
      </c>
      <c r="C882" s="1636"/>
      <c r="D882" s="1635">
        <v>4</v>
      </c>
      <c r="E882" s="1634" t="s">
        <v>910</v>
      </c>
      <c r="F882" s="1633" t="s">
        <v>1070</v>
      </c>
      <c r="G882" s="1632">
        <v>4907.1581288273837</v>
      </c>
      <c r="H882" s="1632">
        <v>3151.77</v>
      </c>
      <c r="I882" s="1630">
        <f t="shared" ref="I882:I894" si="485">G882+H882</f>
        <v>8058.9281288273833</v>
      </c>
      <c r="J882" s="1630">
        <f t="shared" ref="J882:J894" si="486">D882*I882</f>
        <v>32235.712515309533</v>
      </c>
      <c r="K882" s="1631">
        <v>4000</v>
      </c>
      <c r="L882" s="1630">
        <f t="shared" ref="L882:L894" si="487">IF(I882&gt;K882,K882,I882)</f>
        <v>4000</v>
      </c>
      <c r="M882" s="1630">
        <f t="shared" ref="M882:M894" si="488">L882*D882</f>
        <v>16000</v>
      </c>
      <c r="N882" s="1625">
        <f t="shared" ref="N882:N894" si="489">J882-M882</f>
        <v>16235.712515309533</v>
      </c>
      <c r="O882" s="1629">
        <v>0.64939999999999998</v>
      </c>
      <c r="P882" s="1629">
        <v>0.35060000000000002</v>
      </c>
      <c r="Q882" s="1625">
        <f t="shared" ref="Q882:Q894" si="490">N882*O882</f>
        <v>10543.47170744201</v>
      </c>
      <c r="R882" s="1628">
        <f t="shared" ref="R882:R894" si="491">N882*P882</f>
        <v>5692.2408078675226</v>
      </c>
      <c r="S882" s="1627">
        <f t="shared" ref="S882:S894" si="492">(G882*D882)-Q882</f>
        <v>9085.1608078675254</v>
      </c>
      <c r="T882" s="1627">
        <f t="shared" ref="T882:T894" si="493">(H882*D882)-R882</f>
        <v>6914.8391921324774</v>
      </c>
      <c r="U882" s="1626">
        <f t="shared" ref="U882:U894" si="494">S882/4</f>
        <v>2271.2902019668813</v>
      </c>
      <c r="V882" s="1626">
        <f t="shared" ref="V882:V894" si="495">T882/4</f>
        <v>1728.7097980331193</v>
      </c>
      <c r="W882" s="1625">
        <f t="shared" ref="W882:W894" si="496">V882+U882</f>
        <v>4000.0000000000009</v>
      </c>
      <c r="X882" s="1614"/>
      <c r="Y882" s="1613"/>
      <c r="Z882" s="1612">
        <f t="shared" ref="Z882:Z894" si="497">K882/I882</f>
        <v>0.4963439226727564</v>
      </c>
      <c r="AA882" s="1611"/>
      <c r="AB882" s="1611"/>
      <c r="AC882" s="1611"/>
      <c r="AD882" s="1611"/>
      <c r="AE882" s="1611"/>
      <c r="AF882" s="1611"/>
      <c r="AG882" s="1611"/>
      <c r="AH882" s="1611"/>
      <c r="AI882" s="1611"/>
      <c r="AJ882" s="1611"/>
      <c r="AK882" s="1611"/>
      <c r="AL882" s="1611"/>
      <c r="AM882" s="1611"/>
      <c r="AN882" s="1611"/>
      <c r="AO882" s="1611"/>
      <c r="AP882" s="1611"/>
      <c r="AQ882" s="1611"/>
    </row>
    <row r="883" spans="1:43" outlineLevel="2">
      <c r="A883" s="1638" t="s">
        <v>335</v>
      </c>
      <c r="B883" s="1637" t="s">
        <v>148</v>
      </c>
      <c r="C883" s="1636"/>
      <c r="D883" s="1635">
        <v>1</v>
      </c>
      <c r="E883" s="1634" t="s">
        <v>910</v>
      </c>
      <c r="F883" s="1633" t="s">
        <v>1069</v>
      </c>
      <c r="G883" s="1632">
        <v>4907.1581288273837</v>
      </c>
      <c r="H883" s="1632">
        <v>3151.77</v>
      </c>
      <c r="I883" s="1630">
        <f t="shared" si="485"/>
        <v>8058.9281288273833</v>
      </c>
      <c r="J883" s="1630">
        <f t="shared" si="486"/>
        <v>8058.9281288273833</v>
      </c>
      <c r="K883" s="1631">
        <v>4000</v>
      </c>
      <c r="L883" s="1630">
        <f t="shared" si="487"/>
        <v>4000</v>
      </c>
      <c r="M883" s="1630">
        <f t="shared" si="488"/>
        <v>4000</v>
      </c>
      <c r="N883" s="1625">
        <f t="shared" si="489"/>
        <v>4058.9281288273833</v>
      </c>
      <c r="O883" s="1629">
        <v>0.64939999999999998</v>
      </c>
      <c r="P883" s="1629">
        <v>0.35060000000000002</v>
      </c>
      <c r="Q883" s="1625">
        <f t="shared" si="490"/>
        <v>2635.8679268605024</v>
      </c>
      <c r="R883" s="1628">
        <f t="shared" si="491"/>
        <v>1423.0602019668806</v>
      </c>
      <c r="S883" s="1627">
        <f t="shared" si="492"/>
        <v>2271.2902019668813</v>
      </c>
      <c r="T883" s="1627">
        <f t="shared" si="493"/>
        <v>1728.7097980331193</v>
      </c>
      <c r="U883" s="1626">
        <f t="shared" si="494"/>
        <v>567.82255049172034</v>
      </c>
      <c r="V883" s="1626">
        <f t="shared" si="495"/>
        <v>432.17744950827984</v>
      </c>
      <c r="W883" s="1625">
        <f t="shared" si="496"/>
        <v>1000.0000000000002</v>
      </c>
      <c r="X883" s="1614"/>
      <c r="Y883" s="1613"/>
      <c r="Z883" s="1612">
        <f t="shared" si="497"/>
        <v>0.4963439226727564</v>
      </c>
      <c r="AA883" s="1611"/>
      <c r="AB883" s="1611"/>
      <c r="AC883" s="1611"/>
      <c r="AD883" s="1611"/>
      <c r="AE883" s="1611"/>
      <c r="AF883" s="1611"/>
      <c r="AG883" s="1611"/>
      <c r="AH883" s="1611"/>
      <c r="AI883" s="1611"/>
      <c r="AJ883" s="1611"/>
      <c r="AK883" s="1611"/>
      <c r="AL883" s="1611"/>
      <c r="AM883" s="1611"/>
      <c r="AN883" s="1611"/>
      <c r="AO883" s="1611"/>
      <c r="AP883" s="1611"/>
      <c r="AQ883" s="1611"/>
    </row>
    <row r="884" spans="1:43" outlineLevel="2">
      <c r="A884" s="1638" t="s">
        <v>335</v>
      </c>
      <c r="B884" s="1637" t="s">
        <v>148</v>
      </c>
      <c r="C884" s="1636"/>
      <c r="D884" s="1635">
        <v>3</v>
      </c>
      <c r="E884" s="1634" t="s">
        <v>910</v>
      </c>
      <c r="F884" s="1633" t="s">
        <v>1068</v>
      </c>
      <c r="G884" s="1632">
        <v>4907.1581288273837</v>
      </c>
      <c r="H884" s="1632">
        <v>3151.77</v>
      </c>
      <c r="I884" s="1630">
        <f t="shared" si="485"/>
        <v>8058.9281288273833</v>
      </c>
      <c r="J884" s="1630">
        <f t="shared" si="486"/>
        <v>24176.784386482148</v>
      </c>
      <c r="K884" s="1631">
        <v>4000</v>
      </c>
      <c r="L884" s="1630">
        <f t="shared" si="487"/>
        <v>4000</v>
      </c>
      <c r="M884" s="1630">
        <f t="shared" si="488"/>
        <v>12000</v>
      </c>
      <c r="N884" s="1625">
        <f t="shared" si="489"/>
        <v>12176.784386482148</v>
      </c>
      <c r="O884" s="1629">
        <v>0.64939999999999998</v>
      </c>
      <c r="P884" s="1629">
        <v>0.35060000000000002</v>
      </c>
      <c r="Q884" s="1625">
        <f t="shared" si="490"/>
        <v>7907.6037805815067</v>
      </c>
      <c r="R884" s="1628">
        <f t="shared" si="491"/>
        <v>4269.1806059006412</v>
      </c>
      <c r="S884" s="1627">
        <f t="shared" si="492"/>
        <v>6813.8706059006436</v>
      </c>
      <c r="T884" s="1627">
        <f t="shared" si="493"/>
        <v>5186.1293940993583</v>
      </c>
      <c r="U884" s="1626">
        <f t="shared" si="494"/>
        <v>1703.4676514751609</v>
      </c>
      <c r="V884" s="1626">
        <f t="shared" si="495"/>
        <v>1296.5323485248396</v>
      </c>
      <c r="W884" s="1625">
        <f t="shared" si="496"/>
        <v>3000.0000000000005</v>
      </c>
      <c r="X884" s="1614"/>
      <c r="Y884" s="1613"/>
      <c r="Z884" s="1612">
        <f t="shared" si="497"/>
        <v>0.4963439226727564</v>
      </c>
      <c r="AA884" s="1611"/>
      <c r="AB884" s="1611"/>
      <c r="AC884" s="1611"/>
      <c r="AD884" s="1611"/>
      <c r="AE884" s="1611"/>
      <c r="AF884" s="1611"/>
      <c r="AG884" s="1611"/>
      <c r="AH884" s="1611"/>
      <c r="AI884" s="1611"/>
      <c r="AJ884" s="1611"/>
      <c r="AK884" s="1611"/>
      <c r="AL884" s="1611"/>
      <c r="AM884" s="1611"/>
      <c r="AN884" s="1611"/>
      <c r="AO884" s="1611"/>
      <c r="AP884" s="1611"/>
      <c r="AQ884" s="1611"/>
    </row>
    <row r="885" spans="1:43" outlineLevel="2">
      <c r="A885" s="1638" t="s">
        <v>335</v>
      </c>
      <c r="B885" s="1637" t="s">
        <v>148</v>
      </c>
      <c r="C885" s="1636"/>
      <c r="D885" s="1635">
        <v>2</v>
      </c>
      <c r="E885" s="1634" t="s">
        <v>910</v>
      </c>
      <c r="F885" s="1633" t="s">
        <v>1065</v>
      </c>
      <c r="G885" s="1632">
        <v>4907.1581288273837</v>
      </c>
      <c r="H885" s="1632">
        <v>3151.77</v>
      </c>
      <c r="I885" s="1630">
        <f t="shared" si="485"/>
        <v>8058.9281288273833</v>
      </c>
      <c r="J885" s="1630">
        <f t="shared" si="486"/>
        <v>16117.856257654767</v>
      </c>
      <c r="K885" s="1631">
        <v>4000</v>
      </c>
      <c r="L885" s="1630">
        <f t="shared" si="487"/>
        <v>4000</v>
      </c>
      <c r="M885" s="1630">
        <f t="shared" si="488"/>
        <v>8000</v>
      </c>
      <c r="N885" s="1625">
        <f t="shared" si="489"/>
        <v>8117.8562576547665</v>
      </c>
      <c r="O885" s="1629">
        <v>0.64939999999999998</v>
      </c>
      <c r="P885" s="1629">
        <v>0.35060000000000002</v>
      </c>
      <c r="Q885" s="1625">
        <f t="shared" si="490"/>
        <v>5271.7358537210048</v>
      </c>
      <c r="R885" s="1628">
        <f t="shared" si="491"/>
        <v>2846.1204039337613</v>
      </c>
      <c r="S885" s="1627">
        <f t="shared" si="492"/>
        <v>4542.5804039337627</v>
      </c>
      <c r="T885" s="1627">
        <f t="shared" si="493"/>
        <v>3457.4195960662387</v>
      </c>
      <c r="U885" s="1626">
        <f t="shared" si="494"/>
        <v>1135.6451009834407</v>
      </c>
      <c r="V885" s="1626">
        <f t="shared" si="495"/>
        <v>864.35489901655967</v>
      </c>
      <c r="W885" s="1625">
        <f t="shared" si="496"/>
        <v>2000.0000000000005</v>
      </c>
      <c r="X885" s="1614"/>
      <c r="Y885" s="1613"/>
      <c r="Z885" s="1612">
        <f t="shared" si="497"/>
        <v>0.4963439226727564</v>
      </c>
      <c r="AA885" s="1611"/>
      <c r="AB885" s="1611"/>
      <c r="AC885" s="1611"/>
      <c r="AD885" s="1611"/>
      <c r="AE885" s="1611"/>
      <c r="AF885" s="1611"/>
      <c r="AG885" s="1611"/>
      <c r="AH885" s="1611"/>
      <c r="AI885" s="1611"/>
      <c r="AJ885" s="1611"/>
      <c r="AK885" s="1611"/>
      <c r="AL885" s="1611"/>
      <c r="AM885" s="1611"/>
      <c r="AN885" s="1611"/>
      <c r="AO885" s="1611"/>
      <c r="AP885" s="1611"/>
      <c r="AQ885" s="1611"/>
    </row>
    <row r="886" spans="1:43" outlineLevel="2">
      <c r="A886" s="1638" t="s">
        <v>335</v>
      </c>
      <c r="B886" s="1637" t="s">
        <v>148</v>
      </c>
      <c r="C886" s="1636"/>
      <c r="D886" s="1635">
        <v>3</v>
      </c>
      <c r="E886" s="1634" t="s">
        <v>910</v>
      </c>
      <c r="F886" s="1633" t="s">
        <v>979</v>
      </c>
      <c r="G886" s="1632">
        <v>4907.1581288273837</v>
      </c>
      <c r="H886" s="1632">
        <v>3151.77</v>
      </c>
      <c r="I886" s="1630">
        <f t="shared" si="485"/>
        <v>8058.9281288273833</v>
      </c>
      <c r="J886" s="1630">
        <f t="shared" si="486"/>
        <v>24176.784386482148</v>
      </c>
      <c r="K886" s="1631">
        <v>4075</v>
      </c>
      <c r="L886" s="1630">
        <f t="shared" si="487"/>
        <v>4075</v>
      </c>
      <c r="M886" s="1630">
        <f t="shared" si="488"/>
        <v>12225</v>
      </c>
      <c r="N886" s="1625">
        <f t="shared" si="489"/>
        <v>11951.784386482148</v>
      </c>
      <c r="O886" s="1629">
        <v>0.64939999999999998</v>
      </c>
      <c r="P886" s="1629">
        <v>0.35060000000000002</v>
      </c>
      <c r="Q886" s="1625">
        <f t="shared" si="490"/>
        <v>7761.4887805815069</v>
      </c>
      <c r="R886" s="1628">
        <f t="shared" si="491"/>
        <v>4190.295605900641</v>
      </c>
      <c r="S886" s="1627">
        <f t="shared" si="492"/>
        <v>6959.9856059006433</v>
      </c>
      <c r="T886" s="1627">
        <f t="shared" si="493"/>
        <v>5265.0143940993585</v>
      </c>
      <c r="U886" s="1626">
        <f t="shared" si="494"/>
        <v>1739.9964014751608</v>
      </c>
      <c r="V886" s="1626">
        <f t="shared" si="495"/>
        <v>1316.2535985248396</v>
      </c>
      <c r="W886" s="1625">
        <f t="shared" si="496"/>
        <v>3056.2500000000005</v>
      </c>
      <c r="X886" s="1614"/>
      <c r="Y886" s="1613"/>
      <c r="Z886" s="1612">
        <f t="shared" si="497"/>
        <v>0.5056503712228706</v>
      </c>
      <c r="AA886" s="1611"/>
      <c r="AB886" s="1611"/>
      <c r="AC886" s="1611"/>
      <c r="AD886" s="1611"/>
      <c r="AE886" s="1611"/>
      <c r="AF886" s="1611"/>
      <c r="AG886" s="1611"/>
      <c r="AH886" s="1611"/>
      <c r="AI886" s="1611"/>
      <c r="AJ886" s="1611"/>
      <c r="AK886" s="1611"/>
      <c r="AL886" s="1611"/>
      <c r="AM886" s="1611"/>
      <c r="AN886" s="1611"/>
      <c r="AO886" s="1611"/>
      <c r="AP886" s="1611"/>
      <c r="AQ886" s="1611"/>
    </row>
    <row r="887" spans="1:43" outlineLevel="2">
      <c r="A887" s="1638" t="s">
        <v>335</v>
      </c>
      <c r="B887" s="1637" t="s">
        <v>148</v>
      </c>
      <c r="C887" s="1636"/>
      <c r="D887" s="1635">
        <v>1</v>
      </c>
      <c r="E887" s="1634" t="s">
        <v>908</v>
      </c>
      <c r="F887" s="1633" t="s">
        <v>1070</v>
      </c>
      <c r="G887" s="1632">
        <v>4907.1581288273837</v>
      </c>
      <c r="H887" s="1632">
        <v>3151.77</v>
      </c>
      <c r="I887" s="1630">
        <f t="shared" si="485"/>
        <v>8058.9281288273833</v>
      </c>
      <c r="J887" s="1630">
        <f t="shared" si="486"/>
        <v>8058.9281288273833</v>
      </c>
      <c r="K887" s="1631">
        <v>4075</v>
      </c>
      <c r="L887" s="1630">
        <f t="shared" si="487"/>
        <v>4075</v>
      </c>
      <c r="M887" s="1630">
        <f t="shared" si="488"/>
        <v>4075</v>
      </c>
      <c r="N887" s="1625">
        <f t="shared" si="489"/>
        <v>3983.9281288273833</v>
      </c>
      <c r="O887" s="1629">
        <v>0.64939999999999998</v>
      </c>
      <c r="P887" s="1629">
        <v>0.35060000000000002</v>
      </c>
      <c r="Q887" s="1625">
        <f t="shared" si="490"/>
        <v>2587.1629268605025</v>
      </c>
      <c r="R887" s="1628">
        <f t="shared" si="491"/>
        <v>1396.7652019668806</v>
      </c>
      <c r="S887" s="1627">
        <f t="shared" si="492"/>
        <v>2319.9952019668813</v>
      </c>
      <c r="T887" s="1627">
        <f t="shared" si="493"/>
        <v>1755.0047980331194</v>
      </c>
      <c r="U887" s="1626">
        <f t="shared" si="494"/>
        <v>579.99880049172032</v>
      </c>
      <c r="V887" s="1626">
        <f t="shared" si="495"/>
        <v>438.75119950827985</v>
      </c>
      <c r="W887" s="1625">
        <f t="shared" si="496"/>
        <v>1018.7500000000002</v>
      </c>
      <c r="X887" s="1614"/>
      <c r="Y887" s="1613"/>
      <c r="Z887" s="1612">
        <f t="shared" si="497"/>
        <v>0.5056503712228706</v>
      </c>
      <c r="AA887" s="1611"/>
      <c r="AB887" s="1611"/>
      <c r="AC887" s="1611"/>
      <c r="AD887" s="1611"/>
      <c r="AE887" s="1611"/>
      <c r="AF887" s="1611"/>
      <c r="AG887" s="1611"/>
      <c r="AH887" s="1611"/>
      <c r="AI887" s="1611"/>
      <c r="AJ887" s="1611"/>
      <c r="AK887" s="1611"/>
      <c r="AL887" s="1611"/>
      <c r="AM887" s="1611"/>
      <c r="AN887" s="1611"/>
      <c r="AO887" s="1611"/>
      <c r="AP887" s="1611"/>
      <c r="AQ887" s="1611"/>
    </row>
    <row r="888" spans="1:43" outlineLevel="2">
      <c r="A888" s="1638" t="s">
        <v>335</v>
      </c>
      <c r="B888" s="1637" t="s">
        <v>148</v>
      </c>
      <c r="C888" s="1636"/>
      <c r="D888" s="1635">
        <v>2</v>
      </c>
      <c r="E888" s="1634" t="s">
        <v>908</v>
      </c>
      <c r="F888" s="1633" t="s">
        <v>979</v>
      </c>
      <c r="G888" s="1632">
        <v>4907.1581288273837</v>
      </c>
      <c r="H888" s="1632">
        <v>3151.77</v>
      </c>
      <c r="I888" s="1630">
        <f t="shared" si="485"/>
        <v>8058.9281288273833</v>
      </c>
      <c r="J888" s="1630">
        <f t="shared" si="486"/>
        <v>16117.856257654767</v>
      </c>
      <c r="K888" s="1631">
        <v>4085</v>
      </c>
      <c r="L888" s="1630">
        <f t="shared" si="487"/>
        <v>4085</v>
      </c>
      <c r="M888" s="1630">
        <f t="shared" si="488"/>
        <v>8170</v>
      </c>
      <c r="N888" s="1625">
        <f t="shared" si="489"/>
        <v>7947.8562576547665</v>
      </c>
      <c r="O888" s="1629">
        <v>0.64939999999999998</v>
      </c>
      <c r="P888" s="1629">
        <v>0.35060000000000002</v>
      </c>
      <c r="Q888" s="1625">
        <f t="shared" si="490"/>
        <v>5161.3378537210056</v>
      </c>
      <c r="R888" s="1628">
        <f t="shared" si="491"/>
        <v>2786.5184039337614</v>
      </c>
      <c r="S888" s="1627">
        <f t="shared" si="492"/>
        <v>4652.9784039337619</v>
      </c>
      <c r="T888" s="1627">
        <f t="shared" si="493"/>
        <v>3517.0215960662385</v>
      </c>
      <c r="U888" s="1626">
        <f t="shared" si="494"/>
        <v>1163.2446009834405</v>
      </c>
      <c r="V888" s="1626">
        <f t="shared" si="495"/>
        <v>879.25539901655964</v>
      </c>
      <c r="W888" s="1625">
        <f t="shared" si="496"/>
        <v>2042.5</v>
      </c>
      <c r="X888" s="1614"/>
      <c r="Y888" s="1613"/>
      <c r="Z888" s="1612">
        <f t="shared" si="497"/>
        <v>0.50689123102955247</v>
      </c>
      <c r="AA888" s="1611"/>
      <c r="AB888" s="1611"/>
      <c r="AC888" s="1611"/>
      <c r="AD888" s="1611"/>
      <c r="AE888" s="1611"/>
      <c r="AF888" s="1611"/>
      <c r="AG888" s="1611"/>
      <c r="AH888" s="1611"/>
      <c r="AI888" s="1611"/>
      <c r="AJ888" s="1611"/>
      <c r="AK888" s="1611"/>
      <c r="AL888" s="1611"/>
      <c r="AM888" s="1611"/>
      <c r="AN888" s="1611"/>
      <c r="AO888" s="1611"/>
      <c r="AP888" s="1611"/>
      <c r="AQ888" s="1611"/>
    </row>
    <row r="889" spans="1:43" outlineLevel="2">
      <c r="A889" s="1638" t="s">
        <v>335</v>
      </c>
      <c r="B889" s="1637" t="s">
        <v>148</v>
      </c>
      <c r="C889" s="1636"/>
      <c r="D889" s="1635">
        <v>1</v>
      </c>
      <c r="E889" s="1634" t="s">
        <v>906</v>
      </c>
      <c r="F889" s="1633" t="s">
        <v>1070</v>
      </c>
      <c r="G889" s="1632">
        <v>4907.1581288273837</v>
      </c>
      <c r="H889" s="1632">
        <v>3151.77</v>
      </c>
      <c r="I889" s="1630">
        <f t="shared" si="485"/>
        <v>8058.9281288273833</v>
      </c>
      <c r="J889" s="1630">
        <f t="shared" si="486"/>
        <v>8058.9281288273833</v>
      </c>
      <c r="K889" s="1631">
        <v>4190</v>
      </c>
      <c r="L889" s="1630">
        <f t="shared" si="487"/>
        <v>4190</v>
      </c>
      <c r="M889" s="1630">
        <f t="shared" si="488"/>
        <v>4190</v>
      </c>
      <c r="N889" s="1625">
        <f t="shared" si="489"/>
        <v>3868.9281288273833</v>
      </c>
      <c r="O889" s="1629">
        <v>0.64939999999999998</v>
      </c>
      <c r="P889" s="1629">
        <v>0.35060000000000002</v>
      </c>
      <c r="Q889" s="1625">
        <f t="shared" si="490"/>
        <v>2512.4819268605024</v>
      </c>
      <c r="R889" s="1628">
        <f t="shared" si="491"/>
        <v>1356.4462019668806</v>
      </c>
      <c r="S889" s="1627">
        <f t="shared" si="492"/>
        <v>2394.6762019668813</v>
      </c>
      <c r="T889" s="1627">
        <f t="shared" si="493"/>
        <v>1795.3237980331194</v>
      </c>
      <c r="U889" s="1626">
        <f t="shared" si="494"/>
        <v>598.66905049172033</v>
      </c>
      <c r="V889" s="1626">
        <f t="shared" si="495"/>
        <v>448.83094950827984</v>
      </c>
      <c r="W889" s="1625">
        <f t="shared" si="496"/>
        <v>1047.5000000000002</v>
      </c>
      <c r="X889" s="1614"/>
      <c r="Y889" s="1613"/>
      <c r="Z889" s="1612">
        <f t="shared" si="497"/>
        <v>0.51992025899971228</v>
      </c>
      <c r="AA889" s="1611"/>
      <c r="AB889" s="1611"/>
      <c r="AC889" s="1611"/>
      <c r="AD889" s="1611"/>
      <c r="AE889" s="1611"/>
      <c r="AF889" s="1611"/>
      <c r="AG889" s="1611"/>
      <c r="AH889" s="1611"/>
      <c r="AI889" s="1611"/>
      <c r="AJ889" s="1611"/>
      <c r="AK889" s="1611"/>
      <c r="AL889" s="1611"/>
      <c r="AM889" s="1611"/>
      <c r="AN889" s="1611"/>
      <c r="AO889" s="1611"/>
      <c r="AP889" s="1611"/>
      <c r="AQ889" s="1611"/>
    </row>
    <row r="890" spans="1:43" outlineLevel="2">
      <c r="A890" s="1638" t="s">
        <v>335</v>
      </c>
      <c r="B890" s="1637" t="s">
        <v>148</v>
      </c>
      <c r="C890" s="1636"/>
      <c r="D890" s="1635">
        <v>2</v>
      </c>
      <c r="E890" s="1634" t="s">
        <v>905</v>
      </c>
      <c r="F890" s="1633" t="s">
        <v>979</v>
      </c>
      <c r="G890" s="1632">
        <v>4907.1581288273837</v>
      </c>
      <c r="H890" s="1632">
        <v>3151.77</v>
      </c>
      <c r="I890" s="1630">
        <f t="shared" si="485"/>
        <v>8058.9281288273833</v>
      </c>
      <c r="J890" s="1630">
        <f t="shared" si="486"/>
        <v>16117.856257654767</v>
      </c>
      <c r="K890" s="1631">
        <v>3510</v>
      </c>
      <c r="L890" s="1630">
        <f t="shared" si="487"/>
        <v>3510</v>
      </c>
      <c r="M890" s="1630">
        <f t="shared" si="488"/>
        <v>7020</v>
      </c>
      <c r="N890" s="1625">
        <f t="shared" si="489"/>
        <v>9097.8562576547665</v>
      </c>
      <c r="O890" s="1629">
        <v>0.64939999999999998</v>
      </c>
      <c r="P890" s="1629">
        <v>0.35060000000000002</v>
      </c>
      <c r="Q890" s="1625">
        <f t="shared" si="490"/>
        <v>5908.147853721005</v>
      </c>
      <c r="R890" s="1628">
        <f t="shared" si="491"/>
        <v>3189.7084039337615</v>
      </c>
      <c r="S890" s="1627">
        <f t="shared" si="492"/>
        <v>3906.1684039337624</v>
      </c>
      <c r="T890" s="1627">
        <f t="shared" si="493"/>
        <v>3113.8315960662385</v>
      </c>
      <c r="U890" s="1626">
        <f t="shared" si="494"/>
        <v>976.5421009834406</v>
      </c>
      <c r="V890" s="1626">
        <f t="shared" si="495"/>
        <v>778.45789901655962</v>
      </c>
      <c r="W890" s="1625">
        <f t="shared" si="496"/>
        <v>1755.0000000000002</v>
      </c>
      <c r="X890" s="1614"/>
      <c r="Y890" s="1613"/>
      <c r="Z890" s="1612">
        <f t="shared" si="497"/>
        <v>0.43554179214534372</v>
      </c>
      <c r="AA890" s="1611"/>
      <c r="AB890" s="1611"/>
      <c r="AC890" s="1611"/>
      <c r="AD890" s="1611"/>
      <c r="AE890" s="1611"/>
      <c r="AF890" s="1611"/>
      <c r="AG890" s="1611"/>
      <c r="AH890" s="1611"/>
      <c r="AI890" s="1611"/>
      <c r="AJ890" s="1611"/>
      <c r="AK890" s="1611"/>
      <c r="AL890" s="1611"/>
      <c r="AM890" s="1611"/>
      <c r="AN890" s="1611"/>
      <c r="AO890" s="1611"/>
      <c r="AP890" s="1611"/>
      <c r="AQ890" s="1611"/>
    </row>
    <row r="891" spans="1:43" outlineLevel="2">
      <c r="A891" s="1638" t="s">
        <v>335</v>
      </c>
      <c r="B891" s="1637" t="s">
        <v>148</v>
      </c>
      <c r="C891" s="1636"/>
      <c r="D891" s="1635">
        <v>1</v>
      </c>
      <c r="E891" s="1634" t="s">
        <v>909</v>
      </c>
      <c r="F891" s="1633" t="s">
        <v>1068</v>
      </c>
      <c r="G891" s="1632">
        <v>4907.1581288273837</v>
      </c>
      <c r="H891" s="1632">
        <v>3151.77</v>
      </c>
      <c r="I891" s="1630">
        <f t="shared" si="485"/>
        <v>8058.9281288273833</v>
      </c>
      <c r="J891" s="1630">
        <f t="shared" si="486"/>
        <v>8058.9281288273833</v>
      </c>
      <c r="K891" s="1631">
        <v>4069</v>
      </c>
      <c r="L891" s="1630">
        <f t="shared" si="487"/>
        <v>4069</v>
      </c>
      <c r="M891" s="1630">
        <f t="shared" si="488"/>
        <v>4069</v>
      </c>
      <c r="N891" s="1625">
        <f t="shared" si="489"/>
        <v>3989.9281288273833</v>
      </c>
      <c r="O891" s="1629">
        <v>0.64939999999999998</v>
      </c>
      <c r="P891" s="1629">
        <v>0.35060000000000002</v>
      </c>
      <c r="Q891" s="1625">
        <f t="shared" si="490"/>
        <v>2591.0593268605026</v>
      </c>
      <c r="R891" s="1628">
        <f t="shared" si="491"/>
        <v>1398.8688019668807</v>
      </c>
      <c r="S891" s="1627">
        <f t="shared" si="492"/>
        <v>2316.0988019668812</v>
      </c>
      <c r="T891" s="1627">
        <f t="shared" si="493"/>
        <v>1752.9011980331193</v>
      </c>
      <c r="U891" s="1626">
        <f t="shared" si="494"/>
        <v>579.0247004917203</v>
      </c>
      <c r="V891" s="1626">
        <f t="shared" si="495"/>
        <v>438.22529950827982</v>
      </c>
      <c r="W891" s="1625">
        <f t="shared" si="496"/>
        <v>1017.2500000000001</v>
      </c>
      <c r="X891" s="1614"/>
      <c r="Y891" s="1613"/>
      <c r="Z891" s="1612">
        <f t="shared" si="497"/>
        <v>0.50490585533886145</v>
      </c>
      <c r="AA891" s="1611"/>
      <c r="AB891" s="1611"/>
      <c r="AC891" s="1611"/>
      <c r="AD891" s="1611"/>
      <c r="AE891" s="1611"/>
      <c r="AF891" s="1611"/>
      <c r="AG891" s="1611"/>
      <c r="AH891" s="1611"/>
      <c r="AI891" s="1611"/>
      <c r="AJ891" s="1611"/>
      <c r="AK891" s="1611"/>
      <c r="AL891" s="1611"/>
      <c r="AM891" s="1611"/>
      <c r="AN891" s="1611"/>
      <c r="AO891" s="1611"/>
      <c r="AP891" s="1611"/>
      <c r="AQ891" s="1611"/>
    </row>
    <row r="892" spans="1:43" outlineLevel="2">
      <c r="A892" s="1638" t="s">
        <v>335</v>
      </c>
      <c r="B892" s="1637" t="s">
        <v>148</v>
      </c>
      <c r="C892" s="1636"/>
      <c r="D892" s="1635">
        <v>1</v>
      </c>
      <c r="E892" s="1634" t="s">
        <v>909</v>
      </c>
      <c r="F892" s="1633" t="s">
        <v>1066</v>
      </c>
      <c r="G892" s="1632">
        <v>4907.1581288273837</v>
      </c>
      <c r="H892" s="1632">
        <v>3151.77</v>
      </c>
      <c r="I892" s="1630">
        <f t="shared" si="485"/>
        <v>8058.9281288273833</v>
      </c>
      <c r="J892" s="1630">
        <f t="shared" si="486"/>
        <v>8058.9281288273833</v>
      </c>
      <c r="K892" s="1631">
        <v>4069</v>
      </c>
      <c r="L892" s="1630">
        <f t="shared" si="487"/>
        <v>4069</v>
      </c>
      <c r="M892" s="1630">
        <f t="shared" si="488"/>
        <v>4069</v>
      </c>
      <c r="N892" s="1625">
        <f t="shared" si="489"/>
        <v>3989.9281288273833</v>
      </c>
      <c r="O892" s="1629">
        <v>0.64939999999999998</v>
      </c>
      <c r="P892" s="1629">
        <v>0.35060000000000002</v>
      </c>
      <c r="Q892" s="1625">
        <f t="shared" si="490"/>
        <v>2591.0593268605026</v>
      </c>
      <c r="R892" s="1628">
        <f t="shared" si="491"/>
        <v>1398.8688019668807</v>
      </c>
      <c r="S892" s="1627">
        <f t="shared" si="492"/>
        <v>2316.0988019668812</v>
      </c>
      <c r="T892" s="1627">
        <f t="shared" si="493"/>
        <v>1752.9011980331193</v>
      </c>
      <c r="U892" s="1626">
        <f t="shared" si="494"/>
        <v>579.0247004917203</v>
      </c>
      <c r="V892" s="1626">
        <f t="shared" si="495"/>
        <v>438.22529950827982</v>
      </c>
      <c r="W892" s="1625">
        <f t="shared" si="496"/>
        <v>1017.2500000000001</v>
      </c>
      <c r="X892" s="1614"/>
      <c r="Y892" s="1613"/>
      <c r="Z892" s="1612">
        <f t="shared" si="497"/>
        <v>0.50490585533886145</v>
      </c>
      <c r="AA892" s="1611"/>
      <c r="AB892" s="1611"/>
      <c r="AC892" s="1611"/>
      <c r="AD892" s="1611"/>
      <c r="AE892" s="1611"/>
      <c r="AF892" s="1611"/>
      <c r="AG892" s="1611"/>
      <c r="AH892" s="1611"/>
      <c r="AI892" s="1611"/>
      <c r="AJ892" s="1611"/>
      <c r="AK892" s="1611"/>
      <c r="AL892" s="1611"/>
      <c r="AM892" s="1611"/>
      <c r="AN892" s="1611"/>
      <c r="AO892" s="1611"/>
      <c r="AP892" s="1611"/>
      <c r="AQ892" s="1611"/>
    </row>
    <row r="893" spans="1:43" outlineLevel="2">
      <c r="A893" s="1638" t="s">
        <v>335</v>
      </c>
      <c r="B893" s="1637" t="s">
        <v>148</v>
      </c>
      <c r="C893" s="1636"/>
      <c r="D893" s="1635">
        <v>1</v>
      </c>
      <c r="E893" s="1634" t="s">
        <v>907</v>
      </c>
      <c r="F893" s="1633" t="s">
        <v>1070</v>
      </c>
      <c r="G893" s="1632">
        <v>4907.1581288273837</v>
      </c>
      <c r="H893" s="1632">
        <v>3151.77</v>
      </c>
      <c r="I893" s="1630">
        <f t="shared" si="485"/>
        <v>8058.9281288273833</v>
      </c>
      <c r="J893" s="1630">
        <f t="shared" si="486"/>
        <v>8058.9281288273833</v>
      </c>
      <c r="K893" s="1631">
        <v>5434</v>
      </c>
      <c r="L893" s="1630">
        <f t="shared" si="487"/>
        <v>5434</v>
      </c>
      <c r="M893" s="1630">
        <f t="shared" si="488"/>
        <v>5434</v>
      </c>
      <c r="N893" s="1625">
        <f t="shared" si="489"/>
        <v>2624.9281288273833</v>
      </c>
      <c r="O893" s="1629">
        <v>0.64939999999999998</v>
      </c>
      <c r="P893" s="1629">
        <v>0.35060000000000002</v>
      </c>
      <c r="Q893" s="1625">
        <f t="shared" si="490"/>
        <v>1704.6283268605027</v>
      </c>
      <c r="R893" s="1628">
        <f t="shared" si="491"/>
        <v>920.29980196688064</v>
      </c>
      <c r="S893" s="1627">
        <f t="shared" si="492"/>
        <v>3202.5298019668808</v>
      </c>
      <c r="T893" s="1627">
        <f t="shared" si="493"/>
        <v>2231.4701980331192</v>
      </c>
      <c r="U893" s="1626">
        <f t="shared" si="494"/>
        <v>800.63245049172019</v>
      </c>
      <c r="V893" s="1626">
        <f t="shared" si="495"/>
        <v>557.86754950827981</v>
      </c>
      <c r="W893" s="1625">
        <f t="shared" si="496"/>
        <v>1358.5</v>
      </c>
      <c r="X893" s="1614"/>
      <c r="Y893" s="1613"/>
      <c r="Z893" s="1612">
        <f t="shared" si="497"/>
        <v>0.67428321895093957</v>
      </c>
      <c r="AA893" s="1611"/>
      <c r="AB893" s="1611"/>
      <c r="AC893" s="1611"/>
      <c r="AD893" s="1611"/>
      <c r="AE893" s="1611"/>
      <c r="AF893" s="1611"/>
      <c r="AG893" s="1611"/>
      <c r="AH893" s="1611"/>
      <c r="AI893" s="1611"/>
      <c r="AJ893" s="1611"/>
      <c r="AK893" s="1611"/>
      <c r="AL893" s="1611"/>
      <c r="AM893" s="1611"/>
      <c r="AN893" s="1611"/>
      <c r="AO893" s="1611"/>
      <c r="AP893" s="1611"/>
      <c r="AQ893" s="1611"/>
    </row>
    <row r="894" spans="1:43" outlineLevel="2">
      <c r="A894" s="1638" t="s">
        <v>335</v>
      </c>
      <c r="B894" s="1637" t="s">
        <v>148</v>
      </c>
      <c r="C894" s="1636"/>
      <c r="D894" s="1635">
        <v>1</v>
      </c>
      <c r="E894" s="1634" t="s">
        <v>907</v>
      </c>
      <c r="F894" s="1633" t="s">
        <v>979</v>
      </c>
      <c r="G894" s="1632">
        <v>4907.1581288273837</v>
      </c>
      <c r="H894" s="1632">
        <v>3151.77</v>
      </c>
      <c r="I894" s="1630">
        <f t="shared" si="485"/>
        <v>8058.9281288273833</v>
      </c>
      <c r="J894" s="1630">
        <f t="shared" si="486"/>
        <v>8058.9281288273833</v>
      </c>
      <c r="K894" s="1631">
        <v>5484</v>
      </c>
      <c r="L894" s="1630">
        <f t="shared" si="487"/>
        <v>5484</v>
      </c>
      <c r="M894" s="1630">
        <f t="shared" si="488"/>
        <v>5484</v>
      </c>
      <c r="N894" s="1625">
        <f t="shared" si="489"/>
        <v>2574.9281288273833</v>
      </c>
      <c r="O894" s="1629">
        <v>0.64939999999999998</v>
      </c>
      <c r="P894" s="1629">
        <v>0.35060000000000002</v>
      </c>
      <c r="Q894" s="1625">
        <f t="shared" si="490"/>
        <v>1672.1583268605027</v>
      </c>
      <c r="R894" s="1628">
        <f t="shared" si="491"/>
        <v>902.76980196688066</v>
      </c>
      <c r="S894" s="1627">
        <f t="shared" si="492"/>
        <v>3234.999801966881</v>
      </c>
      <c r="T894" s="1627">
        <f t="shared" si="493"/>
        <v>2249.0001980331194</v>
      </c>
      <c r="U894" s="1626">
        <f t="shared" si="494"/>
        <v>808.74995049172026</v>
      </c>
      <c r="V894" s="1626">
        <f t="shared" si="495"/>
        <v>562.25004950827986</v>
      </c>
      <c r="W894" s="1625">
        <f t="shared" si="496"/>
        <v>1371</v>
      </c>
      <c r="X894" s="1614"/>
      <c r="Y894" s="1613"/>
      <c r="Z894" s="1612">
        <f t="shared" si="497"/>
        <v>0.68048751798434903</v>
      </c>
      <c r="AA894" s="1611"/>
      <c r="AB894" s="1611"/>
      <c r="AC894" s="1611"/>
      <c r="AD894" s="1611"/>
      <c r="AE894" s="1611"/>
      <c r="AF894" s="1611"/>
      <c r="AG894" s="1611"/>
      <c r="AH894" s="1611"/>
      <c r="AI894" s="1611"/>
      <c r="AJ894" s="1611"/>
      <c r="AK894" s="1611"/>
      <c r="AL894" s="1611"/>
      <c r="AM894" s="1611"/>
      <c r="AN894" s="1611"/>
      <c r="AO894" s="1611"/>
      <c r="AP894" s="1611"/>
      <c r="AQ894" s="1611"/>
    </row>
    <row r="895" spans="1:43" outlineLevel="1">
      <c r="A895" s="1624"/>
      <c r="B895" s="1623" t="s">
        <v>1081</v>
      </c>
      <c r="C895" s="1622"/>
      <c r="D895" s="1621">
        <f>SUBTOTAL(9,D882:D894)</f>
        <v>23</v>
      </c>
      <c r="E895" s="1620"/>
      <c r="F895" s="1639"/>
      <c r="G895" s="1639"/>
      <c r="H895" s="1639"/>
      <c r="I895" s="1616"/>
      <c r="J895" s="1616">
        <f>SUBTOTAL(9,J882:J894)</f>
        <v>185355.34696302985</v>
      </c>
      <c r="K895" s="1615"/>
      <c r="L895" s="1616"/>
      <c r="M895" s="1616">
        <f>SUBTOTAL(9,M882:M894)</f>
        <v>94736</v>
      </c>
      <c r="N895" s="1615">
        <f>SUBTOTAL(9,N882:N894)</f>
        <v>90619.346963029791</v>
      </c>
      <c r="O895" s="1616"/>
      <c r="P895" s="1616"/>
      <c r="Q895" s="1615">
        <f t="shared" ref="Q895:W895" si="498">SUBTOTAL(9,Q882:Q894)</f>
        <v>58848.203917791558</v>
      </c>
      <c r="R895" s="1615">
        <f t="shared" si="498"/>
        <v>31771.143045238252</v>
      </c>
      <c r="S895" s="1616">
        <f t="shared" si="498"/>
        <v>54016.433045238264</v>
      </c>
      <c r="T895" s="1616">
        <f t="shared" si="498"/>
        <v>40719.566954761751</v>
      </c>
      <c r="U895" s="1616">
        <f t="shared" si="498"/>
        <v>13504.108261309566</v>
      </c>
      <c r="V895" s="1616">
        <f t="shared" si="498"/>
        <v>10179.891738690438</v>
      </c>
      <c r="W895" s="1615">
        <f t="shared" si="498"/>
        <v>23684.000000000004</v>
      </c>
      <c r="X895" s="1614"/>
      <c r="Y895" s="1613"/>
      <c r="Z895" s="1612"/>
      <c r="AA895" s="1611"/>
      <c r="AB895" s="1611"/>
      <c r="AC895" s="1611"/>
      <c r="AD895" s="1611"/>
      <c r="AE895" s="1611"/>
      <c r="AF895" s="1611"/>
      <c r="AG895" s="1611"/>
      <c r="AH895" s="1611"/>
      <c r="AI895" s="1611"/>
      <c r="AJ895" s="1611"/>
      <c r="AK895" s="1611"/>
      <c r="AL895" s="1611"/>
      <c r="AM895" s="1611"/>
      <c r="AN895" s="1611"/>
      <c r="AO895" s="1611"/>
      <c r="AP895" s="1611"/>
      <c r="AQ895" s="1611"/>
    </row>
    <row r="896" spans="1:43" outlineLevel="2">
      <c r="A896" s="1638" t="s">
        <v>336</v>
      </c>
      <c r="B896" s="1637" t="s">
        <v>149</v>
      </c>
      <c r="C896" s="1636"/>
      <c r="D896" s="1635">
        <v>1</v>
      </c>
      <c r="E896" s="1634" t="s">
        <v>894</v>
      </c>
      <c r="F896" s="1633" t="s">
        <v>1064</v>
      </c>
      <c r="G896" s="1632">
        <v>5595.9562972516633</v>
      </c>
      <c r="H896" s="1632">
        <v>2875.51</v>
      </c>
      <c r="I896" s="1630">
        <f t="shared" ref="I896:I904" si="499">G896+H896</f>
        <v>8471.4662972516635</v>
      </c>
      <c r="J896" s="1630">
        <f t="shared" ref="J896:J904" si="500">D896*I896</f>
        <v>8471.4662972516635</v>
      </c>
      <c r="K896" s="1631">
        <v>4550</v>
      </c>
      <c r="L896" s="1630">
        <f t="shared" ref="L896:L904" si="501">IF(I896&gt;K896,K896,I896)</f>
        <v>4550</v>
      </c>
      <c r="M896" s="1630">
        <f t="shared" ref="M896:M904" si="502">L896*D896</f>
        <v>4550</v>
      </c>
      <c r="N896" s="1625">
        <f t="shared" ref="N896:N904" si="503">J896-M896</f>
        <v>3921.4662972516635</v>
      </c>
      <c r="O896" s="1629">
        <v>0.71779999999999999</v>
      </c>
      <c r="P896" s="1629">
        <v>0.28220000000000001</v>
      </c>
      <c r="Q896" s="1625">
        <f t="shared" ref="Q896:Q904" si="504">N896*O896</f>
        <v>2814.8285081672439</v>
      </c>
      <c r="R896" s="1628">
        <f t="shared" ref="R896:R904" si="505">N896*P896</f>
        <v>1106.6377890844194</v>
      </c>
      <c r="S896" s="1627">
        <f t="shared" ref="S896:S904" si="506">(G896*D896)-Q896</f>
        <v>2781.1277890844194</v>
      </c>
      <c r="T896" s="1627">
        <f t="shared" ref="T896:T904" si="507">(H896*D896)-R896</f>
        <v>1768.8722109155808</v>
      </c>
      <c r="U896" s="1626">
        <f t="shared" ref="U896:U904" si="508">S896/4</f>
        <v>695.28194727110485</v>
      </c>
      <c r="V896" s="1626">
        <f t="shared" ref="V896:V904" si="509">T896/4</f>
        <v>442.2180527288952</v>
      </c>
      <c r="W896" s="1625">
        <f t="shared" ref="W896:W904" si="510">V896+U896</f>
        <v>1137.5</v>
      </c>
      <c r="X896" s="1614"/>
      <c r="Y896" s="1613"/>
      <c r="Z896" s="1612">
        <f t="shared" ref="Z896:Z904" si="511">K896/I896</f>
        <v>0.53709710224263341</v>
      </c>
      <c r="AA896" s="1611"/>
      <c r="AB896" s="1611"/>
      <c r="AC896" s="1611"/>
      <c r="AD896" s="1611"/>
      <c r="AE896" s="1611"/>
      <c r="AF896" s="1611"/>
      <c r="AG896" s="1611"/>
      <c r="AH896" s="1611"/>
      <c r="AI896" s="1611"/>
      <c r="AJ896" s="1611"/>
      <c r="AK896" s="1611"/>
      <c r="AL896" s="1611"/>
      <c r="AM896" s="1611"/>
      <c r="AN896" s="1611"/>
      <c r="AO896" s="1611"/>
      <c r="AP896" s="1611"/>
      <c r="AQ896" s="1611"/>
    </row>
    <row r="897" spans="1:43" outlineLevel="2">
      <c r="A897" s="1638" t="s">
        <v>336</v>
      </c>
      <c r="B897" s="1637" t="s">
        <v>149</v>
      </c>
      <c r="C897" s="1636"/>
      <c r="D897" s="1635">
        <v>1</v>
      </c>
      <c r="E897" s="1634" t="s">
        <v>904</v>
      </c>
      <c r="F897" s="1633" t="s">
        <v>1070</v>
      </c>
      <c r="G897" s="1632">
        <v>5595.9562972516633</v>
      </c>
      <c r="H897" s="1632">
        <v>2875.51</v>
      </c>
      <c r="I897" s="1630">
        <f t="shared" si="499"/>
        <v>8471.4662972516635</v>
      </c>
      <c r="J897" s="1630">
        <f t="shared" si="500"/>
        <v>8471.4662972516635</v>
      </c>
      <c r="K897" s="1631">
        <v>6300</v>
      </c>
      <c r="L897" s="1630">
        <f t="shared" si="501"/>
        <v>6300</v>
      </c>
      <c r="M897" s="1630">
        <f t="shared" si="502"/>
        <v>6300</v>
      </c>
      <c r="N897" s="1625">
        <f t="shared" si="503"/>
        <v>2171.4662972516635</v>
      </c>
      <c r="O897" s="1629">
        <v>0.71779999999999999</v>
      </c>
      <c r="P897" s="1629">
        <v>0.28220000000000001</v>
      </c>
      <c r="Q897" s="1625">
        <f t="shared" si="504"/>
        <v>1558.678508167244</v>
      </c>
      <c r="R897" s="1628">
        <f t="shared" si="505"/>
        <v>612.7877890844195</v>
      </c>
      <c r="S897" s="1627">
        <f t="shared" si="506"/>
        <v>4037.2777890844191</v>
      </c>
      <c r="T897" s="1627">
        <f t="shared" si="507"/>
        <v>2262.7222109155809</v>
      </c>
      <c r="U897" s="1626">
        <f t="shared" si="508"/>
        <v>1009.3194472711048</v>
      </c>
      <c r="V897" s="1626">
        <f t="shared" si="509"/>
        <v>565.68055272889524</v>
      </c>
      <c r="W897" s="1625">
        <f t="shared" si="510"/>
        <v>1575</v>
      </c>
      <c r="X897" s="1614"/>
      <c r="Y897" s="1613"/>
      <c r="Z897" s="1612">
        <f t="shared" si="511"/>
        <v>0.74367291079749243</v>
      </c>
      <c r="AA897" s="1611"/>
      <c r="AB897" s="1611"/>
      <c r="AC897" s="1611"/>
      <c r="AD897" s="1611"/>
      <c r="AE897" s="1611"/>
      <c r="AF897" s="1611"/>
      <c r="AG897" s="1611"/>
      <c r="AH897" s="1611"/>
      <c r="AI897" s="1611"/>
      <c r="AJ897" s="1611"/>
      <c r="AK897" s="1611"/>
      <c r="AL897" s="1611"/>
      <c r="AM897" s="1611"/>
      <c r="AN897" s="1611"/>
      <c r="AO897" s="1611"/>
      <c r="AP897" s="1611"/>
      <c r="AQ897" s="1611"/>
    </row>
    <row r="898" spans="1:43" outlineLevel="2">
      <c r="A898" s="1638" t="s">
        <v>336</v>
      </c>
      <c r="B898" s="1637" t="s">
        <v>149</v>
      </c>
      <c r="C898" s="1636"/>
      <c r="D898" s="1635">
        <v>1</v>
      </c>
      <c r="E898" s="1634" t="s">
        <v>904</v>
      </c>
      <c r="F898" s="1633" t="s">
        <v>1069</v>
      </c>
      <c r="G898" s="1632">
        <v>5595.9562972516633</v>
      </c>
      <c r="H898" s="1632">
        <v>2875.51</v>
      </c>
      <c r="I898" s="1630">
        <f t="shared" si="499"/>
        <v>8471.4662972516635</v>
      </c>
      <c r="J898" s="1630">
        <f t="shared" si="500"/>
        <v>8471.4662972516635</v>
      </c>
      <c r="K898" s="1631">
        <v>6300</v>
      </c>
      <c r="L898" s="1630">
        <f t="shared" si="501"/>
        <v>6300</v>
      </c>
      <c r="M898" s="1630">
        <f t="shared" si="502"/>
        <v>6300</v>
      </c>
      <c r="N898" s="1625">
        <f t="shared" si="503"/>
        <v>2171.4662972516635</v>
      </c>
      <c r="O898" s="1629">
        <v>0.71779999999999999</v>
      </c>
      <c r="P898" s="1629">
        <v>0.28220000000000001</v>
      </c>
      <c r="Q898" s="1625">
        <f t="shared" si="504"/>
        <v>1558.678508167244</v>
      </c>
      <c r="R898" s="1628">
        <f t="shared" si="505"/>
        <v>612.7877890844195</v>
      </c>
      <c r="S898" s="1627">
        <f t="shared" si="506"/>
        <v>4037.2777890844191</v>
      </c>
      <c r="T898" s="1627">
        <f t="shared" si="507"/>
        <v>2262.7222109155809</v>
      </c>
      <c r="U898" s="1626">
        <f t="shared" si="508"/>
        <v>1009.3194472711048</v>
      </c>
      <c r="V898" s="1626">
        <f t="shared" si="509"/>
        <v>565.68055272889524</v>
      </c>
      <c r="W898" s="1625">
        <f t="shared" si="510"/>
        <v>1575</v>
      </c>
      <c r="X898" s="1614"/>
      <c r="Y898" s="1613"/>
      <c r="Z898" s="1612">
        <f t="shared" si="511"/>
        <v>0.74367291079749243</v>
      </c>
      <c r="AA898" s="1611"/>
      <c r="AB898" s="1611"/>
      <c r="AC898" s="1611"/>
      <c r="AD898" s="1611"/>
      <c r="AE898" s="1611"/>
      <c r="AF898" s="1611"/>
      <c r="AG898" s="1611"/>
      <c r="AH898" s="1611"/>
      <c r="AI898" s="1611"/>
      <c r="AJ898" s="1611"/>
      <c r="AK898" s="1611"/>
      <c r="AL898" s="1611"/>
      <c r="AM898" s="1611"/>
      <c r="AN898" s="1611"/>
      <c r="AO898" s="1611"/>
      <c r="AP898" s="1611"/>
      <c r="AQ898" s="1611"/>
    </row>
    <row r="899" spans="1:43" outlineLevel="2">
      <c r="A899" s="1638" t="s">
        <v>336</v>
      </c>
      <c r="B899" s="1637" t="s">
        <v>149</v>
      </c>
      <c r="C899" s="1636"/>
      <c r="D899" s="1635">
        <v>1</v>
      </c>
      <c r="E899" s="1634" t="s">
        <v>904</v>
      </c>
      <c r="F899" s="1633" t="s">
        <v>1065</v>
      </c>
      <c r="G899" s="1632">
        <v>5595.9562972516633</v>
      </c>
      <c r="H899" s="1632">
        <v>2875.51</v>
      </c>
      <c r="I899" s="1630">
        <f t="shared" si="499"/>
        <v>8471.4662972516635</v>
      </c>
      <c r="J899" s="1630">
        <f t="shared" si="500"/>
        <v>8471.4662972516635</v>
      </c>
      <c r="K899" s="1631">
        <v>6300</v>
      </c>
      <c r="L899" s="1630">
        <f t="shared" si="501"/>
        <v>6300</v>
      </c>
      <c r="M899" s="1630">
        <f t="shared" si="502"/>
        <v>6300</v>
      </c>
      <c r="N899" s="1625">
        <f t="shared" si="503"/>
        <v>2171.4662972516635</v>
      </c>
      <c r="O899" s="1629">
        <v>0.71779999999999999</v>
      </c>
      <c r="P899" s="1629">
        <v>0.28220000000000001</v>
      </c>
      <c r="Q899" s="1625">
        <f t="shared" si="504"/>
        <v>1558.678508167244</v>
      </c>
      <c r="R899" s="1628">
        <f t="shared" si="505"/>
        <v>612.7877890844195</v>
      </c>
      <c r="S899" s="1627">
        <f t="shared" si="506"/>
        <v>4037.2777890844191</v>
      </c>
      <c r="T899" s="1627">
        <f t="shared" si="507"/>
        <v>2262.7222109155809</v>
      </c>
      <c r="U899" s="1626">
        <f t="shared" si="508"/>
        <v>1009.3194472711048</v>
      </c>
      <c r="V899" s="1626">
        <f t="shared" si="509"/>
        <v>565.68055272889524</v>
      </c>
      <c r="W899" s="1625">
        <f t="shared" si="510"/>
        <v>1575</v>
      </c>
      <c r="X899" s="1614"/>
      <c r="Y899" s="1613"/>
      <c r="Z899" s="1612">
        <f t="shared" si="511"/>
        <v>0.74367291079749243</v>
      </c>
      <c r="AA899" s="1611"/>
      <c r="AB899" s="1611"/>
      <c r="AC899" s="1611"/>
      <c r="AD899" s="1611"/>
      <c r="AE899" s="1611"/>
      <c r="AF899" s="1611"/>
      <c r="AG899" s="1611"/>
      <c r="AH899" s="1611"/>
      <c r="AI899" s="1611"/>
      <c r="AJ899" s="1611"/>
      <c r="AK899" s="1611"/>
      <c r="AL899" s="1611"/>
      <c r="AM899" s="1611"/>
      <c r="AN899" s="1611"/>
      <c r="AO899" s="1611"/>
      <c r="AP899" s="1611"/>
      <c r="AQ899" s="1611"/>
    </row>
    <row r="900" spans="1:43" outlineLevel="2">
      <c r="A900" s="1638" t="s">
        <v>336</v>
      </c>
      <c r="B900" s="1637" t="s">
        <v>149</v>
      </c>
      <c r="C900" s="1636"/>
      <c r="D900" s="1635">
        <v>3</v>
      </c>
      <c r="E900" s="1634" t="s">
        <v>904</v>
      </c>
      <c r="F900" s="1633" t="s">
        <v>1064</v>
      </c>
      <c r="G900" s="1632">
        <v>5595.9562972516633</v>
      </c>
      <c r="H900" s="1632">
        <v>2875.51</v>
      </c>
      <c r="I900" s="1630">
        <f t="shared" si="499"/>
        <v>8471.4662972516635</v>
      </c>
      <c r="J900" s="1630">
        <f t="shared" si="500"/>
        <v>25414.39889175499</v>
      </c>
      <c r="K900" s="1631">
        <v>6300</v>
      </c>
      <c r="L900" s="1630">
        <f t="shared" si="501"/>
        <v>6300</v>
      </c>
      <c r="M900" s="1630">
        <f t="shared" si="502"/>
        <v>18900</v>
      </c>
      <c r="N900" s="1625">
        <f t="shared" si="503"/>
        <v>6514.3988917549905</v>
      </c>
      <c r="O900" s="1629">
        <v>0.71779999999999999</v>
      </c>
      <c r="P900" s="1629">
        <v>0.28220000000000001</v>
      </c>
      <c r="Q900" s="1625">
        <f t="shared" si="504"/>
        <v>4676.0355245017317</v>
      </c>
      <c r="R900" s="1628">
        <f t="shared" si="505"/>
        <v>1838.3633672532583</v>
      </c>
      <c r="S900" s="1627">
        <f t="shared" si="506"/>
        <v>12111.833367253257</v>
      </c>
      <c r="T900" s="1627">
        <f t="shared" si="507"/>
        <v>6788.1666327467428</v>
      </c>
      <c r="U900" s="1626">
        <f t="shared" si="508"/>
        <v>3027.9583418133143</v>
      </c>
      <c r="V900" s="1626">
        <f t="shared" si="509"/>
        <v>1697.0416581866857</v>
      </c>
      <c r="W900" s="1625">
        <f t="shared" si="510"/>
        <v>4725</v>
      </c>
      <c r="X900" s="1614"/>
      <c r="Y900" s="1613"/>
      <c r="Z900" s="1612">
        <f t="shared" si="511"/>
        <v>0.74367291079749243</v>
      </c>
      <c r="AA900" s="1611"/>
      <c r="AB900" s="1611"/>
      <c r="AC900" s="1611"/>
      <c r="AD900" s="1611"/>
      <c r="AE900" s="1611"/>
      <c r="AF900" s="1611"/>
      <c r="AG900" s="1611"/>
      <c r="AH900" s="1611"/>
      <c r="AI900" s="1611"/>
      <c r="AJ900" s="1611"/>
      <c r="AK900" s="1611"/>
      <c r="AL900" s="1611"/>
      <c r="AM900" s="1611"/>
      <c r="AN900" s="1611"/>
      <c r="AO900" s="1611"/>
      <c r="AP900" s="1611"/>
      <c r="AQ900" s="1611"/>
    </row>
    <row r="901" spans="1:43" outlineLevel="2">
      <c r="A901" s="1638" t="s">
        <v>336</v>
      </c>
      <c r="B901" s="1637" t="s">
        <v>149</v>
      </c>
      <c r="C901" s="1636"/>
      <c r="D901" s="1635">
        <v>1</v>
      </c>
      <c r="E901" s="1634" t="s">
        <v>895</v>
      </c>
      <c r="F901" s="1633" t="s">
        <v>1067</v>
      </c>
      <c r="G901" s="1632">
        <v>5595.9562972516633</v>
      </c>
      <c r="H901" s="1632">
        <v>2875.51</v>
      </c>
      <c r="I901" s="1630">
        <f t="shared" si="499"/>
        <v>8471.4662972516635</v>
      </c>
      <c r="J901" s="1630">
        <f t="shared" si="500"/>
        <v>8471.4662972516635</v>
      </c>
      <c r="K901" s="1631">
        <v>3695</v>
      </c>
      <c r="L901" s="1630">
        <f t="shared" si="501"/>
        <v>3695</v>
      </c>
      <c r="M901" s="1630">
        <f t="shared" si="502"/>
        <v>3695</v>
      </c>
      <c r="N901" s="1625">
        <f t="shared" si="503"/>
        <v>4776.4662972516635</v>
      </c>
      <c r="O901" s="1629">
        <v>0.71779999999999999</v>
      </c>
      <c r="P901" s="1629">
        <v>0.28220000000000001</v>
      </c>
      <c r="Q901" s="1625">
        <f t="shared" si="504"/>
        <v>3428.5475081672439</v>
      </c>
      <c r="R901" s="1628">
        <f t="shared" si="505"/>
        <v>1347.9187890844194</v>
      </c>
      <c r="S901" s="1627">
        <f t="shared" si="506"/>
        <v>2167.4087890844194</v>
      </c>
      <c r="T901" s="1627">
        <f t="shared" si="507"/>
        <v>1527.5912109155809</v>
      </c>
      <c r="U901" s="1626">
        <f t="shared" si="508"/>
        <v>541.85219727110484</v>
      </c>
      <c r="V901" s="1626">
        <f t="shared" si="509"/>
        <v>381.89780272889521</v>
      </c>
      <c r="W901" s="1625">
        <f t="shared" si="510"/>
        <v>923.75</v>
      </c>
      <c r="X901" s="1614"/>
      <c r="Y901" s="1613"/>
      <c r="Z901" s="1612">
        <f t="shared" si="511"/>
        <v>0.43617006434868805</v>
      </c>
      <c r="AA901" s="1611"/>
      <c r="AB901" s="1611"/>
      <c r="AC901" s="1611"/>
      <c r="AD901" s="1611"/>
      <c r="AE901" s="1611"/>
      <c r="AF901" s="1611"/>
      <c r="AG901" s="1611"/>
      <c r="AH901" s="1611"/>
      <c r="AI901" s="1611"/>
      <c r="AJ901" s="1611"/>
      <c r="AK901" s="1611"/>
      <c r="AL901" s="1611"/>
      <c r="AM901" s="1611"/>
      <c r="AN901" s="1611"/>
      <c r="AO901" s="1611"/>
      <c r="AP901" s="1611"/>
      <c r="AQ901" s="1611"/>
    </row>
    <row r="902" spans="1:43" outlineLevel="2">
      <c r="A902" s="1638" t="s">
        <v>336</v>
      </c>
      <c r="B902" s="1637" t="s">
        <v>149</v>
      </c>
      <c r="C902" s="1636"/>
      <c r="D902" s="1635">
        <v>1</v>
      </c>
      <c r="E902" s="1634" t="s">
        <v>896</v>
      </c>
      <c r="F902" s="1633" t="s">
        <v>1065</v>
      </c>
      <c r="G902" s="1632">
        <v>5595.9562972516633</v>
      </c>
      <c r="H902" s="1632">
        <v>2875.51</v>
      </c>
      <c r="I902" s="1630">
        <f t="shared" si="499"/>
        <v>8471.4662972516635</v>
      </c>
      <c r="J902" s="1630">
        <f t="shared" si="500"/>
        <v>8471.4662972516635</v>
      </c>
      <c r="K902" s="1631">
        <v>5316.95</v>
      </c>
      <c r="L902" s="1630">
        <f t="shared" si="501"/>
        <v>5316.95</v>
      </c>
      <c r="M902" s="1630">
        <f t="shared" si="502"/>
        <v>5316.95</v>
      </c>
      <c r="N902" s="1625">
        <f t="shared" si="503"/>
        <v>3154.5162972516637</v>
      </c>
      <c r="O902" s="1629">
        <v>0.71779999999999999</v>
      </c>
      <c r="P902" s="1629">
        <v>0.28220000000000001</v>
      </c>
      <c r="Q902" s="1625">
        <f t="shared" si="504"/>
        <v>2264.311798167244</v>
      </c>
      <c r="R902" s="1628">
        <f t="shared" si="505"/>
        <v>890.20449908441947</v>
      </c>
      <c r="S902" s="1627">
        <f t="shared" si="506"/>
        <v>3331.6444990844193</v>
      </c>
      <c r="T902" s="1627">
        <f t="shared" si="507"/>
        <v>1985.3055009155808</v>
      </c>
      <c r="U902" s="1626">
        <f t="shared" si="508"/>
        <v>832.91112477110482</v>
      </c>
      <c r="V902" s="1626">
        <f t="shared" si="509"/>
        <v>496.32637522889519</v>
      </c>
      <c r="W902" s="1625">
        <f t="shared" si="510"/>
        <v>1329.2375</v>
      </c>
      <c r="X902" s="1614"/>
      <c r="Y902" s="1613"/>
      <c r="Z902" s="1612">
        <f t="shared" si="511"/>
        <v>0.6276304258832901</v>
      </c>
      <c r="AA902" s="1611"/>
      <c r="AB902" s="1611"/>
      <c r="AC902" s="1611"/>
      <c r="AD902" s="1611"/>
      <c r="AE902" s="1611"/>
      <c r="AF902" s="1611"/>
      <c r="AG902" s="1611"/>
      <c r="AH902" s="1611"/>
      <c r="AI902" s="1611"/>
      <c r="AJ902" s="1611"/>
      <c r="AK902" s="1611"/>
      <c r="AL902" s="1611"/>
      <c r="AM902" s="1611"/>
      <c r="AN902" s="1611"/>
      <c r="AO902" s="1611"/>
      <c r="AP902" s="1611"/>
      <c r="AQ902" s="1611"/>
    </row>
    <row r="903" spans="1:43" outlineLevel="2">
      <c r="A903" s="1638" t="s">
        <v>336</v>
      </c>
      <c r="B903" s="1637" t="s">
        <v>149</v>
      </c>
      <c r="C903" s="1636"/>
      <c r="D903" s="1635">
        <v>3</v>
      </c>
      <c r="E903" s="1634" t="s">
        <v>896</v>
      </c>
      <c r="F903" s="1633" t="s">
        <v>979</v>
      </c>
      <c r="G903" s="1632">
        <v>5595.9562972516633</v>
      </c>
      <c r="H903" s="1632">
        <v>2875.51</v>
      </c>
      <c r="I903" s="1630">
        <f t="shared" si="499"/>
        <v>8471.4662972516635</v>
      </c>
      <c r="J903" s="1630">
        <f t="shared" si="500"/>
        <v>25414.39889175499</v>
      </c>
      <c r="K903" s="1631">
        <v>5341.95</v>
      </c>
      <c r="L903" s="1630">
        <f t="shared" si="501"/>
        <v>5341.95</v>
      </c>
      <c r="M903" s="1630">
        <f t="shared" si="502"/>
        <v>16025.849999999999</v>
      </c>
      <c r="N903" s="1625">
        <f t="shared" si="503"/>
        <v>9388.5488917549919</v>
      </c>
      <c r="O903" s="1629">
        <v>0.71779999999999999</v>
      </c>
      <c r="P903" s="1629">
        <v>0.28220000000000001</v>
      </c>
      <c r="Q903" s="1625">
        <f t="shared" si="504"/>
        <v>6739.1003945017328</v>
      </c>
      <c r="R903" s="1628">
        <f t="shared" si="505"/>
        <v>2649.4484972532587</v>
      </c>
      <c r="S903" s="1627">
        <f t="shared" si="506"/>
        <v>10048.768497253255</v>
      </c>
      <c r="T903" s="1627">
        <f t="shared" si="507"/>
        <v>5977.0815027467415</v>
      </c>
      <c r="U903" s="1626">
        <f t="shared" si="508"/>
        <v>2512.1921243133138</v>
      </c>
      <c r="V903" s="1626">
        <f t="shared" si="509"/>
        <v>1494.2703756866854</v>
      </c>
      <c r="W903" s="1625">
        <f t="shared" si="510"/>
        <v>4006.4624999999992</v>
      </c>
      <c r="X903" s="1614"/>
      <c r="Y903" s="1613"/>
      <c r="Z903" s="1612">
        <f t="shared" si="511"/>
        <v>0.63058150886264519</v>
      </c>
      <c r="AA903" s="1611"/>
      <c r="AB903" s="1611"/>
      <c r="AC903" s="1611"/>
      <c r="AD903" s="1611"/>
      <c r="AE903" s="1611"/>
      <c r="AF903" s="1611"/>
      <c r="AG903" s="1611"/>
      <c r="AH903" s="1611"/>
      <c r="AI903" s="1611"/>
      <c r="AJ903" s="1611"/>
      <c r="AK903" s="1611"/>
      <c r="AL903" s="1611"/>
      <c r="AM903" s="1611"/>
      <c r="AN903" s="1611"/>
      <c r="AO903" s="1611"/>
      <c r="AP903" s="1611"/>
      <c r="AQ903" s="1611"/>
    </row>
    <row r="904" spans="1:43" outlineLevel="2">
      <c r="A904" s="1638" t="s">
        <v>336</v>
      </c>
      <c r="B904" s="1637" t="s">
        <v>149</v>
      </c>
      <c r="C904" s="1636"/>
      <c r="D904" s="1635">
        <v>1</v>
      </c>
      <c r="E904" s="1634" t="s">
        <v>892</v>
      </c>
      <c r="F904" s="1633" t="s">
        <v>1071</v>
      </c>
      <c r="G904" s="1632">
        <v>5595.9562972516633</v>
      </c>
      <c r="H904" s="1632">
        <v>2875.51</v>
      </c>
      <c r="I904" s="1630">
        <f t="shared" si="499"/>
        <v>8471.4662972516635</v>
      </c>
      <c r="J904" s="1630">
        <f t="shared" si="500"/>
        <v>8471.4662972516635</v>
      </c>
      <c r="K904" s="1631">
        <v>7250</v>
      </c>
      <c r="L904" s="1630">
        <f t="shared" si="501"/>
        <v>7250</v>
      </c>
      <c r="M904" s="1630">
        <f t="shared" si="502"/>
        <v>7250</v>
      </c>
      <c r="N904" s="1625">
        <f t="shared" si="503"/>
        <v>1221.4662972516635</v>
      </c>
      <c r="O904" s="1629">
        <v>0.71779999999999999</v>
      </c>
      <c r="P904" s="1629">
        <v>0.28220000000000001</v>
      </c>
      <c r="Q904" s="1625">
        <f t="shared" si="504"/>
        <v>876.76850816724402</v>
      </c>
      <c r="R904" s="1628">
        <f t="shared" si="505"/>
        <v>344.69778908441947</v>
      </c>
      <c r="S904" s="1627">
        <f t="shared" si="506"/>
        <v>4719.1877890844189</v>
      </c>
      <c r="T904" s="1627">
        <f t="shared" si="507"/>
        <v>2530.8122109155806</v>
      </c>
      <c r="U904" s="1626">
        <f t="shared" si="508"/>
        <v>1179.7969472711047</v>
      </c>
      <c r="V904" s="1626">
        <f t="shared" si="509"/>
        <v>632.70305272889516</v>
      </c>
      <c r="W904" s="1625">
        <f t="shared" si="510"/>
        <v>1812.5</v>
      </c>
      <c r="X904" s="1614"/>
      <c r="Y904" s="1613"/>
      <c r="Z904" s="1612">
        <f t="shared" si="511"/>
        <v>0.85581406401298732</v>
      </c>
      <c r="AA904" s="1611"/>
      <c r="AB904" s="1611"/>
      <c r="AC904" s="1611"/>
      <c r="AD904" s="1611"/>
      <c r="AE904" s="1611"/>
      <c r="AF904" s="1611"/>
      <c r="AG904" s="1611"/>
      <c r="AH904" s="1611"/>
      <c r="AI904" s="1611"/>
      <c r="AJ904" s="1611"/>
      <c r="AK904" s="1611"/>
      <c r="AL904" s="1611"/>
      <c r="AM904" s="1611"/>
      <c r="AN904" s="1611"/>
      <c r="AO904" s="1611"/>
      <c r="AP904" s="1611"/>
      <c r="AQ904" s="1611"/>
    </row>
    <row r="905" spans="1:43" outlineLevel="1">
      <c r="A905" s="1624"/>
      <c r="B905" s="1623" t="s">
        <v>1080</v>
      </c>
      <c r="C905" s="1622"/>
      <c r="D905" s="1621">
        <f>SUBTOTAL(9,D896:D904)</f>
        <v>13</v>
      </c>
      <c r="E905" s="1620"/>
      <c r="F905" s="1639"/>
      <c r="G905" s="1639"/>
      <c r="H905" s="1639"/>
      <c r="I905" s="1616"/>
      <c r="J905" s="1616">
        <f>SUBTOTAL(9,J896:J904)</f>
        <v>110129.06186427163</v>
      </c>
      <c r="K905" s="1615"/>
      <c r="L905" s="1616"/>
      <c r="M905" s="1616">
        <f>SUBTOTAL(9,M896:M904)</f>
        <v>74637.799999999988</v>
      </c>
      <c r="N905" s="1615">
        <f>SUBTOTAL(9,N896:N904)</f>
        <v>35491.261864271626</v>
      </c>
      <c r="O905" s="1616"/>
      <c r="P905" s="1616"/>
      <c r="Q905" s="1615">
        <f t="shared" ref="Q905:W905" si="512">SUBTOTAL(9,Q896:Q904)</f>
        <v>25475.627766174173</v>
      </c>
      <c r="R905" s="1615">
        <f t="shared" si="512"/>
        <v>10015.634098097453</v>
      </c>
      <c r="S905" s="1616">
        <f t="shared" si="512"/>
        <v>47271.804098097447</v>
      </c>
      <c r="T905" s="1616">
        <f t="shared" si="512"/>
        <v>27365.995901902548</v>
      </c>
      <c r="U905" s="1616">
        <f t="shared" si="512"/>
        <v>11817.951024524362</v>
      </c>
      <c r="V905" s="1616">
        <f t="shared" si="512"/>
        <v>6841.4989754756371</v>
      </c>
      <c r="W905" s="1615">
        <f t="shared" si="512"/>
        <v>18659.449999999997</v>
      </c>
      <c r="X905" s="1614"/>
      <c r="Y905" s="1613"/>
      <c r="Z905" s="1612"/>
      <c r="AA905" s="1611"/>
      <c r="AB905" s="1611"/>
      <c r="AC905" s="1611"/>
      <c r="AD905" s="1611"/>
      <c r="AE905" s="1611"/>
      <c r="AF905" s="1611"/>
      <c r="AG905" s="1611"/>
      <c r="AH905" s="1611"/>
      <c r="AI905" s="1611"/>
      <c r="AJ905" s="1611"/>
      <c r="AK905" s="1611"/>
      <c r="AL905" s="1611"/>
      <c r="AM905" s="1611"/>
      <c r="AN905" s="1611"/>
      <c r="AO905" s="1611"/>
      <c r="AP905" s="1611"/>
      <c r="AQ905" s="1611"/>
    </row>
    <row r="906" spans="1:43" outlineLevel="2">
      <c r="A906" s="1638" t="s">
        <v>337</v>
      </c>
      <c r="B906" s="1637" t="s">
        <v>150</v>
      </c>
      <c r="C906" s="1636"/>
      <c r="D906" s="1635">
        <v>3</v>
      </c>
      <c r="E906" s="1634" t="s">
        <v>902</v>
      </c>
      <c r="F906" s="1633" t="s">
        <v>1067</v>
      </c>
      <c r="G906" s="1632">
        <v>5181.5716112574501</v>
      </c>
      <c r="H906" s="1632">
        <v>2824.7</v>
      </c>
      <c r="I906" s="1630">
        <f>G906+H906</f>
        <v>8006.2716112574499</v>
      </c>
      <c r="J906" s="1630">
        <f>D906*I906</f>
        <v>24018.814833772351</v>
      </c>
      <c r="K906" s="1631">
        <v>4925</v>
      </c>
      <c r="L906" s="1630">
        <f>IF(I906&gt;K906,K906,I906)</f>
        <v>4925</v>
      </c>
      <c r="M906" s="1630">
        <f>L906*D906</f>
        <v>14775</v>
      </c>
      <c r="N906" s="1625">
        <f>J906-M906</f>
        <v>9243.8148337723505</v>
      </c>
      <c r="O906" s="1629">
        <v>0.70409999999999995</v>
      </c>
      <c r="P906" s="1629">
        <v>0.2959</v>
      </c>
      <c r="Q906" s="1625">
        <f>N906*O906</f>
        <v>6508.5700244591117</v>
      </c>
      <c r="R906" s="1628">
        <f>N906*P906</f>
        <v>2735.2448093132384</v>
      </c>
      <c r="S906" s="1627">
        <f>(G906*D906)-Q906</f>
        <v>9036.1448093132385</v>
      </c>
      <c r="T906" s="1627">
        <f>(H906*D906)-R906</f>
        <v>5738.8551906867597</v>
      </c>
      <c r="U906" s="1626">
        <f t="shared" ref="U906:V909" si="513">S906/4</f>
        <v>2259.0362023283096</v>
      </c>
      <c r="V906" s="1626">
        <f t="shared" si="513"/>
        <v>1434.7137976716899</v>
      </c>
      <c r="W906" s="1625">
        <f>V906+U906</f>
        <v>3693.7499999999995</v>
      </c>
      <c r="X906" s="1614"/>
      <c r="Y906" s="1613"/>
      <c r="Z906" s="1612">
        <f>K906/I906</f>
        <v>0.61514275796927265</v>
      </c>
      <c r="AA906" s="1611"/>
      <c r="AB906" s="1611"/>
      <c r="AC906" s="1611"/>
      <c r="AD906" s="1611"/>
      <c r="AE906" s="1611"/>
      <c r="AF906" s="1611"/>
      <c r="AG906" s="1611"/>
      <c r="AH906" s="1611"/>
      <c r="AI906" s="1611"/>
      <c r="AJ906" s="1611"/>
      <c r="AK906" s="1611"/>
      <c r="AL906" s="1611"/>
      <c r="AM906" s="1611"/>
      <c r="AN906" s="1611"/>
      <c r="AO906" s="1611"/>
      <c r="AP906" s="1611"/>
      <c r="AQ906" s="1611"/>
    </row>
    <row r="907" spans="1:43" outlineLevel="2">
      <c r="A907" s="1638" t="s">
        <v>337</v>
      </c>
      <c r="B907" s="1637" t="s">
        <v>150</v>
      </c>
      <c r="C907" s="1636"/>
      <c r="D907" s="1635">
        <v>1</v>
      </c>
      <c r="E907" s="1634" t="s">
        <v>902</v>
      </c>
      <c r="F907" s="1633" t="s">
        <v>1072</v>
      </c>
      <c r="G907" s="1632">
        <v>5181.5716112574501</v>
      </c>
      <c r="H907" s="1632">
        <v>2824.7</v>
      </c>
      <c r="I907" s="1630">
        <f>G907+H907</f>
        <v>8006.2716112574499</v>
      </c>
      <c r="J907" s="1630">
        <f>D907*I907</f>
        <v>8006.2716112574499</v>
      </c>
      <c r="K907" s="1631">
        <v>4925</v>
      </c>
      <c r="L907" s="1630">
        <f>IF(I907&gt;K907,K907,I907)</f>
        <v>4925</v>
      </c>
      <c r="M907" s="1630">
        <f>L907*D907</f>
        <v>4925</v>
      </c>
      <c r="N907" s="1625">
        <f>J907-M907</f>
        <v>3081.2716112574499</v>
      </c>
      <c r="O907" s="1629">
        <v>0.70409999999999995</v>
      </c>
      <c r="P907" s="1629">
        <v>0.2959</v>
      </c>
      <c r="Q907" s="1625">
        <f>N907*O907</f>
        <v>2169.5233414863701</v>
      </c>
      <c r="R907" s="1628">
        <f>N907*P907</f>
        <v>911.74826977107944</v>
      </c>
      <c r="S907" s="1627">
        <f>(G907*D907)-Q907</f>
        <v>3012.04826977108</v>
      </c>
      <c r="T907" s="1627">
        <f>(H907*D907)-R907</f>
        <v>1912.9517302289205</v>
      </c>
      <c r="U907" s="1626">
        <f t="shared" si="513"/>
        <v>753.01206744276999</v>
      </c>
      <c r="V907" s="1626">
        <f t="shared" si="513"/>
        <v>478.23793255723012</v>
      </c>
      <c r="W907" s="1625">
        <f>V907+U907</f>
        <v>1231.25</v>
      </c>
      <c r="X907" s="1614"/>
      <c r="Y907" s="1613"/>
      <c r="Z907" s="1612">
        <f>K907/I907</f>
        <v>0.61514275796927265</v>
      </c>
      <c r="AA907" s="1611"/>
      <c r="AB907" s="1611"/>
      <c r="AC907" s="1611"/>
      <c r="AD907" s="1611"/>
      <c r="AE907" s="1611"/>
      <c r="AF907" s="1611"/>
      <c r="AG907" s="1611"/>
      <c r="AH907" s="1611"/>
      <c r="AI907" s="1611"/>
      <c r="AJ907" s="1611"/>
      <c r="AK907" s="1611"/>
      <c r="AL907" s="1611"/>
      <c r="AM907" s="1611"/>
      <c r="AN907" s="1611"/>
      <c r="AO907" s="1611"/>
      <c r="AP907" s="1611"/>
      <c r="AQ907" s="1611"/>
    </row>
    <row r="908" spans="1:43" outlineLevel="2">
      <c r="A908" s="1638" t="s">
        <v>337</v>
      </c>
      <c r="B908" s="1637" t="s">
        <v>150</v>
      </c>
      <c r="C908" s="1636"/>
      <c r="D908" s="1635">
        <v>3</v>
      </c>
      <c r="E908" s="1634" t="s">
        <v>902</v>
      </c>
      <c r="F908" s="1633" t="s">
        <v>1079</v>
      </c>
      <c r="G908" s="1632">
        <v>5181.5716112574501</v>
      </c>
      <c r="H908" s="1632">
        <v>2824.7</v>
      </c>
      <c r="I908" s="1630">
        <f>G908+H908</f>
        <v>8006.2716112574499</v>
      </c>
      <c r="J908" s="1630">
        <f>D908*I908</f>
        <v>24018.814833772351</v>
      </c>
      <c r="K908" s="1631">
        <v>4925</v>
      </c>
      <c r="L908" s="1630">
        <f>IF(I908&gt;K908,K908,I908)</f>
        <v>4925</v>
      </c>
      <c r="M908" s="1630">
        <f>L908*D908</f>
        <v>14775</v>
      </c>
      <c r="N908" s="1625">
        <f>J908-M908</f>
        <v>9243.8148337723505</v>
      </c>
      <c r="O908" s="1629">
        <v>0.70409999999999995</v>
      </c>
      <c r="P908" s="1629">
        <v>0.2959</v>
      </c>
      <c r="Q908" s="1625">
        <f>N908*O908</f>
        <v>6508.5700244591117</v>
      </c>
      <c r="R908" s="1628">
        <f>N908*P908</f>
        <v>2735.2448093132384</v>
      </c>
      <c r="S908" s="1627">
        <f>(G908*D908)-Q908</f>
        <v>9036.1448093132385</v>
      </c>
      <c r="T908" s="1627">
        <f>(H908*D908)-R908</f>
        <v>5738.8551906867597</v>
      </c>
      <c r="U908" s="1626">
        <f t="shared" si="513"/>
        <v>2259.0362023283096</v>
      </c>
      <c r="V908" s="1626">
        <f t="shared" si="513"/>
        <v>1434.7137976716899</v>
      </c>
      <c r="W908" s="1625">
        <f>V908+U908</f>
        <v>3693.7499999999995</v>
      </c>
      <c r="X908" s="1614"/>
      <c r="Y908" s="1613"/>
      <c r="Z908" s="1612">
        <f>K908/I908</f>
        <v>0.61514275796927265</v>
      </c>
      <c r="AA908" s="1611"/>
      <c r="AB908" s="1611"/>
      <c r="AC908" s="1611"/>
      <c r="AD908" s="1611"/>
      <c r="AE908" s="1611"/>
      <c r="AF908" s="1611"/>
      <c r="AG908" s="1611"/>
      <c r="AH908" s="1611"/>
      <c r="AI908" s="1611"/>
      <c r="AJ908" s="1611"/>
      <c r="AK908" s="1611"/>
      <c r="AL908" s="1611"/>
      <c r="AM908" s="1611"/>
      <c r="AN908" s="1611"/>
      <c r="AO908" s="1611"/>
      <c r="AP908" s="1611"/>
      <c r="AQ908" s="1611"/>
    </row>
    <row r="909" spans="1:43" outlineLevel="2">
      <c r="A909" s="1638" t="s">
        <v>337</v>
      </c>
      <c r="B909" s="1637" t="s">
        <v>150</v>
      </c>
      <c r="C909" s="1636"/>
      <c r="D909" s="1635">
        <v>1</v>
      </c>
      <c r="E909" s="1634" t="s">
        <v>903</v>
      </c>
      <c r="F909" s="1633" t="s">
        <v>1063</v>
      </c>
      <c r="G909" s="1632">
        <v>5181.5716112574501</v>
      </c>
      <c r="H909" s="1632">
        <v>2824.7</v>
      </c>
      <c r="I909" s="1630">
        <f>G909+H909</f>
        <v>8006.2716112574499</v>
      </c>
      <c r="J909" s="1630">
        <f>D909*I909</f>
        <v>8006.2716112574499</v>
      </c>
      <c r="K909" s="1631">
        <v>3656.7</v>
      </c>
      <c r="L909" s="1630">
        <f>IF(I909&gt;K909,K909,I909)</f>
        <v>3656.7</v>
      </c>
      <c r="M909" s="1630">
        <f>L909*D909</f>
        <v>3656.7</v>
      </c>
      <c r="N909" s="1625">
        <f>J909-M909</f>
        <v>4349.5716112574501</v>
      </c>
      <c r="O909" s="1629">
        <v>0.70409999999999995</v>
      </c>
      <c r="P909" s="1629">
        <v>0.2959</v>
      </c>
      <c r="Q909" s="1625">
        <f>N909*O909</f>
        <v>3062.5333714863705</v>
      </c>
      <c r="R909" s="1628">
        <f>N909*P909</f>
        <v>1287.0382397710794</v>
      </c>
      <c r="S909" s="1627">
        <f>(G909*D909)-Q909</f>
        <v>2119.0382397710796</v>
      </c>
      <c r="T909" s="1627">
        <f>(H909*D909)-R909</f>
        <v>1537.6617602289205</v>
      </c>
      <c r="U909" s="1626">
        <f t="shared" si="513"/>
        <v>529.7595599427699</v>
      </c>
      <c r="V909" s="1626">
        <f t="shared" si="513"/>
        <v>384.41544005723011</v>
      </c>
      <c r="W909" s="1625">
        <f>V909+U909</f>
        <v>914.17499999999995</v>
      </c>
      <c r="X909" s="1614"/>
      <c r="Y909" s="1613"/>
      <c r="Z909" s="1612">
        <f>K909/I909</f>
        <v>0.45672944630786583</v>
      </c>
      <c r="AA909" s="1611"/>
      <c r="AB909" s="1611"/>
      <c r="AC909" s="1611"/>
      <c r="AD909" s="1611"/>
      <c r="AE909" s="1611"/>
      <c r="AF909" s="1611"/>
      <c r="AG909" s="1611"/>
      <c r="AH909" s="1611"/>
      <c r="AI909" s="1611"/>
      <c r="AJ909" s="1611"/>
      <c r="AK909" s="1611"/>
      <c r="AL909" s="1611"/>
      <c r="AM909" s="1611"/>
      <c r="AN909" s="1611"/>
      <c r="AO909" s="1611"/>
      <c r="AP909" s="1611"/>
      <c r="AQ909" s="1611"/>
    </row>
    <row r="910" spans="1:43" outlineLevel="1">
      <c r="A910" s="1624"/>
      <c r="B910" s="1623" t="s">
        <v>1078</v>
      </c>
      <c r="C910" s="1622"/>
      <c r="D910" s="1621">
        <f>SUBTOTAL(9,D906:D909)</f>
        <v>8</v>
      </c>
      <c r="E910" s="1620"/>
      <c r="F910" s="1639"/>
      <c r="G910" s="1639"/>
      <c r="H910" s="1639"/>
      <c r="I910" s="1616"/>
      <c r="J910" s="1616">
        <f>SUBTOTAL(9,J906:J909)</f>
        <v>64050.172890059599</v>
      </c>
      <c r="K910" s="1615"/>
      <c r="L910" s="1616"/>
      <c r="M910" s="1616">
        <f>SUBTOTAL(9,M906:M909)</f>
        <v>38131.699999999997</v>
      </c>
      <c r="N910" s="1615">
        <f>SUBTOTAL(9,N906:N909)</f>
        <v>25918.472890059602</v>
      </c>
      <c r="O910" s="1616"/>
      <c r="P910" s="1616"/>
      <c r="Q910" s="1615">
        <f t="shared" ref="Q910:W910" si="514">SUBTOTAL(9,Q906:Q909)</f>
        <v>18249.196761890966</v>
      </c>
      <c r="R910" s="1615">
        <f t="shared" si="514"/>
        <v>7669.2761281686353</v>
      </c>
      <c r="S910" s="1616">
        <f t="shared" si="514"/>
        <v>23203.376128168635</v>
      </c>
      <c r="T910" s="1616">
        <f t="shared" si="514"/>
        <v>14928.323871831361</v>
      </c>
      <c r="U910" s="1616">
        <f t="shared" si="514"/>
        <v>5800.8440320421587</v>
      </c>
      <c r="V910" s="1616">
        <f t="shared" si="514"/>
        <v>3732.0809679578401</v>
      </c>
      <c r="W910" s="1615">
        <f t="shared" si="514"/>
        <v>9532.9249999999993</v>
      </c>
      <c r="X910" s="1614"/>
      <c r="Y910" s="1613"/>
      <c r="Z910" s="1612"/>
      <c r="AA910" s="1611"/>
      <c r="AB910" s="1611"/>
      <c r="AC910" s="1611"/>
      <c r="AD910" s="1611"/>
      <c r="AE910" s="1611"/>
      <c r="AF910" s="1611"/>
      <c r="AG910" s="1611"/>
      <c r="AH910" s="1611"/>
      <c r="AI910" s="1611"/>
      <c r="AJ910" s="1611"/>
      <c r="AK910" s="1611"/>
      <c r="AL910" s="1611"/>
      <c r="AM910" s="1611"/>
      <c r="AN910" s="1611"/>
      <c r="AO910" s="1611"/>
      <c r="AP910" s="1611"/>
      <c r="AQ910" s="1611"/>
    </row>
    <row r="911" spans="1:43" outlineLevel="2">
      <c r="A911" s="1638" t="s">
        <v>338</v>
      </c>
      <c r="B911" s="1637" t="s">
        <v>152</v>
      </c>
      <c r="C911" s="1636"/>
      <c r="D911" s="1635">
        <v>2</v>
      </c>
      <c r="E911" s="1634" t="s">
        <v>890</v>
      </c>
      <c r="F911" s="1633" t="s">
        <v>979</v>
      </c>
      <c r="G911" s="1632">
        <v>6925.7697730811824</v>
      </c>
      <c r="H911" s="1632">
        <v>1577.01</v>
      </c>
      <c r="I911" s="1630">
        <f>G911+H911</f>
        <v>8502.7797730811817</v>
      </c>
      <c r="J911" s="1630">
        <f>D911*I911</f>
        <v>17005.559546162363</v>
      </c>
      <c r="K911" s="1631">
        <v>4509.5</v>
      </c>
      <c r="L911" s="1630">
        <f>IF(I911&gt;K911,K911,I911)</f>
        <v>4509.5</v>
      </c>
      <c r="M911" s="1630">
        <f>L911*D911</f>
        <v>9019</v>
      </c>
      <c r="N911" s="1625">
        <f>J911-M911</f>
        <v>7986.5595461623634</v>
      </c>
      <c r="O911" s="1629">
        <v>0.89510000000000001</v>
      </c>
      <c r="P911" s="1629">
        <v>0.10489999999999999</v>
      </c>
      <c r="Q911" s="1625">
        <f>N911*O911</f>
        <v>7148.7694497699313</v>
      </c>
      <c r="R911" s="1628">
        <f>N911*P911</f>
        <v>837.79009639243191</v>
      </c>
      <c r="S911" s="1627">
        <f>(G911*D911)-Q911</f>
        <v>6702.7700963924335</v>
      </c>
      <c r="T911" s="1627">
        <f>(H911*D911)-R911</f>
        <v>2316.2299036075683</v>
      </c>
      <c r="U911" s="1626">
        <f>S911/4</f>
        <v>1675.6925240981084</v>
      </c>
      <c r="V911" s="1626">
        <f>T911/4</f>
        <v>579.05747590189208</v>
      </c>
      <c r="W911" s="1625">
        <f>V911+U911</f>
        <v>2254.7500000000005</v>
      </c>
      <c r="X911" s="1614"/>
      <c r="Y911" s="1613"/>
      <c r="Z911" s="1612">
        <f>K911/I911</f>
        <v>0.53035596832421272</v>
      </c>
      <c r="AA911" s="1611"/>
      <c r="AB911" s="1611"/>
      <c r="AC911" s="1611"/>
      <c r="AD911" s="1611"/>
      <c r="AE911" s="1611"/>
      <c r="AF911" s="1611"/>
      <c r="AG911" s="1611"/>
      <c r="AH911" s="1611"/>
      <c r="AI911" s="1611"/>
      <c r="AJ911" s="1611"/>
      <c r="AK911" s="1611"/>
      <c r="AL911" s="1611"/>
      <c r="AM911" s="1611"/>
      <c r="AN911" s="1611"/>
      <c r="AO911" s="1611"/>
      <c r="AP911" s="1611"/>
      <c r="AQ911" s="1611"/>
    </row>
    <row r="912" spans="1:43" outlineLevel="1">
      <c r="A912" s="1624"/>
      <c r="B912" s="1623" t="s">
        <v>1077</v>
      </c>
      <c r="C912" s="1622"/>
      <c r="D912" s="1621">
        <f>SUBTOTAL(9,D911:D911)</f>
        <v>2</v>
      </c>
      <c r="E912" s="1620"/>
      <c r="F912" s="1639"/>
      <c r="G912" s="1639"/>
      <c r="H912" s="1639"/>
      <c r="I912" s="1616"/>
      <c r="J912" s="1616">
        <f>SUBTOTAL(9,J911:J911)</f>
        <v>17005.559546162363</v>
      </c>
      <c r="K912" s="1615"/>
      <c r="L912" s="1616"/>
      <c r="M912" s="1616">
        <f>SUBTOTAL(9,M911:M911)</f>
        <v>9019</v>
      </c>
      <c r="N912" s="1615">
        <f>SUBTOTAL(9,N911:N911)</f>
        <v>7986.5595461623634</v>
      </c>
      <c r="O912" s="1616"/>
      <c r="P912" s="1616"/>
      <c r="Q912" s="1615">
        <f t="shared" ref="Q912:W912" si="515">SUBTOTAL(9,Q911:Q911)</f>
        <v>7148.7694497699313</v>
      </c>
      <c r="R912" s="1615">
        <f t="shared" si="515"/>
        <v>837.79009639243191</v>
      </c>
      <c r="S912" s="1616">
        <f t="shared" si="515"/>
        <v>6702.7700963924335</v>
      </c>
      <c r="T912" s="1616">
        <f t="shared" si="515"/>
        <v>2316.2299036075683</v>
      </c>
      <c r="U912" s="1616">
        <f t="shared" si="515"/>
        <v>1675.6925240981084</v>
      </c>
      <c r="V912" s="1616">
        <f t="shared" si="515"/>
        <v>579.05747590189208</v>
      </c>
      <c r="W912" s="1615">
        <f t="shared" si="515"/>
        <v>2254.7500000000005</v>
      </c>
      <c r="X912" s="1614"/>
      <c r="Y912" s="1613"/>
      <c r="Z912" s="1612"/>
      <c r="AA912" s="1611"/>
      <c r="AB912" s="1611"/>
      <c r="AC912" s="1611"/>
      <c r="AD912" s="1611"/>
      <c r="AE912" s="1611"/>
      <c r="AF912" s="1611"/>
      <c r="AG912" s="1611"/>
      <c r="AH912" s="1611"/>
      <c r="AI912" s="1611"/>
      <c r="AJ912" s="1611"/>
      <c r="AK912" s="1611"/>
      <c r="AL912" s="1611"/>
      <c r="AM912" s="1611"/>
      <c r="AN912" s="1611"/>
      <c r="AO912" s="1611"/>
      <c r="AP912" s="1611"/>
      <c r="AQ912" s="1611"/>
    </row>
    <row r="913" spans="1:43" outlineLevel="2">
      <c r="A913" s="1638" t="s">
        <v>339</v>
      </c>
      <c r="B913" s="1637" t="s">
        <v>154</v>
      </c>
      <c r="C913" s="1636"/>
      <c r="D913" s="1635">
        <v>1</v>
      </c>
      <c r="E913" s="1634" t="s">
        <v>880</v>
      </c>
      <c r="F913" s="1633" t="s">
        <v>1069</v>
      </c>
      <c r="G913" s="1632">
        <v>3596.9970934083244</v>
      </c>
      <c r="H913" s="1632">
        <v>4989.74</v>
      </c>
      <c r="I913" s="1630">
        <f t="shared" ref="I913:I924" si="516">G913+H913</f>
        <v>8586.7370934083247</v>
      </c>
      <c r="J913" s="1630">
        <f t="shared" ref="J913:J924" si="517">D913*I913</f>
        <v>8586.7370934083247</v>
      </c>
      <c r="K913" s="1631">
        <v>4130</v>
      </c>
      <c r="L913" s="1630">
        <f t="shared" ref="L913:L924" si="518">IF(I913&gt;K913,K913,I913)</f>
        <v>4130</v>
      </c>
      <c r="M913" s="1630">
        <f t="shared" ref="M913:M924" si="519">L913*D913</f>
        <v>4130</v>
      </c>
      <c r="N913" s="1625">
        <f t="shared" ref="N913:N924" si="520">J913-M913</f>
        <v>4456.7370934083247</v>
      </c>
      <c r="O913" s="1629">
        <v>0.45300000000000001</v>
      </c>
      <c r="P913" s="1629">
        <v>0.54700000000000004</v>
      </c>
      <c r="Q913" s="1625">
        <f t="shared" ref="Q913:Q924" si="521">N913*O913</f>
        <v>2018.9019033139712</v>
      </c>
      <c r="R913" s="1628">
        <f t="shared" ref="R913:R924" si="522">N913*P913</f>
        <v>2437.8351900943539</v>
      </c>
      <c r="S913" s="1627">
        <f t="shared" ref="S913:S924" si="523">(G913*D913)-Q913</f>
        <v>1578.0951900943533</v>
      </c>
      <c r="T913" s="1627">
        <f t="shared" ref="T913:T924" si="524">(H913*D913)-R913</f>
        <v>2551.9048099056458</v>
      </c>
      <c r="U913" s="1626">
        <f t="shared" ref="U913:U924" si="525">S913/4</f>
        <v>394.52379752358831</v>
      </c>
      <c r="V913" s="1626">
        <f t="shared" ref="V913:V924" si="526">T913/4</f>
        <v>637.97620247641146</v>
      </c>
      <c r="W913" s="1625">
        <f t="shared" ref="W913:W924" si="527">V913+U913</f>
        <v>1032.4999999999998</v>
      </c>
      <c r="X913" s="1614"/>
      <c r="Y913" s="1613"/>
      <c r="Z913" s="1612">
        <f t="shared" ref="Z913:Z924" si="528">K913/I913</f>
        <v>0.48097431597974816</v>
      </c>
      <c r="AA913" s="1611"/>
      <c r="AB913" s="1611"/>
      <c r="AC913" s="1611"/>
      <c r="AD913" s="1611"/>
      <c r="AE913" s="1611"/>
      <c r="AF913" s="1611"/>
      <c r="AG913" s="1611"/>
      <c r="AH913" s="1611"/>
      <c r="AI913" s="1611"/>
      <c r="AJ913" s="1611"/>
      <c r="AK913" s="1611"/>
      <c r="AL913" s="1611"/>
      <c r="AM913" s="1611"/>
      <c r="AN913" s="1611"/>
      <c r="AO913" s="1611"/>
      <c r="AP913" s="1611"/>
      <c r="AQ913" s="1611"/>
    </row>
    <row r="914" spans="1:43" outlineLevel="2">
      <c r="A914" s="1638" t="s">
        <v>339</v>
      </c>
      <c r="B914" s="1637" t="s">
        <v>154</v>
      </c>
      <c r="C914" s="1636"/>
      <c r="D914" s="1635">
        <v>1</v>
      </c>
      <c r="E914" s="1634" t="s">
        <v>880</v>
      </c>
      <c r="F914" s="1633" t="s">
        <v>1064</v>
      </c>
      <c r="G914" s="1632">
        <v>3596.9970934083244</v>
      </c>
      <c r="H914" s="1632">
        <v>4989.74</v>
      </c>
      <c r="I914" s="1630">
        <f t="shared" si="516"/>
        <v>8586.7370934083247</v>
      </c>
      <c r="J914" s="1630">
        <f t="shared" si="517"/>
        <v>8586.7370934083247</v>
      </c>
      <c r="K914" s="1631">
        <v>4330</v>
      </c>
      <c r="L914" s="1630">
        <f t="shared" si="518"/>
        <v>4330</v>
      </c>
      <c r="M914" s="1630">
        <f t="shared" si="519"/>
        <v>4330</v>
      </c>
      <c r="N914" s="1625">
        <f t="shared" si="520"/>
        <v>4256.7370934083247</v>
      </c>
      <c r="O914" s="1629">
        <v>0.45300000000000001</v>
      </c>
      <c r="P914" s="1629">
        <v>0.54700000000000004</v>
      </c>
      <c r="Q914" s="1625">
        <f t="shared" si="521"/>
        <v>1928.301903313971</v>
      </c>
      <c r="R914" s="1628">
        <f t="shared" si="522"/>
        <v>2328.4351900943539</v>
      </c>
      <c r="S914" s="1627">
        <f t="shared" si="523"/>
        <v>1668.6951900943534</v>
      </c>
      <c r="T914" s="1627">
        <f t="shared" si="524"/>
        <v>2661.3048099056459</v>
      </c>
      <c r="U914" s="1626">
        <f t="shared" si="525"/>
        <v>417.17379752358835</v>
      </c>
      <c r="V914" s="1626">
        <f t="shared" si="526"/>
        <v>665.32620247641148</v>
      </c>
      <c r="W914" s="1625">
        <f t="shared" si="527"/>
        <v>1082.4999999999998</v>
      </c>
      <c r="X914" s="1614"/>
      <c r="Y914" s="1613"/>
      <c r="Z914" s="1612">
        <f t="shared" si="528"/>
        <v>0.50426605040976025</v>
      </c>
      <c r="AA914" s="1611"/>
      <c r="AB914" s="1611"/>
      <c r="AC914" s="1611"/>
      <c r="AD914" s="1611"/>
      <c r="AE914" s="1611"/>
      <c r="AF914" s="1611"/>
      <c r="AG914" s="1611"/>
      <c r="AH914" s="1611"/>
      <c r="AI914" s="1611"/>
      <c r="AJ914" s="1611"/>
      <c r="AK914" s="1611"/>
      <c r="AL914" s="1611"/>
      <c r="AM914" s="1611"/>
      <c r="AN914" s="1611"/>
      <c r="AO914" s="1611"/>
      <c r="AP914" s="1611"/>
      <c r="AQ914" s="1611"/>
    </row>
    <row r="915" spans="1:43" outlineLevel="2">
      <c r="A915" s="1638" t="s">
        <v>339</v>
      </c>
      <c r="B915" s="1637" t="s">
        <v>154</v>
      </c>
      <c r="C915" s="1636"/>
      <c r="D915" s="1635">
        <v>1</v>
      </c>
      <c r="E915" s="1634" t="s">
        <v>880</v>
      </c>
      <c r="F915" s="1633" t="s">
        <v>1063</v>
      </c>
      <c r="G915" s="1632">
        <v>3596.9970934083244</v>
      </c>
      <c r="H915" s="1632">
        <v>4989.74</v>
      </c>
      <c r="I915" s="1630">
        <f t="shared" si="516"/>
        <v>8586.7370934083247</v>
      </c>
      <c r="J915" s="1630">
        <f t="shared" si="517"/>
        <v>8586.7370934083247</v>
      </c>
      <c r="K915" s="1631">
        <v>4330</v>
      </c>
      <c r="L915" s="1630">
        <f t="shared" si="518"/>
        <v>4330</v>
      </c>
      <c r="M915" s="1630">
        <f t="shared" si="519"/>
        <v>4330</v>
      </c>
      <c r="N915" s="1625">
        <f t="shared" si="520"/>
        <v>4256.7370934083247</v>
      </c>
      <c r="O915" s="1629">
        <v>0.45300000000000001</v>
      </c>
      <c r="P915" s="1629">
        <v>0.54700000000000004</v>
      </c>
      <c r="Q915" s="1625">
        <f t="shared" si="521"/>
        <v>1928.301903313971</v>
      </c>
      <c r="R915" s="1628">
        <f t="shared" si="522"/>
        <v>2328.4351900943539</v>
      </c>
      <c r="S915" s="1627">
        <f t="shared" si="523"/>
        <v>1668.6951900943534</v>
      </c>
      <c r="T915" s="1627">
        <f t="shared" si="524"/>
        <v>2661.3048099056459</v>
      </c>
      <c r="U915" s="1626">
        <f t="shared" si="525"/>
        <v>417.17379752358835</v>
      </c>
      <c r="V915" s="1626">
        <f t="shared" si="526"/>
        <v>665.32620247641148</v>
      </c>
      <c r="W915" s="1625">
        <f t="shared" si="527"/>
        <v>1082.4999999999998</v>
      </c>
      <c r="X915" s="1614"/>
      <c r="Y915" s="1613"/>
      <c r="Z915" s="1612">
        <f t="shared" si="528"/>
        <v>0.50426605040976025</v>
      </c>
      <c r="AA915" s="1611"/>
      <c r="AB915" s="1611"/>
      <c r="AC915" s="1611"/>
      <c r="AD915" s="1611"/>
      <c r="AE915" s="1611"/>
      <c r="AF915" s="1611"/>
      <c r="AG915" s="1611"/>
      <c r="AH915" s="1611"/>
      <c r="AI915" s="1611"/>
      <c r="AJ915" s="1611"/>
      <c r="AK915" s="1611"/>
      <c r="AL915" s="1611"/>
      <c r="AM915" s="1611"/>
      <c r="AN915" s="1611"/>
      <c r="AO915" s="1611"/>
      <c r="AP915" s="1611"/>
      <c r="AQ915" s="1611"/>
    </row>
    <row r="916" spans="1:43" outlineLevel="2">
      <c r="A916" s="1638" t="s">
        <v>339</v>
      </c>
      <c r="B916" s="1637" t="s">
        <v>154</v>
      </c>
      <c r="C916" s="1636"/>
      <c r="D916" s="1635">
        <v>1</v>
      </c>
      <c r="E916" s="1634" t="s">
        <v>880</v>
      </c>
      <c r="F916" s="1633" t="s">
        <v>979</v>
      </c>
      <c r="G916" s="1632">
        <v>3596.9970934083244</v>
      </c>
      <c r="H916" s="1632">
        <v>4989.74</v>
      </c>
      <c r="I916" s="1630">
        <f t="shared" si="516"/>
        <v>8586.7370934083247</v>
      </c>
      <c r="J916" s="1630">
        <f t="shared" si="517"/>
        <v>8586.7370934083247</v>
      </c>
      <c r="K916" s="1631">
        <v>4130</v>
      </c>
      <c r="L916" s="1630">
        <f t="shared" si="518"/>
        <v>4130</v>
      </c>
      <c r="M916" s="1630">
        <f t="shared" si="519"/>
        <v>4130</v>
      </c>
      <c r="N916" s="1625">
        <f t="shared" si="520"/>
        <v>4456.7370934083247</v>
      </c>
      <c r="O916" s="1629">
        <v>0.45300000000000001</v>
      </c>
      <c r="P916" s="1629">
        <v>0.54700000000000004</v>
      </c>
      <c r="Q916" s="1625">
        <f t="shared" si="521"/>
        <v>2018.9019033139712</v>
      </c>
      <c r="R916" s="1628">
        <f t="shared" si="522"/>
        <v>2437.8351900943539</v>
      </c>
      <c r="S916" s="1627">
        <f t="shared" si="523"/>
        <v>1578.0951900943533</v>
      </c>
      <c r="T916" s="1627">
        <f t="shared" si="524"/>
        <v>2551.9048099056458</v>
      </c>
      <c r="U916" s="1626">
        <f t="shared" si="525"/>
        <v>394.52379752358831</v>
      </c>
      <c r="V916" s="1626">
        <f t="shared" si="526"/>
        <v>637.97620247641146</v>
      </c>
      <c r="W916" s="1625">
        <f t="shared" si="527"/>
        <v>1032.4999999999998</v>
      </c>
      <c r="X916" s="1614"/>
      <c r="Y916" s="1613"/>
      <c r="Z916" s="1612">
        <f t="shared" si="528"/>
        <v>0.48097431597974816</v>
      </c>
      <c r="AA916" s="1611"/>
      <c r="AB916" s="1611"/>
      <c r="AC916" s="1611"/>
      <c r="AD916" s="1611"/>
      <c r="AE916" s="1611"/>
      <c r="AF916" s="1611"/>
      <c r="AG916" s="1611"/>
      <c r="AH916" s="1611"/>
      <c r="AI916" s="1611"/>
      <c r="AJ916" s="1611"/>
      <c r="AK916" s="1611"/>
      <c r="AL916" s="1611"/>
      <c r="AM916" s="1611"/>
      <c r="AN916" s="1611"/>
      <c r="AO916" s="1611"/>
      <c r="AP916" s="1611"/>
      <c r="AQ916" s="1611"/>
    </row>
    <row r="917" spans="1:43" outlineLevel="2">
      <c r="A917" s="1638" t="s">
        <v>339</v>
      </c>
      <c r="B917" s="1637" t="s">
        <v>154</v>
      </c>
      <c r="C917" s="1636"/>
      <c r="D917" s="1635">
        <v>1</v>
      </c>
      <c r="E917" s="1634" t="s">
        <v>882</v>
      </c>
      <c r="F917" s="1633" t="s">
        <v>1069</v>
      </c>
      <c r="G917" s="1632">
        <v>3596.9970934083244</v>
      </c>
      <c r="H917" s="1632">
        <v>4989.74</v>
      </c>
      <c r="I917" s="1630">
        <f t="shared" si="516"/>
        <v>8586.7370934083247</v>
      </c>
      <c r="J917" s="1630">
        <f t="shared" si="517"/>
        <v>8586.7370934083247</v>
      </c>
      <c r="K917" s="1631">
        <v>4430</v>
      </c>
      <c r="L917" s="1630">
        <f t="shared" si="518"/>
        <v>4430</v>
      </c>
      <c r="M917" s="1630">
        <f t="shared" si="519"/>
        <v>4430</v>
      </c>
      <c r="N917" s="1625">
        <f t="shared" si="520"/>
        <v>4156.7370934083247</v>
      </c>
      <c r="O917" s="1629">
        <v>0.45300000000000001</v>
      </c>
      <c r="P917" s="1629">
        <v>0.54700000000000004</v>
      </c>
      <c r="Q917" s="1625">
        <f t="shared" si="521"/>
        <v>1883.0019033139711</v>
      </c>
      <c r="R917" s="1628">
        <f t="shared" si="522"/>
        <v>2273.7351900943536</v>
      </c>
      <c r="S917" s="1627">
        <f t="shared" si="523"/>
        <v>1713.9951900943533</v>
      </c>
      <c r="T917" s="1627">
        <f t="shared" si="524"/>
        <v>2716.0048099056462</v>
      </c>
      <c r="U917" s="1626">
        <f t="shared" si="525"/>
        <v>428.49879752358834</v>
      </c>
      <c r="V917" s="1626">
        <f t="shared" si="526"/>
        <v>679.00120247641155</v>
      </c>
      <c r="W917" s="1625">
        <f t="shared" si="527"/>
        <v>1107.5</v>
      </c>
      <c r="X917" s="1614"/>
      <c r="Y917" s="1613"/>
      <c r="Z917" s="1612">
        <f t="shared" si="528"/>
        <v>0.51591191762476618</v>
      </c>
      <c r="AA917" s="1611"/>
      <c r="AB917" s="1611"/>
      <c r="AC917" s="1611"/>
      <c r="AD917" s="1611"/>
      <c r="AE917" s="1611"/>
      <c r="AF917" s="1611"/>
      <c r="AG917" s="1611"/>
      <c r="AH917" s="1611"/>
      <c r="AI917" s="1611"/>
      <c r="AJ917" s="1611"/>
      <c r="AK917" s="1611"/>
      <c r="AL917" s="1611"/>
      <c r="AM917" s="1611"/>
      <c r="AN917" s="1611"/>
      <c r="AO917" s="1611"/>
      <c r="AP917" s="1611"/>
      <c r="AQ917" s="1611"/>
    </row>
    <row r="918" spans="1:43" outlineLevel="2">
      <c r="A918" s="1638" t="s">
        <v>339</v>
      </c>
      <c r="B918" s="1637" t="s">
        <v>154</v>
      </c>
      <c r="C918" s="1636"/>
      <c r="D918" s="1635">
        <v>1</v>
      </c>
      <c r="E918" s="1634" t="s">
        <v>900</v>
      </c>
      <c r="F918" s="1633" t="s">
        <v>1065</v>
      </c>
      <c r="G918" s="1632">
        <v>3596.9970934083244</v>
      </c>
      <c r="H918" s="1632">
        <v>4989.74</v>
      </c>
      <c r="I918" s="1630">
        <f t="shared" si="516"/>
        <v>8586.7370934083247</v>
      </c>
      <c r="J918" s="1630">
        <f t="shared" si="517"/>
        <v>8586.7370934083247</v>
      </c>
      <c r="K918" s="1631">
        <v>8736</v>
      </c>
      <c r="L918" s="1630">
        <f t="shared" si="518"/>
        <v>8586.7370934083247</v>
      </c>
      <c r="M918" s="1630">
        <f t="shared" si="519"/>
        <v>8586.7370934083247</v>
      </c>
      <c r="N918" s="1625">
        <f t="shared" si="520"/>
        <v>0</v>
      </c>
      <c r="O918" s="1629">
        <v>0.45300000000000001</v>
      </c>
      <c r="P918" s="1629">
        <v>0.54700000000000004</v>
      </c>
      <c r="Q918" s="1625">
        <f t="shared" si="521"/>
        <v>0</v>
      </c>
      <c r="R918" s="1628">
        <f t="shared" si="522"/>
        <v>0</v>
      </c>
      <c r="S918" s="1627">
        <f t="shared" si="523"/>
        <v>3596.9970934083244</v>
      </c>
      <c r="T918" s="1627">
        <f t="shared" si="524"/>
        <v>4989.74</v>
      </c>
      <c r="U918" s="1626">
        <f t="shared" si="525"/>
        <v>899.2492733520811</v>
      </c>
      <c r="V918" s="1626">
        <f t="shared" si="526"/>
        <v>1247.4349999999999</v>
      </c>
      <c r="W918" s="1625">
        <f t="shared" si="527"/>
        <v>2146.6842733520812</v>
      </c>
      <c r="X918" s="1614"/>
      <c r="Y918" s="1613"/>
      <c r="Z918" s="1612">
        <f t="shared" si="528"/>
        <v>1.0173829599029249</v>
      </c>
      <c r="AA918" s="1611"/>
      <c r="AB918" s="1611"/>
      <c r="AC918" s="1611"/>
      <c r="AD918" s="1611"/>
      <c r="AE918" s="1611"/>
      <c r="AF918" s="1611"/>
      <c r="AG918" s="1611"/>
      <c r="AH918" s="1611"/>
      <c r="AI918" s="1611"/>
      <c r="AJ918" s="1611"/>
      <c r="AK918" s="1611"/>
      <c r="AL918" s="1611"/>
      <c r="AM918" s="1611"/>
      <c r="AN918" s="1611"/>
      <c r="AO918" s="1611"/>
      <c r="AP918" s="1611"/>
      <c r="AQ918" s="1611"/>
    </row>
    <row r="919" spans="1:43" outlineLevel="2">
      <c r="A919" s="1638" t="s">
        <v>339</v>
      </c>
      <c r="B919" s="1637" t="s">
        <v>154</v>
      </c>
      <c r="C919" s="1636"/>
      <c r="D919" s="1635">
        <v>1</v>
      </c>
      <c r="E919" s="1634" t="s">
        <v>899</v>
      </c>
      <c r="F919" s="1633" t="s">
        <v>979</v>
      </c>
      <c r="G919" s="1632">
        <v>3596.9970934083244</v>
      </c>
      <c r="H919" s="1632">
        <v>4989.74</v>
      </c>
      <c r="I919" s="1630">
        <f t="shared" si="516"/>
        <v>8586.7370934083247</v>
      </c>
      <c r="J919" s="1630">
        <f t="shared" si="517"/>
        <v>8586.7370934083247</v>
      </c>
      <c r="K919" s="1631">
        <v>5479</v>
      </c>
      <c r="L919" s="1630">
        <f t="shared" si="518"/>
        <v>5479</v>
      </c>
      <c r="M919" s="1630">
        <f t="shared" si="519"/>
        <v>5479</v>
      </c>
      <c r="N919" s="1625">
        <f t="shared" si="520"/>
        <v>3107.7370934083247</v>
      </c>
      <c r="O919" s="1629">
        <v>0.45300000000000001</v>
      </c>
      <c r="P919" s="1629">
        <v>0.54700000000000004</v>
      </c>
      <c r="Q919" s="1625">
        <f t="shared" si="521"/>
        <v>1407.8049033139712</v>
      </c>
      <c r="R919" s="1628">
        <f t="shared" si="522"/>
        <v>1699.9321900943537</v>
      </c>
      <c r="S919" s="1627">
        <f t="shared" si="523"/>
        <v>2189.1921900943535</v>
      </c>
      <c r="T919" s="1627">
        <f t="shared" si="524"/>
        <v>3289.8078099056461</v>
      </c>
      <c r="U919" s="1626">
        <f t="shared" si="525"/>
        <v>547.29804752358837</v>
      </c>
      <c r="V919" s="1626">
        <f t="shared" si="526"/>
        <v>822.45195247641152</v>
      </c>
      <c r="W919" s="1625">
        <f t="shared" si="527"/>
        <v>1369.75</v>
      </c>
      <c r="X919" s="1614"/>
      <c r="Y919" s="1613"/>
      <c r="Z919" s="1612">
        <f t="shared" si="528"/>
        <v>0.63807706471017922</v>
      </c>
      <c r="AA919" s="1611"/>
      <c r="AB919" s="1611"/>
      <c r="AC919" s="1611"/>
      <c r="AD919" s="1611"/>
      <c r="AE919" s="1611"/>
      <c r="AF919" s="1611"/>
      <c r="AG919" s="1611"/>
      <c r="AH919" s="1611"/>
      <c r="AI919" s="1611"/>
      <c r="AJ919" s="1611"/>
      <c r="AK919" s="1611"/>
      <c r="AL919" s="1611"/>
      <c r="AM919" s="1611"/>
      <c r="AN919" s="1611"/>
      <c r="AO919" s="1611"/>
      <c r="AP919" s="1611"/>
      <c r="AQ919" s="1611"/>
    </row>
    <row r="920" spans="1:43" outlineLevel="2">
      <c r="A920" s="1638" t="s">
        <v>339</v>
      </c>
      <c r="B920" s="1637" t="s">
        <v>154</v>
      </c>
      <c r="C920" s="1636"/>
      <c r="D920" s="1635">
        <v>1</v>
      </c>
      <c r="E920" s="1634" t="s">
        <v>898</v>
      </c>
      <c r="F920" s="1633" t="s">
        <v>1071</v>
      </c>
      <c r="G920" s="1632">
        <v>3596.9970934083244</v>
      </c>
      <c r="H920" s="1632">
        <v>4989.74</v>
      </c>
      <c r="I920" s="1630">
        <f t="shared" si="516"/>
        <v>8586.7370934083247</v>
      </c>
      <c r="J920" s="1630">
        <f t="shared" si="517"/>
        <v>8586.7370934083247</v>
      </c>
      <c r="K920" s="1631">
        <v>5265</v>
      </c>
      <c r="L920" s="1630">
        <f t="shared" si="518"/>
        <v>5265</v>
      </c>
      <c r="M920" s="1630">
        <f t="shared" si="519"/>
        <v>5265</v>
      </c>
      <c r="N920" s="1625">
        <f t="shared" si="520"/>
        <v>3321.7370934083247</v>
      </c>
      <c r="O920" s="1629">
        <v>0.45300000000000001</v>
      </c>
      <c r="P920" s="1629">
        <v>0.54700000000000004</v>
      </c>
      <c r="Q920" s="1625">
        <f t="shared" si="521"/>
        <v>1504.7469033139712</v>
      </c>
      <c r="R920" s="1628">
        <f t="shared" si="522"/>
        <v>1816.9901900943537</v>
      </c>
      <c r="S920" s="1627">
        <f t="shared" si="523"/>
        <v>2092.2501900943535</v>
      </c>
      <c r="T920" s="1627">
        <f t="shared" si="524"/>
        <v>3172.7498099056461</v>
      </c>
      <c r="U920" s="1626">
        <f t="shared" si="525"/>
        <v>523.06254752358836</v>
      </c>
      <c r="V920" s="1626">
        <f t="shared" si="526"/>
        <v>793.18745247641152</v>
      </c>
      <c r="W920" s="1625">
        <f t="shared" si="527"/>
        <v>1316.25</v>
      </c>
      <c r="X920" s="1614"/>
      <c r="Y920" s="1613"/>
      <c r="Z920" s="1612">
        <f t="shared" si="528"/>
        <v>0.61315490887006641</v>
      </c>
      <c r="AA920" s="1611"/>
      <c r="AB920" s="1611"/>
      <c r="AC920" s="1611"/>
      <c r="AD920" s="1611"/>
      <c r="AE920" s="1611"/>
      <c r="AF920" s="1611"/>
      <c r="AG920" s="1611"/>
      <c r="AH920" s="1611"/>
      <c r="AI920" s="1611"/>
      <c r="AJ920" s="1611"/>
      <c r="AK920" s="1611"/>
      <c r="AL920" s="1611"/>
      <c r="AM920" s="1611"/>
      <c r="AN920" s="1611"/>
      <c r="AO920" s="1611"/>
      <c r="AP920" s="1611"/>
      <c r="AQ920" s="1611"/>
    </row>
    <row r="921" spans="1:43" outlineLevel="2">
      <c r="A921" s="1638" t="s">
        <v>339</v>
      </c>
      <c r="B921" s="1637" t="s">
        <v>154</v>
      </c>
      <c r="C921" s="1636"/>
      <c r="D921" s="1635">
        <v>1</v>
      </c>
      <c r="E921" s="1634" t="s">
        <v>898</v>
      </c>
      <c r="F921" s="1633" t="s">
        <v>1064</v>
      </c>
      <c r="G921" s="1632">
        <v>3596.9970934083244</v>
      </c>
      <c r="H921" s="1632">
        <v>4989.74</v>
      </c>
      <c r="I921" s="1630">
        <f t="shared" si="516"/>
        <v>8586.7370934083247</v>
      </c>
      <c r="J921" s="1630">
        <f t="shared" si="517"/>
        <v>8586.7370934083247</v>
      </c>
      <c r="K921" s="1631">
        <v>5265</v>
      </c>
      <c r="L921" s="1630">
        <f t="shared" si="518"/>
        <v>5265</v>
      </c>
      <c r="M921" s="1630">
        <f t="shared" si="519"/>
        <v>5265</v>
      </c>
      <c r="N921" s="1625">
        <f t="shared" si="520"/>
        <v>3321.7370934083247</v>
      </c>
      <c r="O921" s="1629">
        <v>0.45300000000000001</v>
      </c>
      <c r="P921" s="1629">
        <v>0.54700000000000004</v>
      </c>
      <c r="Q921" s="1625">
        <f t="shared" si="521"/>
        <v>1504.7469033139712</v>
      </c>
      <c r="R921" s="1628">
        <f t="shared" si="522"/>
        <v>1816.9901900943537</v>
      </c>
      <c r="S921" s="1627">
        <f t="shared" si="523"/>
        <v>2092.2501900943535</v>
      </c>
      <c r="T921" s="1627">
        <f t="shared" si="524"/>
        <v>3172.7498099056461</v>
      </c>
      <c r="U921" s="1626">
        <f t="shared" si="525"/>
        <v>523.06254752358836</v>
      </c>
      <c r="V921" s="1626">
        <f t="shared" si="526"/>
        <v>793.18745247641152</v>
      </c>
      <c r="W921" s="1625">
        <f t="shared" si="527"/>
        <v>1316.25</v>
      </c>
      <c r="X921" s="1614"/>
      <c r="Y921" s="1613"/>
      <c r="Z921" s="1612">
        <f t="shared" si="528"/>
        <v>0.61315490887006641</v>
      </c>
      <c r="AA921" s="1611"/>
      <c r="AB921" s="1611"/>
      <c r="AC921" s="1611"/>
      <c r="AD921" s="1611"/>
      <c r="AE921" s="1611"/>
      <c r="AF921" s="1611"/>
      <c r="AG921" s="1611"/>
      <c r="AH921" s="1611"/>
      <c r="AI921" s="1611"/>
      <c r="AJ921" s="1611"/>
      <c r="AK921" s="1611"/>
      <c r="AL921" s="1611"/>
      <c r="AM921" s="1611"/>
      <c r="AN921" s="1611"/>
      <c r="AO921" s="1611"/>
      <c r="AP921" s="1611"/>
      <c r="AQ921" s="1611"/>
    </row>
    <row r="922" spans="1:43" outlineLevel="2">
      <c r="A922" s="1638" t="s">
        <v>339</v>
      </c>
      <c r="B922" s="1637" t="s">
        <v>154</v>
      </c>
      <c r="C922" s="1636"/>
      <c r="D922" s="1635">
        <v>1</v>
      </c>
      <c r="E922" s="1634" t="s">
        <v>897</v>
      </c>
      <c r="F922" s="1633" t="s">
        <v>1070</v>
      </c>
      <c r="G922" s="1632">
        <v>3596.9970934083244</v>
      </c>
      <c r="H922" s="1632">
        <v>4989.74</v>
      </c>
      <c r="I922" s="1630">
        <f t="shared" si="516"/>
        <v>8586.7370934083247</v>
      </c>
      <c r="J922" s="1630">
        <f t="shared" si="517"/>
        <v>8586.7370934083247</v>
      </c>
      <c r="K922" s="1631">
        <v>5265</v>
      </c>
      <c r="L922" s="1630">
        <f t="shared" si="518"/>
        <v>5265</v>
      </c>
      <c r="M922" s="1630">
        <f t="shared" si="519"/>
        <v>5265</v>
      </c>
      <c r="N922" s="1625">
        <f t="shared" si="520"/>
        <v>3321.7370934083247</v>
      </c>
      <c r="O922" s="1629">
        <v>0.45300000000000001</v>
      </c>
      <c r="P922" s="1629">
        <v>0.54700000000000004</v>
      </c>
      <c r="Q922" s="1625">
        <f t="shared" si="521"/>
        <v>1504.7469033139712</v>
      </c>
      <c r="R922" s="1628">
        <f t="shared" si="522"/>
        <v>1816.9901900943537</v>
      </c>
      <c r="S922" s="1627">
        <f t="shared" si="523"/>
        <v>2092.2501900943535</v>
      </c>
      <c r="T922" s="1627">
        <f t="shared" si="524"/>
        <v>3172.7498099056461</v>
      </c>
      <c r="U922" s="1626">
        <f t="shared" si="525"/>
        <v>523.06254752358836</v>
      </c>
      <c r="V922" s="1626">
        <f t="shared" si="526"/>
        <v>793.18745247641152</v>
      </c>
      <c r="W922" s="1625">
        <f t="shared" si="527"/>
        <v>1316.25</v>
      </c>
      <c r="X922" s="1614"/>
      <c r="Y922" s="1613"/>
      <c r="Z922" s="1612">
        <f t="shared" si="528"/>
        <v>0.61315490887006641</v>
      </c>
      <c r="AA922" s="1611"/>
      <c r="AB922" s="1611"/>
      <c r="AC922" s="1611"/>
      <c r="AD922" s="1611"/>
      <c r="AE922" s="1611"/>
      <c r="AF922" s="1611"/>
      <c r="AG922" s="1611"/>
      <c r="AH922" s="1611"/>
      <c r="AI922" s="1611"/>
      <c r="AJ922" s="1611"/>
      <c r="AK922" s="1611"/>
      <c r="AL922" s="1611"/>
      <c r="AM922" s="1611"/>
      <c r="AN922" s="1611"/>
      <c r="AO922" s="1611"/>
      <c r="AP922" s="1611"/>
      <c r="AQ922" s="1611"/>
    </row>
    <row r="923" spans="1:43" outlineLevel="2">
      <c r="A923" s="1638" t="s">
        <v>339</v>
      </c>
      <c r="B923" s="1637" t="s">
        <v>154</v>
      </c>
      <c r="C923" s="1636"/>
      <c r="D923" s="1635">
        <v>1</v>
      </c>
      <c r="E923" s="1634" t="s">
        <v>901</v>
      </c>
      <c r="F923" s="1633" t="s">
        <v>979</v>
      </c>
      <c r="G923" s="1632">
        <v>3596.9970934083244</v>
      </c>
      <c r="H923" s="1632">
        <v>4989.74</v>
      </c>
      <c r="I923" s="1630">
        <f t="shared" si="516"/>
        <v>8586.7370934083247</v>
      </c>
      <c r="J923" s="1630">
        <f t="shared" si="517"/>
        <v>8586.7370934083247</v>
      </c>
      <c r="K923" s="1631">
        <v>4433</v>
      </c>
      <c r="L923" s="1630">
        <f t="shared" si="518"/>
        <v>4433</v>
      </c>
      <c r="M923" s="1630">
        <f t="shared" si="519"/>
        <v>4433</v>
      </c>
      <c r="N923" s="1625">
        <f t="shared" si="520"/>
        <v>4153.7370934083247</v>
      </c>
      <c r="O923" s="1629">
        <v>0.45300000000000001</v>
      </c>
      <c r="P923" s="1629">
        <v>0.54700000000000004</v>
      </c>
      <c r="Q923" s="1625">
        <f t="shared" si="521"/>
        <v>1881.6429033139711</v>
      </c>
      <c r="R923" s="1628">
        <f t="shared" si="522"/>
        <v>2272.094190094354</v>
      </c>
      <c r="S923" s="1627">
        <f t="shared" si="523"/>
        <v>1715.3541900943533</v>
      </c>
      <c r="T923" s="1627">
        <f t="shared" si="524"/>
        <v>2717.6458099056458</v>
      </c>
      <c r="U923" s="1626">
        <f t="shared" si="525"/>
        <v>428.83854752358832</v>
      </c>
      <c r="V923" s="1626">
        <f t="shared" si="526"/>
        <v>679.41145247641145</v>
      </c>
      <c r="W923" s="1625">
        <f t="shared" si="527"/>
        <v>1108.2499999999998</v>
      </c>
      <c r="X923" s="1614"/>
      <c r="Y923" s="1613"/>
      <c r="Z923" s="1612">
        <f t="shared" si="528"/>
        <v>0.51626129364121642</v>
      </c>
      <c r="AA923" s="1611"/>
      <c r="AB923" s="1611"/>
      <c r="AC923" s="1611"/>
      <c r="AD923" s="1611"/>
      <c r="AE923" s="1611"/>
      <c r="AF923" s="1611"/>
      <c r="AG923" s="1611"/>
      <c r="AH923" s="1611"/>
      <c r="AI923" s="1611"/>
      <c r="AJ923" s="1611"/>
      <c r="AK923" s="1611"/>
      <c r="AL923" s="1611"/>
      <c r="AM923" s="1611"/>
      <c r="AN923" s="1611"/>
      <c r="AO923" s="1611"/>
      <c r="AP923" s="1611"/>
      <c r="AQ923" s="1611"/>
    </row>
    <row r="924" spans="1:43" outlineLevel="2">
      <c r="A924" s="1638" t="s">
        <v>339</v>
      </c>
      <c r="B924" s="1637" t="s">
        <v>154</v>
      </c>
      <c r="C924" s="1636"/>
      <c r="D924" s="1635">
        <v>1</v>
      </c>
      <c r="E924" s="1634" t="s">
        <v>885</v>
      </c>
      <c r="F924" s="1633" t="s">
        <v>1064</v>
      </c>
      <c r="G924" s="1632">
        <v>3596.9970934083244</v>
      </c>
      <c r="H924" s="1632">
        <v>4989.74</v>
      </c>
      <c r="I924" s="1630">
        <f t="shared" si="516"/>
        <v>8586.7370934083247</v>
      </c>
      <c r="J924" s="1630">
        <f t="shared" si="517"/>
        <v>8586.7370934083247</v>
      </c>
      <c r="K924" s="1631">
        <v>5540</v>
      </c>
      <c r="L924" s="1630">
        <f t="shared" si="518"/>
        <v>5540</v>
      </c>
      <c r="M924" s="1630">
        <f t="shared" si="519"/>
        <v>5540</v>
      </c>
      <c r="N924" s="1625">
        <f t="shared" si="520"/>
        <v>3046.7370934083247</v>
      </c>
      <c r="O924" s="1629">
        <v>0.45300000000000001</v>
      </c>
      <c r="P924" s="1629">
        <v>0.54700000000000004</v>
      </c>
      <c r="Q924" s="1625">
        <f t="shared" si="521"/>
        <v>1380.1719033139711</v>
      </c>
      <c r="R924" s="1628">
        <f t="shared" si="522"/>
        <v>1666.5651900943537</v>
      </c>
      <c r="S924" s="1627">
        <f t="shared" si="523"/>
        <v>2216.8251900943533</v>
      </c>
      <c r="T924" s="1627">
        <f t="shared" si="524"/>
        <v>3323.1748099056458</v>
      </c>
      <c r="U924" s="1626">
        <f t="shared" si="525"/>
        <v>554.20629752358832</v>
      </c>
      <c r="V924" s="1626">
        <f t="shared" si="526"/>
        <v>830.79370247641145</v>
      </c>
      <c r="W924" s="1625">
        <f t="shared" si="527"/>
        <v>1384.9999999999998</v>
      </c>
      <c r="X924" s="1614"/>
      <c r="Y924" s="1613"/>
      <c r="Z924" s="1612">
        <f t="shared" si="528"/>
        <v>0.64518104371133289</v>
      </c>
      <c r="AA924" s="1611"/>
      <c r="AB924" s="1611"/>
      <c r="AC924" s="1611"/>
      <c r="AD924" s="1611"/>
      <c r="AE924" s="1611"/>
      <c r="AF924" s="1611"/>
      <c r="AG924" s="1611"/>
      <c r="AH924" s="1611"/>
      <c r="AI924" s="1611"/>
      <c r="AJ924" s="1611"/>
      <c r="AK924" s="1611"/>
      <c r="AL924" s="1611"/>
      <c r="AM924" s="1611"/>
      <c r="AN924" s="1611"/>
      <c r="AO924" s="1611"/>
      <c r="AP924" s="1611"/>
      <c r="AQ924" s="1611"/>
    </row>
    <row r="925" spans="1:43" outlineLevel="1">
      <c r="A925" s="1624"/>
      <c r="B925" s="1623" t="s">
        <v>1076</v>
      </c>
      <c r="C925" s="1622"/>
      <c r="D925" s="1621">
        <f>SUBTOTAL(9,D913:D924)</f>
        <v>12</v>
      </c>
      <c r="E925" s="1620"/>
      <c r="F925" s="1639"/>
      <c r="G925" s="1639"/>
      <c r="H925" s="1639"/>
      <c r="I925" s="1616"/>
      <c r="J925" s="1616">
        <f>SUBTOTAL(9,J913:J924)</f>
        <v>103040.84512089992</v>
      </c>
      <c r="K925" s="1615"/>
      <c r="L925" s="1616"/>
      <c r="M925" s="1616">
        <f>SUBTOTAL(9,M913:M924)</f>
        <v>61183.737093408323</v>
      </c>
      <c r="N925" s="1615">
        <f>SUBTOTAL(9,N913:N924)</f>
        <v>41857.108027491558</v>
      </c>
      <c r="O925" s="1616"/>
      <c r="P925" s="1616"/>
      <c r="Q925" s="1615">
        <f t="shared" ref="Q925:W925" si="529">SUBTOTAL(9,Q913:Q924)</f>
        <v>18961.269936453682</v>
      </c>
      <c r="R925" s="1615">
        <f t="shared" si="529"/>
        <v>22895.838091037891</v>
      </c>
      <c r="S925" s="1616">
        <f t="shared" si="529"/>
        <v>24202.695184446213</v>
      </c>
      <c r="T925" s="1616">
        <f t="shared" si="529"/>
        <v>36981.041908962114</v>
      </c>
      <c r="U925" s="1616">
        <f t="shared" si="529"/>
        <v>6050.6737961115532</v>
      </c>
      <c r="V925" s="1616">
        <f t="shared" si="529"/>
        <v>9245.2604772405284</v>
      </c>
      <c r="W925" s="1615">
        <f t="shared" si="529"/>
        <v>15295.934273352081</v>
      </c>
      <c r="X925" s="1614"/>
      <c r="Y925" s="1613"/>
      <c r="Z925" s="1612"/>
      <c r="AA925" s="1611"/>
      <c r="AB925" s="1611"/>
      <c r="AC925" s="1611"/>
      <c r="AD925" s="1611"/>
      <c r="AE925" s="1611"/>
      <c r="AF925" s="1611"/>
      <c r="AG925" s="1611"/>
      <c r="AH925" s="1611"/>
      <c r="AI925" s="1611"/>
      <c r="AJ925" s="1611"/>
      <c r="AK925" s="1611"/>
      <c r="AL925" s="1611"/>
      <c r="AM925" s="1611"/>
      <c r="AN925" s="1611"/>
      <c r="AO925" s="1611"/>
      <c r="AP925" s="1611"/>
      <c r="AQ925" s="1611"/>
    </row>
    <row r="926" spans="1:43" outlineLevel="2">
      <c r="A926" s="1638" t="s">
        <v>340</v>
      </c>
      <c r="B926" s="1637" t="s">
        <v>158</v>
      </c>
      <c r="C926" s="1636"/>
      <c r="D926" s="1635">
        <v>3</v>
      </c>
      <c r="E926" s="1634" t="s">
        <v>894</v>
      </c>
      <c r="F926" s="1633" t="s">
        <v>1070</v>
      </c>
      <c r="G926" s="1632">
        <v>5423.2766820575298</v>
      </c>
      <c r="H926" s="1632">
        <v>3909.15</v>
      </c>
      <c r="I926" s="1630">
        <f t="shared" ref="I926:I940" si="530">G926+H926</f>
        <v>9332.4266820575303</v>
      </c>
      <c r="J926" s="1630">
        <f t="shared" ref="J926:J940" si="531">D926*I926</f>
        <v>27997.280046172593</v>
      </c>
      <c r="K926" s="1631">
        <v>4550</v>
      </c>
      <c r="L926" s="1630">
        <f t="shared" ref="L926:L940" si="532">IF(I926&gt;K926,K926,I926)</f>
        <v>4550</v>
      </c>
      <c r="M926" s="1630">
        <f t="shared" ref="M926:M940" si="533">L926*D926</f>
        <v>13650</v>
      </c>
      <c r="N926" s="1625">
        <f t="shared" ref="N926:N940" si="534">J926-M926</f>
        <v>14347.280046172593</v>
      </c>
      <c r="O926" s="1629">
        <v>0.65010000000000001</v>
      </c>
      <c r="P926" s="1629">
        <v>0.34989999999999999</v>
      </c>
      <c r="Q926" s="1625">
        <f t="shared" ref="Q926:Q940" si="535">N926*O926</f>
        <v>9327.1667580168032</v>
      </c>
      <c r="R926" s="1628">
        <f t="shared" ref="R926:R940" si="536">N926*P926</f>
        <v>5020.1132881557896</v>
      </c>
      <c r="S926" s="1627">
        <f t="shared" ref="S926:S940" si="537">(G926*D926)-Q926</f>
        <v>6942.6632881557853</v>
      </c>
      <c r="T926" s="1627">
        <f t="shared" ref="T926:T940" si="538">(H926*D926)-R926</f>
        <v>6707.3367118442111</v>
      </c>
      <c r="U926" s="1626">
        <f t="shared" ref="U926:U940" si="539">S926/4</f>
        <v>1735.6658220389463</v>
      </c>
      <c r="V926" s="1626">
        <f t="shared" ref="V926:V940" si="540">T926/4</f>
        <v>1676.8341779610528</v>
      </c>
      <c r="W926" s="1625">
        <f t="shared" ref="W926:W940" si="541">V926+U926</f>
        <v>3412.4999999999991</v>
      </c>
      <c r="X926" s="1614"/>
      <c r="Y926" s="1613"/>
      <c r="Z926" s="1612">
        <f t="shared" ref="Z926:Z940" si="542">K926/I926</f>
        <v>0.48754736093965823</v>
      </c>
      <c r="AA926" s="1611"/>
      <c r="AB926" s="1611"/>
      <c r="AC926" s="1611"/>
      <c r="AD926" s="1611"/>
      <c r="AE926" s="1611"/>
      <c r="AF926" s="1611"/>
      <c r="AG926" s="1611"/>
      <c r="AH926" s="1611"/>
      <c r="AI926" s="1611"/>
      <c r="AJ926" s="1611"/>
      <c r="AK926" s="1611"/>
      <c r="AL926" s="1611"/>
      <c r="AM926" s="1611"/>
      <c r="AN926" s="1611"/>
      <c r="AO926" s="1611"/>
      <c r="AP926" s="1611"/>
      <c r="AQ926" s="1611"/>
    </row>
    <row r="927" spans="1:43" outlineLevel="2">
      <c r="A927" s="1638" t="s">
        <v>340</v>
      </c>
      <c r="B927" s="1637" t="s">
        <v>158</v>
      </c>
      <c r="C927" s="1636"/>
      <c r="D927" s="1635">
        <v>3</v>
      </c>
      <c r="E927" s="1634" t="s">
        <v>894</v>
      </c>
      <c r="F927" s="1633" t="s">
        <v>1069</v>
      </c>
      <c r="G927" s="1632">
        <v>5423.2766820575298</v>
      </c>
      <c r="H927" s="1632">
        <v>3909.15</v>
      </c>
      <c r="I927" s="1630">
        <f t="shared" si="530"/>
        <v>9332.4266820575303</v>
      </c>
      <c r="J927" s="1630">
        <f t="shared" si="531"/>
        <v>27997.280046172593</v>
      </c>
      <c r="K927" s="1631">
        <v>4550</v>
      </c>
      <c r="L927" s="1630">
        <f t="shared" si="532"/>
        <v>4550</v>
      </c>
      <c r="M927" s="1630">
        <f t="shared" si="533"/>
        <v>13650</v>
      </c>
      <c r="N927" s="1625">
        <f t="shared" si="534"/>
        <v>14347.280046172593</v>
      </c>
      <c r="O927" s="1629">
        <v>0.65010000000000001</v>
      </c>
      <c r="P927" s="1629">
        <v>0.34989999999999999</v>
      </c>
      <c r="Q927" s="1625">
        <f t="shared" si="535"/>
        <v>9327.1667580168032</v>
      </c>
      <c r="R927" s="1628">
        <f t="shared" si="536"/>
        <v>5020.1132881557896</v>
      </c>
      <c r="S927" s="1627">
        <f t="shared" si="537"/>
        <v>6942.6632881557853</v>
      </c>
      <c r="T927" s="1627">
        <f t="shared" si="538"/>
        <v>6707.3367118442111</v>
      </c>
      <c r="U927" s="1626">
        <f t="shared" si="539"/>
        <v>1735.6658220389463</v>
      </c>
      <c r="V927" s="1626">
        <f t="shared" si="540"/>
        <v>1676.8341779610528</v>
      </c>
      <c r="W927" s="1625">
        <f t="shared" si="541"/>
        <v>3412.4999999999991</v>
      </c>
      <c r="X927" s="1614"/>
      <c r="Y927" s="1613"/>
      <c r="Z927" s="1612">
        <f t="shared" si="542"/>
        <v>0.48754736093965823</v>
      </c>
      <c r="AA927" s="1611"/>
      <c r="AB927" s="1611"/>
      <c r="AC927" s="1611"/>
      <c r="AD927" s="1611"/>
      <c r="AE927" s="1611"/>
      <c r="AF927" s="1611"/>
      <c r="AG927" s="1611"/>
      <c r="AH927" s="1611"/>
      <c r="AI927" s="1611"/>
      <c r="AJ927" s="1611"/>
      <c r="AK927" s="1611"/>
      <c r="AL927" s="1611"/>
      <c r="AM927" s="1611"/>
      <c r="AN927" s="1611"/>
      <c r="AO927" s="1611"/>
      <c r="AP927" s="1611"/>
      <c r="AQ927" s="1611"/>
    </row>
    <row r="928" spans="1:43" outlineLevel="2">
      <c r="A928" s="1638" t="s">
        <v>340</v>
      </c>
      <c r="B928" s="1637" t="s">
        <v>158</v>
      </c>
      <c r="C928" s="1636"/>
      <c r="D928" s="1635">
        <v>6</v>
      </c>
      <c r="E928" s="1634" t="s">
        <v>894</v>
      </c>
      <c r="F928" s="1633" t="s">
        <v>1068</v>
      </c>
      <c r="G928" s="1632">
        <v>5423.2766820575298</v>
      </c>
      <c r="H928" s="1632">
        <v>3909.15</v>
      </c>
      <c r="I928" s="1630">
        <f t="shared" si="530"/>
        <v>9332.4266820575303</v>
      </c>
      <c r="J928" s="1630">
        <f t="shared" si="531"/>
        <v>55994.560092345186</v>
      </c>
      <c r="K928" s="1631">
        <v>4550</v>
      </c>
      <c r="L928" s="1630">
        <f t="shared" si="532"/>
        <v>4550</v>
      </c>
      <c r="M928" s="1630">
        <f t="shared" si="533"/>
        <v>27300</v>
      </c>
      <c r="N928" s="1625">
        <f t="shared" si="534"/>
        <v>28694.560092345186</v>
      </c>
      <c r="O928" s="1629">
        <v>0.65010000000000001</v>
      </c>
      <c r="P928" s="1629">
        <v>0.34989999999999999</v>
      </c>
      <c r="Q928" s="1625">
        <f t="shared" si="535"/>
        <v>18654.333516033606</v>
      </c>
      <c r="R928" s="1628">
        <f t="shared" si="536"/>
        <v>10040.226576311579</v>
      </c>
      <c r="S928" s="1627">
        <f t="shared" si="537"/>
        <v>13885.326576311571</v>
      </c>
      <c r="T928" s="1627">
        <f t="shared" si="538"/>
        <v>13414.673423688422</v>
      </c>
      <c r="U928" s="1626">
        <f t="shared" si="539"/>
        <v>3471.3316440778926</v>
      </c>
      <c r="V928" s="1626">
        <f t="shared" si="540"/>
        <v>3353.6683559221055</v>
      </c>
      <c r="W928" s="1625">
        <f t="shared" si="541"/>
        <v>6824.9999999999982</v>
      </c>
      <c r="X928" s="1614"/>
      <c r="Y928" s="1613"/>
      <c r="Z928" s="1612">
        <f t="shared" si="542"/>
        <v>0.48754736093965823</v>
      </c>
      <c r="AA928" s="1611"/>
      <c r="AB928" s="1611"/>
      <c r="AC928" s="1611"/>
      <c r="AD928" s="1611"/>
      <c r="AE928" s="1611"/>
      <c r="AF928" s="1611"/>
      <c r="AG928" s="1611"/>
      <c r="AH928" s="1611"/>
      <c r="AI928" s="1611"/>
      <c r="AJ928" s="1611"/>
      <c r="AK928" s="1611"/>
      <c r="AL928" s="1611"/>
      <c r="AM928" s="1611"/>
      <c r="AN928" s="1611"/>
      <c r="AO928" s="1611"/>
      <c r="AP928" s="1611"/>
      <c r="AQ928" s="1611"/>
    </row>
    <row r="929" spans="1:43" outlineLevel="2">
      <c r="A929" s="1638" t="s">
        <v>340</v>
      </c>
      <c r="B929" s="1637" t="s">
        <v>158</v>
      </c>
      <c r="C929" s="1636"/>
      <c r="D929" s="1635">
        <v>1</v>
      </c>
      <c r="E929" s="1634" t="s">
        <v>894</v>
      </c>
      <c r="F929" s="1633" t="s">
        <v>1064</v>
      </c>
      <c r="G929" s="1632">
        <v>5423.2766820575298</v>
      </c>
      <c r="H929" s="1632">
        <v>3909.15</v>
      </c>
      <c r="I929" s="1630">
        <f t="shared" si="530"/>
        <v>9332.4266820575303</v>
      </c>
      <c r="J929" s="1630">
        <f t="shared" si="531"/>
        <v>9332.4266820575303</v>
      </c>
      <c r="K929" s="1631">
        <v>4550</v>
      </c>
      <c r="L929" s="1630">
        <f t="shared" si="532"/>
        <v>4550</v>
      </c>
      <c r="M929" s="1630">
        <f t="shared" si="533"/>
        <v>4550</v>
      </c>
      <c r="N929" s="1625">
        <f t="shared" si="534"/>
        <v>4782.4266820575303</v>
      </c>
      <c r="O929" s="1629">
        <v>0.65010000000000001</v>
      </c>
      <c r="P929" s="1629">
        <v>0.34989999999999999</v>
      </c>
      <c r="Q929" s="1625">
        <f t="shared" si="535"/>
        <v>3109.0555860056006</v>
      </c>
      <c r="R929" s="1628">
        <f t="shared" si="536"/>
        <v>1673.3710960519297</v>
      </c>
      <c r="S929" s="1627">
        <f t="shared" si="537"/>
        <v>2314.2210960519292</v>
      </c>
      <c r="T929" s="1627">
        <f t="shared" si="538"/>
        <v>2235.7789039480704</v>
      </c>
      <c r="U929" s="1626">
        <f t="shared" si="539"/>
        <v>578.5552740129823</v>
      </c>
      <c r="V929" s="1626">
        <f t="shared" si="540"/>
        <v>558.94472598701759</v>
      </c>
      <c r="W929" s="1625">
        <f t="shared" si="541"/>
        <v>1137.5</v>
      </c>
      <c r="X929" s="1614"/>
      <c r="Y929" s="1613"/>
      <c r="Z929" s="1612">
        <f t="shared" si="542"/>
        <v>0.48754736093965823</v>
      </c>
      <c r="AA929" s="1611"/>
      <c r="AB929" s="1611"/>
      <c r="AC929" s="1611"/>
      <c r="AD929" s="1611"/>
      <c r="AE929" s="1611"/>
      <c r="AF929" s="1611"/>
      <c r="AG929" s="1611"/>
      <c r="AH929" s="1611"/>
      <c r="AI929" s="1611"/>
      <c r="AJ929" s="1611"/>
      <c r="AK929" s="1611"/>
      <c r="AL929" s="1611"/>
      <c r="AM929" s="1611"/>
      <c r="AN929" s="1611"/>
      <c r="AO929" s="1611"/>
      <c r="AP929" s="1611"/>
      <c r="AQ929" s="1611"/>
    </row>
    <row r="930" spans="1:43" outlineLevel="2">
      <c r="A930" s="1638" t="s">
        <v>340</v>
      </c>
      <c r="B930" s="1637" t="s">
        <v>158</v>
      </c>
      <c r="C930" s="1636"/>
      <c r="D930" s="1635">
        <v>12</v>
      </c>
      <c r="E930" s="1634" t="s">
        <v>894</v>
      </c>
      <c r="F930" s="1633" t="s">
        <v>979</v>
      </c>
      <c r="G930" s="1632">
        <v>5423.2766820575298</v>
      </c>
      <c r="H930" s="1632">
        <v>3909.15</v>
      </c>
      <c r="I930" s="1630">
        <f t="shared" si="530"/>
        <v>9332.4266820575303</v>
      </c>
      <c r="J930" s="1630">
        <f t="shared" si="531"/>
        <v>111989.12018469037</v>
      </c>
      <c r="K930" s="1631">
        <v>4550</v>
      </c>
      <c r="L930" s="1630">
        <f t="shared" si="532"/>
        <v>4550</v>
      </c>
      <c r="M930" s="1630">
        <f t="shared" si="533"/>
        <v>54600</v>
      </c>
      <c r="N930" s="1625">
        <f t="shared" si="534"/>
        <v>57389.120184690371</v>
      </c>
      <c r="O930" s="1629">
        <v>0.65010000000000001</v>
      </c>
      <c r="P930" s="1629">
        <v>0.34989999999999999</v>
      </c>
      <c r="Q930" s="1625">
        <f t="shared" si="535"/>
        <v>37308.667032067213</v>
      </c>
      <c r="R930" s="1628">
        <f t="shared" si="536"/>
        <v>20080.453152623159</v>
      </c>
      <c r="S930" s="1627">
        <f t="shared" si="537"/>
        <v>27770.653152623141</v>
      </c>
      <c r="T930" s="1627">
        <f t="shared" si="538"/>
        <v>26829.346847376844</v>
      </c>
      <c r="U930" s="1626">
        <f t="shared" si="539"/>
        <v>6942.6632881557853</v>
      </c>
      <c r="V930" s="1626">
        <f t="shared" si="540"/>
        <v>6707.3367118442111</v>
      </c>
      <c r="W930" s="1625">
        <f t="shared" si="541"/>
        <v>13649.999999999996</v>
      </c>
      <c r="X930" s="1614"/>
      <c r="Y930" s="1613"/>
      <c r="Z930" s="1612">
        <f t="shared" si="542"/>
        <v>0.48754736093965823</v>
      </c>
      <c r="AA930" s="1611"/>
      <c r="AB930" s="1611"/>
      <c r="AC930" s="1611"/>
      <c r="AD930" s="1611"/>
      <c r="AE930" s="1611"/>
      <c r="AF930" s="1611"/>
      <c r="AG930" s="1611"/>
      <c r="AH930" s="1611"/>
      <c r="AI930" s="1611"/>
      <c r="AJ930" s="1611"/>
      <c r="AK930" s="1611"/>
      <c r="AL930" s="1611"/>
      <c r="AM930" s="1611"/>
      <c r="AN930" s="1611"/>
      <c r="AO930" s="1611"/>
      <c r="AP930" s="1611"/>
      <c r="AQ930" s="1611"/>
    </row>
    <row r="931" spans="1:43" outlineLevel="2">
      <c r="A931" s="1638" t="s">
        <v>340</v>
      </c>
      <c r="B931" s="1637" t="s">
        <v>158</v>
      </c>
      <c r="C931" s="1636"/>
      <c r="D931" s="1635">
        <v>3</v>
      </c>
      <c r="E931" s="1634" t="s">
        <v>891</v>
      </c>
      <c r="F931" s="1633" t="s">
        <v>1066</v>
      </c>
      <c r="G931" s="1632">
        <v>5423.2766820575298</v>
      </c>
      <c r="H931" s="1632">
        <v>3909.15</v>
      </c>
      <c r="I931" s="1630">
        <f t="shared" si="530"/>
        <v>9332.4266820575303</v>
      </c>
      <c r="J931" s="1630">
        <f t="shared" si="531"/>
        <v>27997.280046172593</v>
      </c>
      <c r="K931" s="1631">
        <v>5496</v>
      </c>
      <c r="L931" s="1630">
        <f t="shared" si="532"/>
        <v>5496</v>
      </c>
      <c r="M931" s="1630">
        <f t="shared" si="533"/>
        <v>16488</v>
      </c>
      <c r="N931" s="1625">
        <f t="shared" si="534"/>
        <v>11509.280046172593</v>
      </c>
      <c r="O931" s="1629">
        <v>0.65010000000000001</v>
      </c>
      <c r="P931" s="1629">
        <v>0.34989999999999999</v>
      </c>
      <c r="Q931" s="1625">
        <f t="shared" si="535"/>
        <v>7482.1829580168023</v>
      </c>
      <c r="R931" s="1628">
        <f t="shared" si="536"/>
        <v>4027.0970881557901</v>
      </c>
      <c r="S931" s="1627">
        <f t="shared" si="537"/>
        <v>8787.6470881557871</v>
      </c>
      <c r="T931" s="1627">
        <f t="shared" si="538"/>
        <v>7700.3529118442111</v>
      </c>
      <c r="U931" s="1626">
        <f t="shared" si="539"/>
        <v>2196.9117720389468</v>
      </c>
      <c r="V931" s="1626">
        <f t="shared" si="540"/>
        <v>1925.0882279610528</v>
      </c>
      <c r="W931" s="1625">
        <f t="shared" si="541"/>
        <v>4122</v>
      </c>
      <c r="X931" s="1614"/>
      <c r="Y931" s="1613"/>
      <c r="Z931" s="1612">
        <f t="shared" si="542"/>
        <v>0.58891435070865095</v>
      </c>
      <c r="AA931" s="1611"/>
      <c r="AB931" s="1611"/>
      <c r="AC931" s="1611"/>
      <c r="AD931" s="1611"/>
      <c r="AE931" s="1611"/>
      <c r="AF931" s="1611"/>
      <c r="AG931" s="1611"/>
      <c r="AH931" s="1611"/>
      <c r="AI931" s="1611"/>
      <c r="AJ931" s="1611"/>
      <c r="AK931" s="1611"/>
      <c r="AL931" s="1611"/>
      <c r="AM931" s="1611"/>
      <c r="AN931" s="1611"/>
      <c r="AO931" s="1611"/>
      <c r="AP931" s="1611"/>
      <c r="AQ931" s="1611"/>
    </row>
    <row r="932" spans="1:43" outlineLevel="2">
      <c r="A932" s="1638" t="s">
        <v>340</v>
      </c>
      <c r="B932" s="1637" t="s">
        <v>158</v>
      </c>
      <c r="C932" s="1636"/>
      <c r="D932" s="1635">
        <v>2</v>
      </c>
      <c r="E932" s="1634" t="s">
        <v>891</v>
      </c>
      <c r="F932" s="1633" t="s">
        <v>1067</v>
      </c>
      <c r="G932" s="1632">
        <v>5423.2766820575298</v>
      </c>
      <c r="H932" s="1632">
        <v>3909.15</v>
      </c>
      <c r="I932" s="1630">
        <f t="shared" si="530"/>
        <v>9332.4266820575303</v>
      </c>
      <c r="J932" s="1630">
        <f t="shared" si="531"/>
        <v>18664.853364115061</v>
      </c>
      <c r="K932" s="1631">
        <v>6456</v>
      </c>
      <c r="L932" s="1630">
        <f t="shared" si="532"/>
        <v>6456</v>
      </c>
      <c r="M932" s="1630">
        <f t="shared" si="533"/>
        <v>12912</v>
      </c>
      <c r="N932" s="1625">
        <f t="shared" si="534"/>
        <v>5752.8533641150607</v>
      </c>
      <c r="O932" s="1629">
        <v>0.65010000000000001</v>
      </c>
      <c r="P932" s="1629">
        <v>0.34989999999999999</v>
      </c>
      <c r="Q932" s="1625">
        <f t="shared" si="535"/>
        <v>3739.9299720112008</v>
      </c>
      <c r="R932" s="1628">
        <f t="shared" si="536"/>
        <v>2012.9233921038597</v>
      </c>
      <c r="S932" s="1627">
        <f t="shared" si="537"/>
        <v>7106.6233921038584</v>
      </c>
      <c r="T932" s="1627">
        <f t="shared" si="538"/>
        <v>5805.3766078961407</v>
      </c>
      <c r="U932" s="1626">
        <f t="shared" si="539"/>
        <v>1776.6558480259646</v>
      </c>
      <c r="V932" s="1626">
        <f t="shared" si="540"/>
        <v>1451.3441519740352</v>
      </c>
      <c r="W932" s="1625">
        <f t="shared" si="541"/>
        <v>3228</v>
      </c>
      <c r="X932" s="1614"/>
      <c r="Y932" s="1613"/>
      <c r="Z932" s="1612">
        <f t="shared" si="542"/>
        <v>0.6917814862036118</v>
      </c>
      <c r="AA932" s="1611"/>
      <c r="AB932" s="1611"/>
      <c r="AC932" s="1611"/>
      <c r="AD932" s="1611"/>
      <c r="AE932" s="1611"/>
      <c r="AF932" s="1611"/>
      <c r="AG932" s="1611"/>
      <c r="AH932" s="1611"/>
      <c r="AI932" s="1611"/>
      <c r="AJ932" s="1611"/>
      <c r="AK932" s="1611"/>
      <c r="AL932" s="1611"/>
      <c r="AM932" s="1611"/>
      <c r="AN932" s="1611"/>
      <c r="AO932" s="1611"/>
      <c r="AP932" s="1611"/>
      <c r="AQ932" s="1611"/>
    </row>
    <row r="933" spans="1:43" outlineLevel="2">
      <c r="A933" s="1638" t="s">
        <v>340</v>
      </c>
      <c r="B933" s="1637" t="s">
        <v>158</v>
      </c>
      <c r="C933" s="1636"/>
      <c r="D933" s="1635">
        <v>1</v>
      </c>
      <c r="E933" s="1634" t="s">
        <v>891</v>
      </c>
      <c r="F933" s="1633" t="s">
        <v>1072</v>
      </c>
      <c r="G933" s="1632">
        <v>5423.2766820575298</v>
      </c>
      <c r="H933" s="1632">
        <v>3909.15</v>
      </c>
      <c r="I933" s="1630">
        <f t="shared" si="530"/>
        <v>9332.4266820575303</v>
      </c>
      <c r="J933" s="1630">
        <f t="shared" si="531"/>
        <v>9332.4266820575303</v>
      </c>
      <c r="K933" s="1631">
        <v>6456</v>
      </c>
      <c r="L933" s="1630">
        <f t="shared" si="532"/>
        <v>6456</v>
      </c>
      <c r="M933" s="1630">
        <f t="shared" si="533"/>
        <v>6456</v>
      </c>
      <c r="N933" s="1625">
        <f t="shared" si="534"/>
        <v>2876.4266820575303</v>
      </c>
      <c r="O933" s="1629">
        <v>0.65010000000000001</v>
      </c>
      <c r="P933" s="1629">
        <v>0.34989999999999999</v>
      </c>
      <c r="Q933" s="1625">
        <f t="shared" si="535"/>
        <v>1869.9649860056004</v>
      </c>
      <c r="R933" s="1628">
        <f t="shared" si="536"/>
        <v>1006.4616960519298</v>
      </c>
      <c r="S933" s="1627">
        <f t="shared" si="537"/>
        <v>3553.3116960519292</v>
      </c>
      <c r="T933" s="1627">
        <f t="shared" si="538"/>
        <v>2902.6883039480704</v>
      </c>
      <c r="U933" s="1626">
        <f t="shared" si="539"/>
        <v>888.32792401298229</v>
      </c>
      <c r="V933" s="1626">
        <f t="shared" si="540"/>
        <v>725.67207598701759</v>
      </c>
      <c r="W933" s="1625">
        <f t="shared" si="541"/>
        <v>1614</v>
      </c>
      <c r="X933" s="1614"/>
      <c r="Y933" s="1613"/>
      <c r="Z933" s="1612">
        <f t="shared" si="542"/>
        <v>0.6917814862036118</v>
      </c>
      <c r="AA933" s="1611"/>
      <c r="AB933" s="1611"/>
      <c r="AC933" s="1611"/>
      <c r="AD933" s="1611"/>
      <c r="AE933" s="1611"/>
      <c r="AF933" s="1611"/>
      <c r="AG933" s="1611"/>
      <c r="AH933" s="1611"/>
      <c r="AI933" s="1611"/>
      <c r="AJ933" s="1611"/>
      <c r="AK933" s="1611"/>
      <c r="AL933" s="1611"/>
      <c r="AM933" s="1611"/>
      <c r="AN933" s="1611"/>
      <c r="AO933" s="1611"/>
      <c r="AP933" s="1611"/>
      <c r="AQ933" s="1611"/>
    </row>
    <row r="934" spans="1:43" outlineLevel="2">
      <c r="A934" s="1638" t="s">
        <v>340</v>
      </c>
      <c r="B934" s="1637" t="s">
        <v>158</v>
      </c>
      <c r="C934" s="1636"/>
      <c r="D934" s="1635">
        <v>1</v>
      </c>
      <c r="E934" s="1634" t="s">
        <v>891</v>
      </c>
      <c r="F934" s="1633" t="s">
        <v>1075</v>
      </c>
      <c r="G934" s="1632">
        <v>5423.2766820575298</v>
      </c>
      <c r="H934" s="1632">
        <v>3909.15</v>
      </c>
      <c r="I934" s="1630">
        <f t="shared" si="530"/>
        <v>9332.4266820575303</v>
      </c>
      <c r="J934" s="1630">
        <f t="shared" si="531"/>
        <v>9332.4266820575303</v>
      </c>
      <c r="K934" s="1631">
        <v>6456</v>
      </c>
      <c r="L934" s="1630">
        <f t="shared" si="532"/>
        <v>6456</v>
      </c>
      <c r="M934" s="1630">
        <f t="shared" si="533"/>
        <v>6456</v>
      </c>
      <c r="N934" s="1625">
        <f t="shared" si="534"/>
        <v>2876.4266820575303</v>
      </c>
      <c r="O934" s="1629">
        <v>0.65010000000000001</v>
      </c>
      <c r="P934" s="1629">
        <v>0.34989999999999999</v>
      </c>
      <c r="Q934" s="1625">
        <f t="shared" si="535"/>
        <v>1869.9649860056004</v>
      </c>
      <c r="R934" s="1628">
        <f t="shared" si="536"/>
        <v>1006.4616960519298</v>
      </c>
      <c r="S934" s="1627">
        <f t="shared" si="537"/>
        <v>3553.3116960519292</v>
      </c>
      <c r="T934" s="1627">
        <f t="shared" si="538"/>
        <v>2902.6883039480704</v>
      </c>
      <c r="U934" s="1626">
        <f t="shared" si="539"/>
        <v>888.32792401298229</v>
      </c>
      <c r="V934" s="1626">
        <f t="shared" si="540"/>
        <v>725.67207598701759</v>
      </c>
      <c r="W934" s="1625">
        <f t="shared" si="541"/>
        <v>1614</v>
      </c>
      <c r="X934" s="1614"/>
      <c r="Y934" s="1613"/>
      <c r="Z934" s="1612">
        <f t="shared" si="542"/>
        <v>0.6917814862036118</v>
      </c>
      <c r="AA934" s="1611"/>
      <c r="AB934" s="1611"/>
      <c r="AC934" s="1611"/>
      <c r="AD934" s="1611"/>
      <c r="AE934" s="1611"/>
      <c r="AF934" s="1611"/>
      <c r="AG934" s="1611"/>
      <c r="AH934" s="1611"/>
      <c r="AI934" s="1611"/>
      <c r="AJ934" s="1611"/>
      <c r="AK934" s="1611"/>
      <c r="AL934" s="1611"/>
      <c r="AM934" s="1611"/>
      <c r="AN934" s="1611"/>
      <c r="AO934" s="1611"/>
      <c r="AP934" s="1611"/>
      <c r="AQ934" s="1611"/>
    </row>
    <row r="935" spans="1:43" outlineLevel="2">
      <c r="A935" s="1638" t="s">
        <v>340</v>
      </c>
      <c r="B935" s="1637" t="s">
        <v>158</v>
      </c>
      <c r="C935" s="1636"/>
      <c r="D935" s="1635">
        <v>2</v>
      </c>
      <c r="E935" s="1634" t="s">
        <v>893</v>
      </c>
      <c r="F935" s="1633" t="s">
        <v>1070</v>
      </c>
      <c r="G935" s="1632">
        <v>5423.2766820575298</v>
      </c>
      <c r="H935" s="1632">
        <v>3909.15</v>
      </c>
      <c r="I935" s="1630">
        <f t="shared" si="530"/>
        <v>9332.4266820575303</v>
      </c>
      <c r="J935" s="1630">
        <f t="shared" si="531"/>
        <v>18664.853364115061</v>
      </c>
      <c r="K935" s="1631">
        <v>9300</v>
      </c>
      <c r="L935" s="1630">
        <f t="shared" si="532"/>
        <v>9300</v>
      </c>
      <c r="M935" s="1630">
        <f t="shared" si="533"/>
        <v>18600</v>
      </c>
      <c r="N935" s="1625">
        <f t="shared" si="534"/>
        <v>64.853364115060685</v>
      </c>
      <c r="O935" s="1629">
        <v>0.65010000000000001</v>
      </c>
      <c r="P935" s="1629">
        <v>0.34989999999999999</v>
      </c>
      <c r="Q935" s="1625">
        <f t="shared" si="535"/>
        <v>42.161172011200954</v>
      </c>
      <c r="R935" s="1628">
        <f t="shared" si="536"/>
        <v>22.692192103859732</v>
      </c>
      <c r="S935" s="1627">
        <f t="shared" si="537"/>
        <v>10804.392192103858</v>
      </c>
      <c r="T935" s="1627">
        <f t="shared" si="538"/>
        <v>7795.60780789614</v>
      </c>
      <c r="U935" s="1626">
        <f t="shared" si="539"/>
        <v>2701.0980480259645</v>
      </c>
      <c r="V935" s="1626">
        <f t="shared" si="540"/>
        <v>1948.901951974035</v>
      </c>
      <c r="W935" s="1625">
        <f t="shared" si="541"/>
        <v>4650</v>
      </c>
      <c r="X935" s="1614"/>
      <c r="Y935" s="1613"/>
      <c r="Z935" s="1612">
        <f t="shared" si="542"/>
        <v>0.99652537510743333</v>
      </c>
      <c r="AA935" s="1611"/>
      <c r="AB935" s="1611"/>
      <c r="AC935" s="1611"/>
      <c r="AD935" s="1611"/>
      <c r="AE935" s="1611"/>
      <c r="AF935" s="1611"/>
      <c r="AG935" s="1611"/>
      <c r="AH935" s="1611"/>
      <c r="AI935" s="1611"/>
      <c r="AJ935" s="1611"/>
      <c r="AK935" s="1611"/>
      <c r="AL935" s="1611"/>
      <c r="AM935" s="1611"/>
      <c r="AN935" s="1611"/>
      <c r="AO935" s="1611"/>
      <c r="AP935" s="1611"/>
      <c r="AQ935" s="1611"/>
    </row>
    <row r="936" spans="1:43" outlineLevel="2">
      <c r="A936" s="1638" t="s">
        <v>340</v>
      </c>
      <c r="B936" s="1637" t="s">
        <v>158</v>
      </c>
      <c r="C936" s="1636"/>
      <c r="D936" s="1635">
        <v>3</v>
      </c>
      <c r="E936" s="1634" t="s">
        <v>893</v>
      </c>
      <c r="F936" s="1633" t="s">
        <v>979</v>
      </c>
      <c r="G936" s="1632">
        <v>5423.2766820575298</v>
      </c>
      <c r="H936" s="1632">
        <v>3909.15</v>
      </c>
      <c r="I936" s="1630">
        <f t="shared" si="530"/>
        <v>9332.4266820575303</v>
      </c>
      <c r="J936" s="1630">
        <f t="shared" si="531"/>
        <v>27997.280046172593</v>
      </c>
      <c r="K936" s="1631">
        <v>9300</v>
      </c>
      <c r="L936" s="1630">
        <f t="shared" si="532"/>
        <v>9300</v>
      </c>
      <c r="M936" s="1630">
        <f t="shared" si="533"/>
        <v>27900</v>
      </c>
      <c r="N936" s="1625">
        <f t="shared" si="534"/>
        <v>97.280046172592847</v>
      </c>
      <c r="O936" s="1629">
        <v>0.65010000000000001</v>
      </c>
      <c r="P936" s="1629">
        <v>0.34989999999999999</v>
      </c>
      <c r="Q936" s="1625">
        <f t="shared" si="535"/>
        <v>63.241758016802613</v>
      </c>
      <c r="R936" s="1628">
        <f t="shared" si="536"/>
        <v>34.038288155790234</v>
      </c>
      <c r="S936" s="1627">
        <f t="shared" si="537"/>
        <v>16206.588288155786</v>
      </c>
      <c r="T936" s="1627">
        <f t="shared" si="538"/>
        <v>11693.41171184421</v>
      </c>
      <c r="U936" s="1626">
        <f t="shared" si="539"/>
        <v>4051.6470720389466</v>
      </c>
      <c r="V936" s="1626">
        <f t="shared" si="540"/>
        <v>2923.3529279610525</v>
      </c>
      <c r="W936" s="1625">
        <f t="shared" si="541"/>
        <v>6974.9999999999991</v>
      </c>
      <c r="X936" s="1614"/>
      <c r="Y936" s="1613"/>
      <c r="Z936" s="1612">
        <f t="shared" si="542"/>
        <v>0.99652537510743333</v>
      </c>
      <c r="AA936" s="1611"/>
      <c r="AB936" s="1611"/>
      <c r="AC936" s="1611"/>
      <c r="AD936" s="1611"/>
      <c r="AE936" s="1611"/>
      <c r="AF936" s="1611"/>
      <c r="AG936" s="1611"/>
      <c r="AH936" s="1611"/>
      <c r="AI936" s="1611"/>
      <c r="AJ936" s="1611"/>
      <c r="AK936" s="1611"/>
      <c r="AL936" s="1611"/>
      <c r="AM936" s="1611"/>
      <c r="AN936" s="1611"/>
      <c r="AO936" s="1611"/>
      <c r="AP936" s="1611"/>
      <c r="AQ936" s="1611"/>
    </row>
    <row r="937" spans="1:43" outlineLevel="2">
      <c r="A937" s="1638" t="s">
        <v>340</v>
      </c>
      <c r="B937" s="1637" t="s">
        <v>158</v>
      </c>
      <c r="C937" s="1636"/>
      <c r="D937" s="1635">
        <v>1</v>
      </c>
      <c r="E937" s="1634" t="s">
        <v>895</v>
      </c>
      <c r="F937" s="1633" t="s">
        <v>1066</v>
      </c>
      <c r="G937" s="1632">
        <v>5423.2766820575298</v>
      </c>
      <c r="H937" s="1632">
        <v>3909.15</v>
      </c>
      <c r="I937" s="1630">
        <f t="shared" si="530"/>
        <v>9332.4266820575303</v>
      </c>
      <c r="J937" s="1630">
        <f t="shared" si="531"/>
        <v>9332.4266820575303</v>
      </c>
      <c r="K937" s="1631">
        <v>3695</v>
      </c>
      <c r="L937" s="1630">
        <f t="shared" si="532"/>
        <v>3695</v>
      </c>
      <c r="M937" s="1630">
        <f t="shared" si="533"/>
        <v>3695</v>
      </c>
      <c r="N937" s="1625">
        <f t="shared" si="534"/>
        <v>5637.4266820575303</v>
      </c>
      <c r="O937" s="1629">
        <v>0.65010000000000001</v>
      </c>
      <c r="P937" s="1629">
        <v>0.34989999999999999</v>
      </c>
      <c r="Q937" s="1625">
        <f t="shared" si="535"/>
        <v>3664.8910860056008</v>
      </c>
      <c r="R937" s="1628">
        <f t="shared" si="536"/>
        <v>1972.5355960519298</v>
      </c>
      <c r="S937" s="1627">
        <f t="shared" si="537"/>
        <v>1758.385596051929</v>
      </c>
      <c r="T937" s="1627">
        <f t="shared" si="538"/>
        <v>1936.6144039480703</v>
      </c>
      <c r="U937" s="1626">
        <f t="shared" si="539"/>
        <v>439.59639901298226</v>
      </c>
      <c r="V937" s="1626">
        <f t="shared" si="540"/>
        <v>484.15360098701757</v>
      </c>
      <c r="W937" s="1625">
        <f t="shared" si="541"/>
        <v>923.74999999999977</v>
      </c>
      <c r="X937" s="1614"/>
      <c r="Y937" s="1613"/>
      <c r="Z937" s="1612">
        <f t="shared" si="542"/>
        <v>0.39593131838945872</v>
      </c>
      <c r="AA937" s="1611"/>
      <c r="AB937" s="1611"/>
      <c r="AC937" s="1611"/>
      <c r="AD937" s="1611"/>
      <c r="AE937" s="1611"/>
      <c r="AF937" s="1611"/>
      <c r="AG937" s="1611"/>
      <c r="AH937" s="1611"/>
      <c r="AI937" s="1611"/>
      <c r="AJ937" s="1611"/>
      <c r="AK937" s="1611"/>
      <c r="AL937" s="1611"/>
      <c r="AM937" s="1611"/>
      <c r="AN937" s="1611"/>
      <c r="AO937" s="1611"/>
      <c r="AP937" s="1611"/>
      <c r="AQ937" s="1611"/>
    </row>
    <row r="938" spans="1:43" outlineLevel="2">
      <c r="A938" s="1638" t="s">
        <v>340</v>
      </c>
      <c r="B938" s="1637" t="s">
        <v>158</v>
      </c>
      <c r="C938" s="1636"/>
      <c r="D938" s="1635">
        <v>1</v>
      </c>
      <c r="E938" s="1634" t="s">
        <v>895</v>
      </c>
      <c r="F938" s="1633" t="s">
        <v>1067</v>
      </c>
      <c r="G938" s="1632">
        <v>5423.2766820575298</v>
      </c>
      <c r="H938" s="1632">
        <v>3909.15</v>
      </c>
      <c r="I938" s="1630">
        <f t="shared" si="530"/>
        <v>9332.4266820575303</v>
      </c>
      <c r="J938" s="1630">
        <f t="shared" si="531"/>
        <v>9332.4266820575303</v>
      </c>
      <c r="K938" s="1631">
        <v>3695</v>
      </c>
      <c r="L938" s="1630">
        <f t="shared" si="532"/>
        <v>3695</v>
      </c>
      <c r="M938" s="1630">
        <f t="shared" si="533"/>
        <v>3695</v>
      </c>
      <c r="N938" s="1625">
        <f t="shared" si="534"/>
        <v>5637.4266820575303</v>
      </c>
      <c r="O938" s="1629">
        <v>0.65010000000000001</v>
      </c>
      <c r="P938" s="1629">
        <v>0.34989999999999999</v>
      </c>
      <c r="Q938" s="1625">
        <f t="shared" si="535"/>
        <v>3664.8910860056008</v>
      </c>
      <c r="R938" s="1628">
        <f t="shared" si="536"/>
        <v>1972.5355960519298</v>
      </c>
      <c r="S938" s="1627">
        <f t="shared" si="537"/>
        <v>1758.385596051929</v>
      </c>
      <c r="T938" s="1627">
        <f t="shared" si="538"/>
        <v>1936.6144039480703</v>
      </c>
      <c r="U938" s="1626">
        <f t="shared" si="539"/>
        <v>439.59639901298226</v>
      </c>
      <c r="V938" s="1626">
        <f t="shared" si="540"/>
        <v>484.15360098701757</v>
      </c>
      <c r="W938" s="1625">
        <f t="shared" si="541"/>
        <v>923.74999999999977</v>
      </c>
      <c r="X938" s="1614"/>
      <c r="Y938" s="1613"/>
      <c r="Z938" s="1612">
        <f t="shared" si="542"/>
        <v>0.39593131838945872</v>
      </c>
      <c r="AA938" s="1611"/>
      <c r="AB938" s="1611"/>
      <c r="AC938" s="1611"/>
      <c r="AD938" s="1611"/>
      <c r="AE938" s="1611"/>
      <c r="AF938" s="1611"/>
      <c r="AG938" s="1611"/>
      <c r="AH938" s="1611"/>
      <c r="AI938" s="1611"/>
      <c r="AJ938" s="1611"/>
      <c r="AK938" s="1611"/>
      <c r="AL938" s="1611"/>
      <c r="AM938" s="1611"/>
      <c r="AN938" s="1611"/>
      <c r="AO938" s="1611"/>
      <c r="AP938" s="1611"/>
      <c r="AQ938" s="1611"/>
    </row>
    <row r="939" spans="1:43" outlineLevel="2">
      <c r="A939" s="1638" t="s">
        <v>340</v>
      </c>
      <c r="B939" s="1637" t="s">
        <v>158</v>
      </c>
      <c r="C939" s="1636"/>
      <c r="D939" s="1635">
        <v>1</v>
      </c>
      <c r="E939" s="1634" t="s">
        <v>896</v>
      </c>
      <c r="F939" s="1633" t="s">
        <v>979</v>
      </c>
      <c r="G939" s="1632">
        <v>5423.2766820575298</v>
      </c>
      <c r="H939" s="1632">
        <v>3909.15</v>
      </c>
      <c r="I939" s="1630">
        <f t="shared" si="530"/>
        <v>9332.4266820575303</v>
      </c>
      <c r="J939" s="1630">
        <f t="shared" si="531"/>
        <v>9332.4266820575303</v>
      </c>
      <c r="K939" s="1631">
        <v>5341.95</v>
      </c>
      <c r="L939" s="1630">
        <f t="shared" si="532"/>
        <v>5341.95</v>
      </c>
      <c r="M939" s="1630">
        <f t="shared" si="533"/>
        <v>5341.95</v>
      </c>
      <c r="N939" s="1625">
        <f t="shared" si="534"/>
        <v>3990.4766820575305</v>
      </c>
      <c r="O939" s="1629">
        <v>0.65010000000000001</v>
      </c>
      <c r="P939" s="1629">
        <v>0.34989999999999999</v>
      </c>
      <c r="Q939" s="1625">
        <f t="shared" si="535"/>
        <v>2594.2088910056004</v>
      </c>
      <c r="R939" s="1628">
        <f t="shared" si="536"/>
        <v>1396.2677910519299</v>
      </c>
      <c r="S939" s="1627">
        <f t="shared" si="537"/>
        <v>2829.0677910519294</v>
      </c>
      <c r="T939" s="1627">
        <f t="shared" si="538"/>
        <v>2512.88220894807</v>
      </c>
      <c r="U939" s="1626">
        <f t="shared" si="539"/>
        <v>707.26694776298234</v>
      </c>
      <c r="V939" s="1626">
        <f t="shared" si="540"/>
        <v>628.2205522370175</v>
      </c>
      <c r="W939" s="1625">
        <f t="shared" si="541"/>
        <v>1335.4874999999997</v>
      </c>
      <c r="X939" s="1614"/>
      <c r="Y939" s="1613"/>
      <c r="Z939" s="1612">
        <f t="shared" si="542"/>
        <v>0.57240739005969388</v>
      </c>
      <c r="AA939" s="1611"/>
      <c r="AB939" s="1611"/>
      <c r="AC939" s="1611"/>
      <c r="AD939" s="1611"/>
      <c r="AE939" s="1611"/>
      <c r="AF939" s="1611"/>
      <c r="AG939" s="1611"/>
      <c r="AH939" s="1611"/>
      <c r="AI939" s="1611"/>
      <c r="AJ939" s="1611"/>
      <c r="AK939" s="1611"/>
      <c r="AL939" s="1611"/>
      <c r="AM939" s="1611"/>
      <c r="AN939" s="1611"/>
      <c r="AO939" s="1611"/>
      <c r="AP939" s="1611"/>
      <c r="AQ939" s="1611"/>
    </row>
    <row r="940" spans="1:43" outlineLevel="2">
      <c r="A940" s="1638" t="s">
        <v>340</v>
      </c>
      <c r="B940" s="1637" t="s">
        <v>158</v>
      </c>
      <c r="C940" s="1636"/>
      <c r="D940" s="1635">
        <v>1</v>
      </c>
      <c r="E940" s="1634" t="s">
        <v>892</v>
      </c>
      <c r="F940" s="1633" t="s">
        <v>1071</v>
      </c>
      <c r="G940" s="1632">
        <v>5423.2766820575298</v>
      </c>
      <c r="H940" s="1632">
        <v>3909.15</v>
      </c>
      <c r="I940" s="1630">
        <f t="shared" si="530"/>
        <v>9332.4266820575303</v>
      </c>
      <c r="J940" s="1630">
        <f t="shared" si="531"/>
        <v>9332.4266820575303</v>
      </c>
      <c r="K940" s="1631">
        <v>7250</v>
      </c>
      <c r="L940" s="1630">
        <f t="shared" si="532"/>
        <v>7250</v>
      </c>
      <c r="M940" s="1630">
        <f t="shared" si="533"/>
        <v>7250</v>
      </c>
      <c r="N940" s="1625">
        <f t="shared" si="534"/>
        <v>2082.4266820575303</v>
      </c>
      <c r="O940" s="1629">
        <v>0.65010000000000001</v>
      </c>
      <c r="P940" s="1629">
        <v>0.34989999999999999</v>
      </c>
      <c r="Q940" s="1625">
        <f t="shared" si="535"/>
        <v>1353.7855860056004</v>
      </c>
      <c r="R940" s="1628">
        <f t="shared" si="536"/>
        <v>728.64109605192982</v>
      </c>
      <c r="S940" s="1627">
        <f t="shared" si="537"/>
        <v>4069.4910960519292</v>
      </c>
      <c r="T940" s="1627">
        <f t="shared" si="538"/>
        <v>3180.5089039480704</v>
      </c>
      <c r="U940" s="1626">
        <f t="shared" si="539"/>
        <v>1017.3727740129823</v>
      </c>
      <c r="V940" s="1626">
        <f t="shared" si="540"/>
        <v>795.1272259870176</v>
      </c>
      <c r="W940" s="1625">
        <f t="shared" si="541"/>
        <v>1812.5</v>
      </c>
      <c r="X940" s="1614"/>
      <c r="Y940" s="1613"/>
      <c r="Z940" s="1612">
        <f t="shared" si="542"/>
        <v>0.77686117951923572</v>
      </c>
      <c r="AA940" s="1611"/>
      <c r="AB940" s="1611"/>
      <c r="AC940" s="1611"/>
      <c r="AD940" s="1611"/>
      <c r="AE940" s="1611"/>
      <c r="AF940" s="1611"/>
      <c r="AG940" s="1611"/>
      <c r="AH940" s="1611"/>
      <c r="AI940" s="1611"/>
      <c r="AJ940" s="1611"/>
      <c r="AK940" s="1611"/>
      <c r="AL940" s="1611"/>
      <c r="AM940" s="1611"/>
      <c r="AN940" s="1611"/>
      <c r="AO940" s="1611"/>
      <c r="AP940" s="1611"/>
      <c r="AQ940" s="1611"/>
    </row>
    <row r="941" spans="1:43" outlineLevel="1">
      <c r="A941" s="1624"/>
      <c r="B941" s="1623" t="s">
        <v>1074</v>
      </c>
      <c r="C941" s="1622"/>
      <c r="D941" s="1621">
        <f>SUBTOTAL(9,D926:D940)</f>
        <v>41</v>
      </c>
      <c r="E941" s="1620"/>
      <c r="F941" s="1639"/>
      <c r="G941" s="1639"/>
      <c r="H941" s="1639"/>
      <c r="I941" s="1616"/>
      <c r="J941" s="1616">
        <f>SUBTOTAL(9,J926:J940)</f>
        <v>382629.49396435893</v>
      </c>
      <c r="K941" s="1615"/>
      <c r="L941" s="1616"/>
      <c r="M941" s="1616">
        <f>SUBTOTAL(9,M926:M940)</f>
        <v>222543.95</v>
      </c>
      <c r="N941" s="1615">
        <f>SUBTOTAL(9,N926:N940)</f>
        <v>160085.54396435872</v>
      </c>
      <c r="O941" s="1616"/>
      <c r="P941" s="1616"/>
      <c r="Q941" s="1615">
        <f t="shared" ref="Q941:W941" si="543">SUBTOTAL(9,Q926:Q940)</f>
        <v>104071.61213122962</v>
      </c>
      <c r="R941" s="1615">
        <f t="shared" si="543"/>
        <v>56013.931833129114</v>
      </c>
      <c r="S941" s="1616">
        <f t="shared" si="543"/>
        <v>118282.73183312909</v>
      </c>
      <c r="T941" s="1616">
        <f t="shared" si="543"/>
        <v>104261.21816687088</v>
      </c>
      <c r="U941" s="1616">
        <f t="shared" si="543"/>
        <v>29570.682958282272</v>
      </c>
      <c r="V941" s="1616">
        <f t="shared" si="543"/>
        <v>26065.30454171772</v>
      </c>
      <c r="W941" s="1615">
        <f t="shared" si="543"/>
        <v>55635.987499999996</v>
      </c>
      <c r="X941" s="1614"/>
      <c r="Y941" s="1613"/>
      <c r="Z941" s="1612"/>
      <c r="AA941" s="1611"/>
      <c r="AB941" s="1611"/>
      <c r="AC941" s="1611"/>
      <c r="AD941" s="1611"/>
      <c r="AE941" s="1611"/>
      <c r="AF941" s="1611"/>
      <c r="AG941" s="1611"/>
      <c r="AH941" s="1611"/>
      <c r="AI941" s="1611"/>
      <c r="AJ941" s="1611"/>
      <c r="AK941" s="1611"/>
      <c r="AL941" s="1611"/>
      <c r="AM941" s="1611"/>
      <c r="AN941" s="1611"/>
      <c r="AO941" s="1611"/>
      <c r="AP941" s="1611"/>
      <c r="AQ941" s="1611"/>
    </row>
    <row r="942" spans="1:43" outlineLevel="2">
      <c r="A942" s="1638" t="s">
        <v>341</v>
      </c>
      <c r="B942" s="1637" t="s">
        <v>159</v>
      </c>
      <c r="C942" s="1636"/>
      <c r="D942" s="1635">
        <v>3</v>
      </c>
      <c r="E942" s="1634" t="s">
        <v>890</v>
      </c>
      <c r="F942" s="1633" t="s">
        <v>1069</v>
      </c>
      <c r="G942" s="1632">
        <v>7104.1577492257629</v>
      </c>
      <c r="H942" s="1632">
        <v>3697.32</v>
      </c>
      <c r="I942" s="1630">
        <f>G942+H942</f>
        <v>10801.477749225764</v>
      </c>
      <c r="J942" s="1630">
        <f>D942*I942</f>
        <v>32404.433247677291</v>
      </c>
      <c r="K942" s="1631">
        <v>4509.5</v>
      </c>
      <c r="L942" s="1630">
        <f>IF(I942&gt;K942,K942,I942)</f>
        <v>4509.5</v>
      </c>
      <c r="M942" s="1630">
        <f>L942*D942</f>
        <v>13528.5</v>
      </c>
      <c r="N942" s="1625">
        <f>J942-M942</f>
        <v>18875.933247677291</v>
      </c>
      <c r="O942" s="1629">
        <v>0.74560000000000004</v>
      </c>
      <c r="P942" s="1629">
        <v>0.25440000000000002</v>
      </c>
      <c r="Q942" s="1625">
        <f>N942*O942</f>
        <v>14073.895829468189</v>
      </c>
      <c r="R942" s="1628">
        <f>N942*P942</f>
        <v>4802.0374182091027</v>
      </c>
      <c r="S942" s="1627">
        <f>(G942*D942)-Q942</f>
        <v>7238.5774182090991</v>
      </c>
      <c r="T942" s="1627">
        <f>(H942*D942)-R942</f>
        <v>6289.9225817908982</v>
      </c>
      <c r="U942" s="1626">
        <f t="shared" ref="U942:V946" si="544">S942/4</f>
        <v>1809.6443545522748</v>
      </c>
      <c r="V942" s="1626">
        <f t="shared" si="544"/>
        <v>1572.4806454477246</v>
      </c>
      <c r="W942" s="1625">
        <f>V942+U942</f>
        <v>3382.1249999999991</v>
      </c>
      <c r="X942" s="1614"/>
      <c r="Y942" s="1613"/>
      <c r="Z942" s="1612">
        <f>K942/I942</f>
        <v>0.4174891718240345</v>
      </c>
      <c r="AA942" s="1611"/>
      <c r="AB942" s="1611"/>
      <c r="AC942" s="1611"/>
      <c r="AD942" s="1611"/>
      <c r="AE942" s="1611"/>
      <c r="AF942" s="1611"/>
      <c r="AG942" s="1611"/>
      <c r="AH942" s="1611"/>
      <c r="AI942" s="1611"/>
      <c r="AJ942" s="1611"/>
      <c r="AK942" s="1611"/>
      <c r="AL942" s="1611"/>
      <c r="AM942" s="1611"/>
      <c r="AN942" s="1611"/>
      <c r="AO942" s="1611"/>
      <c r="AP942" s="1611"/>
      <c r="AQ942" s="1611"/>
    </row>
    <row r="943" spans="1:43" outlineLevel="2">
      <c r="A943" s="1638" t="s">
        <v>341</v>
      </c>
      <c r="B943" s="1637" t="s">
        <v>159</v>
      </c>
      <c r="C943" s="1636"/>
      <c r="D943" s="1635">
        <v>2</v>
      </c>
      <c r="E943" s="1634" t="s">
        <v>890</v>
      </c>
      <c r="F943" s="1633" t="s">
        <v>979</v>
      </c>
      <c r="G943" s="1632">
        <v>7104.1577492257629</v>
      </c>
      <c r="H943" s="1632">
        <v>3697.32</v>
      </c>
      <c r="I943" s="1630">
        <f>G943+H943</f>
        <v>10801.477749225764</v>
      </c>
      <c r="J943" s="1630">
        <f>D943*I943</f>
        <v>21602.955498451527</v>
      </c>
      <c r="K943" s="1631">
        <v>4509.5</v>
      </c>
      <c r="L943" s="1630">
        <f>IF(I943&gt;K943,K943,I943)</f>
        <v>4509.5</v>
      </c>
      <c r="M943" s="1630">
        <f>L943*D943</f>
        <v>9019</v>
      </c>
      <c r="N943" s="1625">
        <f>J943-M943</f>
        <v>12583.955498451527</v>
      </c>
      <c r="O943" s="1629">
        <v>0.74560000000000004</v>
      </c>
      <c r="P943" s="1629">
        <v>0.25440000000000002</v>
      </c>
      <c r="Q943" s="1625">
        <f>N943*O943</f>
        <v>9382.5972196454586</v>
      </c>
      <c r="R943" s="1628">
        <f>N943*P943</f>
        <v>3201.3582788060685</v>
      </c>
      <c r="S943" s="1627">
        <f>(G943*D943)-Q943</f>
        <v>4825.7182788060672</v>
      </c>
      <c r="T943" s="1627">
        <f>(H943*D943)-R943</f>
        <v>4193.2817211939318</v>
      </c>
      <c r="U943" s="1626">
        <f t="shared" si="544"/>
        <v>1206.4295697015168</v>
      </c>
      <c r="V943" s="1626">
        <f t="shared" si="544"/>
        <v>1048.320430298483</v>
      </c>
      <c r="W943" s="1625">
        <f>V943+U943</f>
        <v>2254.75</v>
      </c>
      <c r="X943" s="1614"/>
      <c r="Y943" s="1613"/>
      <c r="Z943" s="1612">
        <f>K943/I943</f>
        <v>0.4174891718240345</v>
      </c>
      <c r="AA943" s="1611"/>
      <c r="AB943" s="1611"/>
      <c r="AC943" s="1611"/>
      <c r="AD943" s="1611"/>
      <c r="AE943" s="1611"/>
      <c r="AF943" s="1611"/>
      <c r="AG943" s="1611"/>
      <c r="AH943" s="1611"/>
      <c r="AI943" s="1611"/>
      <c r="AJ943" s="1611"/>
      <c r="AK943" s="1611"/>
      <c r="AL943" s="1611"/>
      <c r="AM943" s="1611"/>
      <c r="AN943" s="1611"/>
      <c r="AO943" s="1611"/>
      <c r="AP943" s="1611"/>
      <c r="AQ943" s="1611"/>
    </row>
    <row r="944" spans="1:43" outlineLevel="2">
      <c r="A944" s="1638" t="s">
        <v>341</v>
      </c>
      <c r="B944" s="1637" t="s">
        <v>159</v>
      </c>
      <c r="C944" s="1636"/>
      <c r="D944" s="1635">
        <v>1</v>
      </c>
      <c r="E944" s="1634" t="s">
        <v>889</v>
      </c>
      <c r="F944" s="1633" t="s">
        <v>1069</v>
      </c>
      <c r="G944" s="1632">
        <v>7104.1577492257629</v>
      </c>
      <c r="H944" s="1632">
        <v>3697.32</v>
      </c>
      <c r="I944" s="1630">
        <f>G944+H944</f>
        <v>10801.477749225764</v>
      </c>
      <c r="J944" s="1630">
        <f>D944*I944</f>
        <v>10801.477749225764</v>
      </c>
      <c r="K944" s="1631">
        <v>8745</v>
      </c>
      <c r="L944" s="1630">
        <f>IF(I944&gt;K944,K944,I944)</f>
        <v>8745</v>
      </c>
      <c r="M944" s="1630">
        <f>L944*D944</f>
        <v>8745</v>
      </c>
      <c r="N944" s="1625">
        <f>J944-M944</f>
        <v>2056.4777492257635</v>
      </c>
      <c r="O944" s="1629">
        <v>0.74560000000000004</v>
      </c>
      <c r="P944" s="1629">
        <v>0.25440000000000002</v>
      </c>
      <c r="Q944" s="1625">
        <f>N944*O944</f>
        <v>1533.3098098227294</v>
      </c>
      <c r="R944" s="1628">
        <f>N944*P944</f>
        <v>523.16793940303432</v>
      </c>
      <c r="S944" s="1627">
        <f>(G944*D944)-Q944</f>
        <v>5570.8479394030337</v>
      </c>
      <c r="T944" s="1627">
        <f>(H944*D944)-R944</f>
        <v>3174.1520605969658</v>
      </c>
      <c r="U944" s="1626">
        <f t="shared" si="544"/>
        <v>1392.7119848507584</v>
      </c>
      <c r="V944" s="1626">
        <f t="shared" si="544"/>
        <v>793.53801514924146</v>
      </c>
      <c r="W944" s="1625">
        <f>V944+U944</f>
        <v>2186.25</v>
      </c>
      <c r="X944" s="1614"/>
      <c r="Y944" s="1613"/>
      <c r="Z944" s="1612">
        <f>K944/I944</f>
        <v>0.80961144419584907</v>
      </c>
      <c r="AA944" s="1611"/>
      <c r="AB944" s="1611"/>
      <c r="AC944" s="1611"/>
      <c r="AD944" s="1611"/>
      <c r="AE944" s="1611"/>
      <c r="AF944" s="1611"/>
      <c r="AG944" s="1611"/>
      <c r="AH944" s="1611"/>
      <c r="AI944" s="1611"/>
      <c r="AJ944" s="1611"/>
      <c r="AK944" s="1611"/>
      <c r="AL944" s="1611"/>
      <c r="AM944" s="1611"/>
      <c r="AN944" s="1611"/>
      <c r="AO944" s="1611"/>
      <c r="AP944" s="1611"/>
      <c r="AQ944" s="1611"/>
    </row>
    <row r="945" spans="1:43" outlineLevel="2">
      <c r="A945" s="1638" t="s">
        <v>341</v>
      </c>
      <c r="B945" s="1637" t="s">
        <v>159</v>
      </c>
      <c r="C945" s="1636"/>
      <c r="D945" s="1635">
        <v>2</v>
      </c>
      <c r="E945" s="1634" t="s">
        <v>889</v>
      </c>
      <c r="F945" s="1633" t="s">
        <v>1071</v>
      </c>
      <c r="G945" s="1632">
        <v>7104.1577492257629</v>
      </c>
      <c r="H945" s="1632">
        <v>3697.32</v>
      </c>
      <c r="I945" s="1630">
        <f>G945+H945</f>
        <v>10801.477749225764</v>
      </c>
      <c r="J945" s="1630">
        <f>D945*I945</f>
        <v>21602.955498451527</v>
      </c>
      <c r="K945" s="1631">
        <v>8745</v>
      </c>
      <c r="L945" s="1630">
        <f>IF(I945&gt;K945,K945,I945)</f>
        <v>8745</v>
      </c>
      <c r="M945" s="1630">
        <f>L945*D945</f>
        <v>17490</v>
      </c>
      <c r="N945" s="1625">
        <f>J945-M945</f>
        <v>4112.9554984515271</v>
      </c>
      <c r="O945" s="1629">
        <v>0.74560000000000004</v>
      </c>
      <c r="P945" s="1629">
        <v>0.25440000000000002</v>
      </c>
      <c r="Q945" s="1625">
        <f>N945*O945</f>
        <v>3066.6196196454589</v>
      </c>
      <c r="R945" s="1628">
        <f>N945*P945</f>
        <v>1046.3358788060686</v>
      </c>
      <c r="S945" s="1627">
        <f>(G945*D945)-Q945</f>
        <v>11141.695878806067</v>
      </c>
      <c r="T945" s="1627">
        <f>(H945*D945)-R945</f>
        <v>6348.3041211939317</v>
      </c>
      <c r="U945" s="1626">
        <f t="shared" si="544"/>
        <v>2785.4239697015169</v>
      </c>
      <c r="V945" s="1626">
        <f t="shared" si="544"/>
        <v>1587.0760302984829</v>
      </c>
      <c r="W945" s="1625">
        <f>V945+U945</f>
        <v>4372.5</v>
      </c>
      <c r="X945" s="1614"/>
      <c r="Y945" s="1613"/>
      <c r="Z945" s="1612">
        <f>K945/I945</f>
        <v>0.80961144419584907</v>
      </c>
      <c r="AA945" s="1611"/>
      <c r="AB945" s="1611"/>
      <c r="AC945" s="1611"/>
      <c r="AD945" s="1611"/>
      <c r="AE945" s="1611"/>
      <c r="AF945" s="1611"/>
      <c r="AG945" s="1611"/>
      <c r="AH945" s="1611"/>
      <c r="AI945" s="1611"/>
      <c r="AJ945" s="1611"/>
      <c r="AK945" s="1611"/>
      <c r="AL945" s="1611"/>
      <c r="AM945" s="1611"/>
      <c r="AN945" s="1611"/>
      <c r="AO945" s="1611"/>
      <c r="AP945" s="1611"/>
      <c r="AQ945" s="1611"/>
    </row>
    <row r="946" spans="1:43" outlineLevel="2">
      <c r="A946" s="1638" t="s">
        <v>341</v>
      </c>
      <c r="B946" s="1637" t="s">
        <v>159</v>
      </c>
      <c r="C946" s="1636"/>
      <c r="D946" s="1635">
        <v>1</v>
      </c>
      <c r="E946" s="1634" t="s">
        <v>889</v>
      </c>
      <c r="F946" s="1633" t="s">
        <v>1064</v>
      </c>
      <c r="G946" s="1632">
        <v>7104.1577492257629</v>
      </c>
      <c r="H946" s="1632">
        <v>3697.32</v>
      </c>
      <c r="I946" s="1630">
        <f>G946+H946</f>
        <v>10801.477749225764</v>
      </c>
      <c r="J946" s="1630">
        <f>D946*I946</f>
        <v>10801.477749225764</v>
      </c>
      <c r="K946" s="1631">
        <v>8745</v>
      </c>
      <c r="L946" s="1630">
        <f>IF(I946&gt;K946,K946,I946)</f>
        <v>8745</v>
      </c>
      <c r="M946" s="1630">
        <f>L946*D946</f>
        <v>8745</v>
      </c>
      <c r="N946" s="1625">
        <f>J946-M946</f>
        <v>2056.4777492257635</v>
      </c>
      <c r="O946" s="1629">
        <v>0.74560000000000004</v>
      </c>
      <c r="P946" s="1629">
        <v>0.25440000000000002</v>
      </c>
      <c r="Q946" s="1625">
        <f>N946*O946</f>
        <v>1533.3098098227294</v>
      </c>
      <c r="R946" s="1628">
        <f>N946*P946</f>
        <v>523.16793940303432</v>
      </c>
      <c r="S946" s="1627">
        <f>(G946*D946)-Q946</f>
        <v>5570.8479394030337</v>
      </c>
      <c r="T946" s="1627">
        <f>(H946*D946)-R946</f>
        <v>3174.1520605969658</v>
      </c>
      <c r="U946" s="1626">
        <f t="shared" si="544"/>
        <v>1392.7119848507584</v>
      </c>
      <c r="V946" s="1626">
        <f t="shared" si="544"/>
        <v>793.53801514924146</v>
      </c>
      <c r="W946" s="1625">
        <f>V946+U946</f>
        <v>2186.25</v>
      </c>
      <c r="X946" s="1614"/>
      <c r="Y946" s="1613"/>
      <c r="Z946" s="1612">
        <f>K946/I946</f>
        <v>0.80961144419584907</v>
      </c>
      <c r="AA946" s="1611"/>
      <c r="AB946" s="1611"/>
      <c r="AC946" s="1611"/>
      <c r="AD946" s="1611"/>
      <c r="AE946" s="1611"/>
      <c r="AF946" s="1611"/>
      <c r="AG946" s="1611"/>
      <c r="AH946" s="1611"/>
      <c r="AI946" s="1611"/>
      <c r="AJ946" s="1611"/>
      <c r="AK946" s="1611"/>
      <c r="AL946" s="1611"/>
      <c r="AM946" s="1611"/>
      <c r="AN946" s="1611"/>
      <c r="AO946" s="1611"/>
      <c r="AP946" s="1611"/>
      <c r="AQ946" s="1611"/>
    </row>
    <row r="947" spans="1:43" outlineLevel="1">
      <c r="A947" s="1624"/>
      <c r="B947" s="1623" t="s">
        <v>1073</v>
      </c>
      <c r="C947" s="1622"/>
      <c r="D947" s="1621">
        <f>SUBTOTAL(9,D942:D946)</f>
        <v>9</v>
      </c>
      <c r="E947" s="1620"/>
      <c r="F947" s="1639"/>
      <c r="G947" s="1639"/>
      <c r="H947" s="1639"/>
      <c r="I947" s="1616"/>
      <c r="J947" s="1616">
        <f>SUBTOTAL(9,J942:J946)</f>
        <v>97213.299743031879</v>
      </c>
      <c r="K947" s="1615"/>
      <c r="L947" s="1616"/>
      <c r="M947" s="1616">
        <f>SUBTOTAL(9,M942:M946)</f>
        <v>57527.5</v>
      </c>
      <c r="N947" s="1615">
        <f>SUBTOTAL(9,N942:N946)</f>
        <v>39685.799743031872</v>
      </c>
      <c r="O947" s="1616"/>
      <c r="P947" s="1616"/>
      <c r="Q947" s="1615">
        <f t="shared" ref="Q947:W947" si="545">SUBTOTAL(9,Q942:Q946)</f>
        <v>29589.732288404568</v>
      </c>
      <c r="R947" s="1615">
        <f t="shared" si="545"/>
        <v>10096.067454627309</v>
      </c>
      <c r="S947" s="1616">
        <f t="shared" si="545"/>
        <v>34347.687454627303</v>
      </c>
      <c r="T947" s="1616">
        <f t="shared" si="545"/>
        <v>23179.812545372693</v>
      </c>
      <c r="U947" s="1616">
        <f t="shared" si="545"/>
        <v>8586.9218636568257</v>
      </c>
      <c r="V947" s="1616">
        <f t="shared" si="545"/>
        <v>5794.9531363431734</v>
      </c>
      <c r="W947" s="1615">
        <f t="shared" si="545"/>
        <v>14381.875</v>
      </c>
      <c r="X947" s="1614"/>
      <c r="Y947" s="1613"/>
      <c r="Z947" s="1612"/>
      <c r="AA947" s="1611"/>
      <c r="AB947" s="1611"/>
      <c r="AC947" s="1611"/>
      <c r="AD947" s="1611"/>
      <c r="AE947" s="1611"/>
      <c r="AF947" s="1611"/>
      <c r="AG947" s="1611"/>
      <c r="AH947" s="1611"/>
      <c r="AI947" s="1611"/>
      <c r="AJ947" s="1611"/>
      <c r="AK947" s="1611"/>
      <c r="AL947" s="1611"/>
      <c r="AM947" s="1611"/>
      <c r="AN947" s="1611"/>
      <c r="AO947" s="1611"/>
      <c r="AP947" s="1611"/>
      <c r="AQ947" s="1611"/>
    </row>
    <row r="948" spans="1:43" outlineLevel="2">
      <c r="A948" s="1638" t="s">
        <v>342</v>
      </c>
      <c r="B948" s="1637" t="s">
        <v>30</v>
      </c>
      <c r="C948" s="1636"/>
      <c r="D948" s="1635">
        <v>1</v>
      </c>
      <c r="E948" s="1634" t="s">
        <v>884</v>
      </c>
      <c r="F948" s="1633" t="s">
        <v>1072</v>
      </c>
      <c r="G948" s="1632">
        <v>6799.3597271941899</v>
      </c>
      <c r="H948" s="1632">
        <v>2759.34</v>
      </c>
      <c r="I948" s="1630">
        <f t="shared" ref="I948:I973" si="546">G948+H948</f>
        <v>9558.6997271941909</v>
      </c>
      <c r="J948" s="1630">
        <f t="shared" ref="J948:J973" si="547">D948*I948</f>
        <v>9558.6997271941909</v>
      </c>
      <c r="K948" s="1631">
        <v>8421</v>
      </c>
      <c r="L948" s="1630">
        <f t="shared" ref="L948:L973" si="548">IF(I948&gt;K948,K948,I948)</f>
        <v>8421</v>
      </c>
      <c r="M948" s="1630">
        <f t="shared" ref="M948:M973" si="549">L948*D948</f>
        <v>8421</v>
      </c>
      <c r="N948" s="1625">
        <f t="shared" ref="N948:N973" si="550">J948-M948</f>
        <v>1137.6997271941909</v>
      </c>
      <c r="O948" s="1629">
        <v>0.80510000000000004</v>
      </c>
      <c r="P948" s="1629">
        <v>0.19489999999999999</v>
      </c>
      <c r="Q948" s="1625">
        <f t="shared" ref="Q948:Q973" si="551">N948*O948</f>
        <v>915.96205036404319</v>
      </c>
      <c r="R948" s="1628">
        <f t="shared" ref="R948:R973" si="552">N948*P948</f>
        <v>221.73767683014779</v>
      </c>
      <c r="S948" s="1627">
        <f t="shared" ref="S948:S973" si="553">(G948*D948)-Q948</f>
        <v>5883.3976768301463</v>
      </c>
      <c r="T948" s="1627">
        <f t="shared" ref="T948:T973" si="554">(H948*D948)-R948</f>
        <v>2537.6023231698523</v>
      </c>
      <c r="U948" s="1626">
        <f t="shared" ref="U948:U973" si="555">S948/4</f>
        <v>1470.8494192075366</v>
      </c>
      <c r="V948" s="1626">
        <f t="shared" ref="V948:V973" si="556">T948/4</f>
        <v>634.40058079246307</v>
      </c>
      <c r="W948" s="1625">
        <f t="shared" ref="W948:W973" si="557">V948+U948</f>
        <v>2105.2499999999995</v>
      </c>
      <c r="X948" s="1614"/>
      <c r="Y948" s="1613"/>
      <c r="Z948" s="1612">
        <f t="shared" ref="Z948:Z973" si="558">K948/I948</f>
        <v>0.88097756392980187</v>
      </c>
      <c r="AA948" s="1611"/>
      <c r="AB948" s="1611"/>
      <c r="AC948" s="1611"/>
      <c r="AD948" s="1611"/>
      <c r="AE948" s="1611"/>
      <c r="AF948" s="1611"/>
      <c r="AG948" s="1611"/>
      <c r="AH948" s="1611"/>
      <c r="AI948" s="1611"/>
      <c r="AJ948" s="1611"/>
      <c r="AK948" s="1611"/>
      <c r="AL948" s="1611"/>
      <c r="AM948" s="1611"/>
      <c r="AN948" s="1611"/>
      <c r="AO948" s="1611"/>
      <c r="AP948" s="1611"/>
      <c r="AQ948" s="1611"/>
    </row>
    <row r="949" spans="1:43" outlineLevel="2">
      <c r="A949" s="1638" t="s">
        <v>342</v>
      </c>
      <c r="B949" s="1637" t="s">
        <v>30</v>
      </c>
      <c r="C949" s="1636"/>
      <c r="D949" s="1635">
        <v>2</v>
      </c>
      <c r="E949" s="1634" t="s">
        <v>880</v>
      </c>
      <c r="F949" s="1633" t="s">
        <v>1068</v>
      </c>
      <c r="G949" s="1632">
        <v>6799.3597271941899</v>
      </c>
      <c r="H949" s="1632">
        <v>2759.34</v>
      </c>
      <c r="I949" s="1630">
        <f t="shared" si="546"/>
        <v>9558.6997271941909</v>
      </c>
      <c r="J949" s="1630">
        <f t="shared" si="547"/>
        <v>19117.399454388382</v>
      </c>
      <c r="K949" s="1631">
        <v>4130</v>
      </c>
      <c r="L949" s="1630">
        <f t="shared" si="548"/>
        <v>4130</v>
      </c>
      <c r="M949" s="1630">
        <f t="shared" si="549"/>
        <v>8260</v>
      </c>
      <c r="N949" s="1625">
        <f t="shared" si="550"/>
        <v>10857.399454388382</v>
      </c>
      <c r="O949" s="1629">
        <v>0.80510000000000004</v>
      </c>
      <c r="P949" s="1629">
        <v>0.19489999999999999</v>
      </c>
      <c r="Q949" s="1625">
        <f t="shared" si="551"/>
        <v>8741.292300728086</v>
      </c>
      <c r="R949" s="1628">
        <f t="shared" si="552"/>
        <v>2116.1071536602954</v>
      </c>
      <c r="S949" s="1627">
        <f t="shared" si="553"/>
        <v>4857.4271536602937</v>
      </c>
      <c r="T949" s="1627">
        <f t="shared" si="554"/>
        <v>3402.5728463397049</v>
      </c>
      <c r="U949" s="1626">
        <f t="shared" si="555"/>
        <v>1214.3567884150734</v>
      </c>
      <c r="V949" s="1626">
        <f t="shared" si="556"/>
        <v>850.64321158492623</v>
      </c>
      <c r="W949" s="1625">
        <f t="shared" si="557"/>
        <v>2064.9999999999995</v>
      </c>
      <c r="X949" s="1614"/>
      <c r="Y949" s="1613"/>
      <c r="Z949" s="1612">
        <f t="shared" si="558"/>
        <v>0.43206713442941241</v>
      </c>
      <c r="AA949" s="1611"/>
      <c r="AB949" s="1611"/>
      <c r="AC949" s="1611"/>
      <c r="AD949" s="1611"/>
      <c r="AE949" s="1611"/>
      <c r="AF949" s="1611"/>
      <c r="AG949" s="1611"/>
      <c r="AH949" s="1611"/>
      <c r="AI949" s="1611"/>
      <c r="AJ949" s="1611"/>
      <c r="AK949" s="1611"/>
      <c r="AL949" s="1611"/>
      <c r="AM949" s="1611"/>
      <c r="AN949" s="1611"/>
      <c r="AO949" s="1611"/>
      <c r="AP949" s="1611"/>
      <c r="AQ949" s="1611"/>
    </row>
    <row r="950" spans="1:43" outlineLevel="2">
      <c r="A950" s="1638" t="s">
        <v>342</v>
      </c>
      <c r="B950" s="1637" t="s">
        <v>30</v>
      </c>
      <c r="C950" s="1636"/>
      <c r="D950" s="1635">
        <v>1</v>
      </c>
      <c r="E950" s="1634" t="s">
        <v>880</v>
      </c>
      <c r="F950" s="1633" t="s">
        <v>1071</v>
      </c>
      <c r="G950" s="1632">
        <v>6799.3597271941899</v>
      </c>
      <c r="H950" s="1632">
        <v>2759.34</v>
      </c>
      <c r="I950" s="1630">
        <f t="shared" si="546"/>
        <v>9558.6997271941909</v>
      </c>
      <c r="J950" s="1630">
        <f t="shared" si="547"/>
        <v>9558.6997271941909</v>
      </c>
      <c r="K950" s="1631">
        <v>4130</v>
      </c>
      <c r="L950" s="1630">
        <f t="shared" si="548"/>
        <v>4130</v>
      </c>
      <c r="M950" s="1630">
        <f t="shared" si="549"/>
        <v>4130</v>
      </c>
      <c r="N950" s="1625">
        <f t="shared" si="550"/>
        <v>5428.6997271941909</v>
      </c>
      <c r="O950" s="1629">
        <v>0.80510000000000004</v>
      </c>
      <c r="P950" s="1629">
        <v>0.19489999999999999</v>
      </c>
      <c r="Q950" s="1625">
        <f t="shared" si="551"/>
        <v>4370.646150364043</v>
      </c>
      <c r="R950" s="1628">
        <f t="shared" si="552"/>
        <v>1058.0535768301477</v>
      </c>
      <c r="S950" s="1627">
        <f t="shared" si="553"/>
        <v>2428.7135768301468</v>
      </c>
      <c r="T950" s="1627">
        <f t="shared" si="554"/>
        <v>1701.2864231698525</v>
      </c>
      <c r="U950" s="1626">
        <f t="shared" si="555"/>
        <v>607.17839420753671</v>
      </c>
      <c r="V950" s="1626">
        <f t="shared" si="556"/>
        <v>425.32160579246312</v>
      </c>
      <c r="W950" s="1625">
        <f t="shared" si="557"/>
        <v>1032.4999999999998</v>
      </c>
      <c r="X950" s="1614"/>
      <c r="Y950" s="1613"/>
      <c r="Z950" s="1612">
        <f t="shared" si="558"/>
        <v>0.43206713442941241</v>
      </c>
      <c r="AA950" s="1611"/>
      <c r="AB950" s="1611"/>
      <c r="AC950" s="1611"/>
      <c r="AD950" s="1611"/>
      <c r="AE950" s="1611"/>
      <c r="AF950" s="1611"/>
      <c r="AG950" s="1611"/>
      <c r="AH950" s="1611"/>
      <c r="AI950" s="1611"/>
      <c r="AJ950" s="1611"/>
      <c r="AK950" s="1611"/>
      <c r="AL950" s="1611"/>
      <c r="AM950" s="1611"/>
      <c r="AN950" s="1611"/>
      <c r="AO950" s="1611"/>
      <c r="AP950" s="1611"/>
      <c r="AQ950" s="1611"/>
    </row>
    <row r="951" spans="1:43" outlineLevel="2">
      <c r="A951" s="1638" t="s">
        <v>342</v>
      </c>
      <c r="B951" s="1637" t="s">
        <v>30</v>
      </c>
      <c r="C951" s="1636"/>
      <c r="D951" s="1635">
        <v>0</v>
      </c>
      <c r="E951" s="1634" t="s">
        <v>880</v>
      </c>
      <c r="F951" s="1633" t="s">
        <v>1065</v>
      </c>
      <c r="G951" s="1632">
        <v>6799.3597271941899</v>
      </c>
      <c r="H951" s="1632">
        <v>2759.34</v>
      </c>
      <c r="I951" s="1630">
        <f t="shared" si="546"/>
        <v>9558.6997271941909</v>
      </c>
      <c r="J951" s="1630">
        <f t="shared" si="547"/>
        <v>0</v>
      </c>
      <c r="K951" s="1631">
        <v>4330</v>
      </c>
      <c r="L951" s="1630">
        <f t="shared" si="548"/>
        <v>4330</v>
      </c>
      <c r="M951" s="1630">
        <f t="shared" si="549"/>
        <v>0</v>
      </c>
      <c r="N951" s="1625">
        <f t="shared" si="550"/>
        <v>0</v>
      </c>
      <c r="O951" s="1629">
        <v>0.80510000000000004</v>
      </c>
      <c r="P951" s="1629">
        <v>0.19489999999999999</v>
      </c>
      <c r="Q951" s="1625">
        <f t="shared" si="551"/>
        <v>0</v>
      </c>
      <c r="R951" s="1628">
        <f t="shared" si="552"/>
        <v>0</v>
      </c>
      <c r="S951" s="1627">
        <f t="shared" si="553"/>
        <v>0</v>
      </c>
      <c r="T951" s="1627">
        <f t="shared" si="554"/>
        <v>0</v>
      </c>
      <c r="U951" s="1626">
        <f t="shared" si="555"/>
        <v>0</v>
      </c>
      <c r="V951" s="1626">
        <f t="shared" si="556"/>
        <v>0</v>
      </c>
      <c r="W951" s="1625">
        <f t="shared" si="557"/>
        <v>0</v>
      </c>
      <c r="X951" s="1614"/>
      <c r="Y951" s="1613"/>
      <c r="Z951" s="1612">
        <f t="shared" si="558"/>
        <v>0.45299048234366962</v>
      </c>
      <c r="AA951" s="1611"/>
      <c r="AB951" s="1611"/>
      <c r="AC951" s="1611"/>
      <c r="AD951" s="1611"/>
      <c r="AE951" s="1611"/>
      <c r="AF951" s="1611"/>
      <c r="AG951" s="1611"/>
      <c r="AH951" s="1611"/>
      <c r="AI951" s="1611"/>
      <c r="AJ951" s="1611"/>
      <c r="AK951" s="1611"/>
      <c r="AL951" s="1611"/>
      <c r="AM951" s="1611"/>
      <c r="AN951" s="1611"/>
      <c r="AO951" s="1611"/>
      <c r="AP951" s="1611"/>
      <c r="AQ951" s="1611"/>
    </row>
    <row r="952" spans="1:43" outlineLevel="2">
      <c r="A952" s="1638" t="s">
        <v>342</v>
      </c>
      <c r="B952" s="1637" t="s">
        <v>30</v>
      </c>
      <c r="C952" s="1636"/>
      <c r="D952" s="1635">
        <v>2</v>
      </c>
      <c r="E952" s="1634" t="s">
        <v>880</v>
      </c>
      <c r="F952" s="1633" t="s">
        <v>1064</v>
      </c>
      <c r="G952" s="1632">
        <v>6799.3597271941899</v>
      </c>
      <c r="H952" s="1632">
        <v>2759.34</v>
      </c>
      <c r="I952" s="1630">
        <f t="shared" si="546"/>
        <v>9558.6997271941909</v>
      </c>
      <c r="J952" s="1630">
        <f t="shared" si="547"/>
        <v>19117.399454388382</v>
      </c>
      <c r="K952" s="1631">
        <v>4330</v>
      </c>
      <c r="L952" s="1630">
        <f t="shared" si="548"/>
        <v>4330</v>
      </c>
      <c r="M952" s="1630">
        <f t="shared" si="549"/>
        <v>8660</v>
      </c>
      <c r="N952" s="1625">
        <f t="shared" si="550"/>
        <v>10457.399454388382</v>
      </c>
      <c r="O952" s="1629">
        <v>0.80510000000000004</v>
      </c>
      <c r="P952" s="1629">
        <v>0.19489999999999999</v>
      </c>
      <c r="Q952" s="1625">
        <f t="shared" si="551"/>
        <v>8419.252300728087</v>
      </c>
      <c r="R952" s="1628">
        <f t="shared" si="552"/>
        <v>2038.1471536602955</v>
      </c>
      <c r="S952" s="1627">
        <f t="shared" si="553"/>
        <v>5179.4671536602928</v>
      </c>
      <c r="T952" s="1627">
        <f t="shared" si="554"/>
        <v>3480.5328463397045</v>
      </c>
      <c r="U952" s="1626">
        <f t="shared" si="555"/>
        <v>1294.8667884150732</v>
      </c>
      <c r="V952" s="1626">
        <f t="shared" si="556"/>
        <v>870.13321158492613</v>
      </c>
      <c r="W952" s="1625">
        <f t="shared" si="557"/>
        <v>2164.9999999999991</v>
      </c>
      <c r="X952" s="1614"/>
      <c r="Y952" s="1613"/>
      <c r="Z952" s="1612">
        <f t="shared" si="558"/>
        <v>0.45299048234366962</v>
      </c>
      <c r="AA952" s="1611"/>
      <c r="AB952" s="1611"/>
      <c r="AC952" s="1611"/>
      <c r="AD952" s="1611"/>
      <c r="AE952" s="1611"/>
      <c r="AF952" s="1611"/>
      <c r="AG952" s="1611"/>
      <c r="AH952" s="1611"/>
      <c r="AI952" s="1611"/>
      <c r="AJ952" s="1611"/>
      <c r="AK952" s="1611"/>
      <c r="AL952" s="1611"/>
      <c r="AM952" s="1611"/>
      <c r="AN952" s="1611"/>
      <c r="AO952" s="1611"/>
      <c r="AP952" s="1611"/>
      <c r="AQ952" s="1611"/>
    </row>
    <row r="953" spans="1:43" outlineLevel="2">
      <c r="A953" s="1638" t="s">
        <v>342</v>
      </c>
      <c r="B953" s="1637" t="s">
        <v>30</v>
      </c>
      <c r="C953" s="1636"/>
      <c r="D953" s="1635">
        <v>1</v>
      </c>
      <c r="E953" s="1634" t="s">
        <v>880</v>
      </c>
      <c r="F953" s="1633" t="s">
        <v>1063</v>
      </c>
      <c r="G953" s="1632">
        <v>6799.3597271941899</v>
      </c>
      <c r="H953" s="1632">
        <v>2759.34</v>
      </c>
      <c r="I953" s="1630">
        <f t="shared" si="546"/>
        <v>9558.6997271941909</v>
      </c>
      <c r="J953" s="1630">
        <f t="shared" si="547"/>
        <v>9558.6997271941909</v>
      </c>
      <c r="K953" s="1631">
        <v>4330</v>
      </c>
      <c r="L953" s="1630">
        <f t="shared" si="548"/>
        <v>4330</v>
      </c>
      <c r="M953" s="1630">
        <f t="shared" si="549"/>
        <v>4330</v>
      </c>
      <c r="N953" s="1625">
        <f t="shared" si="550"/>
        <v>5228.6997271941909</v>
      </c>
      <c r="O953" s="1629">
        <v>0.80510000000000004</v>
      </c>
      <c r="P953" s="1629">
        <v>0.19489999999999999</v>
      </c>
      <c r="Q953" s="1625">
        <f t="shared" si="551"/>
        <v>4209.6261503640435</v>
      </c>
      <c r="R953" s="1628">
        <f t="shared" si="552"/>
        <v>1019.0735768301478</v>
      </c>
      <c r="S953" s="1627">
        <f t="shared" si="553"/>
        <v>2589.7335768301464</v>
      </c>
      <c r="T953" s="1627">
        <f t="shared" si="554"/>
        <v>1740.2664231698523</v>
      </c>
      <c r="U953" s="1626">
        <f t="shared" si="555"/>
        <v>647.43339420753659</v>
      </c>
      <c r="V953" s="1626">
        <f t="shared" si="556"/>
        <v>435.06660579246306</v>
      </c>
      <c r="W953" s="1625">
        <f t="shared" si="557"/>
        <v>1082.4999999999995</v>
      </c>
      <c r="X953" s="1614"/>
      <c r="Y953" s="1613"/>
      <c r="Z953" s="1612">
        <f t="shared" si="558"/>
        <v>0.45299048234366962</v>
      </c>
      <c r="AA953" s="1611"/>
      <c r="AB953" s="1611"/>
      <c r="AC953" s="1611"/>
      <c r="AD953" s="1611"/>
      <c r="AE953" s="1611"/>
      <c r="AF953" s="1611"/>
      <c r="AG953" s="1611"/>
      <c r="AH953" s="1611"/>
      <c r="AI953" s="1611"/>
      <c r="AJ953" s="1611"/>
      <c r="AK953" s="1611"/>
      <c r="AL953" s="1611"/>
      <c r="AM953" s="1611"/>
      <c r="AN953" s="1611"/>
      <c r="AO953" s="1611"/>
      <c r="AP953" s="1611"/>
      <c r="AQ953" s="1611"/>
    </row>
    <row r="954" spans="1:43" outlineLevel="2">
      <c r="A954" s="1638" t="s">
        <v>342</v>
      </c>
      <c r="B954" s="1637" t="s">
        <v>30</v>
      </c>
      <c r="C954" s="1636"/>
      <c r="D954" s="1635">
        <v>1</v>
      </c>
      <c r="E954" s="1634" t="s">
        <v>880</v>
      </c>
      <c r="F954" s="1633" t="s">
        <v>979</v>
      </c>
      <c r="G954" s="1632">
        <v>6799.3597271941899</v>
      </c>
      <c r="H954" s="1632">
        <v>2759.34</v>
      </c>
      <c r="I954" s="1630">
        <f t="shared" si="546"/>
        <v>9558.6997271941909</v>
      </c>
      <c r="J954" s="1630">
        <f t="shared" si="547"/>
        <v>9558.6997271941909</v>
      </c>
      <c r="K954" s="1631">
        <v>4130</v>
      </c>
      <c r="L954" s="1630">
        <f t="shared" si="548"/>
        <v>4130</v>
      </c>
      <c r="M954" s="1630">
        <f t="shared" si="549"/>
        <v>4130</v>
      </c>
      <c r="N954" s="1625">
        <f t="shared" si="550"/>
        <v>5428.6997271941909</v>
      </c>
      <c r="O954" s="1629">
        <v>0.80510000000000004</v>
      </c>
      <c r="P954" s="1629">
        <v>0.19489999999999999</v>
      </c>
      <c r="Q954" s="1625">
        <f t="shared" si="551"/>
        <v>4370.646150364043</v>
      </c>
      <c r="R954" s="1628">
        <f t="shared" si="552"/>
        <v>1058.0535768301477</v>
      </c>
      <c r="S954" s="1627">
        <f t="shared" si="553"/>
        <v>2428.7135768301468</v>
      </c>
      <c r="T954" s="1627">
        <f t="shared" si="554"/>
        <v>1701.2864231698525</v>
      </c>
      <c r="U954" s="1626">
        <f t="shared" si="555"/>
        <v>607.17839420753671</v>
      </c>
      <c r="V954" s="1626">
        <f t="shared" si="556"/>
        <v>425.32160579246312</v>
      </c>
      <c r="W954" s="1625">
        <f t="shared" si="557"/>
        <v>1032.4999999999998</v>
      </c>
      <c r="X954" s="1614"/>
      <c r="Y954" s="1613"/>
      <c r="Z954" s="1612">
        <f t="shared" si="558"/>
        <v>0.43206713442941241</v>
      </c>
      <c r="AA954" s="1611"/>
      <c r="AB954" s="1611"/>
      <c r="AC954" s="1611"/>
      <c r="AD954" s="1611"/>
      <c r="AE954" s="1611"/>
      <c r="AF954" s="1611"/>
      <c r="AG954" s="1611"/>
      <c r="AH954" s="1611"/>
      <c r="AI954" s="1611"/>
      <c r="AJ954" s="1611"/>
      <c r="AK954" s="1611"/>
      <c r="AL954" s="1611"/>
      <c r="AM954" s="1611"/>
      <c r="AN954" s="1611"/>
      <c r="AO954" s="1611"/>
      <c r="AP954" s="1611"/>
      <c r="AQ954" s="1611"/>
    </row>
    <row r="955" spans="1:43" outlineLevel="2">
      <c r="A955" s="1638" t="s">
        <v>342</v>
      </c>
      <c r="B955" s="1637" t="s">
        <v>30</v>
      </c>
      <c r="C955" s="1636"/>
      <c r="D955" s="1635">
        <v>2</v>
      </c>
      <c r="E955" s="1634" t="s">
        <v>882</v>
      </c>
      <c r="F955" s="1633" t="s">
        <v>979</v>
      </c>
      <c r="G955" s="1632">
        <v>6799.3597271941899</v>
      </c>
      <c r="H955" s="1632">
        <v>2759.34</v>
      </c>
      <c r="I955" s="1630">
        <f t="shared" si="546"/>
        <v>9558.6997271941909</v>
      </c>
      <c r="J955" s="1630">
        <f t="shared" si="547"/>
        <v>19117.399454388382</v>
      </c>
      <c r="K955" s="1631">
        <v>4430</v>
      </c>
      <c r="L955" s="1630">
        <f t="shared" si="548"/>
        <v>4430</v>
      </c>
      <c r="M955" s="1630">
        <f t="shared" si="549"/>
        <v>8860</v>
      </c>
      <c r="N955" s="1625">
        <f t="shared" si="550"/>
        <v>10257.399454388382</v>
      </c>
      <c r="O955" s="1629">
        <v>0.80510000000000004</v>
      </c>
      <c r="P955" s="1629">
        <v>0.19489999999999999</v>
      </c>
      <c r="Q955" s="1625">
        <f t="shared" si="551"/>
        <v>8258.2323007280866</v>
      </c>
      <c r="R955" s="1628">
        <f t="shared" si="552"/>
        <v>1999.1671536602955</v>
      </c>
      <c r="S955" s="1627">
        <f t="shared" si="553"/>
        <v>5340.4871536602932</v>
      </c>
      <c r="T955" s="1627">
        <f t="shared" si="554"/>
        <v>3519.512846339705</v>
      </c>
      <c r="U955" s="1626">
        <f t="shared" si="555"/>
        <v>1335.1217884150733</v>
      </c>
      <c r="V955" s="1626">
        <f t="shared" si="556"/>
        <v>879.87821158492625</v>
      </c>
      <c r="W955" s="1625">
        <f t="shared" si="557"/>
        <v>2214.9999999999995</v>
      </c>
      <c r="X955" s="1614"/>
      <c r="Y955" s="1613"/>
      <c r="Z955" s="1612">
        <f t="shared" si="558"/>
        <v>0.46345215630079828</v>
      </c>
      <c r="AA955" s="1611"/>
      <c r="AB955" s="1611"/>
      <c r="AC955" s="1611"/>
      <c r="AD955" s="1611"/>
      <c r="AE955" s="1611"/>
      <c r="AF955" s="1611"/>
      <c r="AG955" s="1611"/>
      <c r="AH955" s="1611"/>
      <c r="AI955" s="1611"/>
      <c r="AJ955" s="1611"/>
      <c r="AK955" s="1611"/>
      <c r="AL955" s="1611"/>
      <c r="AM955" s="1611"/>
      <c r="AN955" s="1611"/>
      <c r="AO955" s="1611"/>
      <c r="AP955" s="1611"/>
      <c r="AQ955" s="1611"/>
    </row>
    <row r="956" spans="1:43" outlineLevel="2">
      <c r="A956" s="1638" t="s">
        <v>342</v>
      </c>
      <c r="B956" s="1637" t="s">
        <v>30</v>
      </c>
      <c r="C956" s="1636"/>
      <c r="D956" s="1635">
        <v>1</v>
      </c>
      <c r="E956" s="1634" t="s">
        <v>883</v>
      </c>
      <c r="F956" s="1633" t="s">
        <v>1067</v>
      </c>
      <c r="G956" s="1632">
        <v>6799.3597271941899</v>
      </c>
      <c r="H956" s="1632">
        <v>2759.34</v>
      </c>
      <c r="I956" s="1630">
        <f t="shared" si="546"/>
        <v>9558.6997271941909</v>
      </c>
      <c r="J956" s="1630">
        <f t="shared" si="547"/>
        <v>9558.6997271941909</v>
      </c>
      <c r="K956" s="1631">
        <v>8421</v>
      </c>
      <c r="L956" s="1630">
        <f t="shared" si="548"/>
        <v>8421</v>
      </c>
      <c r="M956" s="1630">
        <f t="shared" si="549"/>
        <v>8421</v>
      </c>
      <c r="N956" s="1625">
        <f t="shared" si="550"/>
        <v>1137.6997271941909</v>
      </c>
      <c r="O956" s="1629">
        <v>0.80510000000000004</v>
      </c>
      <c r="P956" s="1629">
        <v>0.19489999999999999</v>
      </c>
      <c r="Q956" s="1625">
        <f t="shared" si="551"/>
        <v>915.96205036404319</v>
      </c>
      <c r="R956" s="1628">
        <f t="shared" si="552"/>
        <v>221.73767683014779</v>
      </c>
      <c r="S956" s="1627">
        <f t="shared" si="553"/>
        <v>5883.3976768301463</v>
      </c>
      <c r="T956" s="1627">
        <f t="shared" si="554"/>
        <v>2537.6023231698523</v>
      </c>
      <c r="U956" s="1626">
        <f t="shared" si="555"/>
        <v>1470.8494192075366</v>
      </c>
      <c r="V956" s="1626">
        <f t="shared" si="556"/>
        <v>634.40058079246307</v>
      </c>
      <c r="W956" s="1625">
        <f t="shared" si="557"/>
        <v>2105.2499999999995</v>
      </c>
      <c r="X956" s="1614"/>
      <c r="Y956" s="1613"/>
      <c r="Z956" s="1612">
        <f t="shared" si="558"/>
        <v>0.88097756392980187</v>
      </c>
      <c r="AA956" s="1611"/>
      <c r="AB956" s="1611"/>
      <c r="AC956" s="1611"/>
      <c r="AD956" s="1611"/>
      <c r="AE956" s="1611"/>
      <c r="AF956" s="1611"/>
      <c r="AG956" s="1611"/>
      <c r="AH956" s="1611"/>
      <c r="AI956" s="1611"/>
      <c r="AJ956" s="1611"/>
      <c r="AK956" s="1611"/>
      <c r="AL956" s="1611"/>
      <c r="AM956" s="1611"/>
      <c r="AN956" s="1611"/>
      <c r="AO956" s="1611"/>
      <c r="AP956" s="1611"/>
      <c r="AQ956" s="1611"/>
    </row>
    <row r="957" spans="1:43" outlineLevel="2">
      <c r="A957" s="1638" t="s">
        <v>342</v>
      </c>
      <c r="B957" s="1637" t="s">
        <v>30</v>
      </c>
      <c r="C957" s="1636"/>
      <c r="D957" s="1635">
        <v>1</v>
      </c>
      <c r="E957" s="1634" t="s">
        <v>886</v>
      </c>
      <c r="F957" s="1633" t="s">
        <v>979</v>
      </c>
      <c r="G957" s="1632">
        <v>6799.3597271941899</v>
      </c>
      <c r="H957" s="1632">
        <v>2759.34</v>
      </c>
      <c r="I957" s="1630">
        <f t="shared" si="546"/>
        <v>9558.6997271941909</v>
      </c>
      <c r="J957" s="1630">
        <f t="shared" si="547"/>
        <v>9558.6997271941909</v>
      </c>
      <c r="K957" s="1631">
        <v>3975</v>
      </c>
      <c r="L957" s="1630">
        <f t="shared" si="548"/>
        <v>3975</v>
      </c>
      <c r="M957" s="1630">
        <f t="shared" si="549"/>
        <v>3975</v>
      </c>
      <c r="N957" s="1625">
        <f t="shared" si="550"/>
        <v>5583.6997271941909</v>
      </c>
      <c r="O957" s="1629">
        <v>0.80510000000000004</v>
      </c>
      <c r="P957" s="1629">
        <v>0.19489999999999999</v>
      </c>
      <c r="Q957" s="1625">
        <f t="shared" si="551"/>
        <v>4495.4366503640431</v>
      </c>
      <c r="R957" s="1628">
        <f t="shared" si="552"/>
        <v>1088.2630768301478</v>
      </c>
      <c r="S957" s="1627">
        <f t="shared" si="553"/>
        <v>2303.9230768301468</v>
      </c>
      <c r="T957" s="1627">
        <f t="shared" si="554"/>
        <v>1671.0769231698523</v>
      </c>
      <c r="U957" s="1626">
        <f t="shared" si="555"/>
        <v>575.9807692075367</v>
      </c>
      <c r="V957" s="1626">
        <f t="shared" si="556"/>
        <v>417.76923079246308</v>
      </c>
      <c r="W957" s="1625">
        <f t="shared" si="557"/>
        <v>993.74999999999977</v>
      </c>
      <c r="X957" s="1614"/>
      <c r="Y957" s="1613"/>
      <c r="Z957" s="1612">
        <f t="shared" si="558"/>
        <v>0.41585153979586303</v>
      </c>
      <c r="AA957" s="1611"/>
      <c r="AB957" s="1611"/>
      <c r="AC957" s="1611"/>
      <c r="AD957" s="1611"/>
      <c r="AE957" s="1611"/>
      <c r="AF957" s="1611"/>
      <c r="AG957" s="1611"/>
      <c r="AH957" s="1611"/>
      <c r="AI957" s="1611"/>
      <c r="AJ957" s="1611"/>
      <c r="AK957" s="1611"/>
      <c r="AL957" s="1611"/>
      <c r="AM957" s="1611"/>
      <c r="AN957" s="1611"/>
      <c r="AO957" s="1611"/>
      <c r="AP957" s="1611"/>
      <c r="AQ957" s="1611"/>
    </row>
    <row r="958" spans="1:43" outlineLevel="2">
      <c r="A958" s="1638" t="s">
        <v>342</v>
      </c>
      <c r="B958" s="1637" t="s">
        <v>30</v>
      </c>
      <c r="C958" s="1636"/>
      <c r="D958" s="1635">
        <v>1</v>
      </c>
      <c r="E958" s="1634" t="s">
        <v>888</v>
      </c>
      <c r="F958" s="1633" t="s">
        <v>1068</v>
      </c>
      <c r="G958" s="1632">
        <v>6799.3597271941899</v>
      </c>
      <c r="H958" s="1632">
        <v>2759.34</v>
      </c>
      <c r="I958" s="1630">
        <f t="shared" si="546"/>
        <v>9558.6997271941909</v>
      </c>
      <c r="J958" s="1630">
        <f t="shared" si="547"/>
        <v>9558.6997271941909</v>
      </c>
      <c r="K958" s="1631">
        <v>5575</v>
      </c>
      <c r="L958" s="1630">
        <f t="shared" si="548"/>
        <v>5575</v>
      </c>
      <c r="M958" s="1630">
        <f t="shared" si="549"/>
        <v>5575</v>
      </c>
      <c r="N958" s="1625">
        <f t="shared" si="550"/>
        <v>3983.6997271941909</v>
      </c>
      <c r="O958" s="1629">
        <v>0.80510000000000004</v>
      </c>
      <c r="P958" s="1629">
        <v>0.19489999999999999</v>
      </c>
      <c r="Q958" s="1625">
        <f t="shared" si="551"/>
        <v>3207.2766503640432</v>
      </c>
      <c r="R958" s="1628">
        <f t="shared" si="552"/>
        <v>776.42307683014781</v>
      </c>
      <c r="S958" s="1627">
        <f t="shared" si="553"/>
        <v>3592.0830768301466</v>
      </c>
      <c r="T958" s="1627">
        <f t="shared" si="554"/>
        <v>1982.9169231698525</v>
      </c>
      <c r="U958" s="1626">
        <f t="shared" si="555"/>
        <v>898.02076920753666</v>
      </c>
      <c r="V958" s="1626">
        <f t="shared" si="556"/>
        <v>495.72923079246311</v>
      </c>
      <c r="W958" s="1625">
        <f t="shared" si="557"/>
        <v>1393.7499999999998</v>
      </c>
      <c r="X958" s="1614"/>
      <c r="Y958" s="1613"/>
      <c r="Z958" s="1612">
        <f t="shared" si="558"/>
        <v>0.58323832310992108</v>
      </c>
      <c r="AA958" s="1611"/>
      <c r="AB958" s="1611"/>
      <c r="AC958" s="1611"/>
      <c r="AD958" s="1611"/>
      <c r="AE958" s="1611"/>
      <c r="AF958" s="1611"/>
      <c r="AG958" s="1611"/>
      <c r="AH958" s="1611"/>
      <c r="AI958" s="1611"/>
      <c r="AJ958" s="1611"/>
      <c r="AK958" s="1611"/>
      <c r="AL958" s="1611"/>
      <c r="AM958" s="1611"/>
      <c r="AN958" s="1611"/>
      <c r="AO958" s="1611"/>
      <c r="AP958" s="1611"/>
      <c r="AQ958" s="1611"/>
    </row>
    <row r="959" spans="1:43" outlineLevel="2">
      <c r="A959" s="1638" t="s">
        <v>342</v>
      </c>
      <c r="B959" s="1637" t="s">
        <v>30</v>
      </c>
      <c r="C959" s="1636"/>
      <c r="D959" s="1635">
        <v>1</v>
      </c>
      <c r="E959" s="1634" t="s">
        <v>888</v>
      </c>
      <c r="F959" s="1633" t="s">
        <v>1071</v>
      </c>
      <c r="G959" s="1632">
        <v>6799.3597271941899</v>
      </c>
      <c r="H959" s="1632">
        <v>2759.34</v>
      </c>
      <c r="I959" s="1630">
        <f t="shared" si="546"/>
        <v>9558.6997271941909</v>
      </c>
      <c r="J959" s="1630">
        <f t="shared" si="547"/>
        <v>9558.6997271941909</v>
      </c>
      <c r="K959" s="1631">
        <v>5575</v>
      </c>
      <c r="L959" s="1630">
        <f t="shared" si="548"/>
        <v>5575</v>
      </c>
      <c r="M959" s="1630">
        <f t="shared" si="549"/>
        <v>5575</v>
      </c>
      <c r="N959" s="1625">
        <f t="shared" si="550"/>
        <v>3983.6997271941909</v>
      </c>
      <c r="O959" s="1629">
        <v>0.80510000000000004</v>
      </c>
      <c r="P959" s="1629">
        <v>0.19489999999999999</v>
      </c>
      <c r="Q959" s="1625">
        <f t="shared" si="551"/>
        <v>3207.2766503640432</v>
      </c>
      <c r="R959" s="1628">
        <f t="shared" si="552"/>
        <v>776.42307683014781</v>
      </c>
      <c r="S959" s="1627">
        <f t="shared" si="553"/>
        <v>3592.0830768301466</v>
      </c>
      <c r="T959" s="1627">
        <f t="shared" si="554"/>
        <v>1982.9169231698525</v>
      </c>
      <c r="U959" s="1626">
        <f t="shared" si="555"/>
        <v>898.02076920753666</v>
      </c>
      <c r="V959" s="1626">
        <f t="shared" si="556"/>
        <v>495.72923079246311</v>
      </c>
      <c r="W959" s="1625">
        <f t="shared" si="557"/>
        <v>1393.7499999999998</v>
      </c>
      <c r="X959" s="1614"/>
      <c r="Y959" s="1613"/>
      <c r="Z959" s="1612">
        <f t="shared" si="558"/>
        <v>0.58323832310992108</v>
      </c>
      <c r="AA959" s="1611"/>
      <c r="AB959" s="1611"/>
      <c r="AC959" s="1611"/>
      <c r="AD959" s="1611"/>
      <c r="AE959" s="1611"/>
      <c r="AF959" s="1611"/>
      <c r="AG959" s="1611"/>
      <c r="AH959" s="1611"/>
      <c r="AI959" s="1611"/>
      <c r="AJ959" s="1611"/>
      <c r="AK959" s="1611"/>
      <c r="AL959" s="1611"/>
      <c r="AM959" s="1611"/>
      <c r="AN959" s="1611"/>
      <c r="AO959" s="1611"/>
      <c r="AP959" s="1611"/>
      <c r="AQ959" s="1611"/>
    </row>
    <row r="960" spans="1:43" outlineLevel="2">
      <c r="A960" s="1638" t="s">
        <v>342</v>
      </c>
      <c r="B960" s="1637" t="s">
        <v>30</v>
      </c>
      <c r="C960" s="1636"/>
      <c r="D960" s="1635">
        <v>1</v>
      </c>
      <c r="E960" s="1634" t="s">
        <v>887</v>
      </c>
      <c r="F960" s="1633" t="s">
        <v>1069</v>
      </c>
      <c r="G960" s="1632">
        <v>6799.3597271941899</v>
      </c>
      <c r="H960" s="1632">
        <v>2759.34</v>
      </c>
      <c r="I960" s="1630">
        <f t="shared" si="546"/>
        <v>9558.6997271941909</v>
      </c>
      <c r="J960" s="1630">
        <f t="shared" si="547"/>
        <v>9558.6997271941909</v>
      </c>
      <c r="K960" s="1631">
        <v>6000</v>
      </c>
      <c r="L960" s="1630">
        <f t="shared" si="548"/>
        <v>6000</v>
      </c>
      <c r="M960" s="1630">
        <f t="shared" si="549"/>
        <v>6000</v>
      </c>
      <c r="N960" s="1625">
        <f t="shared" si="550"/>
        <v>3558.6997271941909</v>
      </c>
      <c r="O960" s="1629">
        <v>0.80510000000000004</v>
      </c>
      <c r="P960" s="1629">
        <v>0.19489999999999999</v>
      </c>
      <c r="Q960" s="1625">
        <f t="shared" si="551"/>
        <v>2865.1091503640432</v>
      </c>
      <c r="R960" s="1628">
        <f t="shared" si="552"/>
        <v>693.59057683014782</v>
      </c>
      <c r="S960" s="1627">
        <f t="shared" si="553"/>
        <v>3934.2505768301467</v>
      </c>
      <c r="T960" s="1627">
        <f t="shared" si="554"/>
        <v>2065.7494231698524</v>
      </c>
      <c r="U960" s="1626">
        <f t="shared" si="555"/>
        <v>983.56264420753666</v>
      </c>
      <c r="V960" s="1626">
        <f t="shared" si="556"/>
        <v>516.43735579246311</v>
      </c>
      <c r="W960" s="1625">
        <f t="shared" si="557"/>
        <v>1499.9999999999998</v>
      </c>
      <c r="X960" s="1614"/>
      <c r="Y960" s="1613"/>
      <c r="Z960" s="1612">
        <f t="shared" si="558"/>
        <v>0.62770043742771775</v>
      </c>
      <c r="AA960" s="1611"/>
      <c r="AB960" s="1611"/>
      <c r="AC960" s="1611"/>
      <c r="AD960" s="1611"/>
      <c r="AE960" s="1611"/>
      <c r="AF960" s="1611"/>
      <c r="AG960" s="1611"/>
      <c r="AH960" s="1611"/>
      <c r="AI960" s="1611"/>
      <c r="AJ960" s="1611"/>
      <c r="AK960" s="1611"/>
      <c r="AL960" s="1611"/>
      <c r="AM960" s="1611"/>
      <c r="AN960" s="1611"/>
      <c r="AO960" s="1611"/>
      <c r="AP960" s="1611"/>
      <c r="AQ960" s="1611"/>
    </row>
    <row r="961" spans="1:43" outlineLevel="2">
      <c r="A961" s="1638" t="s">
        <v>342</v>
      </c>
      <c r="B961" s="1637" t="s">
        <v>30</v>
      </c>
      <c r="C961" s="1636"/>
      <c r="D961" s="1635">
        <v>1</v>
      </c>
      <c r="E961" s="1634" t="s">
        <v>887</v>
      </c>
      <c r="F961" s="1633" t="s">
        <v>1064</v>
      </c>
      <c r="G961" s="1632">
        <v>6799.3597271941899</v>
      </c>
      <c r="H961" s="1632">
        <v>2759.34</v>
      </c>
      <c r="I961" s="1630">
        <f t="shared" si="546"/>
        <v>9558.6997271941909</v>
      </c>
      <c r="J961" s="1630">
        <f t="shared" si="547"/>
        <v>9558.6997271941909</v>
      </c>
      <c r="K961" s="1631">
        <v>6000</v>
      </c>
      <c r="L961" s="1630">
        <f t="shared" si="548"/>
        <v>6000</v>
      </c>
      <c r="M961" s="1630">
        <f t="shared" si="549"/>
        <v>6000</v>
      </c>
      <c r="N961" s="1625">
        <f t="shared" si="550"/>
        <v>3558.6997271941909</v>
      </c>
      <c r="O961" s="1629">
        <v>0.80510000000000004</v>
      </c>
      <c r="P961" s="1629">
        <v>0.19489999999999999</v>
      </c>
      <c r="Q961" s="1625">
        <f t="shared" si="551"/>
        <v>2865.1091503640432</v>
      </c>
      <c r="R961" s="1628">
        <f t="shared" si="552"/>
        <v>693.59057683014782</v>
      </c>
      <c r="S961" s="1627">
        <f t="shared" si="553"/>
        <v>3934.2505768301467</v>
      </c>
      <c r="T961" s="1627">
        <f t="shared" si="554"/>
        <v>2065.7494231698524</v>
      </c>
      <c r="U961" s="1626">
        <f t="shared" si="555"/>
        <v>983.56264420753666</v>
      </c>
      <c r="V961" s="1626">
        <f t="shared" si="556"/>
        <v>516.43735579246311</v>
      </c>
      <c r="W961" s="1625">
        <f t="shared" si="557"/>
        <v>1499.9999999999998</v>
      </c>
      <c r="X961" s="1614"/>
      <c r="Y961" s="1613"/>
      <c r="Z961" s="1612">
        <f t="shared" si="558"/>
        <v>0.62770043742771775</v>
      </c>
      <c r="AA961" s="1611"/>
      <c r="AB961" s="1611"/>
      <c r="AC961" s="1611"/>
      <c r="AD961" s="1611"/>
      <c r="AE961" s="1611"/>
      <c r="AF961" s="1611"/>
      <c r="AG961" s="1611"/>
      <c r="AH961" s="1611"/>
      <c r="AI961" s="1611"/>
      <c r="AJ961" s="1611"/>
      <c r="AK961" s="1611"/>
      <c r="AL961" s="1611"/>
      <c r="AM961" s="1611"/>
      <c r="AN961" s="1611"/>
      <c r="AO961" s="1611"/>
      <c r="AP961" s="1611"/>
      <c r="AQ961" s="1611"/>
    </row>
    <row r="962" spans="1:43" outlineLevel="2">
      <c r="A962" s="1638" t="s">
        <v>342</v>
      </c>
      <c r="B962" s="1637" t="s">
        <v>30</v>
      </c>
      <c r="C962" s="1636"/>
      <c r="D962" s="1635">
        <v>1</v>
      </c>
      <c r="E962" s="1634" t="s">
        <v>885</v>
      </c>
      <c r="F962" s="1633" t="s">
        <v>1070</v>
      </c>
      <c r="G962" s="1632">
        <v>6799.3597271941899</v>
      </c>
      <c r="H962" s="1632">
        <v>2759.34</v>
      </c>
      <c r="I962" s="1630">
        <f t="shared" si="546"/>
        <v>9558.6997271941909</v>
      </c>
      <c r="J962" s="1630">
        <f t="shared" si="547"/>
        <v>9558.6997271941909</v>
      </c>
      <c r="K962" s="1631">
        <v>5022</v>
      </c>
      <c r="L962" s="1630">
        <f t="shared" si="548"/>
        <v>5022</v>
      </c>
      <c r="M962" s="1630">
        <f t="shared" si="549"/>
        <v>5022</v>
      </c>
      <c r="N962" s="1625">
        <f t="shared" si="550"/>
        <v>4536.6997271941909</v>
      </c>
      <c r="O962" s="1629">
        <v>0.80510000000000004</v>
      </c>
      <c r="P962" s="1629">
        <v>0.19489999999999999</v>
      </c>
      <c r="Q962" s="1625">
        <f t="shared" si="551"/>
        <v>3652.4969503640432</v>
      </c>
      <c r="R962" s="1628">
        <f t="shared" si="552"/>
        <v>884.20277683014774</v>
      </c>
      <c r="S962" s="1627">
        <f t="shared" si="553"/>
        <v>3146.8627768301467</v>
      </c>
      <c r="T962" s="1627">
        <f t="shared" si="554"/>
        <v>1875.1372231698524</v>
      </c>
      <c r="U962" s="1626">
        <f t="shared" si="555"/>
        <v>786.71569420753667</v>
      </c>
      <c r="V962" s="1626">
        <f t="shared" si="556"/>
        <v>468.7843057924631</v>
      </c>
      <c r="W962" s="1625">
        <f t="shared" si="557"/>
        <v>1255.4999999999998</v>
      </c>
      <c r="X962" s="1614"/>
      <c r="Y962" s="1613"/>
      <c r="Z962" s="1612">
        <f t="shared" si="558"/>
        <v>0.52538526612699976</v>
      </c>
      <c r="AA962" s="1611"/>
      <c r="AB962" s="1611"/>
      <c r="AC962" s="1611"/>
      <c r="AD962" s="1611"/>
      <c r="AE962" s="1611"/>
      <c r="AF962" s="1611"/>
      <c r="AG962" s="1611"/>
      <c r="AH962" s="1611"/>
      <c r="AI962" s="1611"/>
      <c r="AJ962" s="1611"/>
      <c r="AK962" s="1611"/>
      <c r="AL962" s="1611"/>
      <c r="AM962" s="1611"/>
      <c r="AN962" s="1611"/>
      <c r="AO962" s="1611"/>
      <c r="AP962" s="1611"/>
      <c r="AQ962" s="1611"/>
    </row>
    <row r="963" spans="1:43" outlineLevel="2">
      <c r="A963" s="1638" t="s">
        <v>342</v>
      </c>
      <c r="B963" s="1637" t="s">
        <v>30</v>
      </c>
      <c r="C963" s="1636"/>
      <c r="D963" s="1635">
        <v>2</v>
      </c>
      <c r="E963" s="1634" t="s">
        <v>885</v>
      </c>
      <c r="F963" s="1633" t="s">
        <v>1069</v>
      </c>
      <c r="G963" s="1632">
        <v>6799.3597271941899</v>
      </c>
      <c r="H963" s="1632">
        <v>2759.34</v>
      </c>
      <c r="I963" s="1630">
        <f t="shared" si="546"/>
        <v>9558.6997271941909</v>
      </c>
      <c r="J963" s="1630">
        <f t="shared" si="547"/>
        <v>19117.399454388382</v>
      </c>
      <c r="K963" s="1631">
        <v>5022</v>
      </c>
      <c r="L963" s="1630">
        <f t="shared" si="548"/>
        <v>5022</v>
      </c>
      <c r="M963" s="1630">
        <f t="shared" si="549"/>
        <v>10044</v>
      </c>
      <c r="N963" s="1625">
        <f t="shared" si="550"/>
        <v>9073.3994543883819</v>
      </c>
      <c r="O963" s="1629">
        <v>0.80510000000000004</v>
      </c>
      <c r="P963" s="1629">
        <v>0.19489999999999999</v>
      </c>
      <c r="Q963" s="1625">
        <f t="shared" si="551"/>
        <v>7304.9939007280864</v>
      </c>
      <c r="R963" s="1628">
        <f t="shared" si="552"/>
        <v>1768.4055536602955</v>
      </c>
      <c r="S963" s="1627">
        <f t="shared" si="553"/>
        <v>6293.7255536602934</v>
      </c>
      <c r="T963" s="1627">
        <f t="shared" si="554"/>
        <v>3750.2744463397048</v>
      </c>
      <c r="U963" s="1626">
        <f t="shared" si="555"/>
        <v>1573.4313884150733</v>
      </c>
      <c r="V963" s="1626">
        <f t="shared" si="556"/>
        <v>937.5686115849262</v>
      </c>
      <c r="W963" s="1625">
        <f t="shared" si="557"/>
        <v>2510.9999999999995</v>
      </c>
      <c r="X963" s="1614"/>
      <c r="Y963" s="1613"/>
      <c r="Z963" s="1612">
        <f t="shared" si="558"/>
        <v>0.52538526612699976</v>
      </c>
      <c r="AA963" s="1611"/>
      <c r="AB963" s="1611"/>
      <c r="AC963" s="1611"/>
      <c r="AD963" s="1611"/>
      <c r="AE963" s="1611"/>
      <c r="AF963" s="1611"/>
      <c r="AG963" s="1611"/>
      <c r="AH963" s="1611"/>
      <c r="AI963" s="1611"/>
      <c r="AJ963" s="1611"/>
      <c r="AK963" s="1611"/>
      <c r="AL963" s="1611"/>
      <c r="AM963" s="1611"/>
      <c r="AN963" s="1611"/>
      <c r="AO963" s="1611"/>
      <c r="AP963" s="1611"/>
      <c r="AQ963" s="1611"/>
    </row>
    <row r="964" spans="1:43" outlineLevel="2">
      <c r="A964" s="1638" t="s">
        <v>342</v>
      </c>
      <c r="B964" s="1637" t="s">
        <v>30</v>
      </c>
      <c r="C964" s="1636"/>
      <c r="D964" s="1635">
        <v>1</v>
      </c>
      <c r="E964" s="1634" t="s">
        <v>885</v>
      </c>
      <c r="F964" s="1633" t="s">
        <v>1068</v>
      </c>
      <c r="G964" s="1632">
        <v>6799.3597271941899</v>
      </c>
      <c r="H964" s="1632">
        <v>2759.34</v>
      </c>
      <c r="I964" s="1630">
        <f t="shared" si="546"/>
        <v>9558.6997271941909</v>
      </c>
      <c r="J964" s="1630">
        <f t="shared" si="547"/>
        <v>9558.6997271941909</v>
      </c>
      <c r="K964" s="1631">
        <v>5022</v>
      </c>
      <c r="L964" s="1630">
        <f t="shared" si="548"/>
        <v>5022</v>
      </c>
      <c r="M964" s="1630">
        <f t="shared" si="549"/>
        <v>5022</v>
      </c>
      <c r="N964" s="1625">
        <f t="shared" si="550"/>
        <v>4536.6997271941909</v>
      </c>
      <c r="O964" s="1629">
        <v>0.80510000000000004</v>
      </c>
      <c r="P964" s="1629">
        <v>0.19489999999999999</v>
      </c>
      <c r="Q964" s="1625">
        <f t="shared" si="551"/>
        <v>3652.4969503640432</v>
      </c>
      <c r="R964" s="1628">
        <f t="shared" si="552"/>
        <v>884.20277683014774</v>
      </c>
      <c r="S964" s="1627">
        <f t="shared" si="553"/>
        <v>3146.8627768301467</v>
      </c>
      <c r="T964" s="1627">
        <f t="shared" si="554"/>
        <v>1875.1372231698524</v>
      </c>
      <c r="U964" s="1626">
        <f t="shared" si="555"/>
        <v>786.71569420753667</v>
      </c>
      <c r="V964" s="1626">
        <f t="shared" si="556"/>
        <v>468.7843057924631</v>
      </c>
      <c r="W964" s="1625">
        <f t="shared" si="557"/>
        <v>1255.4999999999998</v>
      </c>
      <c r="X964" s="1614"/>
      <c r="Y964" s="1613"/>
      <c r="Z964" s="1612">
        <f t="shared" si="558"/>
        <v>0.52538526612699976</v>
      </c>
      <c r="AA964" s="1611"/>
      <c r="AB964" s="1611"/>
      <c r="AC964" s="1611"/>
      <c r="AD964" s="1611"/>
      <c r="AE964" s="1611"/>
      <c r="AF964" s="1611"/>
      <c r="AG964" s="1611"/>
      <c r="AH964" s="1611"/>
      <c r="AI964" s="1611"/>
      <c r="AJ964" s="1611"/>
      <c r="AK964" s="1611"/>
      <c r="AL964" s="1611"/>
      <c r="AM964" s="1611"/>
      <c r="AN964" s="1611"/>
      <c r="AO964" s="1611"/>
      <c r="AP964" s="1611"/>
      <c r="AQ964" s="1611"/>
    </row>
    <row r="965" spans="1:43" outlineLevel="2">
      <c r="A965" s="1638" t="s">
        <v>342</v>
      </c>
      <c r="B965" s="1637" t="s">
        <v>30</v>
      </c>
      <c r="C965" s="1636"/>
      <c r="D965" s="1635">
        <v>2</v>
      </c>
      <c r="E965" s="1634" t="s">
        <v>885</v>
      </c>
      <c r="F965" s="1633" t="s">
        <v>1065</v>
      </c>
      <c r="G965" s="1632">
        <v>6799.3597271941899</v>
      </c>
      <c r="H965" s="1632">
        <v>2759.34</v>
      </c>
      <c r="I965" s="1630">
        <f t="shared" si="546"/>
        <v>9558.6997271941909</v>
      </c>
      <c r="J965" s="1630">
        <f t="shared" si="547"/>
        <v>19117.399454388382</v>
      </c>
      <c r="K965" s="1631">
        <v>5132</v>
      </c>
      <c r="L965" s="1630">
        <f t="shared" si="548"/>
        <v>5132</v>
      </c>
      <c r="M965" s="1630">
        <f t="shared" si="549"/>
        <v>10264</v>
      </c>
      <c r="N965" s="1625">
        <f t="shared" si="550"/>
        <v>8853.3994543883819</v>
      </c>
      <c r="O965" s="1629">
        <v>0.80510000000000004</v>
      </c>
      <c r="P965" s="1629">
        <v>0.19489999999999999</v>
      </c>
      <c r="Q965" s="1625">
        <f t="shared" si="551"/>
        <v>7127.871900728087</v>
      </c>
      <c r="R965" s="1628">
        <f t="shared" si="552"/>
        <v>1725.5275536602956</v>
      </c>
      <c r="S965" s="1627">
        <f t="shared" si="553"/>
        <v>6470.8475536602928</v>
      </c>
      <c r="T965" s="1627">
        <f t="shared" si="554"/>
        <v>3793.1524463397045</v>
      </c>
      <c r="U965" s="1626">
        <f t="shared" si="555"/>
        <v>1617.7118884150732</v>
      </c>
      <c r="V965" s="1626">
        <f t="shared" si="556"/>
        <v>948.28811158492613</v>
      </c>
      <c r="W965" s="1625">
        <f t="shared" si="557"/>
        <v>2565.9999999999991</v>
      </c>
      <c r="X965" s="1614"/>
      <c r="Y965" s="1613"/>
      <c r="Z965" s="1612">
        <f t="shared" si="558"/>
        <v>0.5368931074798412</v>
      </c>
      <c r="AA965" s="1611"/>
      <c r="AB965" s="1611"/>
      <c r="AC965" s="1611"/>
      <c r="AD965" s="1611"/>
      <c r="AE965" s="1611"/>
      <c r="AF965" s="1611"/>
      <c r="AG965" s="1611"/>
      <c r="AH965" s="1611"/>
      <c r="AI965" s="1611"/>
      <c r="AJ965" s="1611"/>
      <c r="AK965" s="1611"/>
      <c r="AL965" s="1611"/>
      <c r="AM965" s="1611"/>
      <c r="AN965" s="1611"/>
      <c r="AO965" s="1611"/>
      <c r="AP965" s="1611"/>
      <c r="AQ965" s="1611"/>
    </row>
    <row r="966" spans="1:43" outlineLevel="2">
      <c r="A966" s="1638" t="s">
        <v>342</v>
      </c>
      <c r="B966" s="1637" t="s">
        <v>30</v>
      </c>
      <c r="C966" s="1636"/>
      <c r="D966" s="1635">
        <v>2</v>
      </c>
      <c r="E966" s="1634" t="s">
        <v>885</v>
      </c>
      <c r="F966" s="1633" t="s">
        <v>1064</v>
      </c>
      <c r="G966" s="1632">
        <v>6799.3597271941899</v>
      </c>
      <c r="H966" s="1632">
        <v>2759.34</v>
      </c>
      <c r="I966" s="1630">
        <f t="shared" si="546"/>
        <v>9558.6997271941909</v>
      </c>
      <c r="J966" s="1630">
        <f t="shared" si="547"/>
        <v>19117.399454388382</v>
      </c>
      <c r="K966" s="1631">
        <v>5540</v>
      </c>
      <c r="L966" s="1630">
        <f t="shared" si="548"/>
        <v>5540</v>
      </c>
      <c r="M966" s="1630">
        <f t="shared" si="549"/>
        <v>11080</v>
      </c>
      <c r="N966" s="1625">
        <f t="shared" si="550"/>
        <v>8037.3994543883819</v>
      </c>
      <c r="O966" s="1629">
        <v>0.80510000000000004</v>
      </c>
      <c r="P966" s="1629">
        <v>0.19489999999999999</v>
      </c>
      <c r="Q966" s="1625">
        <f t="shared" si="551"/>
        <v>6470.9103007280864</v>
      </c>
      <c r="R966" s="1628">
        <f t="shared" si="552"/>
        <v>1566.4891536602956</v>
      </c>
      <c r="S966" s="1627">
        <f t="shared" si="553"/>
        <v>7127.8091536602933</v>
      </c>
      <c r="T966" s="1627">
        <f t="shared" si="554"/>
        <v>3952.1908463397049</v>
      </c>
      <c r="U966" s="1626">
        <f t="shared" si="555"/>
        <v>1781.9522884150733</v>
      </c>
      <c r="V966" s="1626">
        <f t="shared" si="556"/>
        <v>988.04771158492622</v>
      </c>
      <c r="W966" s="1625">
        <f t="shared" si="557"/>
        <v>2769.9999999999995</v>
      </c>
      <c r="X966" s="1614"/>
      <c r="Y966" s="1613"/>
      <c r="Z966" s="1612">
        <f t="shared" si="558"/>
        <v>0.57957673722492609</v>
      </c>
      <c r="AA966" s="1611"/>
      <c r="AB966" s="1611"/>
      <c r="AC966" s="1611"/>
      <c r="AD966" s="1611"/>
      <c r="AE966" s="1611"/>
      <c r="AF966" s="1611"/>
      <c r="AG966" s="1611"/>
      <c r="AH966" s="1611"/>
      <c r="AI966" s="1611"/>
      <c r="AJ966" s="1611"/>
      <c r="AK966" s="1611"/>
      <c r="AL966" s="1611"/>
      <c r="AM966" s="1611"/>
      <c r="AN966" s="1611"/>
      <c r="AO966" s="1611"/>
      <c r="AP966" s="1611"/>
      <c r="AQ966" s="1611"/>
    </row>
    <row r="967" spans="1:43" outlineLevel="2">
      <c r="A967" s="1638" t="s">
        <v>342</v>
      </c>
      <c r="B967" s="1637" t="s">
        <v>30</v>
      </c>
      <c r="C967" s="1636"/>
      <c r="D967" s="1635">
        <v>3</v>
      </c>
      <c r="E967" s="1634" t="s">
        <v>885</v>
      </c>
      <c r="F967" s="1633" t="s">
        <v>1063</v>
      </c>
      <c r="G967" s="1632">
        <v>6799.3597271941899</v>
      </c>
      <c r="H967" s="1632">
        <v>2759.34</v>
      </c>
      <c r="I967" s="1630">
        <f t="shared" si="546"/>
        <v>9558.6997271941909</v>
      </c>
      <c r="J967" s="1630">
        <f t="shared" si="547"/>
        <v>28676.099181582573</v>
      </c>
      <c r="K967" s="1631">
        <v>5540</v>
      </c>
      <c r="L967" s="1630">
        <f t="shared" si="548"/>
        <v>5540</v>
      </c>
      <c r="M967" s="1630">
        <f t="shared" si="549"/>
        <v>16620</v>
      </c>
      <c r="N967" s="1625">
        <f t="shared" si="550"/>
        <v>12056.099181582573</v>
      </c>
      <c r="O967" s="1629">
        <v>0.80510000000000004</v>
      </c>
      <c r="P967" s="1629">
        <v>0.19489999999999999</v>
      </c>
      <c r="Q967" s="1625">
        <f t="shared" si="551"/>
        <v>9706.3654510921297</v>
      </c>
      <c r="R967" s="1628">
        <f t="shared" si="552"/>
        <v>2349.7337304904431</v>
      </c>
      <c r="S967" s="1627">
        <f t="shared" si="553"/>
        <v>10691.713730490439</v>
      </c>
      <c r="T967" s="1627">
        <f t="shared" si="554"/>
        <v>5928.2862695095573</v>
      </c>
      <c r="U967" s="1626">
        <f t="shared" si="555"/>
        <v>2672.9284326226098</v>
      </c>
      <c r="V967" s="1626">
        <f t="shared" si="556"/>
        <v>1482.0715673773893</v>
      </c>
      <c r="W967" s="1625">
        <f t="shared" si="557"/>
        <v>4154.9999999999991</v>
      </c>
      <c r="X967" s="1614"/>
      <c r="Y967" s="1613"/>
      <c r="Z967" s="1612">
        <f t="shared" si="558"/>
        <v>0.57957673722492609</v>
      </c>
      <c r="AA967" s="1611"/>
      <c r="AB967" s="1611"/>
      <c r="AC967" s="1611"/>
      <c r="AD967" s="1611"/>
      <c r="AE967" s="1611"/>
      <c r="AF967" s="1611"/>
      <c r="AG967" s="1611"/>
      <c r="AH967" s="1611"/>
      <c r="AI967" s="1611"/>
      <c r="AJ967" s="1611"/>
      <c r="AK967" s="1611"/>
      <c r="AL967" s="1611"/>
      <c r="AM967" s="1611"/>
      <c r="AN967" s="1611"/>
      <c r="AO967" s="1611"/>
      <c r="AP967" s="1611"/>
      <c r="AQ967" s="1611"/>
    </row>
    <row r="968" spans="1:43" outlineLevel="2">
      <c r="A968" s="1638" t="s">
        <v>342</v>
      </c>
      <c r="B968" s="1637" t="s">
        <v>30</v>
      </c>
      <c r="C968" s="1636"/>
      <c r="D968" s="1635">
        <v>0</v>
      </c>
      <c r="E968" s="1634" t="s">
        <v>885</v>
      </c>
      <c r="F968" s="1633" t="s">
        <v>1067</v>
      </c>
      <c r="G968" s="1632">
        <v>6799.3597271941899</v>
      </c>
      <c r="H968" s="1632">
        <v>2759.34</v>
      </c>
      <c r="I968" s="1630">
        <f t="shared" si="546"/>
        <v>9558.6997271941909</v>
      </c>
      <c r="J968" s="1630">
        <f t="shared" si="547"/>
        <v>0</v>
      </c>
      <c r="K968" s="1631">
        <v>5595</v>
      </c>
      <c r="L968" s="1630">
        <f t="shared" si="548"/>
        <v>5595</v>
      </c>
      <c r="M968" s="1630">
        <f t="shared" si="549"/>
        <v>0</v>
      </c>
      <c r="N968" s="1625">
        <f t="shared" si="550"/>
        <v>0</v>
      </c>
      <c r="O968" s="1629">
        <v>0.80510000000000004</v>
      </c>
      <c r="P968" s="1629">
        <v>0.19489999999999999</v>
      </c>
      <c r="Q968" s="1625">
        <f t="shared" si="551"/>
        <v>0</v>
      </c>
      <c r="R968" s="1628">
        <f t="shared" si="552"/>
        <v>0</v>
      </c>
      <c r="S968" s="1627">
        <f t="shared" si="553"/>
        <v>0</v>
      </c>
      <c r="T968" s="1627">
        <f t="shared" si="554"/>
        <v>0</v>
      </c>
      <c r="U968" s="1626">
        <f t="shared" si="555"/>
        <v>0</v>
      </c>
      <c r="V968" s="1626">
        <f t="shared" si="556"/>
        <v>0</v>
      </c>
      <c r="W968" s="1625">
        <f t="shared" si="557"/>
        <v>0</v>
      </c>
      <c r="X968" s="1614"/>
      <c r="Y968" s="1613"/>
      <c r="Z968" s="1612">
        <f t="shared" si="558"/>
        <v>0.58533065790134675</v>
      </c>
      <c r="AA968" s="1611"/>
      <c r="AB968" s="1611"/>
      <c r="AC968" s="1611"/>
      <c r="AD968" s="1611"/>
      <c r="AE968" s="1611"/>
      <c r="AF968" s="1611"/>
      <c r="AG968" s="1611"/>
      <c r="AH968" s="1611"/>
      <c r="AI968" s="1611"/>
      <c r="AJ968" s="1611"/>
      <c r="AK968" s="1611"/>
      <c r="AL968" s="1611"/>
      <c r="AM968" s="1611"/>
      <c r="AN968" s="1611"/>
      <c r="AO968" s="1611"/>
      <c r="AP968" s="1611"/>
      <c r="AQ968" s="1611"/>
    </row>
    <row r="969" spans="1:43" outlineLevel="2">
      <c r="A969" s="1638" t="s">
        <v>342</v>
      </c>
      <c r="B969" s="1637" t="s">
        <v>30</v>
      </c>
      <c r="C969" s="1636"/>
      <c r="D969" s="1635">
        <v>1</v>
      </c>
      <c r="E969" s="1634" t="s">
        <v>885</v>
      </c>
      <c r="F969" s="1633" t="s">
        <v>979</v>
      </c>
      <c r="G969" s="1632">
        <v>6799.3597271941899</v>
      </c>
      <c r="H969" s="1632">
        <v>2759.34</v>
      </c>
      <c r="I969" s="1630">
        <f t="shared" si="546"/>
        <v>9558.6997271941909</v>
      </c>
      <c r="J969" s="1630">
        <f t="shared" si="547"/>
        <v>9558.6997271941909</v>
      </c>
      <c r="K969" s="1631">
        <v>4767</v>
      </c>
      <c r="L969" s="1630">
        <f t="shared" si="548"/>
        <v>4767</v>
      </c>
      <c r="M969" s="1630">
        <f t="shared" si="549"/>
        <v>4767</v>
      </c>
      <c r="N969" s="1625">
        <f t="shared" si="550"/>
        <v>4791.6997271941909</v>
      </c>
      <c r="O969" s="1629">
        <v>0.80510000000000004</v>
      </c>
      <c r="P969" s="1629">
        <v>0.19489999999999999</v>
      </c>
      <c r="Q969" s="1625">
        <f t="shared" si="551"/>
        <v>3857.7974503640435</v>
      </c>
      <c r="R969" s="1628">
        <f t="shared" si="552"/>
        <v>933.9022768301478</v>
      </c>
      <c r="S969" s="1627">
        <f t="shared" si="553"/>
        <v>2941.5622768301464</v>
      </c>
      <c r="T969" s="1627">
        <f t="shared" si="554"/>
        <v>1825.4377231698522</v>
      </c>
      <c r="U969" s="1626">
        <f t="shared" si="555"/>
        <v>735.3905692075366</v>
      </c>
      <c r="V969" s="1626">
        <f t="shared" si="556"/>
        <v>456.35943079246306</v>
      </c>
      <c r="W969" s="1625">
        <f t="shared" si="557"/>
        <v>1191.7499999999995</v>
      </c>
      <c r="X969" s="1614"/>
      <c r="Y969" s="1613"/>
      <c r="Z969" s="1612">
        <f t="shared" si="558"/>
        <v>0.49870799753632178</v>
      </c>
      <c r="AA969" s="1611"/>
      <c r="AB969" s="1611"/>
      <c r="AC969" s="1611"/>
      <c r="AD969" s="1611"/>
      <c r="AE969" s="1611"/>
      <c r="AF969" s="1611"/>
      <c r="AG969" s="1611"/>
      <c r="AH969" s="1611"/>
      <c r="AI969" s="1611"/>
      <c r="AJ969" s="1611"/>
      <c r="AK969" s="1611"/>
      <c r="AL969" s="1611"/>
      <c r="AM969" s="1611"/>
      <c r="AN969" s="1611"/>
      <c r="AO969" s="1611"/>
      <c r="AP969" s="1611"/>
      <c r="AQ969" s="1611"/>
    </row>
    <row r="970" spans="1:43" outlineLevel="2">
      <c r="A970" s="1638" t="s">
        <v>342</v>
      </c>
      <c r="B970" s="1637" t="s">
        <v>30</v>
      </c>
      <c r="C970" s="1636"/>
      <c r="D970" s="1635">
        <v>1</v>
      </c>
      <c r="E970" s="1634" t="s">
        <v>881</v>
      </c>
      <c r="F970" s="1633" t="s">
        <v>1066</v>
      </c>
      <c r="G970" s="1632">
        <v>6799.3597271941899</v>
      </c>
      <c r="H970" s="1632">
        <v>2759.34</v>
      </c>
      <c r="I970" s="1630">
        <f t="shared" si="546"/>
        <v>9558.6997271941909</v>
      </c>
      <c r="J970" s="1630">
        <f t="shared" si="547"/>
        <v>9558.6997271941909</v>
      </c>
      <c r="K970" s="1631">
        <v>4900</v>
      </c>
      <c r="L970" s="1630">
        <f t="shared" si="548"/>
        <v>4900</v>
      </c>
      <c r="M970" s="1630">
        <f t="shared" si="549"/>
        <v>4900</v>
      </c>
      <c r="N970" s="1625">
        <f t="shared" si="550"/>
        <v>4658.6997271941909</v>
      </c>
      <c r="O970" s="1629">
        <v>0.80510000000000004</v>
      </c>
      <c r="P970" s="1629">
        <v>0.19489999999999999</v>
      </c>
      <c r="Q970" s="1625">
        <f t="shared" si="551"/>
        <v>3750.7191503640433</v>
      </c>
      <c r="R970" s="1628">
        <f t="shared" si="552"/>
        <v>907.98057683014781</v>
      </c>
      <c r="S970" s="1627">
        <f t="shared" si="553"/>
        <v>3048.6405768301465</v>
      </c>
      <c r="T970" s="1627">
        <f t="shared" si="554"/>
        <v>1851.3594231698523</v>
      </c>
      <c r="U970" s="1626">
        <f t="shared" si="555"/>
        <v>762.16014420753663</v>
      </c>
      <c r="V970" s="1626">
        <f t="shared" si="556"/>
        <v>462.83985579246308</v>
      </c>
      <c r="W970" s="1625">
        <f t="shared" si="557"/>
        <v>1224.9999999999998</v>
      </c>
      <c r="X970" s="1614"/>
      <c r="Y970" s="1613"/>
      <c r="Z970" s="1612">
        <f t="shared" si="558"/>
        <v>0.51262202389930278</v>
      </c>
      <c r="AA970" s="1611"/>
      <c r="AB970" s="1611"/>
      <c r="AC970" s="1611"/>
      <c r="AD970" s="1611"/>
      <c r="AE970" s="1611"/>
      <c r="AF970" s="1611"/>
      <c r="AG970" s="1611"/>
      <c r="AH970" s="1611"/>
      <c r="AI970" s="1611"/>
      <c r="AJ970" s="1611"/>
      <c r="AK970" s="1611"/>
      <c r="AL970" s="1611"/>
      <c r="AM970" s="1611"/>
      <c r="AN970" s="1611"/>
      <c r="AO970" s="1611"/>
      <c r="AP970" s="1611"/>
      <c r="AQ970" s="1611"/>
    </row>
    <row r="971" spans="1:43" outlineLevel="2">
      <c r="A971" s="1638" t="s">
        <v>342</v>
      </c>
      <c r="B971" s="1637" t="s">
        <v>30</v>
      </c>
      <c r="C971" s="1636"/>
      <c r="D971" s="1635">
        <v>1</v>
      </c>
      <c r="E971" s="1634" t="s">
        <v>879</v>
      </c>
      <c r="F971" s="1633" t="s">
        <v>1065</v>
      </c>
      <c r="G971" s="1632">
        <v>6799.3597271941899</v>
      </c>
      <c r="H971" s="1632">
        <v>2759.34</v>
      </c>
      <c r="I971" s="1630">
        <f t="shared" si="546"/>
        <v>9558.6997271941909</v>
      </c>
      <c r="J971" s="1630">
        <f t="shared" si="547"/>
        <v>9558.6997271941909</v>
      </c>
      <c r="K971" s="1631">
        <v>4075</v>
      </c>
      <c r="L971" s="1630">
        <f t="shared" si="548"/>
        <v>4075</v>
      </c>
      <c r="M971" s="1630">
        <f t="shared" si="549"/>
        <v>4075</v>
      </c>
      <c r="N971" s="1625">
        <f t="shared" si="550"/>
        <v>5483.6997271941909</v>
      </c>
      <c r="O971" s="1629">
        <v>0.80510000000000004</v>
      </c>
      <c r="P971" s="1629">
        <v>0.19489999999999999</v>
      </c>
      <c r="Q971" s="1625">
        <f t="shared" si="551"/>
        <v>4414.9266503640429</v>
      </c>
      <c r="R971" s="1628">
        <f t="shared" si="552"/>
        <v>1068.7730768301478</v>
      </c>
      <c r="S971" s="1627">
        <f t="shared" si="553"/>
        <v>2384.433076830147</v>
      </c>
      <c r="T971" s="1627">
        <f t="shared" si="554"/>
        <v>1690.5669231698523</v>
      </c>
      <c r="U971" s="1626">
        <f t="shared" si="555"/>
        <v>596.10826920753675</v>
      </c>
      <c r="V971" s="1626">
        <f t="shared" si="556"/>
        <v>422.64173079246308</v>
      </c>
      <c r="W971" s="1625">
        <f t="shared" si="557"/>
        <v>1018.7499999999998</v>
      </c>
      <c r="X971" s="1614"/>
      <c r="Y971" s="1613"/>
      <c r="Z971" s="1612">
        <f t="shared" si="558"/>
        <v>0.42631321375299164</v>
      </c>
      <c r="AA971" s="1611"/>
      <c r="AB971" s="1611"/>
      <c r="AC971" s="1611"/>
      <c r="AD971" s="1611"/>
      <c r="AE971" s="1611"/>
      <c r="AF971" s="1611"/>
      <c r="AG971" s="1611"/>
      <c r="AH971" s="1611"/>
      <c r="AI971" s="1611"/>
      <c r="AJ971" s="1611"/>
      <c r="AK971" s="1611"/>
      <c r="AL971" s="1611"/>
      <c r="AM971" s="1611"/>
      <c r="AN971" s="1611"/>
      <c r="AO971" s="1611"/>
      <c r="AP971" s="1611"/>
      <c r="AQ971" s="1611"/>
    </row>
    <row r="972" spans="1:43" outlineLevel="2">
      <c r="A972" s="1638" t="s">
        <v>342</v>
      </c>
      <c r="B972" s="1637" t="s">
        <v>30</v>
      </c>
      <c r="C972" s="1636"/>
      <c r="D972" s="1635">
        <v>4</v>
      </c>
      <c r="E972" s="1634" t="s">
        <v>879</v>
      </c>
      <c r="F972" s="1633" t="s">
        <v>1064</v>
      </c>
      <c r="G972" s="1632">
        <v>6799.3597271941899</v>
      </c>
      <c r="H972" s="1632">
        <v>2759.34</v>
      </c>
      <c r="I972" s="1630">
        <f t="shared" si="546"/>
        <v>9558.6997271941909</v>
      </c>
      <c r="J972" s="1630">
        <f t="shared" si="547"/>
        <v>38234.798908776764</v>
      </c>
      <c r="K972" s="1631">
        <v>4075</v>
      </c>
      <c r="L972" s="1630">
        <f t="shared" si="548"/>
        <v>4075</v>
      </c>
      <c r="M972" s="1630">
        <f t="shared" si="549"/>
        <v>16300</v>
      </c>
      <c r="N972" s="1625">
        <f t="shared" si="550"/>
        <v>21934.798908776764</v>
      </c>
      <c r="O972" s="1629">
        <v>0.80510000000000004</v>
      </c>
      <c r="P972" s="1629">
        <v>0.19489999999999999</v>
      </c>
      <c r="Q972" s="1625">
        <f t="shared" si="551"/>
        <v>17659.706601456171</v>
      </c>
      <c r="R972" s="1628">
        <f t="shared" si="552"/>
        <v>4275.0923073205913</v>
      </c>
      <c r="S972" s="1627">
        <f t="shared" si="553"/>
        <v>9537.732307320588</v>
      </c>
      <c r="T972" s="1627">
        <f t="shared" si="554"/>
        <v>6762.2676926794093</v>
      </c>
      <c r="U972" s="1626">
        <f t="shared" si="555"/>
        <v>2384.433076830147</v>
      </c>
      <c r="V972" s="1626">
        <f t="shared" si="556"/>
        <v>1690.5669231698523</v>
      </c>
      <c r="W972" s="1625">
        <f t="shared" si="557"/>
        <v>4074.9999999999991</v>
      </c>
      <c r="X972" s="1614"/>
      <c r="Y972" s="1613"/>
      <c r="Z972" s="1612">
        <f t="shared" si="558"/>
        <v>0.42631321375299164</v>
      </c>
      <c r="AA972" s="1611"/>
      <c r="AB972" s="1611"/>
      <c r="AC972" s="1611"/>
      <c r="AD972" s="1611"/>
      <c r="AE972" s="1611"/>
      <c r="AF972" s="1611"/>
      <c r="AG972" s="1611"/>
      <c r="AH972" s="1611"/>
      <c r="AI972" s="1611"/>
      <c r="AJ972" s="1611"/>
      <c r="AK972" s="1611"/>
      <c r="AL972" s="1611"/>
      <c r="AM972" s="1611"/>
      <c r="AN972" s="1611"/>
      <c r="AO972" s="1611"/>
      <c r="AP972" s="1611"/>
      <c r="AQ972" s="1611"/>
    </row>
    <row r="973" spans="1:43" outlineLevel="2">
      <c r="A973" s="1638" t="s">
        <v>342</v>
      </c>
      <c r="B973" s="1637" t="s">
        <v>30</v>
      </c>
      <c r="C973" s="1636"/>
      <c r="D973" s="1635">
        <v>4</v>
      </c>
      <c r="E973" s="1634" t="s">
        <v>879</v>
      </c>
      <c r="F973" s="1633" t="s">
        <v>1063</v>
      </c>
      <c r="G973" s="1632">
        <v>6799.3597271941899</v>
      </c>
      <c r="H973" s="1632">
        <v>2759.34</v>
      </c>
      <c r="I973" s="1630">
        <f t="shared" si="546"/>
        <v>9558.6997271941909</v>
      </c>
      <c r="J973" s="1630">
        <f t="shared" si="547"/>
        <v>38234.798908776764</v>
      </c>
      <c r="K973" s="1631">
        <v>4075</v>
      </c>
      <c r="L973" s="1630">
        <f t="shared" si="548"/>
        <v>4075</v>
      </c>
      <c r="M973" s="1630">
        <f t="shared" si="549"/>
        <v>16300</v>
      </c>
      <c r="N973" s="1625">
        <f t="shared" si="550"/>
        <v>21934.798908776764</v>
      </c>
      <c r="O973" s="1629">
        <v>0.80510000000000004</v>
      </c>
      <c r="P973" s="1629">
        <v>0.19489999999999999</v>
      </c>
      <c r="Q973" s="1625">
        <f t="shared" si="551"/>
        <v>17659.706601456171</v>
      </c>
      <c r="R973" s="1628">
        <f t="shared" si="552"/>
        <v>4275.0923073205913</v>
      </c>
      <c r="S973" s="1627">
        <f t="shared" si="553"/>
        <v>9537.732307320588</v>
      </c>
      <c r="T973" s="1627">
        <f t="shared" si="554"/>
        <v>6762.2676926794093</v>
      </c>
      <c r="U973" s="1626">
        <f t="shared" si="555"/>
        <v>2384.433076830147</v>
      </c>
      <c r="V973" s="1626">
        <f t="shared" si="556"/>
        <v>1690.5669231698523</v>
      </c>
      <c r="W973" s="1625">
        <f t="shared" si="557"/>
        <v>4074.9999999999991</v>
      </c>
      <c r="X973" s="1614"/>
      <c r="Y973" s="1613"/>
      <c r="Z973" s="1612">
        <f t="shared" si="558"/>
        <v>0.42631321375299164</v>
      </c>
      <c r="AA973" s="1611"/>
      <c r="AB973" s="1611"/>
      <c r="AC973" s="1611"/>
      <c r="AD973" s="1611"/>
      <c r="AE973" s="1611"/>
      <c r="AF973" s="1611"/>
      <c r="AG973" s="1611"/>
      <c r="AH973" s="1611"/>
      <c r="AI973" s="1611"/>
      <c r="AJ973" s="1611"/>
      <c r="AK973" s="1611"/>
      <c r="AL973" s="1611"/>
      <c r="AM973" s="1611"/>
      <c r="AN973" s="1611"/>
      <c r="AO973" s="1611"/>
      <c r="AP973" s="1611"/>
      <c r="AQ973" s="1611"/>
    </row>
    <row r="974" spans="1:43" outlineLevel="1">
      <c r="A974" s="1624"/>
      <c r="B974" s="1623" t="s">
        <v>1062</v>
      </c>
      <c r="C974" s="1622"/>
      <c r="D974" s="1621">
        <f>SUBTOTAL(9,D948:D973)</f>
        <v>38</v>
      </c>
      <c r="E974" s="1620"/>
      <c r="F974" s="1619"/>
      <c r="G974" s="1618"/>
      <c r="H974" s="1616"/>
      <c r="I974" s="1616"/>
      <c r="J974" s="1616">
        <f>SUBTOTAL(9,J948:J973)</f>
        <v>363230.58963337931</v>
      </c>
      <c r="K974" s="1615"/>
      <c r="L974" s="1616"/>
      <c r="M974" s="1616">
        <f>SUBTOTAL(9,M948:M973)</f>
        <v>186731</v>
      </c>
      <c r="N974" s="1615">
        <f>SUBTOTAL(9,N948:N973)</f>
        <v>176499.58963337931</v>
      </c>
      <c r="O974" s="1617"/>
      <c r="P974" s="1617"/>
      <c r="Q974" s="1615">
        <f t="shared" ref="Q974:W974" si="559">SUBTOTAL(9,Q948:Q973)</f>
        <v>142099.81961383365</v>
      </c>
      <c r="R974" s="1615">
        <f t="shared" si="559"/>
        <v>34399.770019545613</v>
      </c>
      <c r="S974" s="1616">
        <f t="shared" si="559"/>
        <v>116275.85001954557</v>
      </c>
      <c r="T974" s="1616">
        <f t="shared" si="559"/>
        <v>70455.149980454415</v>
      </c>
      <c r="U974" s="1616">
        <f t="shared" si="559"/>
        <v>29068.962504886393</v>
      </c>
      <c r="V974" s="1616">
        <f t="shared" si="559"/>
        <v>17613.787495113604</v>
      </c>
      <c r="W974" s="1615">
        <f t="shared" si="559"/>
        <v>46682.749999999993</v>
      </c>
      <c r="X974" s="1614"/>
      <c r="Y974" s="1613"/>
      <c r="Z974" s="1612"/>
      <c r="AA974" s="1611"/>
      <c r="AB974" s="1611"/>
      <c r="AC974" s="1611"/>
      <c r="AD974" s="1611"/>
      <c r="AE974" s="1611"/>
      <c r="AF974" s="1611"/>
      <c r="AG974" s="1611"/>
      <c r="AH974" s="1611"/>
      <c r="AI974" s="1611"/>
      <c r="AJ974" s="1611"/>
      <c r="AK974" s="1611"/>
      <c r="AL974" s="1611"/>
      <c r="AM974" s="1611"/>
      <c r="AN974" s="1611"/>
      <c r="AO974" s="1611"/>
      <c r="AP974" s="1611"/>
      <c r="AQ974" s="1611"/>
    </row>
    <row r="975" spans="1:43" outlineLevel="1">
      <c r="A975" s="1624"/>
      <c r="B975" s="1623" t="s">
        <v>878</v>
      </c>
      <c r="C975" s="1622"/>
      <c r="D975" s="1621">
        <f>SUBTOTAL(9,D11:D973)</f>
        <v>4820</v>
      </c>
      <c r="E975" s="1620"/>
      <c r="F975" s="1619"/>
      <c r="G975" s="1618"/>
      <c r="H975" s="1616"/>
      <c r="I975" s="1616"/>
      <c r="J975" s="1616">
        <f>SUBTOTAL(9,J11:J973)</f>
        <v>41444148.707669683</v>
      </c>
      <c r="K975" s="1615"/>
      <c r="L975" s="1616"/>
      <c r="M975" s="1616">
        <f>SUBTOTAL(9,M11:M973)</f>
        <v>24618508.896753386</v>
      </c>
      <c r="N975" s="1615">
        <f>SUBTOTAL(9,N11:N973)</f>
        <v>16825639.810916074</v>
      </c>
      <c r="O975" s="1617"/>
      <c r="P975" s="1617"/>
      <c r="Q975" s="1615">
        <f t="shared" ref="Q975:W975" si="560">SUBTOTAL(9,Q11:Q973)</f>
        <v>9621973.8505515885</v>
      </c>
      <c r="R975" s="1615">
        <f t="shared" si="560"/>
        <v>7203665.9603644712</v>
      </c>
      <c r="S975" s="1616">
        <f t="shared" si="560"/>
        <v>12099965.277117876</v>
      </c>
      <c r="T975" s="1616">
        <f t="shared" si="560"/>
        <v>12518543.619635515</v>
      </c>
      <c r="U975" s="1616">
        <f t="shared" si="560"/>
        <v>3024991.3192794691</v>
      </c>
      <c r="V975" s="1616">
        <f t="shared" si="560"/>
        <v>3129635.9049088787</v>
      </c>
      <c r="W975" s="1615">
        <f t="shared" si="560"/>
        <v>6154627.2241883464</v>
      </c>
      <c r="X975" s="1614"/>
      <c r="Y975" s="1613"/>
      <c r="Z975" s="1612"/>
      <c r="AA975" s="1611"/>
      <c r="AB975" s="1611"/>
      <c r="AC975" s="1611"/>
      <c r="AD975" s="1611"/>
      <c r="AE975" s="1611"/>
      <c r="AF975" s="1611"/>
      <c r="AG975" s="1611"/>
      <c r="AH975" s="1611"/>
      <c r="AI975" s="1611"/>
      <c r="AJ975" s="1611"/>
      <c r="AK975" s="1611"/>
      <c r="AL975" s="1611"/>
      <c r="AM975" s="1611"/>
      <c r="AN975" s="1611"/>
      <c r="AO975" s="1611"/>
      <c r="AP975" s="1611"/>
      <c r="AQ975" s="1611"/>
    </row>
  </sheetData>
  <mergeCells count="24">
    <mergeCell ref="J7:J8"/>
    <mergeCell ref="K7:K8"/>
    <mergeCell ref="L7:L8"/>
    <mergeCell ref="A7:A8"/>
    <mergeCell ref="B7:B8"/>
    <mergeCell ref="C7:C8"/>
    <mergeCell ref="D7:D8"/>
    <mergeCell ref="E7:E8"/>
    <mergeCell ref="R7:R8"/>
    <mergeCell ref="B2:W2"/>
    <mergeCell ref="I6:J6"/>
    <mergeCell ref="K6:M6"/>
    <mergeCell ref="O6:P6"/>
    <mergeCell ref="Q6:R6"/>
    <mergeCell ref="S6:T6"/>
    <mergeCell ref="U6:W6"/>
    <mergeCell ref="G7:G8"/>
    <mergeCell ref="N7:N8"/>
    <mergeCell ref="O7:O8"/>
    <mergeCell ref="P7:P8"/>
    <mergeCell ref="Q7:Q8"/>
    <mergeCell ref="M7:M8"/>
    <mergeCell ref="H7:H8"/>
    <mergeCell ref="I7:I8"/>
  </mergeCells>
  <printOptions horizontalCentered="1"/>
  <pageMargins left="0.2" right="0.2" top="0.75" bottom="0.25" header="0.3" footer="0.25"/>
  <pageSetup paperSize="5" scale="58" firstPageNumber="117" orientation="landscape" useFirstPageNumber="1" r:id="rId1"/>
  <headerFooter>
    <oddHeader>&amp;L&amp;"Arial,Bold"&amp;18Table 5F: FY2013-14 MFP Budget Letter (Projection)
Student Scholarships for Educational Excellence Program &amp;C&amp;"Arial,Bold"&amp;20&amp;U&amp;KC00000Quarterly Enrollment</oddHeader>
    <oddFooter>&amp;R&amp;P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view="pageBreakPreview" zoomScale="80" zoomScaleNormal="85" zoomScaleSheetLayoutView="80" workbookViewId="0">
      <pane xSplit="2" ySplit="7" topLeftCell="C8" activePane="bottomRight" state="frozen"/>
      <selection activeCell="B3" sqref="B3:B5"/>
      <selection pane="topRight" activeCell="B3" sqref="B3:B5"/>
      <selection pane="bottomLeft" activeCell="B3" sqref="B3:B5"/>
      <selection pane="bottomRight" activeCell="B4" sqref="B4:B6"/>
    </sheetView>
  </sheetViews>
  <sheetFormatPr defaultRowHeight="12.75"/>
  <cols>
    <col min="1" max="1" width="4.7109375" customWidth="1"/>
    <col min="2" max="2" width="18.5703125" customWidth="1"/>
    <col min="3" max="3" width="18.42578125" customWidth="1"/>
    <col min="4" max="4" width="17.7109375" customWidth="1"/>
    <col min="5" max="5" width="19.42578125" customWidth="1"/>
    <col min="6" max="6" width="17" customWidth="1"/>
    <col min="7" max="7" width="18.7109375" customWidth="1"/>
    <col min="8" max="8" width="15.42578125" customWidth="1"/>
    <col min="9" max="9" width="14.42578125" customWidth="1"/>
    <col min="10" max="10" width="16" customWidth="1"/>
    <col min="11" max="11" width="13.7109375" customWidth="1"/>
    <col min="13" max="13" width="12.7109375" customWidth="1"/>
  </cols>
  <sheetData>
    <row r="1" spans="1:10" ht="46.5" customHeight="1">
      <c r="B1" s="230" t="s">
        <v>228</v>
      </c>
      <c r="C1" s="231"/>
      <c r="D1" s="231"/>
      <c r="E1" s="232"/>
      <c r="F1" s="232"/>
      <c r="G1" s="232"/>
      <c r="H1" s="232"/>
      <c r="I1" s="232"/>
      <c r="J1" s="232"/>
    </row>
    <row r="2" spans="1:10" ht="15" customHeight="1">
      <c r="A2" s="48"/>
      <c r="B2" s="48"/>
      <c r="C2" s="2"/>
      <c r="D2" s="2"/>
      <c r="E2" s="968">
        <f>'Table 7 Local Revenue'!AD77</f>
        <v>40.450000000000003</v>
      </c>
      <c r="F2" s="2"/>
      <c r="G2" s="2"/>
      <c r="H2" s="969">
        <f>'Table 7 Local Revenue'!AF77</f>
        <v>1.9900000000000001E-2</v>
      </c>
      <c r="I2" s="2"/>
      <c r="J2" s="2"/>
    </row>
    <row r="3" spans="1:10" ht="40.5" hidden="1" customHeight="1">
      <c r="A3" s="48"/>
      <c r="C3" s="113"/>
      <c r="D3" s="113"/>
      <c r="E3" s="113" t="s">
        <v>60</v>
      </c>
      <c r="F3" s="113"/>
      <c r="G3" s="113"/>
      <c r="H3" s="113" t="s">
        <v>61</v>
      </c>
      <c r="I3" s="113"/>
      <c r="J3" s="113"/>
    </row>
    <row r="4" spans="1:10" ht="45" customHeight="1">
      <c r="A4" s="1862" t="s">
        <v>190</v>
      </c>
      <c r="B4" s="1862" t="s">
        <v>2</v>
      </c>
      <c r="C4" s="2173" t="s">
        <v>249</v>
      </c>
      <c r="D4" s="2174"/>
      <c r="E4" s="2175"/>
      <c r="F4" s="2173" t="s">
        <v>211</v>
      </c>
      <c r="G4" s="2174"/>
      <c r="H4" s="2174"/>
      <c r="I4" s="2174"/>
      <c r="J4" s="2175"/>
    </row>
    <row r="5" spans="1:10" ht="51.75" customHeight="1">
      <c r="A5" s="2171"/>
      <c r="B5" s="2171"/>
      <c r="C5" s="2176" t="s">
        <v>1052</v>
      </c>
      <c r="D5" s="2176" t="s">
        <v>1053</v>
      </c>
      <c r="E5" s="67" t="s">
        <v>219</v>
      </c>
      <c r="F5" s="2176" t="s">
        <v>1054</v>
      </c>
      <c r="G5" s="2176" t="s">
        <v>1055</v>
      </c>
      <c r="H5" s="67" t="s">
        <v>218</v>
      </c>
      <c r="I5" s="2176" t="s">
        <v>250</v>
      </c>
      <c r="J5" s="2176" t="s">
        <v>269</v>
      </c>
    </row>
    <row r="6" spans="1:10" ht="15.75" customHeight="1">
      <c r="A6" s="2172"/>
      <c r="B6" s="2172"/>
      <c r="C6" s="2176"/>
      <c r="D6" s="2176"/>
      <c r="E6" s="378">
        <f>'Table 7 Local Revenue'!AD77*41.66%</f>
        <v>16.851469999999999</v>
      </c>
      <c r="F6" s="2176"/>
      <c r="G6" s="2176"/>
      <c r="H6" s="1574">
        <f>'Table 7 Local Revenue'!AF77*41.66%</f>
        <v>8.2903400000000002E-3</v>
      </c>
      <c r="I6" s="2176"/>
      <c r="J6" s="2176"/>
    </row>
    <row r="7" spans="1:10">
      <c r="A7" s="63"/>
      <c r="B7" s="63"/>
      <c r="C7" s="214">
        <v>1</v>
      </c>
      <c r="D7" s="215">
        <f t="shared" ref="D7:J7" si="0">1+C7</f>
        <v>2</v>
      </c>
      <c r="E7" s="215">
        <f t="shared" si="0"/>
        <v>3</v>
      </c>
      <c r="F7" s="215">
        <f t="shared" si="0"/>
        <v>4</v>
      </c>
      <c r="G7" s="215">
        <f t="shared" si="0"/>
        <v>5</v>
      </c>
      <c r="H7" s="215">
        <f t="shared" si="0"/>
        <v>6</v>
      </c>
      <c r="I7" s="266">
        <f t="shared" si="0"/>
        <v>7</v>
      </c>
      <c r="J7" s="215">
        <f t="shared" si="0"/>
        <v>8</v>
      </c>
    </row>
    <row r="8" spans="1:10" ht="1.5" customHeight="1">
      <c r="A8" s="9"/>
      <c r="B8" s="10"/>
      <c r="C8" s="122"/>
      <c r="D8" s="11"/>
      <c r="E8" s="354"/>
      <c r="F8" s="355"/>
      <c r="G8" s="11"/>
      <c r="I8" s="354"/>
      <c r="J8" s="115"/>
    </row>
    <row r="9" spans="1:10">
      <c r="A9" s="12">
        <v>1</v>
      </c>
      <c r="B9" s="13" t="s">
        <v>95</v>
      </c>
      <c r="C9" s="14">
        <f>'Table 7 Local Revenue'!AE8</f>
        <v>8678907</v>
      </c>
      <c r="D9" s="14">
        <f>'Table 7 Local Revenue'!H8</f>
        <v>290512798</v>
      </c>
      <c r="E9" s="14">
        <f t="shared" ref="E9:E40" si="1">ROUND(D9*$E$6/1000,0)</f>
        <v>4895568</v>
      </c>
      <c r="F9" s="279">
        <f>'Table 7 Local Revenue'!AI8</f>
        <v>11369692</v>
      </c>
      <c r="G9" s="14">
        <f>'Table 7 Local Revenue'!AM8</f>
        <v>757979467</v>
      </c>
      <c r="H9" s="14">
        <f t="shared" ref="H9:H40" si="2">ROUND(G9*$H$6,0)</f>
        <v>6283907</v>
      </c>
      <c r="I9" s="237">
        <f>'Table 7 Local Revenue'!AP8</f>
        <v>526511</v>
      </c>
      <c r="J9" s="14">
        <f t="shared" ref="J9:J40" si="3">E9+H9+I9</f>
        <v>11705986</v>
      </c>
    </row>
    <row r="10" spans="1:10">
      <c r="A10" s="12">
        <v>2</v>
      </c>
      <c r="B10" s="13" t="s">
        <v>96</v>
      </c>
      <c r="C10" s="14">
        <f>'Table 7 Local Revenue'!AE9</f>
        <v>3470809</v>
      </c>
      <c r="D10" s="14">
        <f>'Table 7 Local Revenue'!H9</f>
        <v>77481772</v>
      </c>
      <c r="E10" s="14">
        <f t="shared" si="1"/>
        <v>1305682</v>
      </c>
      <c r="F10" s="279">
        <f>'Table 7 Local Revenue'!AI9</f>
        <v>7172089</v>
      </c>
      <c r="G10" s="14">
        <f>'Table 7 Local Revenue'!AM9</f>
        <v>239069633</v>
      </c>
      <c r="H10" s="14">
        <f t="shared" si="2"/>
        <v>1981969</v>
      </c>
      <c r="I10" s="237">
        <f>'Table 7 Local Revenue'!AP9</f>
        <v>101838</v>
      </c>
      <c r="J10" s="14">
        <f t="shared" si="3"/>
        <v>3389489</v>
      </c>
    </row>
    <row r="11" spans="1:10">
      <c r="A11" s="12">
        <v>3</v>
      </c>
      <c r="B11" s="13" t="s">
        <v>97</v>
      </c>
      <c r="C11" s="14">
        <f>'Table 7 Local Revenue'!AE10</f>
        <v>53862079</v>
      </c>
      <c r="D11" s="14">
        <f>'Table 7 Local Revenue'!H10</f>
        <v>875112560</v>
      </c>
      <c r="E11" s="14">
        <f t="shared" si="1"/>
        <v>14746933</v>
      </c>
      <c r="F11" s="279">
        <f>'Table 7 Local Revenue'!AI10</f>
        <v>49823946</v>
      </c>
      <c r="G11" s="14">
        <f>'Table 7 Local Revenue'!AM10</f>
        <v>2491197300</v>
      </c>
      <c r="H11" s="14">
        <f t="shared" si="2"/>
        <v>20652873</v>
      </c>
      <c r="I11" s="237">
        <f>'Table 7 Local Revenue'!AP10</f>
        <v>197634</v>
      </c>
      <c r="J11" s="14">
        <f t="shared" si="3"/>
        <v>35597440</v>
      </c>
    </row>
    <row r="12" spans="1:10">
      <c r="A12" s="12">
        <v>4</v>
      </c>
      <c r="B12" s="13" t="s">
        <v>98</v>
      </c>
      <c r="C12" s="14">
        <f>'Table 7 Local Revenue'!AE11</f>
        <v>5475482</v>
      </c>
      <c r="D12" s="14">
        <f>'Table 7 Local Revenue'!H11</f>
        <v>140247799</v>
      </c>
      <c r="E12" s="14">
        <f t="shared" si="1"/>
        <v>2363382</v>
      </c>
      <c r="F12" s="279">
        <f>'Table 7 Local Revenue'!AI11</f>
        <v>6784459</v>
      </c>
      <c r="G12" s="14">
        <f>'Table 7 Local Revenue'!AM11</f>
        <v>226148633</v>
      </c>
      <c r="H12" s="14">
        <f t="shared" si="2"/>
        <v>1874849</v>
      </c>
      <c r="I12" s="237">
        <f>'Table 7 Local Revenue'!AP11</f>
        <v>153274</v>
      </c>
      <c r="J12" s="14">
        <f t="shared" si="3"/>
        <v>4391505</v>
      </c>
    </row>
    <row r="13" spans="1:10">
      <c r="A13" s="18">
        <v>5</v>
      </c>
      <c r="B13" s="19" t="s">
        <v>99</v>
      </c>
      <c r="C13" s="20">
        <f>'Table 7 Local Revenue'!AE12</f>
        <v>1426920</v>
      </c>
      <c r="D13" s="20">
        <f>'Table 7 Local Revenue'!H12</f>
        <v>100860780</v>
      </c>
      <c r="E13" s="20">
        <f t="shared" si="1"/>
        <v>1699652</v>
      </c>
      <c r="F13" s="280">
        <f>'Table 7 Local Revenue'!AI12</f>
        <v>7262732</v>
      </c>
      <c r="G13" s="20">
        <f>'Table 7 Local Revenue'!AM12</f>
        <v>445566380</v>
      </c>
      <c r="H13" s="20">
        <f t="shared" si="2"/>
        <v>3693897</v>
      </c>
      <c r="I13" s="238">
        <f>'Table 7 Local Revenue'!AP12</f>
        <v>221441.5</v>
      </c>
      <c r="J13" s="20">
        <f t="shared" si="3"/>
        <v>5614990.5</v>
      </c>
    </row>
    <row r="14" spans="1:10">
      <c r="A14" s="12">
        <v>6</v>
      </c>
      <c r="B14" s="13" t="s">
        <v>100</v>
      </c>
      <c r="C14" s="14">
        <f>'Table 7 Local Revenue'!AE13</f>
        <v>10735401</v>
      </c>
      <c r="D14" s="14">
        <f>'Table 7 Local Revenue'!H13</f>
        <v>205652488</v>
      </c>
      <c r="E14" s="14">
        <f t="shared" si="1"/>
        <v>3465547</v>
      </c>
      <c r="F14" s="279">
        <f>'Table 7 Local Revenue'!AI13</f>
        <v>11237688</v>
      </c>
      <c r="G14" s="14">
        <f>'Table 7 Local Revenue'!AM13</f>
        <v>499244957.49999994</v>
      </c>
      <c r="H14" s="14">
        <f t="shared" si="2"/>
        <v>4138910</v>
      </c>
      <c r="I14" s="237">
        <f>'Table 7 Local Revenue'!AP13</f>
        <v>326455.5</v>
      </c>
      <c r="J14" s="14">
        <f t="shared" si="3"/>
        <v>7930912.5</v>
      </c>
    </row>
    <row r="15" spans="1:10">
      <c r="A15" s="12">
        <v>7</v>
      </c>
      <c r="B15" s="13" t="s">
        <v>101</v>
      </c>
      <c r="C15" s="14">
        <f>'Table 7 Local Revenue'!AE14</f>
        <v>20641090</v>
      </c>
      <c r="D15" s="14">
        <f>'Table 7 Local Revenue'!H14</f>
        <v>329482072.70000005</v>
      </c>
      <c r="E15" s="14">
        <f t="shared" si="1"/>
        <v>5552257</v>
      </c>
      <c r="F15" s="279">
        <f>'Table 7 Local Revenue'!AI14</f>
        <v>7821796</v>
      </c>
      <c r="G15" s="14">
        <f>'Table 7 Local Revenue'!AM14</f>
        <v>391089800</v>
      </c>
      <c r="H15" s="14">
        <f t="shared" si="2"/>
        <v>3242267</v>
      </c>
      <c r="I15" s="237">
        <f>'Table 7 Local Revenue'!AP14</f>
        <v>227363.5</v>
      </c>
      <c r="J15" s="14">
        <f t="shared" si="3"/>
        <v>9021887.5</v>
      </c>
    </row>
    <row r="16" spans="1:10">
      <c r="A16" s="12">
        <v>8</v>
      </c>
      <c r="B16" s="13" t="s">
        <v>102</v>
      </c>
      <c r="C16" s="14">
        <f>'Table 7 Local Revenue'!AE15</f>
        <v>45649430</v>
      </c>
      <c r="D16" s="14">
        <f>'Table 7 Local Revenue'!H15</f>
        <v>882522656</v>
      </c>
      <c r="E16" s="14">
        <f t="shared" si="1"/>
        <v>14871804</v>
      </c>
      <c r="F16" s="279">
        <f>'Table 7 Local Revenue'!AI15</f>
        <v>44601904</v>
      </c>
      <c r="G16" s="14">
        <f>'Table 7 Local Revenue'!AM15</f>
        <v>2548680229</v>
      </c>
      <c r="H16" s="14">
        <f t="shared" si="2"/>
        <v>21129426</v>
      </c>
      <c r="I16" s="237">
        <f>'Table 7 Local Revenue'!AP15</f>
        <v>612181</v>
      </c>
      <c r="J16" s="14">
        <f t="shared" si="3"/>
        <v>36613411</v>
      </c>
    </row>
    <row r="17" spans="1:13">
      <c r="A17" s="12">
        <v>9</v>
      </c>
      <c r="B17" s="13" t="s">
        <v>103</v>
      </c>
      <c r="C17" s="14">
        <f>'Table 7 Local Revenue'!AE16</f>
        <v>118647654</v>
      </c>
      <c r="D17" s="14">
        <f>'Table 7 Local Revenue'!H16</f>
        <v>1541689220</v>
      </c>
      <c r="E17" s="14">
        <f t="shared" si="1"/>
        <v>25979730</v>
      </c>
      <c r="F17" s="279">
        <f>'Table 7 Local Revenue'!AI16</f>
        <v>74472829</v>
      </c>
      <c r="G17" s="14">
        <f>'Table 7 Local Revenue'!AM16</f>
        <v>4964855267</v>
      </c>
      <c r="H17" s="14">
        <f t="shared" si="2"/>
        <v>41160338</v>
      </c>
      <c r="I17" s="237">
        <f>'Table 7 Local Revenue'!AP16</f>
        <v>2536532</v>
      </c>
      <c r="J17" s="14">
        <f t="shared" si="3"/>
        <v>69676600</v>
      </c>
    </row>
    <row r="18" spans="1:13">
      <c r="A18" s="18">
        <v>10</v>
      </c>
      <c r="B18" s="19" t="s">
        <v>104</v>
      </c>
      <c r="C18" s="20">
        <f>'Table 7 Local Revenue'!AE17</f>
        <v>49530964</v>
      </c>
      <c r="D18" s="20">
        <f>'Table 7 Local Revenue'!H17</f>
        <v>1507165524</v>
      </c>
      <c r="E18" s="20">
        <f t="shared" si="1"/>
        <v>25397955</v>
      </c>
      <c r="F18" s="280">
        <f>'Table 7 Local Revenue'!AI17</f>
        <v>91977507</v>
      </c>
      <c r="G18" s="20">
        <f>'Table 7 Local Revenue'!AM17</f>
        <v>4598875350</v>
      </c>
      <c r="H18" s="20">
        <f t="shared" si="2"/>
        <v>38126240</v>
      </c>
      <c r="I18" s="238">
        <f>'Table 7 Local Revenue'!AP17</f>
        <v>1014170</v>
      </c>
      <c r="J18" s="20">
        <f t="shared" si="3"/>
        <v>64538365</v>
      </c>
      <c r="K18" s="35"/>
      <c r="L18" s="35"/>
      <c r="M18" s="35"/>
    </row>
    <row r="19" spans="1:13" ht="12" customHeight="1">
      <c r="A19" s="12">
        <v>11</v>
      </c>
      <c r="B19" s="13" t="s">
        <v>105</v>
      </c>
      <c r="C19" s="14">
        <f>'Table 7 Local Revenue'!AE18</f>
        <v>3477623</v>
      </c>
      <c r="D19" s="14">
        <f>'Table 7 Local Revenue'!H18</f>
        <v>48364338.000000007</v>
      </c>
      <c r="E19" s="14">
        <f t="shared" si="1"/>
        <v>815010</v>
      </c>
      <c r="F19" s="279">
        <f>'Table 7 Local Revenue'!AI18</f>
        <v>1965585</v>
      </c>
      <c r="G19" s="14">
        <f>'Table 7 Local Revenue'!AM18</f>
        <v>98279250</v>
      </c>
      <c r="H19" s="14">
        <f t="shared" si="2"/>
        <v>814768</v>
      </c>
      <c r="I19" s="237">
        <f>'Table 7 Local Revenue'!AP18</f>
        <v>85967.5</v>
      </c>
      <c r="J19" s="14">
        <f t="shared" si="3"/>
        <v>1715745.5</v>
      </c>
      <c r="K19" s="35"/>
      <c r="L19" s="35"/>
      <c r="M19" s="35"/>
    </row>
    <row r="20" spans="1:13">
      <c r="A20" s="12">
        <v>12</v>
      </c>
      <c r="B20" s="13" t="s">
        <v>106</v>
      </c>
      <c r="C20" s="14">
        <f>'Table 7 Local Revenue'!AE19</f>
        <v>14161437</v>
      </c>
      <c r="D20" s="14">
        <f>'Table 7 Local Revenue'!H19</f>
        <v>260910951.40000004</v>
      </c>
      <c r="E20" s="14">
        <f t="shared" si="1"/>
        <v>4396733</v>
      </c>
      <c r="F20" s="279">
        <f>'Table 7 Local Revenue'!AI19</f>
        <v>0</v>
      </c>
      <c r="G20" s="14">
        <f>'Table 7 Local Revenue'!AM19</f>
        <v>30713432.374999996</v>
      </c>
      <c r="H20" s="14">
        <f t="shared" si="2"/>
        <v>254625</v>
      </c>
      <c r="I20" s="237">
        <f>'Table 7 Local Revenue'!AP19</f>
        <v>647659.5</v>
      </c>
      <c r="J20" s="14">
        <f t="shared" si="3"/>
        <v>5299017.5</v>
      </c>
      <c r="K20" s="35"/>
      <c r="L20" s="35"/>
      <c r="M20" s="35"/>
    </row>
    <row r="21" spans="1:13">
      <c r="A21" s="12">
        <v>13</v>
      </c>
      <c r="B21" s="13" t="s">
        <v>107</v>
      </c>
      <c r="C21" s="14">
        <f>'Table 7 Local Revenue'!AE20</f>
        <v>955711</v>
      </c>
      <c r="D21" s="14">
        <f>'Table 7 Local Revenue'!H20</f>
        <v>35320109</v>
      </c>
      <c r="E21" s="14">
        <f t="shared" si="1"/>
        <v>595196</v>
      </c>
      <c r="F21" s="279">
        <f>'Table 7 Local Revenue'!AI20</f>
        <v>2772041</v>
      </c>
      <c r="G21" s="14">
        <f>'Table 7 Local Revenue'!AM20</f>
        <v>92401367</v>
      </c>
      <c r="H21" s="14">
        <f t="shared" si="2"/>
        <v>766039</v>
      </c>
      <c r="I21" s="237">
        <f>'Table 7 Local Revenue'!AP20</f>
        <v>107042.5</v>
      </c>
      <c r="J21" s="14">
        <f t="shared" si="3"/>
        <v>1468277.5</v>
      </c>
      <c r="K21" s="35"/>
      <c r="L21" s="35"/>
      <c r="M21" s="35"/>
    </row>
    <row r="22" spans="1:13">
      <c r="A22" s="12">
        <v>14</v>
      </c>
      <c r="B22" s="13" t="s">
        <v>108</v>
      </c>
      <c r="C22" s="14">
        <f>'Table 7 Local Revenue'!AE21</f>
        <v>3855358</v>
      </c>
      <c r="D22" s="14">
        <f>'Table 7 Local Revenue'!H21</f>
        <v>140151934</v>
      </c>
      <c r="E22" s="14">
        <f t="shared" si="1"/>
        <v>2361766</v>
      </c>
      <c r="F22" s="279">
        <f>'Table 7 Local Revenue'!AI21</f>
        <v>3549236</v>
      </c>
      <c r="G22" s="14">
        <f>'Table 7 Local Revenue'!AM21</f>
        <v>162476945</v>
      </c>
      <c r="H22" s="14">
        <f t="shared" si="2"/>
        <v>1346989</v>
      </c>
      <c r="I22" s="237">
        <f>'Table 7 Local Revenue'!AP21</f>
        <v>165584</v>
      </c>
      <c r="J22" s="14">
        <f t="shared" si="3"/>
        <v>3874339</v>
      </c>
      <c r="K22" s="35"/>
      <c r="L22" s="35"/>
      <c r="M22" s="35"/>
    </row>
    <row r="23" spans="1:13">
      <c r="A23" s="18">
        <v>15</v>
      </c>
      <c r="B23" s="19" t="s">
        <v>109</v>
      </c>
      <c r="C23" s="20">
        <f>'Table 7 Local Revenue'!AE22</f>
        <v>5057283</v>
      </c>
      <c r="D23" s="20">
        <f>'Table 7 Local Revenue'!H22</f>
        <v>132017810</v>
      </c>
      <c r="E23" s="20">
        <f t="shared" si="1"/>
        <v>2224694</v>
      </c>
      <c r="F23" s="280">
        <f>'Table 7 Local Revenue'!AI22</f>
        <v>4977915</v>
      </c>
      <c r="G23" s="20">
        <f>'Table 7 Local Revenue'!AM22</f>
        <v>248895750</v>
      </c>
      <c r="H23" s="20">
        <f t="shared" si="2"/>
        <v>2063430</v>
      </c>
      <c r="I23" s="238">
        <f>'Table 7 Local Revenue'!AP22</f>
        <v>163134</v>
      </c>
      <c r="J23" s="20">
        <f t="shared" si="3"/>
        <v>4451258</v>
      </c>
      <c r="K23" s="35"/>
      <c r="L23" s="35"/>
      <c r="M23" s="35"/>
    </row>
    <row r="24" spans="1:13">
      <c r="A24" s="12">
        <v>16</v>
      </c>
      <c r="B24" s="13" t="s">
        <v>110</v>
      </c>
      <c r="C24" s="14">
        <f>'Table 7 Local Revenue'!AE23</f>
        <v>27165928</v>
      </c>
      <c r="D24" s="14">
        <f>'Table 7 Local Revenue'!H23</f>
        <v>475954547.20000005</v>
      </c>
      <c r="E24" s="14">
        <f t="shared" si="1"/>
        <v>8020534</v>
      </c>
      <c r="F24" s="279">
        <f>'Table 7 Local Revenue'!AI23</f>
        <v>48159185</v>
      </c>
      <c r="G24" s="14">
        <f>'Table 7 Local Revenue'!AM23</f>
        <v>1926367400</v>
      </c>
      <c r="H24" s="14">
        <f t="shared" si="2"/>
        <v>15970241</v>
      </c>
      <c r="I24" s="237">
        <f>'Table 7 Local Revenue'!AP23</f>
        <v>826429.5</v>
      </c>
      <c r="J24" s="14">
        <f t="shared" si="3"/>
        <v>24817204.5</v>
      </c>
      <c r="K24" s="35"/>
      <c r="L24" s="35"/>
      <c r="M24" s="35"/>
    </row>
    <row r="25" spans="1:13">
      <c r="A25" s="12">
        <v>17</v>
      </c>
      <c r="B25" s="13" t="s">
        <v>111</v>
      </c>
      <c r="C25" s="14">
        <f>'Table 7 Local Revenue'!AE24</f>
        <v>131532790</v>
      </c>
      <c r="D25" s="14">
        <f>'Table 7 Local Revenue'!H24</f>
        <v>3050582980</v>
      </c>
      <c r="E25" s="14">
        <f t="shared" si="1"/>
        <v>51406808</v>
      </c>
      <c r="F25" s="279">
        <f>'Table 7 Local Revenue'!AI24</f>
        <v>157956316</v>
      </c>
      <c r="G25" s="14">
        <f>'Table 7 Local Revenue'!AM24</f>
        <v>7897815800</v>
      </c>
      <c r="H25" s="14">
        <f t="shared" si="2"/>
        <v>65475578</v>
      </c>
      <c r="I25" s="237">
        <f>'Table 7 Local Revenue'!AP24</f>
        <v>4087419.5</v>
      </c>
      <c r="J25" s="14">
        <f t="shared" si="3"/>
        <v>120969805.5</v>
      </c>
    </row>
    <row r="26" spans="1:13">
      <c r="A26" s="12">
        <v>18</v>
      </c>
      <c r="B26" s="13" t="s">
        <v>112</v>
      </c>
      <c r="C26" s="14">
        <f>'Table 7 Local Revenue'!AE25</f>
        <v>580302</v>
      </c>
      <c r="D26" s="14">
        <f>'Table 7 Local Revenue'!H25</f>
        <v>36585559</v>
      </c>
      <c r="E26" s="14">
        <f t="shared" si="1"/>
        <v>616520</v>
      </c>
      <c r="F26" s="279">
        <f>'Table 7 Local Revenue'!AI25</f>
        <v>1835065</v>
      </c>
      <c r="G26" s="14">
        <f>'Table 7 Local Revenue'!AM25</f>
        <v>53587432.049999997</v>
      </c>
      <c r="H26" s="14">
        <f t="shared" si="2"/>
        <v>444258</v>
      </c>
      <c r="I26" s="237">
        <f>'Table 7 Local Revenue'!AP25</f>
        <v>131381.5</v>
      </c>
      <c r="J26" s="14">
        <f t="shared" si="3"/>
        <v>1192159.5</v>
      </c>
    </row>
    <row r="27" spans="1:13">
      <c r="A27" s="12">
        <v>19</v>
      </c>
      <c r="B27" s="69" t="s">
        <v>113</v>
      </c>
      <c r="C27" s="14">
        <f>'Table 7 Local Revenue'!AE26</f>
        <v>2143635</v>
      </c>
      <c r="D27" s="14">
        <f>'Table 7 Local Revenue'!H26</f>
        <v>108003600</v>
      </c>
      <c r="E27" s="14">
        <f t="shared" si="1"/>
        <v>1820019</v>
      </c>
      <c r="F27" s="279">
        <f>'Table 7 Local Revenue'!AI26</f>
        <v>3050354</v>
      </c>
      <c r="G27" s="14">
        <f>'Table 7 Local Revenue'!AM26</f>
        <v>133034874.99999999</v>
      </c>
      <c r="H27" s="14">
        <f t="shared" si="2"/>
        <v>1102904</v>
      </c>
      <c r="I27" s="237">
        <f>'Table 7 Local Revenue'!AP26</f>
        <v>103649.5</v>
      </c>
      <c r="J27" s="14">
        <f t="shared" si="3"/>
        <v>3026572.5</v>
      </c>
    </row>
    <row r="28" spans="1:13">
      <c r="A28" s="18">
        <v>20</v>
      </c>
      <c r="B28" s="19" t="s">
        <v>114</v>
      </c>
      <c r="C28" s="20">
        <f>'Table 7 Local Revenue'!AE27</f>
        <v>6448353</v>
      </c>
      <c r="D28" s="20">
        <f>'Table 7 Local Revenue'!H27</f>
        <v>195544591.00000003</v>
      </c>
      <c r="E28" s="20">
        <f t="shared" si="1"/>
        <v>3295214</v>
      </c>
      <c r="F28" s="280">
        <f>'Table 7 Local Revenue'!AI27</f>
        <v>7729294</v>
      </c>
      <c r="G28" s="20">
        <f>'Table 7 Local Revenue'!AM27</f>
        <v>386464700</v>
      </c>
      <c r="H28" s="20">
        <f t="shared" si="2"/>
        <v>3203924</v>
      </c>
      <c r="I28" s="238">
        <f>'Table 7 Local Revenue'!AP27</f>
        <v>217794</v>
      </c>
      <c r="J28" s="20">
        <f t="shared" si="3"/>
        <v>6716932</v>
      </c>
    </row>
    <row r="29" spans="1:13">
      <c r="A29" s="12">
        <v>21</v>
      </c>
      <c r="B29" s="13" t="s">
        <v>115</v>
      </c>
      <c r="C29" s="14">
        <f>'Table 7 Local Revenue'!AE28</f>
        <v>1633836</v>
      </c>
      <c r="D29" s="14">
        <f>'Table 7 Local Revenue'!H28</f>
        <v>65238743.900000006</v>
      </c>
      <c r="E29" s="14">
        <f t="shared" si="1"/>
        <v>1099369</v>
      </c>
      <c r="F29" s="279">
        <f>'Table 7 Local Revenue'!AI28</f>
        <v>4813265</v>
      </c>
      <c r="G29" s="14">
        <f>'Table 7 Local Revenue'!AM28</f>
        <v>240663250</v>
      </c>
      <c r="H29" s="14">
        <f t="shared" si="2"/>
        <v>1995180</v>
      </c>
      <c r="I29" s="237">
        <f>'Table 7 Local Revenue'!AP28</f>
        <v>302697.5</v>
      </c>
      <c r="J29" s="14">
        <f t="shared" si="3"/>
        <v>3397246.5</v>
      </c>
    </row>
    <row r="30" spans="1:13">
      <c r="A30" s="12">
        <v>22</v>
      </c>
      <c r="B30" s="13" t="s">
        <v>116</v>
      </c>
      <c r="C30" s="14">
        <f>'Table 7 Local Revenue'!AE29</f>
        <v>2631090</v>
      </c>
      <c r="D30" s="14">
        <f>'Table 7 Local Revenue'!H29</f>
        <v>37430667</v>
      </c>
      <c r="E30" s="14">
        <f t="shared" si="1"/>
        <v>630762</v>
      </c>
      <c r="F30" s="279">
        <f>'Table 7 Local Revenue'!AI29</f>
        <v>2048816</v>
      </c>
      <c r="G30" s="14">
        <f>'Table 7 Local Revenue'!AM29</f>
        <v>102440800</v>
      </c>
      <c r="H30" s="14">
        <f t="shared" si="2"/>
        <v>849269</v>
      </c>
      <c r="I30" s="237">
        <f>'Table 7 Local Revenue'!AP29</f>
        <v>500783</v>
      </c>
      <c r="J30" s="14">
        <f t="shared" si="3"/>
        <v>1980814</v>
      </c>
    </row>
    <row r="31" spans="1:13">
      <c r="A31" s="12">
        <v>23</v>
      </c>
      <c r="B31" s="13" t="s">
        <v>117</v>
      </c>
      <c r="C31" s="14">
        <f>'Table 7 Local Revenue'!AE30</f>
        <v>15977092</v>
      </c>
      <c r="D31" s="14">
        <f>'Table 7 Local Revenue'!H30</f>
        <v>496990013</v>
      </c>
      <c r="E31" s="14">
        <f t="shared" si="1"/>
        <v>8375012</v>
      </c>
      <c r="F31" s="279">
        <f>'Table 7 Local Revenue'!AI30</f>
        <v>28486445</v>
      </c>
      <c r="G31" s="14">
        <f>'Table 7 Local Revenue'!AM30</f>
        <v>1424322250</v>
      </c>
      <c r="H31" s="14">
        <f t="shared" si="2"/>
        <v>11808116</v>
      </c>
      <c r="I31" s="237">
        <f>'Table 7 Local Revenue'!AP30</f>
        <v>566332</v>
      </c>
      <c r="J31" s="14">
        <f t="shared" si="3"/>
        <v>20749460</v>
      </c>
    </row>
    <row r="32" spans="1:13">
      <c r="A32" s="12">
        <v>24</v>
      </c>
      <c r="B32" s="13" t="s">
        <v>118</v>
      </c>
      <c r="C32" s="14">
        <f>'Table 7 Local Revenue'!AE31</f>
        <v>23779006</v>
      </c>
      <c r="D32" s="14">
        <f>'Table 7 Local Revenue'!H31</f>
        <v>424347580</v>
      </c>
      <c r="E32" s="14">
        <f t="shared" si="1"/>
        <v>7150881</v>
      </c>
      <c r="F32" s="279">
        <f>'Table 7 Local Revenue'!AI31</f>
        <v>18663520</v>
      </c>
      <c r="G32" s="14">
        <f>'Table 7 Local Revenue'!AM31</f>
        <v>933176000</v>
      </c>
      <c r="H32" s="14">
        <f t="shared" si="2"/>
        <v>7736346</v>
      </c>
      <c r="I32" s="237">
        <f>'Table 7 Local Revenue'!AP31</f>
        <v>144561</v>
      </c>
      <c r="J32" s="14">
        <f t="shared" si="3"/>
        <v>15031788</v>
      </c>
    </row>
    <row r="33" spans="1:10">
      <c r="A33" s="18">
        <v>25</v>
      </c>
      <c r="B33" s="19" t="s">
        <v>119</v>
      </c>
      <c r="C33" s="20">
        <f>'Table 7 Local Revenue'!AE32</f>
        <v>5858386</v>
      </c>
      <c r="D33" s="20">
        <f>'Table 7 Local Revenue'!H32</f>
        <v>225747973.00000003</v>
      </c>
      <c r="E33" s="20">
        <f t="shared" si="1"/>
        <v>3804185</v>
      </c>
      <c r="F33" s="280">
        <f>'Table 7 Local Revenue'!AI32</f>
        <v>6066114</v>
      </c>
      <c r="G33" s="20">
        <f>'Table 7 Local Revenue'!AM32</f>
        <v>202203800</v>
      </c>
      <c r="H33" s="20">
        <f t="shared" si="2"/>
        <v>1676338</v>
      </c>
      <c r="I33" s="238">
        <f>'Table 7 Local Revenue'!AP32</f>
        <v>111624</v>
      </c>
      <c r="J33" s="20">
        <f t="shared" si="3"/>
        <v>5592147</v>
      </c>
    </row>
    <row r="34" spans="1:10">
      <c r="A34" s="12">
        <v>26</v>
      </c>
      <c r="B34" s="13" t="s">
        <v>120</v>
      </c>
      <c r="C34" s="14">
        <f>'Table 7 Local Revenue'!AE33</f>
        <v>74143404</v>
      </c>
      <c r="D34" s="14">
        <f>'Table 7 Local Revenue'!H33</f>
        <v>3247560992</v>
      </c>
      <c r="E34" s="14">
        <f t="shared" si="1"/>
        <v>54726177</v>
      </c>
      <c r="F34" s="279">
        <f>'Table 7 Local Revenue'!AI33</f>
        <v>170801950</v>
      </c>
      <c r="G34" s="14">
        <f>'Table 7 Local Revenue'!AM33</f>
        <v>8540097500</v>
      </c>
      <c r="H34" s="14">
        <f t="shared" si="2"/>
        <v>70800312</v>
      </c>
      <c r="I34" s="237">
        <f>'Table 7 Local Revenue'!AP33</f>
        <v>2145651</v>
      </c>
      <c r="J34" s="14">
        <f t="shared" si="3"/>
        <v>127672140</v>
      </c>
    </row>
    <row r="35" spans="1:10">
      <c r="A35" s="12">
        <v>27</v>
      </c>
      <c r="B35" s="13" t="s">
        <v>121</v>
      </c>
      <c r="C35" s="14">
        <f>'Table 7 Local Revenue'!AE34</f>
        <v>7119473</v>
      </c>
      <c r="D35" s="14">
        <f>'Table 7 Local Revenue'!H34</f>
        <v>177777062</v>
      </c>
      <c r="E35" s="14">
        <f t="shared" si="1"/>
        <v>2995805</v>
      </c>
      <c r="F35" s="279">
        <f>'Table 7 Local Revenue'!AI34</f>
        <v>10452075</v>
      </c>
      <c r="G35" s="14">
        <f>'Table 7 Local Revenue'!AM34</f>
        <v>418083000</v>
      </c>
      <c r="H35" s="14">
        <f t="shared" si="2"/>
        <v>3466050</v>
      </c>
      <c r="I35" s="237">
        <f>'Table 7 Local Revenue'!AP34</f>
        <v>317110.5</v>
      </c>
      <c r="J35" s="14">
        <f t="shared" si="3"/>
        <v>6778965.5</v>
      </c>
    </row>
    <row r="36" spans="1:10">
      <c r="A36" s="12">
        <v>28</v>
      </c>
      <c r="B36" s="13" t="s">
        <v>122</v>
      </c>
      <c r="C36" s="14">
        <f>'Table 7 Local Revenue'!AE35</f>
        <v>53332824</v>
      </c>
      <c r="D36" s="14">
        <f>'Table 7 Local Revenue'!H35</f>
        <v>1643740403</v>
      </c>
      <c r="E36" s="14">
        <f t="shared" si="1"/>
        <v>27699442</v>
      </c>
      <c r="F36" s="279">
        <f>'Table 7 Local Revenue'!AI35</f>
        <v>106378874</v>
      </c>
      <c r="G36" s="14">
        <f>'Table 7 Local Revenue'!AM35</f>
        <v>5318943700</v>
      </c>
      <c r="H36" s="14">
        <f t="shared" si="2"/>
        <v>44095852</v>
      </c>
      <c r="I36" s="237">
        <f>'Table 7 Local Revenue'!AP35</f>
        <v>2195963.5</v>
      </c>
      <c r="J36" s="14">
        <f t="shared" si="3"/>
        <v>73991257.5</v>
      </c>
    </row>
    <row r="37" spans="1:10">
      <c r="A37" s="12">
        <v>29</v>
      </c>
      <c r="B37" s="13" t="s">
        <v>123</v>
      </c>
      <c r="C37" s="14">
        <f>'Table 7 Local Revenue'!AE36</f>
        <v>31756717</v>
      </c>
      <c r="D37" s="14">
        <f>'Table 7 Local Revenue'!H36</f>
        <v>749161181</v>
      </c>
      <c r="E37" s="14">
        <f t="shared" si="1"/>
        <v>12624467</v>
      </c>
      <c r="F37" s="279">
        <f>'Table 7 Local Revenue'!AI36</f>
        <v>28382070</v>
      </c>
      <c r="G37" s="14">
        <f>'Table 7 Local Revenue'!AM36</f>
        <v>1419103500</v>
      </c>
      <c r="H37" s="14">
        <f t="shared" si="2"/>
        <v>11764851</v>
      </c>
      <c r="I37" s="237">
        <f>'Table 7 Local Revenue'!AP36</f>
        <v>982660</v>
      </c>
      <c r="J37" s="14">
        <f t="shared" si="3"/>
        <v>25371978</v>
      </c>
    </row>
    <row r="38" spans="1:10">
      <c r="A38" s="18">
        <v>30</v>
      </c>
      <c r="B38" s="19" t="s">
        <v>124</v>
      </c>
      <c r="C38" s="20">
        <f>'Table 7 Local Revenue'!AE37</f>
        <v>3115721</v>
      </c>
      <c r="D38" s="20">
        <f>'Table 7 Local Revenue'!H37</f>
        <v>67108707</v>
      </c>
      <c r="E38" s="20">
        <f t="shared" si="1"/>
        <v>1130880</v>
      </c>
      <c r="F38" s="280">
        <f>'Table 7 Local Revenue'!AI37</f>
        <v>6234911</v>
      </c>
      <c r="G38" s="20">
        <f>'Table 7 Local Revenue'!AM37</f>
        <v>207830367</v>
      </c>
      <c r="H38" s="20">
        <f t="shared" si="2"/>
        <v>1722984</v>
      </c>
      <c r="I38" s="238">
        <f>'Table 7 Local Revenue'!AP37</f>
        <v>86133.5</v>
      </c>
      <c r="J38" s="20">
        <f t="shared" si="3"/>
        <v>2939997.5</v>
      </c>
    </row>
    <row r="39" spans="1:10">
      <c r="A39" s="12">
        <v>31</v>
      </c>
      <c r="B39" s="13" t="s">
        <v>125</v>
      </c>
      <c r="C39" s="14">
        <f>'Table 7 Local Revenue'!AE38</f>
        <v>16296073</v>
      </c>
      <c r="D39" s="14">
        <f>'Table 7 Local Revenue'!H38</f>
        <v>354926711</v>
      </c>
      <c r="E39" s="14">
        <f t="shared" si="1"/>
        <v>5981037</v>
      </c>
      <c r="F39" s="279">
        <f>'Table 7 Local Revenue'!AI38</f>
        <v>14341049</v>
      </c>
      <c r="G39" s="14">
        <f>'Table 7 Local Revenue'!AM38</f>
        <v>717052450</v>
      </c>
      <c r="H39" s="14">
        <f t="shared" si="2"/>
        <v>5944609</v>
      </c>
      <c r="I39" s="237">
        <f>'Table 7 Local Revenue'!AP38</f>
        <v>306872</v>
      </c>
      <c r="J39" s="14">
        <f t="shared" si="3"/>
        <v>12232518</v>
      </c>
    </row>
    <row r="40" spans="1:10">
      <c r="A40" s="12">
        <v>32</v>
      </c>
      <c r="B40" s="13" t="s">
        <v>126</v>
      </c>
      <c r="C40" s="14">
        <f>'Table 7 Local Revenue'!AE39</f>
        <v>14885692</v>
      </c>
      <c r="D40" s="14">
        <f>'Table 7 Local Revenue'!H39</f>
        <v>422388150</v>
      </c>
      <c r="E40" s="14">
        <f t="shared" si="1"/>
        <v>7117861</v>
      </c>
      <c r="F40" s="279">
        <f>'Table 7 Local Revenue'!AI39</f>
        <v>34700602</v>
      </c>
      <c r="G40" s="14">
        <f>'Table 7 Local Revenue'!AM39</f>
        <v>1388024080</v>
      </c>
      <c r="H40" s="14">
        <f t="shared" si="2"/>
        <v>11507192</v>
      </c>
      <c r="I40" s="237">
        <f>'Table 7 Local Revenue'!AP39</f>
        <v>938971.5</v>
      </c>
      <c r="J40" s="14">
        <f t="shared" si="3"/>
        <v>19564024.5</v>
      </c>
    </row>
    <row r="41" spans="1:10">
      <c r="A41" s="12">
        <v>33</v>
      </c>
      <c r="B41" s="13" t="s">
        <v>127</v>
      </c>
      <c r="C41" s="14">
        <f>'Table 7 Local Revenue'!AE40</f>
        <v>2418468</v>
      </c>
      <c r="D41" s="14">
        <f>'Table 7 Local Revenue'!H40</f>
        <v>105829543</v>
      </c>
      <c r="E41" s="14">
        <f t="shared" ref="E41:E72" si="4">ROUND(D41*$E$6/1000,0)</f>
        <v>1783383</v>
      </c>
      <c r="F41" s="279">
        <f>'Table 7 Local Revenue'!AI40</f>
        <v>2804712</v>
      </c>
      <c r="G41" s="14">
        <f>'Table 7 Local Revenue'!AM40</f>
        <v>112188480</v>
      </c>
      <c r="H41" s="14">
        <f t="shared" ref="H41:H72" si="5">ROUND(G41*$H$6,0)</f>
        <v>930081</v>
      </c>
      <c r="I41" s="237">
        <f>'Table 7 Local Revenue'!AP40</f>
        <v>97126</v>
      </c>
      <c r="J41" s="14">
        <f t="shared" ref="J41:J72" si="6">E41+H41+I41</f>
        <v>2810590</v>
      </c>
    </row>
    <row r="42" spans="1:10">
      <c r="A42" s="12">
        <v>34</v>
      </c>
      <c r="B42" s="13" t="s">
        <v>128</v>
      </c>
      <c r="C42" s="14">
        <f>'Table 7 Local Revenue'!AE41</f>
        <v>6150553</v>
      </c>
      <c r="D42" s="14">
        <f>'Table 7 Local Revenue'!H41</f>
        <v>152289716</v>
      </c>
      <c r="E42" s="14">
        <f t="shared" si="4"/>
        <v>2566306</v>
      </c>
      <c r="F42" s="279">
        <f>'Table 7 Local Revenue'!AI41</f>
        <v>5912154</v>
      </c>
      <c r="G42" s="14">
        <f>'Table 7 Local Revenue'!AM41</f>
        <v>295607700</v>
      </c>
      <c r="H42" s="14">
        <f t="shared" si="5"/>
        <v>2450688</v>
      </c>
      <c r="I42" s="237">
        <f>'Table 7 Local Revenue'!AP41</f>
        <v>246493.5</v>
      </c>
      <c r="J42" s="14">
        <f t="shared" si="6"/>
        <v>5263487.5</v>
      </c>
    </row>
    <row r="43" spans="1:10">
      <c r="A43" s="18">
        <v>35</v>
      </c>
      <c r="B43" s="19" t="s">
        <v>129</v>
      </c>
      <c r="C43" s="20">
        <f>'Table 7 Local Revenue'!AE42</f>
        <v>7000315</v>
      </c>
      <c r="D43" s="20">
        <f>'Table 7 Local Revenue'!H42</f>
        <v>241854644</v>
      </c>
      <c r="E43" s="20">
        <f t="shared" si="4"/>
        <v>4075606</v>
      </c>
      <c r="F43" s="280">
        <f>'Table 7 Local Revenue'!AI42</f>
        <v>15482135</v>
      </c>
      <c r="G43" s="20">
        <f>'Table 7 Local Revenue'!AM42</f>
        <v>765851010</v>
      </c>
      <c r="H43" s="20">
        <f t="shared" si="5"/>
        <v>6349165</v>
      </c>
      <c r="I43" s="238">
        <f>'Table 7 Local Revenue'!AP42</f>
        <v>1089831</v>
      </c>
      <c r="J43" s="20">
        <f t="shared" si="6"/>
        <v>11514602</v>
      </c>
    </row>
    <row r="44" spans="1:10" s="75" customFormat="1">
      <c r="A44" s="101">
        <v>36</v>
      </c>
      <c r="B44" s="81" t="s">
        <v>130</v>
      </c>
      <c r="C44" s="77">
        <f>'Table 7 Local Revenue'!AE43</f>
        <v>120447536</v>
      </c>
      <c r="D44" s="77">
        <f>'Table 7 Local Revenue'!H43</f>
        <v>2949672237</v>
      </c>
      <c r="E44" s="77">
        <f t="shared" si="4"/>
        <v>49706313</v>
      </c>
      <c r="F44" s="281">
        <f>'Table 7 Local Revenue'!AI43</f>
        <v>90820786</v>
      </c>
      <c r="G44" s="77">
        <f>'Table 7 Local Revenue'!AM43</f>
        <v>6054719067</v>
      </c>
      <c r="H44" s="77">
        <f t="shared" si="5"/>
        <v>50195680</v>
      </c>
      <c r="I44" s="163">
        <f>'Table 7 Local Revenue'!AP43</f>
        <v>2253417</v>
      </c>
      <c r="J44" s="77">
        <f t="shared" si="6"/>
        <v>102155410</v>
      </c>
    </row>
    <row r="45" spans="1:10" s="75" customFormat="1">
      <c r="A45" s="101">
        <v>37</v>
      </c>
      <c r="B45" s="81" t="s">
        <v>131</v>
      </c>
      <c r="C45" s="77">
        <f>'Table 7 Local Revenue'!AE44</f>
        <v>22375691</v>
      </c>
      <c r="D45" s="77">
        <f>'Table 7 Local Revenue'!H44</f>
        <v>556225024</v>
      </c>
      <c r="E45" s="77">
        <f t="shared" si="4"/>
        <v>9373209</v>
      </c>
      <c r="F45" s="281">
        <f>'Table 7 Local Revenue'!AI44</f>
        <v>39402765</v>
      </c>
      <c r="G45" s="77">
        <f>'Table 7 Local Revenue'!AM44</f>
        <v>1313425500</v>
      </c>
      <c r="H45" s="77">
        <f t="shared" si="5"/>
        <v>10888744</v>
      </c>
      <c r="I45" s="163">
        <f>'Table 7 Local Revenue'!AP44</f>
        <v>848543.5</v>
      </c>
      <c r="J45" s="77">
        <f t="shared" si="6"/>
        <v>21110496.5</v>
      </c>
    </row>
    <row r="46" spans="1:10" s="75" customFormat="1">
      <c r="A46" s="101">
        <v>38</v>
      </c>
      <c r="B46" s="81" t="s">
        <v>132</v>
      </c>
      <c r="C46" s="77">
        <f>'Table 7 Local Revenue'!AE45</f>
        <v>21462320</v>
      </c>
      <c r="D46" s="77">
        <f>'Table 7 Local Revenue'!H45</f>
        <v>940328297</v>
      </c>
      <c r="E46" s="77">
        <f t="shared" si="4"/>
        <v>15845914</v>
      </c>
      <c r="F46" s="281">
        <f>'Table 7 Local Revenue'!AI45</f>
        <v>20498792</v>
      </c>
      <c r="G46" s="77">
        <f>'Table 7 Local Revenue'!AM45</f>
        <v>1024939600</v>
      </c>
      <c r="H46" s="77">
        <f t="shared" si="5"/>
        <v>8497098</v>
      </c>
      <c r="I46" s="163">
        <f>'Table 7 Local Revenue'!AP45</f>
        <v>126930.5</v>
      </c>
      <c r="J46" s="77">
        <f t="shared" si="6"/>
        <v>24469942.5</v>
      </c>
    </row>
    <row r="47" spans="1:10" s="75" customFormat="1">
      <c r="A47" s="101">
        <v>39</v>
      </c>
      <c r="B47" s="81" t="s">
        <v>133</v>
      </c>
      <c r="C47" s="77">
        <f>'Table 7 Local Revenue'!AE46</f>
        <v>5893495</v>
      </c>
      <c r="D47" s="77">
        <f>'Table 7 Local Revenue'!H46</f>
        <v>335754791</v>
      </c>
      <c r="E47" s="77">
        <f t="shared" si="4"/>
        <v>5657962</v>
      </c>
      <c r="F47" s="281">
        <f>'Table 7 Local Revenue'!AI46</f>
        <v>6689700</v>
      </c>
      <c r="G47" s="77">
        <f>'Table 7 Local Revenue'!AM46</f>
        <v>331755450</v>
      </c>
      <c r="H47" s="77">
        <f t="shared" si="5"/>
        <v>2750365</v>
      </c>
      <c r="I47" s="163">
        <f>'Table 7 Local Revenue'!AP46</f>
        <v>156094</v>
      </c>
      <c r="J47" s="77">
        <f t="shared" si="6"/>
        <v>8564421</v>
      </c>
    </row>
    <row r="48" spans="1:10" s="75" customFormat="1">
      <c r="A48" s="102">
        <v>40</v>
      </c>
      <c r="B48" s="82" t="s">
        <v>134</v>
      </c>
      <c r="C48" s="78">
        <f>'Table 7 Local Revenue'!AE47</f>
        <v>32280415</v>
      </c>
      <c r="D48" s="78">
        <f>'Table 7 Local Revenue'!H47</f>
        <v>649813800</v>
      </c>
      <c r="E48" s="78">
        <f t="shared" si="4"/>
        <v>10950318</v>
      </c>
      <c r="F48" s="282">
        <f>'Table 7 Local Revenue'!AI47</f>
        <v>35861372</v>
      </c>
      <c r="G48" s="78">
        <f>'Table 7 Local Revenue'!AM47</f>
        <v>2390758133</v>
      </c>
      <c r="H48" s="78">
        <f t="shared" si="5"/>
        <v>19820198</v>
      </c>
      <c r="I48" s="164">
        <f>'Table 7 Local Revenue'!AP47</f>
        <v>1136698</v>
      </c>
      <c r="J48" s="20">
        <f t="shared" si="6"/>
        <v>31907214</v>
      </c>
    </row>
    <row r="49" spans="1:10" s="75" customFormat="1">
      <c r="A49" s="101">
        <v>41</v>
      </c>
      <c r="B49" s="81" t="s">
        <v>135</v>
      </c>
      <c r="C49" s="77">
        <f>'Table 7 Local Revenue'!AE48</f>
        <v>6946597</v>
      </c>
      <c r="D49" s="77">
        <f>'Table 7 Local Revenue'!H48</f>
        <v>126295961.00000001</v>
      </c>
      <c r="E49" s="77">
        <f t="shared" si="4"/>
        <v>2128273</v>
      </c>
      <c r="F49" s="281">
        <f>'Table 7 Local Revenue'!AI48</f>
        <v>9322096</v>
      </c>
      <c r="G49" s="77">
        <f>'Table 7 Local Revenue'!AM48</f>
        <v>466104800</v>
      </c>
      <c r="H49" s="77">
        <f t="shared" si="5"/>
        <v>3864167</v>
      </c>
      <c r="I49" s="163">
        <f>'Table 7 Local Revenue'!AP48</f>
        <v>354096.5</v>
      </c>
      <c r="J49" s="77">
        <f t="shared" si="6"/>
        <v>6346536.5</v>
      </c>
    </row>
    <row r="50" spans="1:10" s="75" customFormat="1">
      <c r="A50" s="101">
        <v>42</v>
      </c>
      <c r="B50" s="81" t="s">
        <v>136</v>
      </c>
      <c r="C50" s="77">
        <f>'Table 7 Local Revenue'!AE49</f>
        <v>4198485</v>
      </c>
      <c r="D50" s="77">
        <f>'Table 7 Local Revenue'!H49</f>
        <v>163695877.40000001</v>
      </c>
      <c r="E50" s="77">
        <f t="shared" si="4"/>
        <v>2758516</v>
      </c>
      <c r="F50" s="281">
        <f>'Table 7 Local Revenue'!AI49</f>
        <v>5712221</v>
      </c>
      <c r="G50" s="77">
        <f>'Table 7 Local Revenue'!AM49</f>
        <v>285611050</v>
      </c>
      <c r="H50" s="77">
        <f t="shared" si="5"/>
        <v>2367813</v>
      </c>
      <c r="I50" s="163">
        <f>'Table 7 Local Revenue'!AP49</f>
        <v>220912</v>
      </c>
      <c r="J50" s="77">
        <f t="shared" si="6"/>
        <v>5347241</v>
      </c>
    </row>
    <row r="51" spans="1:10" s="75" customFormat="1">
      <c r="A51" s="101">
        <v>43</v>
      </c>
      <c r="B51" s="81" t="s">
        <v>137</v>
      </c>
      <c r="C51" s="77">
        <f>'Table 7 Local Revenue'!AE50</f>
        <v>4020559</v>
      </c>
      <c r="D51" s="77">
        <f>'Table 7 Local Revenue'!H50</f>
        <v>113745743.10000001</v>
      </c>
      <c r="E51" s="77">
        <f t="shared" si="4"/>
        <v>1916783</v>
      </c>
      <c r="F51" s="281">
        <f>'Table 7 Local Revenue'!AI50</f>
        <v>16921657</v>
      </c>
      <c r="G51" s="77">
        <f>'Table 7 Local Revenue'!AM50</f>
        <v>676866280</v>
      </c>
      <c r="H51" s="77">
        <f t="shared" si="5"/>
        <v>5611452</v>
      </c>
      <c r="I51" s="163">
        <f>'Table 7 Local Revenue'!AP50</f>
        <v>400406.5</v>
      </c>
      <c r="J51" s="77">
        <f t="shared" si="6"/>
        <v>7928641.5</v>
      </c>
    </row>
    <row r="52" spans="1:10" s="75" customFormat="1">
      <c r="A52" s="101">
        <v>44</v>
      </c>
      <c r="B52" s="81" t="s">
        <v>138</v>
      </c>
      <c r="C52" s="77">
        <f>'Table 7 Local Revenue'!AE51</f>
        <v>13176608</v>
      </c>
      <c r="D52" s="77">
        <f>'Table 7 Local Revenue'!H51</f>
        <v>299901547</v>
      </c>
      <c r="E52" s="77">
        <f t="shared" si="4"/>
        <v>5053782</v>
      </c>
      <c r="F52" s="281">
        <f>'Table 7 Local Revenue'!AI51</f>
        <v>13783159</v>
      </c>
      <c r="G52" s="77">
        <f>'Table 7 Local Revenue'!AM51</f>
        <v>689157950</v>
      </c>
      <c r="H52" s="77">
        <f t="shared" si="5"/>
        <v>5713354</v>
      </c>
      <c r="I52" s="163">
        <f>'Table 7 Local Revenue'!AP51</f>
        <v>9218</v>
      </c>
      <c r="J52" s="77">
        <f t="shared" si="6"/>
        <v>10776354</v>
      </c>
    </row>
    <row r="53" spans="1:10">
      <c r="A53" s="18">
        <v>45</v>
      </c>
      <c r="B53" s="19" t="s">
        <v>139</v>
      </c>
      <c r="C53" s="20">
        <f>'Table 7 Local Revenue'!AE52</f>
        <v>60226672</v>
      </c>
      <c r="D53" s="20">
        <f>'Table 7 Local Revenue'!H52</f>
        <v>1098417385</v>
      </c>
      <c r="E53" s="20">
        <f t="shared" si="4"/>
        <v>18509948</v>
      </c>
      <c r="F53" s="280">
        <f>'Table 7 Local Revenue'!AI52</f>
        <v>57606395</v>
      </c>
      <c r="G53" s="20">
        <f>'Table 7 Local Revenue'!AM52</f>
        <v>1754679162.05</v>
      </c>
      <c r="H53" s="20">
        <f t="shared" si="5"/>
        <v>14546887</v>
      </c>
      <c r="I53" s="238">
        <f>'Table 7 Local Revenue'!AP52</f>
        <v>284373</v>
      </c>
      <c r="J53" s="20">
        <f t="shared" si="6"/>
        <v>33341208</v>
      </c>
    </row>
    <row r="54" spans="1:10">
      <c r="A54" s="12">
        <v>46</v>
      </c>
      <c r="B54" s="13" t="s">
        <v>140</v>
      </c>
      <c r="C54" s="14">
        <f>'Table 7 Local Revenue'!AE53</f>
        <v>757180</v>
      </c>
      <c r="D54" s="14">
        <f>'Table 7 Local Revenue'!H53</f>
        <v>42500740</v>
      </c>
      <c r="E54" s="14">
        <f t="shared" si="4"/>
        <v>716200</v>
      </c>
      <c r="F54" s="279">
        <f>'Table 7 Local Revenue'!AI53</f>
        <v>1366900</v>
      </c>
      <c r="G54" s="14">
        <f>'Table 7 Local Revenue'!AM53</f>
        <v>68345000</v>
      </c>
      <c r="H54" s="14">
        <f t="shared" si="5"/>
        <v>566603</v>
      </c>
      <c r="I54" s="237">
        <f>'Table 7 Local Revenue'!AP53</f>
        <v>33026</v>
      </c>
      <c r="J54" s="14">
        <f t="shared" si="6"/>
        <v>1315829</v>
      </c>
    </row>
    <row r="55" spans="1:10">
      <c r="A55" s="12">
        <v>47</v>
      </c>
      <c r="B55" s="13" t="s">
        <v>141</v>
      </c>
      <c r="C55" s="14">
        <f>'Table 7 Local Revenue'!AE54</f>
        <v>18553686</v>
      </c>
      <c r="D55" s="14">
        <f>'Table 7 Local Revenue'!H54</f>
        <v>409772295</v>
      </c>
      <c r="E55" s="14">
        <f t="shared" si="4"/>
        <v>6905266</v>
      </c>
      <c r="F55" s="279">
        <f>'Table 7 Local Revenue'!AI54</f>
        <v>18100976</v>
      </c>
      <c r="G55" s="14">
        <f>'Table 7 Local Revenue'!AM54</f>
        <v>724039040</v>
      </c>
      <c r="H55" s="14">
        <f t="shared" si="5"/>
        <v>6002530</v>
      </c>
      <c r="I55" s="237">
        <f>'Table 7 Local Revenue'!AP54</f>
        <v>89424</v>
      </c>
      <c r="J55" s="14">
        <f t="shared" si="6"/>
        <v>12997220</v>
      </c>
    </row>
    <row r="56" spans="1:10">
      <c r="A56" s="12">
        <v>48</v>
      </c>
      <c r="B56" s="13" t="s">
        <v>202</v>
      </c>
      <c r="C56" s="14">
        <f>'Table 7 Local Revenue'!AE55</f>
        <v>13964291</v>
      </c>
      <c r="D56" s="14">
        <f>'Table 7 Local Revenue'!H55</f>
        <v>369188944</v>
      </c>
      <c r="E56" s="14">
        <f t="shared" si="4"/>
        <v>6221376</v>
      </c>
      <c r="F56" s="279">
        <f>'Table 7 Local Revenue'!AI55</f>
        <v>19928446</v>
      </c>
      <c r="G56" s="14">
        <f>'Table 7 Local Revenue'!AM55</f>
        <v>885708711</v>
      </c>
      <c r="H56" s="14">
        <f t="shared" si="5"/>
        <v>7342826</v>
      </c>
      <c r="I56" s="237">
        <f>'Table 7 Local Revenue'!AP55</f>
        <v>199965.5</v>
      </c>
      <c r="J56" s="14">
        <f t="shared" si="6"/>
        <v>13764167.5</v>
      </c>
    </row>
    <row r="57" spans="1:10">
      <c r="A57" s="12">
        <v>49</v>
      </c>
      <c r="B57" s="13" t="s">
        <v>142</v>
      </c>
      <c r="C57" s="14">
        <f>'Table 7 Local Revenue'!AE56</f>
        <v>10645595</v>
      </c>
      <c r="D57" s="14">
        <f>'Table 7 Local Revenue'!H56</f>
        <v>536501746</v>
      </c>
      <c r="E57" s="14">
        <f t="shared" si="4"/>
        <v>9040843</v>
      </c>
      <c r="F57" s="279">
        <f>'Table 7 Local Revenue'!AI56</f>
        <v>23493736</v>
      </c>
      <c r="G57" s="14">
        <f>'Table 7 Local Revenue'!AM56</f>
        <v>1174686800</v>
      </c>
      <c r="H57" s="14">
        <f t="shared" si="5"/>
        <v>9738553</v>
      </c>
      <c r="I57" s="237">
        <f>'Table 7 Local Revenue'!AP56</f>
        <v>610728</v>
      </c>
      <c r="J57" s="14">
        <f t="shared" si="6"/>
        <v>19390124</v>
      </c>
    </row>
    <row r="58" spans="1:10">
      <c r="A58" s="18">
        <v>50</v>
      </c>
      <c r="B58" s="19" t="s">
        <v>143</v>
      </c>
      <c r="C58" s="20">
        <f>'Table 7 Local Revenue'!AE57</f>
        <v>8842519</v>
      </c>
      <c r="D58" s="20">
        <f>'Table 7 Local Revenue'!H57</f>
        <v>262207197</v>
      </c>
      <c r="E58" s="20">
        <f t="shared" si="4"/>
        <v>4418577</v>
      </c>
      <c r="F58" s="280">
        <f>'Table 7 Local Revenue'!AI57</f>
        <v>13320229</v>
      </c>
      <c r="G58" s="20">
        <f>'Table 7 Local Revenue'!AM57</f>
        <v>666011450</v>
      </c>
      <c r="H58" s="20">
        <f t="shared" si="5"/>
        <v>5521461</v>
      </c>
      <c r="I58" s="238">
        <f>'Table 7 Local Revenue'!AP57</f>
        <v>581751.5</v>
      </c>
      <c r="J58" s="20">
        <f t="shared" si="6"/>
        <v>10521789.5</v>
      </c>
    </row>
    <row r="59" spans="1:10">
      <c r="A59" s="12">
        <v>51</v>
      </c>
      <c r="B59" s="13" t="s">
        <v>144</v>
      </c>
      <c r="C59" s="14">
        <f>'Table 7 Local Revenue'!AE58</f>
        <v>20886105</v>
      </c>
      <c r="D59" s="14">
        <f>'Table 7 Local Revenue'!H58</f>
        <v>622917334.60000002</v>
      </c>
      <c r="E59" s="14">
        <f t="shared" si="4"/>
        <v>10497073</v>
      </c>
      <c r="F59" s="279">
        <f>'Table 7 Local Revenue'!AI58</f>
        <v>17160175</v>
      </c>
      <c r="G59" s="14">
        <f>'Table 7 Local Revenue'!AM58</f>
        <v>980581429</v>
      </c>
      <c r="H59" s="14">
        <f t="shared" si="5"/>
        <v>8129353</v>
      </c>
      <c r="I59" s="237">
        <f>'Table 7 Local Revenue'!AP58</f>
        <v>492769.5</v>
      </c>
      <c r="J59" s="14">
        <f t="shared" si="6"/>
        <v>19119195.5</v>
      </c>
    </row>
    <row r="60" spans="1:10">
      <c r="A60" s="12">
        <v>52</v>
      </c>
      <c r="B60" s="13" t="s">
        <v>145</v>
      </c>
      <c r="C60" s="14">
        <f>'Table 7 Local Revenue'!AE59</f>
        <v>106414920</v>
      </c>
      <c r="D60" s="14">
        <f>'Table 7 Local Revenue'!H59</f>
        <v>1580693189</v>
      </c>
      <c r="E60" s="14">
        <f t="shared" si="4"/>
        <v>26637004</v>
      </c>
      <c r="F60" s="279">
        <f>'Table 7 Local Revenue'!AI59</f>
        <v>77922516</v>
      </c>
      <c r="G60" s="14">
        <f>'Table 7 Local Revenue'!AM59</f>
        <v>3896125800</v>
      </c>
      <c r="H60" s="14">
        <f t="shared" si="5"/>
        <v>32300208</v>
      </c>
      <c r="I60" s="237">
        <f>'Table 7 Local Revenue'!AP59</f>
        <v>1906476</v>
      </c>
      <c r="J60" s="14">
        <f t="shared" si="6"/>
        <v>60843688</v>
      </c>
    </row>
    <row r="61" spans="1:10">
      <c r="A61" s="12">
        <v>53</v>
      </c>
      <c r="B61" s="13" t="s">
        <v>146</v>
      </c>
      <c r="C61" s="14">
        <f>'Table 7 Local Revenue'!AE60</f>
        <v>3647276</v>
      </c>
      <c r="D61" s="14">
        <f>'Table 7 Local Revenue'!H60</f>
        <v>499247586</v>
      </c>
      <c r="E61" s="14">
        <f t="shared" si="4"/>
        <v>8413056</v>
      </c>
      <c r="F61" s="279">
        <f>'Table 7 Local Revenue'!AI60</f>
        <v>33468866</v>
      </c>
      <c r="G61" s="14">
        <f>'Table 7 Local Revenue'!AM60</f>
        <v>1673443300</v>
      </c>
      <c r="H61" s="14">
        <f t="shared" si="5"/>
        <v>13873414</v>
      </c>
      <c r="I61" s="237">
        <f>'Table 7 Local Revenue'!AP60</f>
        <v>182091</v>
      </c>
      <c r="J61" s="14">
        <f t="shared" si="6"/>
        <v>22468561</v>
      </c>
    </row>
    <row r="62" spans="1:10">
      <c r="A62" s="12">
        <v>54</v>
      </c>
      <c r="B62" s="13" t="s">
        <v>147</v>
      </c>
      <c r="C62" s="14">
        <f>'Table 7 Local Revenue'!AE61</f>
        <v>1577238</v>
      </c>
      <c r="D62" s="14">
        <f>'Table 7 Local Revenue'!H61</f>
        <v>44629015</v>
      </c>
      <c r="E62" s="14">
        <f t="shared" si="4"/>
        <v>752065</v>
      </c>
      <c r="F62" s="279">
        <f>'Table 7 Local Revenue'!AI61</f>
        <v>767244</v>
      </c>
      <c r="G62" s="14">
        <f>'Table 7 Local Revenue'!AM61</f>
        <v>45592057.049999997</v>
      </c>
      <c r="H62" s="14">
        <f t="shared" si="5"/>
        <v>377974</v>
      </c>
      <c r="I62" s="237">
        <f>'Table 7 Local Revenue'!AP61</f>
        <v>51592.5</v>
      </c>
      <c r="J62" s="14">
        <f t="shared" si="6"/>
        <v>1181631.5</v>
      </c>
    </row>
    <row r="63" spans="1:10">
      <c r="A63" s="18">
        <v>55</v>
      </c>
      <c r="B63" s="19" t="s">
        <v>148</v>
      </c>
      <c r="C63" s="20">
        <f>'Table 7 Local Revenue'!AE62</f>
        <v>6984212</v>
      </c>
      <c r="D63" s="20">
        <f>'Table 7 Local Revenue'!H62</f>
        <v>770363925</v>
      </c>
      <c r="E63" s="20">
        <f t="shared" si="4"/>
        <v>12981765</v>
      </c>
      <c r="F63" s="280">
        <f>'Table 7 Local Revenue'!AI62</f>
        <v>48824395</v>
      </c>
      <c r="G63" s="20">
        <f>'Table 7 Local Revenue'!AM62</f>
        <v>2347326683</v>
      </c>
      <c r="H63" s="20">
        <f t="shared" si="5"/>
        <v>19460136</v>
      </c>
      <c r="I63" s="238">
        <f>'Table 7 Local Revenue'!AP62</f>
        <v>307581.5</v>
      </c>
      <c r="J63" s="20">
        <f t="shared" si="6"/>
        <v>32749482.5</v>
      </c>
    </row>
    <row r="64" spans="1:10">
      <c r="A64" s="12">
        <v>56</v>
      </c>
      <c r="B64" s="13" t="s">
        <v>149</v>
      </c>
      <c r="C64" s="14">
        <f>'Table 7 Local Revenue'!AE63</f>
        <v>3552586</v>
      </c>
      <c r="D64" s="14">
        <f>'Table 7 Local Revenue'!H63</f>
        <v>158847686</v>
      </c>
      <c r="E64" s="14">
        <f t="shared" si="4"/>
        <v>2676817</v>
      </c>
      <c r="F64" s="279">
        <f>'Table 7 Local Revenue'!AI63</f>
        <v>4471356</v>
      </c>
      <c r="G64" s="14">
        <f>'Table 7 Local Revenue'!AM63</f>
        <v>223567800</v>
      </c>
      <c r="H64" s="14">
        <f t="shared" si="5"/>
        <v>1853453</v>
      </c>
      <c r="I64" s="237">
        <f>'Table 7 Local Revenue'!AP63</f>
        <v>151652</v>
      </c>
      <c r="J64" s="14">
        <f t="shared" si="6"/>
        <v>4681922</v>
      </c>
    </row>
    <row r="65" spans="1:10">
      <c r="A65" s="12">
        <v>57</v>
      </c>
      <c r="B65" s="13" t="s">
        <v>150</v>
      </c>
      <c r="C65" s="14">
        <f>'Table 7 Local Revenue'!AE64</f>
        <v>12144105</v>
      </c>
      <c r="D65" s="14">
        <f>'Table 7 Local Revenue'!H64</f>
        <v>310522580</v>
      </c>
      <c r="E65" s="14">
        <f t="shared" si="4"/>
        <v>5232762</v>
      </c>
      <c r="F65" s="279">
        <f>'Table 7 Local Revenue'!AI64</f>
        <v>11290503</v>
      </c>
      <c r="G65" s="14">
        <f>'Table 7 Local Revenue'!AM64</f>
        <v>752700200</v>
      </c>
      <c r="H65" s="14">
        <f t="shared" si="5"/>
        <v>6240141</v>
      </c>
      <c r="I65" s="237">
        <f>'Table 7 Local Revenue'!AP64</f>
        <v>2326234</v>
      </c>
      <c r="J65" s="14">
        <f t="shared" si="6"/>
        <v>13799137</v>
      </c>
    </row>
    <row r="66" spans="1:10">
      <c r="A66" s="12">
        <v>58</v>
      </c>
      <c r="B66" s="13" t="s">
        <v>151</v>
      </c>
      <c r="C66" s="14">
        <f>'Table 7 Local Revenue'!AE65</f>
        <v>7050163</v>
      </c>
      <c r="D66" s="14">
        <f>'Table 7 Local Revenue'!H65</f>
        <v>120655413</v>
      </c>
      <c r="E66" s="14">
        <f t="shared" si="4"/>
        <v>2033221</v>
      </c>
      <c r="F66" s="279">
        <f>'Table 7 Local Revenue'!AI65</f>
        <v>12246187</v>
      </c>
      <c r="G66" s="14">
        <f>'Table 7 Local Revenue'!AM65</f>
        <v>612309350</v>
      </c>
      <c r="H66" s="14">
        <f t="shared" si="5"/>
        <v>5076253</v>
      </c>
      <c r="I66" s="237">
        <f>'Table 7 Local Revenue'!AP65</f>
        <v>420654</v>
      </c>
      <c r="J66" s="14">
        <f t="shared" si="6"/>
        <v>7530128</v>
      </c>
    </row>
    <row r="67" spans="1:10">
      <c r="A67" s="12">
        <v>59</v>
      </c>
      <c r="B67" s="13" t="s">
        <v>152</v>
      </c>
      <c r="C67" s="14">
        <f>'Table 7 Local Revenue'!AE66</f>
        <v>3924675</v>
      </c>
      <c r="D67" s="14">
        <f>'Table 7 Local Revenue'!H66</f>
        <v>82288265</v>
      </c>
      <c r="E67" s="14">
        <f t="shared" si="4"/>
        <v>1386678</v>
      </c>
      <c r="F67" s="279">
        <f>'Table 7 Local Revenue'!AI66</f>
        <v>4135359</v>
      </c>
      <c r="G67" s="14">
        <f>'Table 7 Local Revenue'!AM66</f>
        <v>206767950</v>
      </c>
      <c r="H67" s="14">
        <f t="shared" si="5"/>
        <v>1714177</v>
      </c>
      <c r="I67" s="237">
        <f>'Table 7 Local Revenue'!AP66</f>
        <v>165555</v>
      </c>
      <c r="J67" s="14">
        <f t="shared" si="6"/>
        <v>3266410</v>
      </c>
    </row>
    <row r="68" spans="1:10">
      <c r="A68" s="18">
        <v>60</v>
      </c>
      <c r="B68" s="19" t="s">
        <v>153</v>
      </c>
      <c r="C68" s="20">
        <f>'Table 7 Local Revenue'!AE67</f>
        <v>11462696</v>
      </c>
      <c r="D68" s="20">
        <f>'Table 7 Local Revenue'!H67</f>
        <v>234473401</v>
      </c>
      <c r="E68" s="20">
        <f t="shared" si="4"/>
        <v>3951221</v>
      </c>
      <c r="F68" s="280">
        <f>'Table 7 Local Revenue'!AI67</f>
        <v>14520505</v>
      </c>
      <c r="G68" s="20">
        <f>'Table 7 Local Revenue'!AM67</f>
        <v>681713850</v>
      </c>
      <c r="H68" s="20">
        <f t="shared" si="5"/>
        <v>5651640</v>
      </c>
      <c r="I68" s="238">
        <f>'Table 7 Local Revenue'!AP67</f>
        <v>309654</v>
      </c>
      <c r="J68" s="20">
        <f t="shared" si="6"/>
        <v>9912515</v>
      </c>
    </row>
    <row r="69" spans="1:10">
      <c r="A69" s="12">
        <v>61</v>
      </c>
      <c r="B69" s="13" t="s">
        <v>154</v>
      </c>
      <c r="C69" s="14">
        <f>'Table 7 Local Revenue'!AE68</f>
        <v>12515557</v>
      </c>
      <c r="D69" s="14">
        <f>'Table 7 Local Revenue'!H68</f>
        <v>352890497</v>
      </c>
      <c r="E69" s="14">
        <f t="shared" si="4"/>
        <v>5946724</v>
      </c>
      <c r="F69" s="279">
        <f>'Table 7 Local Revenue'!AI68</f>
        <v>11835265</v>
      </c>
      <c r="G69" s="14">
        <f>'Table 7 Local Revenue'!AM68</f>
        <v>586929122.5</v>
      </c>
      <c r="H69" s="14">
        <f t="shared" si="5"/>
        <v>4865842</v>
      </c>
      <c r="I69" s="237">
        <f>'Table 7 Local Revenue'!AP68</f>
        <v>156507.5</v>
      </c>
      <c r="J69" s="14">
        <f t="shared" si="6"/>
        <v>10969073.5</v>
      </c>
    </row>
    <row r="70" spans="1:10">
      <c r="A70" s="12">
        <v>62</v>
      </c>
      <c r="B70" s="13" t="s">
        <v>155</v>
      </c>
      <c r="C70" s="14">
        <f>'Table 7 Local Revenue'!AE69</f>
        <v>1352401</v>
      </c>
      <c r="D70" s="14">
        <f>'Table 7 Local Revenue'!H69</f>
        <v>52777324</v>
      </c>
      <c r="E70" s="14">
        <f t="shared" si="4"/>
        <v>889375</v>
      </c>
      <c r="F70" s="279">
        <f>'Table 7 Local Revenue'!AI69</f>
        <v>2408700</v>
      </c>
      <c r="G70" s="14">
        <f>'Table 7 Local Revenue'!AM69</f>
        <v>120435000</v>
      </c>
      <c r="H70" s="14">
        <f t="shared" si="5"/>
        <v>998447</v>
      </c>
      <c r="I70" s="237">
        <f>'Table 7 Local Revenue'!AP69</f>
        <v>99511</v>
      </c>
      <c r="J70" s="14">
        <f t="shared" si="6"/>
        <v>1987333</v>
      </c>
    </row>
    <row r="71" spans="1:10">
      <c r="A71" s="12">
        <v>63</v>
      </c>
      <c r="B71" s="13" t="s">
        <v>156</v>
      </c>
      <c r="C71" s="14">
        <f>'Table 7 Local Revenue'!AE70</f>
        <v>9936486</v>
      </c>
      <c r="D71" s="14">
        <f>'Table 7 Local Revenue'!H70</f>
        <v>268313413</v>
      </c>
      <c r="E71" s="14">
        <f t="shared" si="4"/>
        <v>4521475</v>
      </c>
      <c r="F71" s="279">
        <f>'Table 7 Local Revenue'!AI70</f>
        <v>4451261</v>
      </c>
      <c r="G71" s="14">
        <f>'Table 7 Local Revenue'!AM70</f>
        <v>178050440</v>
      </c>
      <c r="H71" s="14">
        <f t="shared" si="5"/>
        <v>1476099</v>
      </c>
      <c r="I71" s="237">
        <f>'Table 7 Local Revenue'!AP70</f>
        <v>56320.5</v>
      </c>
      <c r="J71" s="14">
        <f t="shared" si="6"/>
        <v>6053894.5</v>
      </c>
    </row>
    <row r="72" spans="1:10">
      <c r="A72" s="12">
        <v>64</v>
      </c>
      <c r="B72" s="13" t="s">
        <v>157</v>
      </c>
      <c r="C72" s="14">
        <f>'Table 7 Local Revenue'!AE71</f>
        <v>2842235</v>
      </c>
      <c r="D72" s="14">
        <f>'Table 7 Local Revenue'!H71</f>
        <v>63270868</v>
      </c>
      <c r="E72" s="14">
        <f t="shared" si="4"/>
        <v>1066207</v>
      </c>
      <c r="F72" s="279">
        <f>'Table 7 Local Revenue'!AI71</f>
        <v>3671568</v>
      </c>
      <c r="G72" s="14">
        <f>'Table 7 Local Revenue'!AM71</f>
        <v>183578400</v>
      </c>
      <c r="H72" s="14">
        <f t="shared" si="5"/>
        <v>1521927</v>
      </c>
      <c r="I72" s="237">
        <f>'Table 7 Local Revenue'!AP71</f>
        <v>378258</v>
      </c>
      <c r="J72" s="14">
        <f t="shared" si="6"/>
        <v>2966392</v>
      </c>
    </row>
    <row r="73" spans="1:10">
      <c r="A73" s="18">
        <v>65</v>
      </c>
      <c r="B73" s="19" t="s">
        <v>158</v>
      </c>
      <c r="C73" s="20">
        <f>'Table 7 Local Revenue'!AE72</f>
        <v>15285079</v>
      </c>
      <c r="D73" s="20">
        <f>'Table 7 Local Revenue'!H72</f>
        <v>341110740</v>
      </c>
      <c r="E73" s="20">
        <f>ROUND(D73*$E$6/1000,0)</f>
        <v>5748217</v>
      </c>
      <c r="F73" s="280">
        <f>'Table 7 Local Revenue'!AI72</f>
        <v>25768276</v>
      </c>
      <c r="G73" s="20">
        <f>'Table 7 Local Revenue'!AM72</f>
        <v>1288413800</v>
      </c>
      <c r="H73" s="20">
        <f>ROUND(G73*$H$6,0)</f>
        <v>10681388</v>
      </c>
      <c r="I73" s="238">
        <f>'Table 7 Local Revenue'!AP72</f>
        <v>296519</v>
      </c>
      <c r="J73" s="20">
        <f>E73+H73+I73</f>
        <v>16726124</v>
      </c>
    </row>
    <row r="74" spans="1:10">
      <c r="A74" s="12">
        <v>66</v>
      </c>
      <c r="B74" s="13" t="s">
        <v>159</v>
      </c>
      <c r="C74" s="14">
        <f>'Table 7 Local Revenue'!AE73</f>
        <v>4816237</v>
      </c>
      <c r="D74" s="14">
        <f>'Table 7 Local Revenue'!H73</f>
        <v>76320120</v>
      </c>
      <c r="E74" s="14">
        <f>ROUND(D74*$E$6/1000,0)</f>
        <v>1286106</v>
      </c>
      <c r="F74" s="279">
        <f>'Table 7 Local Revenue'!AI73</f>
        <v>2415009</v>
      </c>
      <c r="G74" s="14">
        <f>'Table 7 Local Revenue'!AM73</f>
        <v>241500900</v>
      </c>
      <c r="H74" s="14">
        <f>ROUND(G74*$H$6,0)</f>
        <v>2002125</v>
      </c>
      <c r="I74" s="237">
        <f>'Table 7 Local Revenue'!AP73</f>
        <v>216332</v>
      </c>
      <c r="J74" s="14">
        <f>E74+H74+I74</f>
        <v>3504563</v>
      </c>
    </row>
    <row r="75" spans="1:10">
      <c r="A75" s="12">
        <v>67</v>
      </c>
      <c r="B75" s="13" t="s">
        <v>32</v>
      </c>
      <c r="C75" s="14">
        <f>'Table 7 Local Revenue'!AE74</f>
        <v>15578142</v>
      </c>
      <c r="D75" s="14">
        <f>'Table 7 Local Revenue'!H74</f>
        <v>197901490</v>
      </c>
      <c r="E75" s="14">
        <f>ROUND(D75*$E$6/1000,0)</f>
        <v>3334931</v>
      </c>
      <c r="F75" s="279">
        <f>'Table 7 Local Revenue'!AI74</f>
        <v>10609846</v>
      </c>
      <c r="G75" s="14">
        <f>'Table 7 Local Revenue'!AM74</f>
        <v>446314079.99999994</v>
      </c>
      <c r="H75" s="14">
        <f>ROUND(G75*$H$6,0)</f>
        <v>3700095</v>
      </c>
      <c r="I75" s="237">
        <f>'Table 7 Local Revenue'!AP74</f>
        <v>82848</v>
      </c>
      <c r="J75" s="14">
        <f>E75+H75+I75</f>
        <v>7117874</v>
      </c>
    </row>
    <row r="76" spans="1:10">
      <c r="A76" s="12">
        <v>68</v>
      </c>
      <c r="B76" s="13" t="s">
        <v>30</v>
      </c>
      <c r="C76" s="14">
        <f>'Table 7 Local Revenue'!AE75</f>
        <v>1754821</v>
      </c>
      <c r="D76" s="14">
        <f>'Table 7 Local Revenue'!H75</f>
        <v>40867730</v>
      </c>
      <c r="E76" s="14">
        <f>ROUND(D76*$E$6/1000,0)</f>
        <v>688681</v>
      </c>
      <c r="F76" s="279">
        <f>'Table 7 Local Revenue'!AI75</f>
        <v>3064477</v>
      </c>
      <c r="G76" s="14">
        <f>'Table 7 Local Revenue'!AM75</f>
        <v>153223850</v>
      </c>
      <c r="H76" s="14">
        <f>ROUND(G76*$H$6,0)</f>
        <v>1270278</v>
      </c>
      <c r="I76" s="237">
        <f>'Table 7 Local Revenue'!AP75</f>
        <v>45224</v>
      </c>
      <c r="J76" s="14">
        <f>E76+H76+I76</f>
        <v>2004183</v>
      </c>
    </row>
    <row r="77" spans="1:10">
      <c r="A77" s="154">
        <v>69</v>
      </c>
      <c r="B77" s="19" t="s">
        <v>213</v>
      </c>
      <c r="C77" s="14">
        <f>'Table 7 Local Revenue'!AE76</f>
        <v>6823501</v>
      </c>
      <c r="D77" s="14">
        <f>'Table 7 Local Revenue'!H76</f>
        <v>109834740</v>
      </c>
      <c r="E77" s="14">
        <f>ROUND(D77*$E$6/1000,0)</f>
        <v>1850877</v>
      </c>
      <c r="F77" s="279">
        <f>'Table 7 Local Revenue'!AI76</f>
        <v>7323537</v>
      </c>
      <c r="G77" s="14">
        <f>'Table 7 Local Revenue'!AM76</f>
        <v>292941480</v>
      </c>
      <c r="H77" s="14">
        <f>ROUND(G77*$H$6,0)</f>
        <v>2428584</v>
      </c>
      <c r="I77" s="237">
        <f>'Table 7 Local Revenue'!AP76</f>
        <v>0</v>
      </c>
      <c r="J77" s="14">
        <f>E77+H77+I77</f>
        <v>4279461</v>
      </c>
    </row>
    <row r="78" spans="1:10" ht="13.5" thickBot="1">
      <c r="A78" s="17"/>
      <c r="B78" s="43" t="s">
        <v>91</v>
      </c>
      <c r="C78" s="44">
        <f t="shared" ref="C78:J78" si="7">SUM(C9:C77)</f>
        <v>1371935890</v>
      </c>
      <c r="D78" s="44">
        <f t="shared" si="7"/>
        <v>33628503076.299995</v>
      </c>
      <c r="E78" s="44">
        <f t="shared" si="7"/>
        <v>566689712</v>
      </c>
      <c r="F78" s="44">
        <f t="shared" si="7"/>
        <v>1669272600</v>
      </c>
      <c r="G78" s="44">
        <f t="shared" si="7"/>
        <v>83696655339.525009</v>
      </c>
      <c r="H78" s="44">
        <f t="shared" si="7"/>
        <v>693873730</v>
      </c>
      <c r="I78" s="267">
        <f t="shared" si="7"/>
        <v>37437635.5</v>
      </c>
      <c r="J78" s="44">
        <f t="shared" si="7"/>
        <v>1298001077.5</v>
      </c>
    </row>
    <row r="79" spans="1:10" ht="13.5" thickTop="1"/>
    <row r="80" spans="1:10" hidden="1"/>
    <row r="81" spans="5:6" hidden="1">
      <c r="F81" s="439">
        <f>'Table 3 Levels 1&amp;2'!AX78</f>
        <v>0.65</v>
      </c>
    </row>
    <row r="82" spans="5:6" hidden="1"/>
    <row r="84" spans="5:6" ht="18">
      <c r="E84" s="234"/>
      <c r="F84" s="235"/>
    </row>
  </sheetData>
  <mergeCells count="10">
    <mergeCell ref="A4:A6"/>
    <mergeCell ref="B4:B6"/>
    <mergeCell ref="C4:E4"/>
    <mergeCell ref="F4:J4"/>
    <mergeCell ref="C5:C6"/>
    <mergeCell ref="D5:D6"/>
    <mergeCell ref="F5:F6"/>
    <mergeCell ref="G5:G6"/>
    <mergeCell ref="I5:I6"/>
    <mergeCell ref="J5:J6"/>
  </mergeCells>
  <phoneticPr fontId="0" type="noConversion"/>
  <printOptions horizontalCentered="1"/>
  <pageMargins left="0.68" right="0.28999999999999998" top="1.19" bottom="0.38" header="0.33" footer="0.18"/>
  <pageSetup paperSize="5" scale="87" firstPageNumber="134" orientation="portrait" useFirstPageNumber="1" r:id="rId1"/>
  <headerFooter alignWithMargins="0">
    <oddHeader>&amp;L&amp;"Arial,Bold"&amp;18TABLE 6: FY2013-14 Budget Letter (Projection)
Local Deduction Calculation</oddHeader>
    <oddFooter>&amp;R&amp;12&amp;P</oddFooter>
  </headerFooter>
  <colBreaks count="1" manualBreakCount="1">
    <brk id="5" min="2" max="76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86"/>
  <sheetViews>
    <sheetView view="pageBreakPreview" topLeftCell="A3" zoomScaleNormal="85" zoomScaleSheetLayoutView="100" workbookViewId="0">
      <pane xSplit="2" ySplit="4" topLeftCell="C7" activePane="bottomRight" state="frozen"/>
      <selection activeCell="J97" sqref="J97"/>
      <selection pane="topRight" activeCell="J97" sqref="J97"/>
      <selection pane="bottomLeft" activeCell="J97" sqref="J97"/>
      <selection pane="bottomRight" activeCell="B3" sqref="B3:B5"/>
    </sheetView>
  </sheetViews>
  <sheetFormatPr defaultRowHeight="12.75"/>
  <cols>
    <col min="1" max="1" width="4.7109375" customWidth="1"/>
    <col min="2" max="2" width="18.5703125" customWidth="1"/>
    <col min="3" max="3" width="16" customWidth="1"/>
    <col min="4" max="4" width="14.85546875" customWidth="1"/>
    <col min="5" max="5" width="15.7109375" customWidth="1"/>
    <col min="6" max="6" width="15.28515625" customWidth="1"/>
    <col min="7" max="7" width="9" customWidth="1"/>
    <col min="8" max="8" width="15.85546875" customWidth="1"/>
    <col min="9" max="9" width="10.42578125" bestFit="1" customWidth="1"/>
    <col min="10" max="10" width="13.140625" bestFit="1" customWidth="1"/>
    <col min="11" max="11" width="10.42578125" bestFit="1" customWidth="1"/>
    <col min="12" max="12" width="13" customWidth="1"/>
    <col min="13" max="15" width="8.28515625" bestFit="1" customWidth="1"/>
    <col min="16" max="16" width="11.7109375" bestFit="1" customWidth="1"/>
    <col min="17" max="17" width="15.42578125" customWidth="1"/>
    <col min="18" max="18" width="7.85546875" customWidth="1"/>
    <col min="19" max="19" width="17.140625" bestFit="1" customWidth="1"/>
    <col min="20" max="21" width="10.7109375" customWidth="1"/>
    <col min="22" max="22" width="9.140625" customWidth="1"/>
    <col min="23" max="23" width="16.5703125" bestFit="1" customWidth="1"/>
    <col min="24" max="24" width="13" bestFit="1" customWidth="1"/>
    <col min="25" max="25" width="12.85546875" customWidth="1"/>
    <col min="26" max="26" width="14.42578125" customWidth="1"/>
    <col min="27" max="27" width="12.85546875" customWidth="1"/>
    <col min="28" max="30" width="10.7109375" customWidth="1"/>
    <col min="31" max="31" width="16.140625" customWidth="1"/>
    <col min="32" max="32" width="10.5703125" customWidth="1"/>
    <col min="33" max="33" width="16.42578125" bestFit="1" customWidth="1"/>
    <col min="34" max="34" width="15.42578125" bestFit="1" customWidth="1"/>
    <col min="35" max="35" width="18.42578125" customWidth="1"/>
    <col min="36" max="36" width="16.85546875" bestFit="1" customWidth="1"/>
    <col min="37" max="37" width="17.42578125" bestFit="1" customWidth="1"/>
    <col min="38" max="38" width="12.28515625" bestFit="1" customWidth="1"/>
    <col min="39" max="39" width="20.140625" bestFit="1" customWidth="1"/>
    <col min="40" max="41" width="13.42578125" bestFit="1" customWidth="1"/>
    <col min="42" max="42" width="23.85546875" customWidth="1"/>
    <col min="43" max="43" width="19.140625" bestFit="1" customWidth="1"/>
    <col min="44" max="44" width="14.42578125" bestFit="1" customWidth="1"/>
    <col min="45" max="45" width="10.42578125" bestFit="1" customWidth="1"/>
  </cols>
  <sheetData>
    <row r="1" spans="1:44" ht="20.25" hidden="1">
      <c r="A1" s="48" t="s">
        <v>203</v>
      </c>
      <c r="B1" s="151"/>
      <c r="C1" s="152"/>
      <c r="D1" s="153"/>
      <c r="E1" s="153"/>
      <c r="F1" s="153"/>
      <c r="G1" s="153"/>
      <c r="H1" s="153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142"/>
      <c r="AF1" s="143"/>
      <c r="AG1" s="2"/>
      <c r="AH1" s="2"/>
      <c r="AI1" s="2"/>
      <c r="AJ1" s="2"/>
      <c r="AK1" s="2"/>
      <c r="AL1" s="2"/>
      <c r="AM1" s="2"/>
      <c r="AN1" s="2"/>
      <c r="AO1" s="2"/>
      <c r="AP1" s="144"/>
      <c r="AQ1" s="2"/>
    </row>
    <row r="2" spans="1:44" ht="40.5" hidden="1">
      <c r="A2" s="48"/>
      <c r="C2" s="2186" t="s">
        <v>25</v>
      </c>
      <c r="D2" s="2187"/>
      <c r="E2" s="126"/>
      <c r="F2" s="126"/>
      <c r="G2" s="126"/>
      <c r="H2" s="126"/>
      <c r="I2" s="151" t="s">
        <v>39</v>
      </c>
      <c r="J2" s="151" t="s">
        <v>40</v>
      </c>
      <c r="K2" s="151" t="s">
        <v>41</v>
      </c>
      <c r="L2" s="151" t="s">
        <v>42</v>
      </c>
      <c r="M2" s="151" t="s">
        <v>43</v>
      </c>
      <c r="N2" s="151" t="s">
        <v>44</v>
      </c>
      <c r="O2" s="151" t="s">
        <v>45</v>
      </c>
      <c r="P2" s="151" t="s">
        <v>46</v>
      </c>
      <c r="Q2" s="126" t="s">
        <v>23</v>
      </c>
      <c r="R2" s="151" t="s">
        <v>47</v>
      </c>
      <c r="S2" s="151" t="s">
        <v>48</v>
      </c>
      <c r="T2" s="151" t="s">
        <v>49</v>
      </c>
      <c r="U2" s="151" t="s">
        <v>50</v>
      </c>
      <c r="V2" s="151" t="s">
        <v>51</v>
      </c>
      <c r="W2" s="151" t="s">
        <v>52</v>
      </c>
      <c r="X2" s="126" t="s">
        <v>24</v>
      </c>
      <c r="Y2" s="126" t="s">
        <v>33</v>
      </c>
      <c r="Z2" s="126" t="s">
        <v>34</v>
      </c>
      <c r="AA2" s="126" t="s">
        <v>35</v>
      </c>
      <c r="AB2" s="126" t="s">
        <v>36</v>
      </c>
      <c r="AC2" s="126" t="s">
        <v>37</v>
      </c>
      <c r="AD2" s="126" t="s">
        <v>26</v>
      </c>
      <c r="AE2" s="288"/>
      <c r="AF2" s="119" t="s">
        <v>68</v>
      </c>
      <c r="AG2" s="119" t="s">
        <v>69</v>
      </c>
      <c r="AH2" s="118" t="s">
        <v>192</v>
      </c>
      <c r="AI2" s="118"/>
      <c r="AJ2" s="120"/>
      <c r="AK2" s="120" t="s">
        <v>27</v>
      </c>
      <c r="AL2" s="180"/>
      <c r="AM2" s="180"/>
      <c r="AN2" s="126" t="s">
        <v>28</v>
      </c>
      <c r="AO2" s="126" t="s">
        <v>29</v>
      </c>
      <c r="AP2" s="131" t="s">
        <v>77</v>
      </c>
      <c r="AQ2" s="165" t="s">
        <v>21</v>
      </c>
      <c r="AR2" s="131" t="s">
        <v>78</v>
      </c>
    </row>
    <row r="3" spans="1:44" ht="39.75" customHeight="1">
      <c r="A3" s="1862" t="s">
        <v>190</v>
      </c>
      <c r="B3" s="1862" t="s">
        <v>2</v>
      </c>
      <c r="C3" s="2188" t="s">
        <v>751</v>
      </c>
      <c r="D3" s="2189"/>
      <c r="E3" s="2190"/>
      <c r="F3" s="2190"/>
      <c r="G3" s="2190"/>
      <c r="H3" s="2191"/>
      <c r="I3" s="2173" t="s">
        <v>3</v>
      </c>
      <c r="J3" s="2175"/>
      <c r="K3" s="2180" t="s">
        <v>53</v>
      </c>
      <c r="L3" s="2181"/>
      <c r="M3" s="2181"/>
      <c r="N3" s="2181"/>
      <c r="O3" s="2181"/>
      <c r="P3" s="2182"/>
      <c r="Q3" s="2177" t="s">
        <v>225</v>
      </c>
      <c r="R3" s="2180" t="s">
        <v>54</v>
      </c>
      <c r="S3" s="2181"/>
      <c r="T3" s="2181"/>
      <c r="U3" s="2181"/>
      <c r="V3" s="2181"/>
      <c r="W3" s="2182"/>
      <c r="X3" s="2177" t="s">
        <v>55</v>
      </c>
      <c r="Y3" s="2180" t="s">
        <v>38</v>
      </c>
      <c r="Z3" s="2181"/>
      <c r="AA3" s="2181"/>
      <c r="AB3" s="2181"/>
      <c r="AC3" s="2181"/>
      <c r="AD3" s="2181"/>
      <c r="AE3" s="2177" t="s">
        <v>754</v>
      </c>
      <c r="AF3" s="2180" t="s">
        <v>72</v>
      </c>
      <c r="AG3" s="2181"/>
      <c r="AH3" s="2181"/>
      <c r="AI3" s="2177" t="s">
        <v>755</v>
      </c>
      <c r="AJ3" s="2180" t="s">
        <v>92</v>
      </c>
      <c r="AK3" s="2181"/>
      <c r="AL3" s="2181"/>
      <c r="AM3" s="2181"/>
      <c r="AN3" s="2181"/>
      <c r="AO3" s="2182"/>
      <c r="AP3" s="2196" t="s">
        <v>747</v>
      </c>
      <c r="AQ3" s="2195" t="s">
        <v>248</v>
      </c>
      <c r="AR3" s="2192" t="s">
        <v>259</v>
      </c>
    </row>
    <row r="4" spans="1:44" ht="71.25" customHeight="1">
      <c r="A4" s="2171"/>
      <c r="B4" s="2171"/>
      <c r="C4" s="2176" t="s">
        <v>748</v>
      </c>
      <c r="D4" s="2176" t="s">
        <v>749</v>
      </c>
      <c r="E4" s="1862" t="s">
        <v>750</v>
      </c>
      <c r="F4" s="2176" t="s">
        <v>752</v>
      </c>
      <c r="G4" s="2176" t="s">
        <v>214</v>
      </c>
      <c r="H4" s="1384" t="s">
        <v>753</v>
      </c>
      <c r="I4" s="2183" t="s">
        <v>7</v>
      </c>
      <c r="J4" s="2183" t="s">
        <v>56</v>
      </c>
      <c r="K4" s="2183" t="s">
        <v>7</v>
      </c>
      <c r="L4" s="2183" t="s">
        <v>56</v>
      </c>
      <c r="M4" s="2183" t="s">
        <v>57</v>
      </c>
      <c r="N4" s="2183" t="s">
        <v>58</v>
      </c>
      <c r="O4" s="2183" t="s">
        <v>59</v>
      </c>
      <c r="P4" s="2183" t="s">
        <v>237</v>
      </c>
      <c r="Q4" s="2178"/>
      <c r="R4" s="2183" t="s">
        <v>7</v>
      </c>
      <c r="S4" s="2183" t="s">
        <v>12</v>
      </c>
      <c r="T4" s="2183" t="s">
        <v>8</v>
      </c>
      <c r="U4" s="2183" t="s">
        <v>9</v>
      </c>
      <c r="V4" s="2183" t="s">
        <v>10</v>
      </c>
      <c r="W4" s="2183" t="s">
        <v>11</v>
      </c>
      <c r="X4" s="2178"/>
      <c r="Y4" s="2183" t="s">
        <v>17</v>
      </c>
      <c r="Z4" s="2183" t="s">
        <v>16</v>
      </c>
      <c r="AA4" s="2183" t="s">
        <v>15</v>
      </c>
      <c r="AB4" s="2183" t="s">
        <v>14</v>
      </c>
      <c r="AC4" s="2183" t="s">
        <v>13</v>
      </c>
      <c r="AD4" s="2183" t="s">
        <v>18</v>
      </c>
      <c r="AE4" s="2178"/>
      <c r="AF4" s="2185" t="s">
        <v>4</v>
      </c>
      <c r="AG4" s="2185" t="s">
        <v>5</v>
      </c>
      <c r="AH4" s="2185" t="s">
        <v>6</v>
      </c>
      <c r="AI4" s="2178"/>
      <c r="AJ4" s="2184" t="s">
        <v>745</v>
      </c>
      <c r="AK4" s="2184" t="s">
        <v>746</v>
      </c>
      <c r="AL4" s="2184" t="s">
        <v>208</v>
      </c>
      <c r="AM4" s="379" t="s">
        <v>90</v>
      </c>
      <c r="AN4" s="2185" t="s">
        <v>93</v>
      </c>
      <c r="AO4" s="2185" t="s">
        <v>19</v>
      </c>
      <c r="AP4" s="2197"/>
      <c r="AQ4" s="2193"/>
      <c r="AR4" s="2193"/>
    </row>
    <row r="5" spans="1:44" s="431" customFormat="1" ht="16.5" customHeight="1">
      <c r="A5" s="2172"/>
      <c r="B5" s="2172"/>
      <c r="C5" s="2176"/>
      <c r="D5" s="2176"/>
      <c r="E5" s="1864"/>
      <c r="F5" s="2176"/>
      <c r="G5" s="2176"/>
      <c r="H5" s="603">
        <v>0.1</v>
      </c>
      <c r="I5" s="2183"/>
      <c r="J5" s="2183"/>
      <c r="K5" s="2183"/>
      <c r="L5" s="2183"/>
      <c r="M5" s="2183"/>
      <c r="N5" s="2183"/>
      <c r="O5" s="2183"/>
      <c r="P5" s="2183"/>
      <c r="Q5" s="2179"/>
      <c r="R5" s="2183"/>
      <c r="S5" s="2183"/>
      <c r="T5" s="2183"/>
      <c r="U5" s="2183"/>
      <c r="V5" s="2183"/>
      <c r="W5" s="2183"/>
      <c r="X5" s="2179"/>
      <c r="Y5" s="2183"/>
      <c r="Z5" s="2183"/>
      <c r="AA5" s="2183"/>
      <c r="AB5" s="2183"/>
      <c r="AC5" s="2183"/>
      <c r="AD5" s="2183"/>
      <c r="AE5" s="2179"/>
      <c r="AF5" s="2185"/>
      <c r="AG5" s="2185"/>
      <c r="AH5" s="2185"/>
      <c r="AI5" s="2179"/>
      <c r="AJ5" s="2184"/>
      <c r="AK5" s="2184"/>
      <c r="AL5" s="2184"/>
      <c r="AM5" s="603">
        <v>0.15</v>
      </c>
      <c r="AN5" s="2185"/>
      <c r="AO5" s="2185"/>
      <c r="AP5" s="2198"/>
      <c r="AQ5" s="2194"/>
      <c r="AR5" s="2194"/>
    </row>
    <row r="6" spans="1:44">
      <c r="A6" s="63"/>
      <c r="B6" s="71"/>
      <c r="C6" s="229">
        <v>1</v>
      </c>
      <c r="D6" s="228">
        <f>C6+1</f>
        <v>2</v>
      </c>
      <c r="E6" s="228">
        <v>3</v>
      </c>
      <c r="F6" s="266" t="s">
        <v>221</v>
      </c>
      <c r="G6" s="266" t="s">
        <v>222</v>
      </c>
      <c r="H6" s="215" t="s">
        <v>223</v>
      </c>
      <c r="I6" s="214">
        <f>E6+1</f>
        <v>4</v>
      </c>
      <c r="J6" s="228">
        <f t="shared" ref="J6:AR6" si="0">I6+1</f>
        <v>5</v>
      </c>
      <c r="K6" s="228">
        <f t="shared" si="0"/>
        <v>6</v>
      </c>
      <c r="L6" s="228">
        <f t="shared" si="0"/>
        <v>7</v>
      </c>
      <c r="M6" s="228">
        <f t="shared" si="0"/>
        <v>8</v>
      </c>
      <c r="N6" s="228">
        <f t="shared" si="0"/>
        <v>9</v>
      </c>
      <c r="O6" s="228">
        <f t="shared" si="0"/>
        <v>10</v>
      </c>
      <c r="P6" s="228">
        <f t="shared" si="0"/>
        <v>11</v>
      </c>
      <c r="Q6" s="228">
        <f t="shared" si="0"/>
        <v>12</v>
      </c>
      <c r="R6" s="228">
        <f t="shared" si="0"/>
        <v>13</v>
      </c>
      <c r="S6" s="228">
        <f t="shared" si="0"/>
        <v>14</v>
      </c>
      <c r="T6" s="228">
        <f t="shared" si="0"/>
        <v>15</v>
      </c>
      <c r="U6" s="228">
        <f t="shared" si="0"/>
        <v>16</v>
      </c>
      <c r="V6" s="228">
        <f t="shared" si="0"/>
        <v>17</v>
      </c>
      <c r="W6" s="228">
        <f t="shared" si="0"/>
        <v>18</v>
      </c>
      <c r="X6" s="228">
        <f t="shared" si="0"/>
        <v>19</v>
      </c>
      <c r="Y6" s="228">
        <f t="shared" si="0"/>
        <v>20</v>
      </c>
      <c r="Z6" s="228">
        <f t="shared" si="0"/>
        <v>21</v>
      </c>
      <c r="AA6" s="228">
        <f t="shared" si="0"/>
        <v>22</v>
      </c>
      <c r="AB6" s="228">
        <f t="shared" si="0"/>
        <v>23</v>
      </c>
      <c r="AC6" s="228">
        <f t="shared" si="0"/>
        <v>24</v>
      </c>
      <c r="AD6" s="228">
        <f t="shared" si="0"/>
        <v>25</v>
      </c>
      <c r="AE6" s="228">
        <f t="shared" si="0"/>
        <v>26</v>
      </c>
      <c r="AF6" s="228">
        <f t="shared" si="0"/>
        <v>27</v>
      </c>
      <c r="AG6" s="228">
        <f t="shared" si="0"/>
        <v>28</v>
      </c>
      <c r="AH6" s="228">
        <f t="shared" si="0"/>
        <v>29</v>
      </c>
      <c r="AI6" s="228">
        <f t="shared" si="0"/>
        <v>30</v>
      </c>
      <c r="AJ6" s="228">
        <f t="shared" si="0"/>
        <v>31</v>
      </c>
      <c r="AK6" s="228">
        <f t="shared" si="0"/>
        <v>32</v>
      </c>
      <c r="AL6" s="228">
        <f t="shared" si="0"/>
        <v>33</v>
      </c>
      <c r="AM6" s="228">
        <f t="shared" si="0"/>
        <v>34</v>
      </c>
      <c r="AN6" s="228">
        <f t="shared" si="0"/>
        <v>35</v>
      </c>
      <c r="AO6" s="228">
        <f t="shared" si="0"/>
        <v>36</v>
      </c>
      <c r="AP6" s="228">
        <f t="shared" si="0"/>
        <v>37</v>
      </c>
      <c r="AQ6" s="228">
        <f t="shared" si="0"/>
        <v>38</v>
      </c>
      <c r="AR6" s="214">
        <f t="shared" si="0"/>
        <v>39</v>
      </c>
    </row>
    <row r="7" spans="1:44" ht="0.75" customHeight="1">
      <c r="A7" s="9"/>
      <c r="B7" s="269"/>
      <c r="C7" s="274"/>
      <c r="D7" s="275"/>
      <c r="E7" s="275"/>
      <c r="F7" s="132"/>
      <c r="G7" s="132"/>
      <c r="H7" s="132"/>
      <c r="I7" s="356"/>
      <c r="J7" s="284"/>
      <c r="K7" s="274"/>
      <c r="L7" s="284"/>
      <c r="M7" s="274"/>
      <c r="N7" s="274"/>
      <c r="O7" s="274"/>
      <c r="P7" s="284"/>
      <c r="Q7" s="274"/>
      <c r="R7" s="274"/>
      <c r="S7" s="284"/>
      <c r="T7" s="274"/>
      <c r="U7" s="274"/>
      <c r="V7" s="274"/>
      <c r="W7" s="284"/>
      <c r="X7" s="274"/>
      <c r="Y7" s="274"/>
      <c r="Z7" s="274"/>
      <c r="AA7" s="274"/>
      <c r="AB7" s="274"/>
      <c r="AC7" s="274"/>
      <c r="AD7" s="275"/>
      <c r="AE7" s="289"/>
      <c r="AF7" s="347"/>
      <c r="AG7" s="276"/>
      <c r="AH7" s="277"/>
      <c r="AI7" s="278"/>
      <c r="AJ7" s="10"/>
      <c r="AK7" s="10"/>
      <c r="AL7" s="11"/>
      <c r="AM7" s="11"/>
      <c r="AN7" s="11"/>
      <c r="AO7" s="11"/>
      <c r="AP7" s="68"/>
      <c r="AQ7" s="133"/>
      <c r="AR7" s="133"/>
    </row>
    <row r="8" spans="1:44">
      <c r="A8" s="12">
        <v>1</v>
      </c>
      <c r="B8" s="69" t="s">
        <v>95</v>
      </c>
      <c r="C8" s="14">
        <v>374034513</v>
      </c>
      <c r="D8" s="14">
        <v>83521715</v>
      </c>
      <c r="E8" s="14">
        <f>C8-D8</f>
        <v>290512798</v>
      </c>
      <c r="F8" s="14">
        <v>285142017</v>
      </c>
      <c r="G8" s="590">
        <f>(E8-F8)/F8</f>
        <v>1.8835459805280119E-2</v>
      </c>
      <c r="H8" s="591">
        <f t="shared" ref="H8:H39" si="1">IF((E8-F8)/F8&gt;$H$5,F8*(1+$H$5),E8)</f>
        <v>290512798</v>
      </c>
      <c r="I8" s="499">
        <v>5.14</v>
      </c>
      <c r="J8" s="484">
        <v>1466082</v>
      </c>
      <c r="K8" s="499">
        <v>20.03</v>
      </c>
      <c r="L8" s="484">
        <v>5530430</v>
      </c>
      <c r="M8" s="483">
        <v>10</v>
      </c>
      <c r="N8" s="483">
        <v>13.45</v>
      </c>
      <c r="O8" s="483">
        <v>2</v>
      </c>
      <c r="P8" s="484">
        <v>981434</v>
      </c>
      <c r="Q8" s="14">
        <f>J8+L8+P8</f>
        <v>7977946</v>
      </c>
      <c r="R8" s="596">
        <v>0</v>
      </c>
      <c r="S8" s="484">
        <v>0</v>
      </c>
      <c r="T8" s="483">
        <v>13.2</v>
      </c>
      <c r="U8" s="483">
        <v>14</v>
      </c>
      <c r="V8" s="483">
        <v>2</v>
      </c>
      <c r="W8" s="484">
        <v>700961</v>
      </c>
      <c r="X8" s="14">
        <f>S8+W8</f>
        <v>700961</v>
      </c>
      <c r="Y8" s="145">
        <f>I8+K8+R8</f>
        <v>25.17</v>
      </c>
      <c r="Z8" s="14">
        <f>J8+L8+S8</f>
        <v>6996512</v>
      </c>
      <c r="AA8" s="14">
        <f>P8+W8</f>
        <v>1682395</v>
      </c>
      <c r="AB8" s="146">
        <f t="shared" ref="AB8:AB39" si="2">ROUND((X8/E8)*1000,2)</f>
        <v>2.41</v>
      </c>
      <c r="AC8" s="147">
        <f t="shared" ref="AC8:AC39" si="3">ROUND((Q8/E8)*1000,2)</f>
        <v>27.46</v>
      </c>
      <c r="AD8" s="127">
        <f t="shared" ref="AD8:AD39" si="4">ROUND((AE8/E8)*1000,2)</f>
        <v>29.87</v>
      </c>
      <c r="AE8" s="77">
        <f>X8+Q8</f>
        <v>8678907</v>
      </c>
      <c r="AF8" s="155">
        <v>1.4999999999999999E-2</v>
      </c>
      <c r="AG8" s="281">
        <v>11369692</v>
      </c>
      <c r="AH8" s="281">
        <v>0</v>
      </c>
      <c r="AI8" s="494">
        <f>AG8+AH8</f>
        <v>11369692</v>
      </c>
      <c r="AJ8" s="77">
        <v>672433267</v>
      </c>
      <c r="AK8" s="77">
        <f t="shared" ref="AK8:AK18" si="5">ROUND(AI8/AF8,0)</f>
        <v>757979467</v>
      </c>
      <c r="AL8" s="597">
        <f>(AK8-AJ8)/AJ8</f>
        <v>0.12721886943764191</v>
      </c>
      <c r="AM8" s="600">
        <f>IF((AK8-AJ8)/AJ8&gt;$AM$5,AJ8*(1+$AM$5),AK8)</f>
        <v>757979467</v>
      </c>
      <c r="AN8" s="129">
        <f t="shared" ref="AN8:AN39" si="6">AG8/AK8</f>
        <v>1.4999999993403516E-2</v>
      </c>
      <c r="AO8" s="129">
        <f t="shared" ref="AO8:AO39" si="7">AH8/AK8</f>
        <v>0</v>
      </c>
      <c r="AP8" s="77">
        <v>526511</v>
      </c>
      <c r="AQ8" s="77">
        <f t="shared" ref="AQ8:AQ39" si="8">AP8+AE8+AI8</f>
        <v>20575110</v>
      </c>
      <c r="AR8" s="77">
        <f>ROUND(AQ8/'Table 3 Levels 1&amp;2'!C9,2)</f>
        <v>2143.02</v>
      </c>
    </row>
    <row r="9" spans="1:44">
      <c r="A9" s="12">
        <v>2</v>
      </c>
      <c r="B9" s="69" t="s">
        <v>96</v>
      </c>
      <c r="C9" s="14">
        <v>103232695</v>
      </c>
      <c r="D9" s="14">
        <v>25750923</v>
      </c>
      <c r="E9" s="14">
        <f t="shared" ref="E9:E72" si="9">C9-D9</f>
        <v>77481772</v>
      </c>
      <c r="F9" s="14">
        <v>74892050</v>
      </c>
      <c r="G9" s="590">
        <f t="shared" ref="G9:G72" si="10">(E9-F9)/F9</f>
        <v>3.4579397946778063E-2</v>
      </c>
      <c r="H9" s="591">
        <f t="shared" si="1"/>
        <v>77481772</v>
      </c>
      <c r="I9" s="499">
        <v>4.28</v>
      </c>
      <c r="J9" s="484">
        <v>317971</v>
      </c>
      <c r="K9" s="499">
        <v>5.15</v>
      </c>
      <c r="L9" s="484">
        <v>383910</v>
      </c>
      <c r="M9" s="483">
        <v>12.89</v>
      </c>
      <c r="N9" s="483">
        <v>89.78</v>
      </c>
      <c r="O9" s="483">
        <v>12</v>
      </c>
      <c r="P9" s="484">
        <v>1474378</v>
      </c>
      <c r="Q9" s="14">
        <f t="shared" ref="Q9:Q72" si="11">J9+L9+P9</f>
        <v>2176259</v>
      </c>
      <c r="R9" s="483">
        <v>0</v>
      </c>
      <c r="S9" s="484">
        <v>0</v>
      </c>
      <c r="T9" s="483">
        <v>21.8</v>
      </c>
      <c r="U9" s="483">
        <v>39</v>
      </c>
      <c r="V9" s="483">
        <v>6</v>
      </c>
      <c r="W9" s="484">
        <v>1294550</v>
      </c>
      <c r="X9" s="14">
        <f t="shared" ref="X9:X72" si="12">S9+W9</f>
        <v>1294550</v>
      </c>
      <c r="Y9" s="145">
        <f t="shared" ref="Y9:Y72" si="13">I9+K9+R9</f>
        <v>9.43</v>
      </c>
      <c r="Z9" s="14">
        <f t="shared" ref="Z9:Z72" si="14">J9+L9+S9</f>
        <v>701881</v>
      </c>
      <c r="AA9" s="14">
        <f t="shared" ref="AA9:AA72" si="15">P9+W9</f>
        <v>2768928</v>
      </c>
      <c r="AB9" s="146">
        <f t="shared" si="2"/>
        <v>16.71</v>
      </c>
      <c r="AC9" s="147">
        <f t="shared" si="3"/>
        <v>28.09</v>
      </c>
      <c r="AD9" s="127">
        <f t="shared" si="4"/>
        <v>44.8</v>
      </c>
      <c r="AE9" s="77">
        <f t="shared" ref="AE9:AE72" si="16">X9+Q9</f>
        <v>3470809</v>
      </c>
      <c r="AF9" s="155">
        <v>0.03</v>
      </c>
      <c r="AG9" s="281">
        <v>7172089</v>
      </c>
      <c r="AH9" s="281">
        <v>0</v>
      </c>
      <c r="AI9" s="494">
        <f t="shared" ref="AI9:AI72" si="17">AG9+AH9</f>
        <v>7172089</v>
      </c>
      <c r="AJ9" s="77">
        <v>224247300</v>
      </c>
      <c r="AK9" s="77">
        <f t="shared" si="5"/>
        <v>239069633</v>
      </c>
      <c r="AL9" s="597">
        <f t="shared" ref="AL9:AL72" si="18">(AK9-AJ9)/AJ9</f>
        <v>6.6098155919826013E-2</v>
      </c>
      <c r="AM9" s="600">
        <f t="shared" ref="AM9:AM72" si="19">IF((AK9-AJ9)/AJ9&gt;$AM$5,AJ9*(1+$AM$5),AK9)</f>
        <v>239069633</v>
      </c>
      <c r="AN9" s="129">
        <f t="shared" si="6"/>
        <v>3.0000000041828817E-2</v>
      </c>
      <c r="AO9" s="129">
        <f t="shared" si="7"/>
        <v>0</v>
      </c>
      <c r="AP9" s="77">
        <v>101838</v>
      </c>
      <c r="AQ9" s="77">
        <f t="shared" si="8"/>
        <v>10744736</v>
      </c>
      <c r="AR9" s="77">
        <f>ROUND(AQ9/'Table 3 Levels 1&amp;2'!C10,2)</f>
        <v>2631.58</v>
      </c>
    </row>
    <row r="10" spans="1:44">
      <c r="A10" s="12">
        <v>3</v>
      </c>
      <c r="B10" s="69" t="s">
        <v>97</v>
      </c>
      <c r="C10" s="14">
        <v>1071508950</v>
      </c>
      <c r="D10" s="14">
        <v>196396390</v>
      </c>
      <c r="E10" s="14">
        <f t="shared" si="9"/>
        <v>875112560</v>
      </c>
      <c r="F10" s="14">
        <v>813576870</v>
      </c>
      <c r="G10" s="590">
        <f t="shared" si="10"/>
        <v>7.5635987537354649E-2</v>
      </c>
      <c r="H10" s="591">
        <f t="shared" si="1"/>
        <v>875112560</v>
      </c>
      <c r="I10" s="499">
        <v>3.61</v>
      </c>
      <c r="J10" s="484">
        <v>2491518</v>
      </c>
      <c r="K10" s="499">
        <v>42.9</v>
      </c>
      <c r="L10" s="484">
        <v>36713985</v>
      </c>
      <c r="M10" s="483">
        <v>0</v>
      </c>
      <c r="N10" s="483">
        <v>0</v>
      </c>
      <c r="O10" s="483">
        <v>0</v>
      </c>
      <c r="P10" s="484">
        <v>0</v>
      </c>
      <c r="Q10" s="14">
        <f t="shared" si="11"/>
        <v>39205503</v>
      </c>
      <c r="R10" s="483">
        <v>15.08</v>
      </c>
      <c r="S10" s="484">
        <v>14656576</v>
      </c>
      <c r="T10" s="483">
        <v>0</v>
      </c>
      <c r="U10" s="483">
        <v>0</v>
      </c>
      <c r="V10" s="483">
        <v>0</v>
      </c>
      <c r="W10" s="484">
        <v>0</v>
      </c>
      <c r="X10" s="14">
        <f t="shared" si="12"/>
        <v>14656576</v>
      </c>
      <c r="Y10" s="145">
        <f t="shared" si="13"/>
        <v>61.589999999999996</v>
      </c>
      <c r="Z10" s="14">
        <f t="shared" si="14"/>
        <v>53862079</v>
      </c>
      <c r="AA10" s="14">
        <f t="shared" si="15"/>
        <v>0</v>
      </c>
      <c r="AB10" s="146">
        <f t="shared" si="2"/>
        <v>16.75</v>
      </c>
      <c r="AC10" s="147">
        <f t="shared" si="3"/>
        <v>44.8</v>
      </c>
      <c r="AD10" s="127">
        <f t="shared" si="4"/>
        <v>61.55</v>
      </c>
      <c r="AE10" s="77">
        <f t="shared" si="16"/>
        <v>53862079</v>
      </c>
      <c r="AF10" s="155">
        <v>0.02</v>
      </c>
      <c r="AG10" s="281">
        <v>49823946</v>
      </c>
      <c r="AH10" s="281">
        <v>0</v>
      </c>
      <c r="AI10" s="494">
        <f t="shared" si="17"/>
        <v>49823946</v>
      </c>
      <c r="AJ10" s="77">
        <v>2191462900</v>
      </c>
      <c r="AK10" s="77">
        <f t="shared" si="5"/>
        <v>2491197300</v>
      </c>
      <c r="AL10" s="597">
        <f t="shared" si="18"/>
        <v>0.13677365927572854</v>
      </c>
      <c r="AM10" s="600">
        <f t="shared" si="19"/>
        <v>2491197300</v>
      </c>
      <c r="AN10" s="129">
        <f t="shared" si="6"/>
        <v>0.02</v>
      </c>
      <c r="AO10" s="129">
        <f t="shared" si="7"/>
        <v>0</v>
      </c>
      <c r="AP10" s="77">
        <v>197634</v>
      </c>
      <c r="AQ10" s="77">
        <f t="shared" si="8"/>
        <v>103883659</v>
      </c>
      <c r="AR10" s="77">
        <f>ROUND(AQ10/'Table 3 Levels 1&amp;2'!C11,2)</f>
        <v>5020.96</v>
      </c>
    </row>
    <row r="11" spans="1:44">
      <c r="A11" s="12">
        <v>4</v>
      </c>
      <c r="B11" s="69" t="s">
        <v>98</v>
      </c>
      <c r="C11" s="14">
        <v>175788630</v>
      </c>
      <c r="D11" s="14">
        <v>35540831</v>
      </c>
      <c r="E11" s="14">
        <f t="shared" si="9"/>
        <v>140247799</v>
      </c>
      <c r="F11" s="14">
        <v>134415214</v>
      </c>
      <c r="G11" s="590">
        <f t="shared" si="10"/>
        <v>4.3392297839141926E-2</v>
      </c>
      <c r="H11" s="591">
        <f t="shared" si="1"/>
        <v>140247799</v>
      </c>
      <c r="I11" s="499">
        <v>5.49</v>
      </c>
      <c r="J11" s="484">
        <v>763421</v>
      </c>
      <c r="K11" s="499">
        <v>33.880000000000003</v>
      </c>
      <c r="L11" s="484">
        <v>4711238</v>
      </c>
      <c r="M11" s="483">
        <v>0</v>
      </c>
      <c r="N11" s="483">
        <v>0</v>
      </c>
      <c r="O11" s="483">
        <v>0</v>
      </c>
      <c r="P11" s="484">
        <v>0</v>
      </c>
      <c r="Q11" s="14">
        <f t="shared" si="11"/>
        <v>5474659</v>
      </c>
      <c r="R11" s="483">
        <v>0</v>
      </c>
      <c r="S11" s="484">
        <v>823</v>
      </c>
      <c r="T11" s="483">
        <v>0</v>
      </c>
      <c r="U11" s="483">
        <v>0</v>
      </c>
      <c r="V11" s="483">
        <v>0</v>
      </c>
      <c r="W11" s="484">
        <v>0</v>
      </c>
      <c r="X11" s="14">
        <f t="shared" si="12"/>
        <v>823</v>
      </c>
      <c r="Y11" s="145">
        <f t="shared" si="13"/>
        <v>39.370000000000005</v>
      </c>
      <c r="Z11" s="14">
        <f t="shared" si="14"/>
        <v>5475482</v>
      </c>
      <c r="AA11" s="14">
        <f t="shared" si="15"/>
        <v>0</v>
      </c>
      <c r="AB11" s="146">
        <f t="shared" si="2"/>
        <v>0.01</v>
      </c>
      <c r="AC11" s="147">
        <f t="shared" si="3"/>
        <v>39.04</v>
      </c>
      <c r="AD11" s="127">
        <f t="shared" si="4"/>
        <v>39.04</v>
      </c>
      <c r="AE11" s="77">
        <f t="shared" si="16"/>
        <v>5475482</v>
      </c>
      <c r="AF11" s="155">
        <v>0.03</v>
      </c>
      <c r="AG11" s="281">
        <v>6784459</v>
      </c>
      <c r="AH11" s="281">
        <v>0</v>
      </c>
      <c r="AI11" s="494">
        <f t="shared" si="17"/>
        <v>6784459</v>
      </c>
      <c r="AJ11" s="77">
        <v>209023300</v>
      </c>
      <c r="AK11" s="77">
        <f t="shared" si="5"/>
        <v>226148633</v>
      </c>
      <c r="AL11" s="155">
        <f t="shared" si="18"/>
        <v>8.1930258492713487E-2</v>
      </c>
      <c r="AM11" s="77">
        <f t="shared" si="19"/>
        <v>226148633</v>
      </c>
      <c r="AN11" s="129">
        <f t="shared" si="6"/>
        <v>3.0000000044218707E-2</v>
      </c>
      <c r="AO11" s="129">
        <f t="shared" si="7"/>
        <v>0</v>
      </c>
      <c r="AP11" s="77">
        <v>153274</v>
      </c>
      <c r="AQ11" s="77">
        <f t="shared" si="8"/>
        <v>12413215</v>
      </c>
      <c r="AR11" s="77">
        <f>ROUND(AQ11/'Table 3 Levels 1&amp;2'!C12,2)</f>
        <v>3482.94</v>
      </c>
    </row>
    <row r="12" spans="1:44">
      <c r="A12" s="18">
        <v>5</v>
      </c>
      <c r="B12" s="70" t="s">
        <v>99</v>
      </c>
      <c r="C12" s="20">
        <v>158764194</v>
      </c>
      <c r="D12" s="20">
        <v>57903414</v>
      </c>
      <c r="E12" s="20">
        <f t="shared" si="9"/>
        <v>100860780</v>
      </c>
      <c r="F12" s="20">
        <v>98562757</v>
      </c>
      <c r="G12" s="761">
        <f t="shared" si="10"/>
        <v>2.3315327918434749E-2</v>
      </c>
      <c r="H12" s="762">
        <f t="shared" si="1"/>
        <v>100860780</v>
      </c>
      <c r="I12" s="500">
        <v>3.62</v>
      </c>
      <c r="J12" s="486">
        <v>379209</v>
      </c>
      <c r="K12" s="500">
        <v>10</v>
      </c>
      <c r="L12" s="486">
        <v>1047518</v>
      </c>
      <c r="M12" s="485">
        <v>0</v>
      </c>
      <c r="N12" s="485">
        <v>0</v>
      </c>
      <c r="O12" s="485">
        <v>0</v>
      </c>
      <c r="P12" s="486">
        <v>0</v>
      </c>
      <c r="Q12" s="20">
        <f t="shared" si="11"/>
        <v>1426727</v>
      </c>
      <c r="R12" s="485">
        <v>0</v>
      </c>
      <c r="S12" s="486">
        <v>0</v>
      </c>
      <c r="T12" s="485">
        <v>0</v>
      </c>
      <c r="U12" s="485">
        <v>0</v>
      </c>
      <c r="V12" s="485">
        <v>1</v>
      </c>
      <c r="W12" s="486">
        <v>193</v>
      </c>
      <c r="X12" s="20">
        <f t="shared" si="12"/>
        <v>193</v>
      </c>
      <c r="Y12" s="148">
        <f t="shared" si="13"/>
        <v>13.620000000000001</v>
      </c>
      <c r="Z12" s="20">
        <f t="shared" si="14"/>
        <v>1426727</v>
      </c>
      <c r="AA12" s="20">
        <f t="shared" si="15"/>
        <v>193</v>
      </c>
      <c r="AB12" s="149">
        <f t="shared" si="2"/>
        <v>0</v>
      </c>
      <c r="AC12" s="150">
        <f t="shared" si="3"/>
        <v>14.15</v>
      </c>
      <c r="AD12" s="128">
        <f t="shared" si="4"/>
        <v>14.15</v>
      </c>
      <c r="AE12" s="78">
        <f t="shared" si="16"/>
        <v>1426920</v>
      </c>
      <c r="AF12" s="156">
        <v>1.6299999999999999E-2</v>
      </c>
      <c r="AG12" s="282">
        <v>7262732</v>
      </c>
      <c r="AH12" s="282">
        <v>0</v>
      </c>
      <c r="AI12" s="495">
        <f t="shared" si="17"/>
        <v>7262732</v>
      </c>
      <c r="AJ12" s="78">
        <v>400714933</v>
      </c>
      <c r="AK12" s="78">
        <f t="shared" si="5"/>
        <v>445566380</v>
      </c>
      <c r="AL12" s="598">
        <f t="shared" si="18"/>
        <v>0.11192856393999172</v>
      </c>
      <c r="AM12" s="601">
        <f t="shared" si="19"/>
        <v>445566380</v>
      </c>
      <c r="AN12" s="130">
        <f t="shared" si="6"/>
        <v>1.6300000013466008E-2</v>
      </c>
      <c r="AO12" s="130">
        <f t="shared" si="7"/>
        <v>0</v>
      </c>
      <c r="AP12" s="78">
        <v>221441.5</v>
      </c>
      <c r="AQ12" s="78">
        <f t="shared" si="8"/>
        <v>8911093.5</v>
      </c>
      <c r="AR12" s="78">
        <f>ROUND(AQ12/'Table 3 Levels 1&amp;2'!C13,2)</f>
        <v>1381.35</v>
      </c>
    </row>
    <row r="13" spans="1:44">
      <c r="A13" s="12">
        <v>6</v>
      </c>
      <c r="B13" s="69" t="s">
        <v>100</v>
      </c>
      <c r="C13" s="14">
        <v>256836558</v>
      </c>
      <c r="D13" s="14">
        <v>51184070</v>
      </c>
      <c r="E13" s="14">
        <f t="shared" si="9"/>
        <v>205652488</v>
      </c>
      <c r="F13" s="14">
        <v>194386918</v>
      </c>
      <c r="G13" s="590">
        <f t="shared" si="10"/>
        <v>5.795436295769657E-2</v>
      </c>
      <c r="H13" s="591">
        <f t="shared" si="1"/>
        <v>205652488</v>
      </c>
      <c r="I13" s="499">
        <v>4.5</v>
      </c>
      <c r="J13" s="484">
        <v>978302</v>
      </c>
      <c r="K13" s="499">
        <v>28.02</v>
      </c>
      <c r="L13" s="484">
        <v>6097923</v>
      </c>
      <c r="M13" s="483">
        <v>0</v>
      </c>
      <c r="N13" s="483">
        <v>0</v>
      </c>
      <c r="O13" s="483">
        <v>0</v>
      </c>
      <c r="P13" s="484">
        <v>0</v>
      </c>
      <c r="Q13" s="14">
        <f t="shared" si="11"/>
        <v>7076225</v>
      </c>
      <c r="R13" s="483">
        <v>17.8</v>
      </c>
      <c r="S13" s="484">
        <v>3659176</v>
      </c>
      <c r="T13" s="483">
        <v>0</v>
      </c>
      <c r="U13" s="483">
        <v>0</v>
      </c>
      <c r="V13" s="483">
        <v>0</v>
      </c>
      <c r="W13" s="484">
        <v>0</v>
      </c>
      <c r="X13" s="14">
        <f t="shared" si="12"/>
        <v>3659176</v>
      </c>
      <c r="Y13" s="145">
        <f t="shared" si="13"/>
        <v>50.319999999999993</v>
      </c>
      <c r="Z13" s="14">
        <f t="shared" si="14"/>
        <v>10735401</v>
      </c>
      <c r="AA13" s="14">
        <f t="shared" si="15"/>
        <v>0</v>
      </c>
      <c r="AB13" s="146">
        <f t="shared" si="2"/>
        <v>17.79</v>
      </c>
      <c r="AC13" s="147">
        <f t="shared" si="3"/>
        <v>34.409999999999997</v>
      </c>
      <c r="AD13" s="127">
        <f t="shared" si="4"/>
        <v>52.2</v>
      </c>
      <c r="AE13" s="77">
        <f t="shared" si="16"/>
        <v>10735401</v>
      </c>
      <c r="AF13" s="155">
        <v>0.02</v>
      </c>
      <c r="AG13" s="281">
        <v>11237688</v>
      </c>
      <c r="AH13" s="281">
        <v>0</v>
      </c>
      <c r="AI13" s="494">
        <f t="shared" si="17"/>
        <v>11237688</v>
      </c>
      <c r="AJ13" s="77">
        <v>434126050</v>
      </c>
      <c r="AK13" s="77">
        <f t="shared" si="5"/>
        <v>561884400</v>
      </c>
      <c r="AL13" s="599">
        <f t="shared" si="18"/>
        <v>0.29428860580930355</v>
      </c>
      <c r="AM13" s="602">
        <f t="shared" si="19"/>
        <v>499244957.49999994</v>
      </c>
      <c r="AN13" s="129">
        <f t="shared" si="6"/>
        <v>0.02</v>
      </c>
      <c r="AO13" s="129">
        <f t="shared" si="7"/>
        <v>0</v>
      </c>
      <c r="AP13" s="77">
        <v>326455.5</v>
      </c>
      <c r="AQ13" s="77">
        <f t="shared" si="8"/>
        <v>22299544.5</v>
      </c>
      <c r="AR13" s="77">
        <f>ROUND(AQ13/'Table 3 Levels 1&amp;2'!C14,2)</f>
        <v>3677.37</v>
      </c>
    </row>
    <row r="14" spans="1:44">
      <c r="A14" s="12">
        <v>7</v>
      </c>
      <c r="B14" s="69" t="s">
        <v>101</v>
      </c>
      <c r="C14" s="14">
        <v>378467040</v>
      </c>
      <c r="D14" s="14">
        <v>15722613</v>
      </c>
      <c r="E14" s="14">
        <f t="shared" si="9"/>
        <v>362744427</v>
      </c>
      <c r="F14" s="14">
        <v>299529157</v>
      </c>
      <c r="G14" s="592">
        <f t="shared" si="10"/>
        <v>0.21104880283824923</v>
      </c>
      <c r="H14" s="593">
        <f t="shared" si="1"/>
        <v>329482072.70000005</v>
      </c>
      <c r="I14" s="499">
        <v>5.74</v>
      </c>
      <c r="J14" s="484">
        <v>2069010</v>
      </c>
      <c r="K14" s="499">
        <v>47.05</v>
      </c>
      <c r="L14" s="484">
        <v>16959397</v>
      </c>
      <c r="M14" s="483">
        <v>0</v>
      </c>
      <c r="N14" s="483">
        <v>0</v>
      </c>
      <c r="O14" s="483">
        <v>0</v>
      </c>
      <c r="P14" s="484">
        <v>0</v>
      </c>
      <c r="Q14" s="14">
        <f t="shared" si="11"/>
        <v>19028407</v>
      </c>
      <c r="R14" s="483">
        <v>0</v>
      </c>
      <c r="S14" s="484">
        <v>0</v>
      </c>
      <c r="T14" s="483">
        <v>4.5999999999999996</v>
      </c>
      <c r="U14" s="483">
        <v>70</v>
      </c>
      <c r="V14" s="483">
        <v>7</v>
      </c>
      <c r="W14" s="484">
        <v>1612683</v>
      </c>
      <c r="X14" s="14">
        <f t="shared" si="12"/>
        <v>1612683</v>
      </c>
      <c r="Y14" s="145">
        <f t="shared" si="13"/>
        <v>52.79</v>
      </c>
      <c r="Z14" s="14">
        <f t="shared" si="14"/>
        <v>19028407</v>
      </c>
      <c r="AA14" s="14">
        <f t="shared" si="15"/>
        <v>1612683</v>
      </c>
      <c r="AB14" s="146">
        <f t="shared" si="2"/>
        <v>4.45</v>
      </c>
      <c r="AC14" s="147">
        <f t="shared" si="3"/>
        <v>52.46</v>
      </c>
      <c r="AD14" s="127">
        <f t="shared" si="4"/>
        <v>56.9</v>
      </c>
      <c r="AE14" s="77">
        <f t="shared" si="16"/>
        <v>20641090</v>
      </c>
      <c r="AF14" s="155">
        <v>0.02</v>
      </c>
      <c r="AG14" s="281">
        <v>7821796</v>
      </c>
      <c r="AH14" s="281">
        <v>0</v>
      </c>
      <c r="AI14" s="494">
        <f t="shared" si="17"/>
        <v>7821796</v>
      </c>
      <c r="AJ14" s="77">
        <v>572251700</v>
      </c>
      <c r="AK14" s="77">
        <f t="shared" si="5"/>
        <v>391089800</v>
      </c>
      <c r="AL14" s="597">
        <f t="shared" si="18"/>
        <v>-0.31657730330901596</v>
      </c>
      <c r="AM14" s="600">
        <f t="shared" si="19"/>
        <v>391089800</v>
      </c>
      <c r="AN14" s="129">
        <f t="shared" si="6"/>
        <v>0.02</v>
      </c>
      <c r="AO14" s="129">
        <f t="shared" si="7"/>
        <v>0</v>
      </c>
      <c r="AP14" s="77">
        <v>227363.5</v>
      </c>
      <c r="AQ14" s="77">
        <f t="shared" si="8"/>
        <v>28690249.5</v>
      </c>
      <c r="AR14" s="77">
        <f>ROUND(AQ14/'Table 3 Levels 1&amp;2'!C15,2)</f>
        <v>12976.14</v>
      </c>
    </row>
    <row r="15" spans="1:44">
      <c r="A15" s="12">
        <v>8</v>
      </c>
      <c r="B15" s="69" t="s">
        <v>102</v>
      </c>
      <c r="C15" s="14">
        <v>1064263600</v>
      </c>
      <c r="D15" s="14">
        <v>181740944</v>
      </c>
      <c r="E15" s="14">
        <f t="shared" si="9"/>
        <v>882522656</v>
      </c>
      <c r="F15" s="14">
        <v>859428608</v>
      </c>
      <c r="G15" s="590">
        <f t="shared" si="10"/>
        <v>2.6871397792706479E-2</v>
      </c>
      <c r="H15" s="591">
        <f t="shared" si="1"/>
        <v>882522656</v>
      </c>
      <c r="I15" s="499">
        <v>3.27</v>
      </c>
      <c r="J15" s="484">
        <v>2854393</v>
      </c>
      <c r="K15" s="499">
        <v>35.44</v>
      </c>
      <c r="L15" s="484">
        <v>30935683</v>
      </c>
      <c r="M15" s="483">
        <v>0</v>
      </c>
      <c r="N15" s="483">
        <v>0</v>
      </c>
      <c r="O15" s="483">
        <v>0</v>
      </c>
      <c r="P15" s="484">
        <v>0</v>
      </c>
      <c r="Q15" s="14">
        <f t="shared" si="11"/>
        <v>33790076</v>
      </c>
      <c r="R15" s="483">
        <v>0</v>
      </c>
      <c r="S15" s="484">
        <v>0</v>
      </c>
      <c r="T15" s="483">
        <v>13.55</v>
      </c>
      <c r="U15" s="483">
        <v>13.55</v>
      </c>
      <c r="V15" s="483">
        <v>1</v>
      </c>
      <c r="W15" s="484">
        <v>11859354</v>
      </c>
      <c r="X15" s="14">
        <f t="shared" si="12"/>
        <v>11859354</v>
      </c>
      <c r="Y15" s="145">
        <f t="shared" si="13"/>
        <v>38.71</v>
      </c>
      <c r="Z15" s="14">
        <f t="shared" si="14"/>
        <v>33790076</v>
      </c>
      <c r="AA15" s="14">
        <f t="shared" si="15"/>
        <v>11859354</v>
      </c>
      <c r="AB15" s="146">
        <f t="shared" si="2"/>
        <v>13.44</v>
      </c>
      <c r="AC15" s="147">
        <f t="shared" si="3"/>
        <v>38.29</v>
      </c>
      <c r="AD15" s="127">
        <f t="shared" si="4"/>
        <v>51.73</v>
      </c>
      <c r="AE15" s="77">
        <f t="shared" si="16"/>
        <v>45649430</v>
      </c>
      <c r="AF15" s="155">
        <v>1.7500000000000002E-2</v>
      </c>
      <c r="AG15" s="281">
        <v>44601904</v>
      </c>
      <c r="AH15" s="281">
        <v>0</v>
      </c>
      <c r="AI15" s="494">
        <f t="shared" si="17"/>
        <v>44601904</v>
      </c>
      <c r="AJ15" s="77">
        <v>2633373714</v>
      </c>
      <c r="AK15" s="77">
        <f t="shared" si="5"/>
        <v>2548680229</v>
      </c>
      <c r="AL15" s="597">
        <f t="shared" si="18"/>
        <v>-3.2161589731733761E-2</v>
      </c>
      <c r="AM15" s="600">
        <f t="shared" si="19"/>
        <v>2548680229</v>
      </c>
      <c r="AN15" s="129">
        <f t="shared" si="6"/>
        <v>1.74999999970573E-2</v>
      </c>
      <c r="AO15" s="129">
        <f t="shared" si="7"/>
        <v>0</v>
      </c>
      <c r="AP15" s="77">
        <v>612181</v>
      </c>
      <c r="AQ15" s="77">
        <f t="shared" si="8"/>
        <v>90863515</v>
      </c>
      <c r="AR15" s="77">
        <f>ROUND(AQ15/'Table 3 Levels 1&amp;2'!C16,2)</f>
        <v>4283.3900000000003</v>
      </c>
    </row>
    <row r="16" spans="1:44">
      <c r="A16" s="12">
        <v>9</v>
      </c>
      <c r="B16" s="69" t="s">
        <v>103</v>
      </c>
      <c r="C16" s="14">
        <v>1881756400</v>
      </c>
      <c r="D16" s="14">
        <v>340067180</v>
      </c>
      <c r="E16" s="14">
        <f t="shared" si="9"/>
        <v>1541689220</v>
      </c>
      <c r="F16" s="14">
        <v>1483115510</v>
      </c>
      <c r="G16" s="590">
        <f t="shared" si="10"/>
        <v>3.9493693920037286E-2</v>
      </c>
      <c r="H16" s="591">
        <f t="shared" si="1"/>
        <v>1541689220</v>
      </c>
      <c r="I16" s="499">
        <v>7.96</v>
      </c>
      <c r="J16" s="484">
        <v>12077196</v>
      </c>
      <c r="K16" s="499">
        <v>62.64</v>
      </c>
      <c r="L16" s="484">
        <v>95039557</v>
      </c>
      <c r="M16" s="483">
        <v>0</v>
      </c>
      <c r="N16" s="483">
        <v>0</v>
      </c>
      <c r="O16" s="483">
        <v>0</v>
      </c>
      <c r="P16" s="484">
        <v>0</v>
      </c>
      <c r="Q16" s="14">
        <f t="shared" si="11"/>
        <v>107116753</v>
      </c>
      <c r="R16" s="483">
        <v>7.6</v>
      </c>
      <c r="S16" s="484">
        <v>11530901</v>
      </c>
      <c r="T16" s="483">
        <v>0</v>
      </c>
      <c r="U16" s="483">
        <v>0</v>
      </c>
      <c r="V16" s="483">
        <v>0</v>
      </c>
      <c r="W16" s="484">
        <v>0</v>
      </c>
      <c r="X16" s="14">
        <f t="shared" si="12"/>
        <v>11530901</v>
      </c>
      <c r="Y16" s="145">
        <f t="shared" si="13"/>
        <v>78.199999999999989</v>
      </c>
      <c r="Z16" s="14">
        <f t="shared" si="14"/>
        <v>118647654</v>
      </c>
      <c r="AA16" s="14">
        <f t="shared" si="15"/>
        <v>0</v>
      </c>
      <c r="AB16" s="146">
        <f t="shared" si="2"/>
        <v>7.48</v>
      </c>
      <c r="AC16" s="147">
        <f t="shared" si="3"/>
        <v>69.48</v>
      </c>
      <c r="AD16" s="127">
        <f t="shared" si="4"/>
        <v>76.959999999999994</v>
      </c>
      <c r="AE16" s="77">
        <f t="shared" si="16"/>
        <v>118647654</v>
      </c>
      <c r="AF16" s="155">
        <v>1.4999999999999999E-2</v>
      </c>
      <c r="AG16" s="281">
        <v>74472829</v>
      </c>
      <c r="AH16" s="281">
        <v>0</v>
      </c>
      <c r="AI16" s="494">
        <f t="shared" si="17"/>
        <v>74472829</v>
      </c>
      <c r="AJ16" s="77">
        <v>5218130067</v>
      </c>
      <c r="AK16" s="77">
        <f t="shared" si="5"/>
        <v>4964855267</v>
      </c>
      <c r="AL16" s="597">
        <f t="shared" si="18"/>
        <v>-4.8537463947427507E-2</v>
      </c>
      <c r="AM16" s="600">
        <f t="shared" si="19"/>
        <v>4964855267</v>
      </c>
      <c r="AN16" s="129">
        <f t="shared" si="6"/>
        <v>1.4999999998992921E-2</v>
      </c>
      <c r="AO16" s="129">
        <f t="shared" si="7"/>
        <v>0</v>
      </c>
      <c r="AP16" s="77">
        <v>2536532</v>
      </c>
      <c r="AQ16" s="77">
        <f t="shared" si="8"/>
        <v>195657015</v>
      </c>
      <c r="AR16" s="77">
        <f>ROUND(AQ16/'Table 3 Levels 1&amp;2'!C17,2)</f>
        <v>4772.24</v>
      </c>
    </row>
    <row r="17" spans="1:44">
      <c r="A17" s="18">
        <v>10</v>
      </c>
      <c r="B17" s="70" t="s">
        <v>104</v>
      </c>
      <c r="C17" s="20">
        <v>1780317660</v>
      </c>
      <c r="D17" s="20">
        <v>273152136</v>
      </c>
      <c r="E17" s="20">
        <f t="shared" si="9"/>
        <v>1507165524</v>
      </c>
      <c r="F17" s="20">
        <v>1478624782</v>
      </c>
      <c r="G17" s="761">
        <f t="shared" si="10"/>
        <v>1.9302220784772429E-2</v>
      </c>
      <c r="H17" s="762">
        <f t="shared" si="1"/>
        <v>1507165524</v>
      </c>
      <c r="I17" s="500">
        <v>5.57</v>
      </c>
      <c r="J17" s="486">
        <v>8357723</v>
      </c>
      <c r="K17" s="500">
        <v>13.15</v>
      </c>
      <c r="L17" s="486">
        <v>19780890</v>
      </c>
      <c r="M17" s="485">
        <v>9.8699999999999992</v>
      </c>
      <c r="N17" s="485">
        <v>9.8699999999999992</v>
      </c>
      <c r="O17" s="485">
        <v>1</v>
      </c>
      <c r="P17" s="486">
        <v>192619</v>
      </c>
      <c r="Q17" s="20">
        <f t="shared" si="11"/>
        <v>28331232</v>
      </c>
      <c r="R17" s="485">
        <v>0</v>
      </c>
      <c r="S17" s="486">
        <v>0</v>
      </c>
      <c r="T17" s="485">
        <v>4</v>
      </c>
      <c r="U17" s="485">
        <v>27</v>
      </c>
      <c r="V17" s="485">
        <v>13</v>
      </c>
      <c r="W17" s="486">
        <v>21199732</v>
      </c>
      <c r="X17" s="20">
        <f t="shared" si="12"/>
        <v>21199732</v>
      </c>
      <c r="Y17" s="148">
        <f t="shared" si="13"/>
        <v>18.72</v>
      </c>
      <c r="Z17" s="20">
        <f t="shared" si="14"/>
        <v>28138613</v>
      </c>
      <c r="AA17" s="20">
        <f t="shared" si="15"/>
        <v>21392351</v>
      </c>
      <c r="AB17" s="149">
        <f t="shared" si="2"/>
        <v>14.07</v>
      </c>
      <c r="AC17" s="150">
        <f t="shared" si="3"/>
        <v>18.8</v>
      </c>
      <c r="AD17" s="128">
        <f t="shared" si="4"/>
        <v>32.86</v>
      </c>
      <c r="AE17" s="78">
        <f t="shared" si="16"/>
        <v>49530964</v>
      </c>
      <c r="AF17" s="156">
        <v>0.02</v>
      </c>
      <c r="AG17" s="282">
        <v>91977507</v>
      </c>
      <c r="AH17" s="282">
        <v>0</v>
      </c>
      <c r="AI17" s="495">
        <f t="shared" si="17"/>
        <v>91977507</v>
      </c>
      <c r="AJ17" s="78">
        <v>4161058500</v>
      </c>
      <c r="AK17" s="78">
        <f t="shared" si="5"/>
        <v>4598875350</v>
      </c>
      <c r="AL17" s="598">
        <f t="shared" si="18"/>
        <v>0.10521766276537568</v>
      </c>
      <c r="AM17" s="601">
        <f t="shared" si="19"/>
        <v>4598875350</v>
      </c>
      <c r="AN17" s="130">
        <f t="shared" si="6"/>
        <v>0.02</v>
      </c>
      <c r="AO17" s="130">
        <f t="shared" si="7"/>
        <v>0</v>
      </c>
      <c r="AP17" s="78">
        <v>1014170</v>
      </c>
      <c r="AQ17" s="78">
        <f t="shared" si="8"/>
        <v>142522641</v>
      </c>
      <c r="AR17" s="78">
        <f>ROUND(AQ17/'Table 3 Levels 1&amp;2'!C18,2)</f>
        <v>4440.79</v>
      </c>
    </row>
    <row r="18" spans="1:44">
      <c r="A18" s="12">
        <v>11</v>
      </c>
      <c r="B18" s="69" t="s">
        <v>105</v>
      </c>
      <c r="C18" s="14">
        <v>64692370</v>
      </c>
      <c r="D18" s="14">
        <v>13707140</v>
      </c>
      <c r="E18" s="14">
        <f t="shared" si="9"/>
        <v>50985230</v>
      </c>
      <c r="F18" s="14">
        <v>43967580</v>
      </c>
      <c r="G18" s="592">
        <f t="shared" si="10"/>
        <v>0.15960964874573494</v>
      </c>
      <c r="H18" s="593">
        <f t="shared" si="1"/>
        <v>48364338.000000007</v>
      </c>
      <c r="I18" s="499">
        <v>5.42</v>
      </c>
      <c r="J18" s="484">
        <v>276602</v>
      </c>
      <c r="K18" s="499">
        <v>32.85</v>
      </c>
      <c r="L18" s="484">
        <v>1659608</v>
      </c>
      <c r="M18" s="483">
        <v>0</v>
      </c>
      <c r="N18" s="483">
        <v>0</v>
      </c>
      <c r="O18" s="483">
        <v>0</v>
      </c>
      <c r="P18" s="484">
        <v>0</v>
      </c>
      <c r="Q18" s="14">
        <f t="shared" si="11"/>
        <v>1936210</v>
      </c>
      <c r="R18" s="483">
        <v>30</v>
      </c>
      <c r="S18" s="484">
        <v>1541413</v>
      </c>
      <c r="T18" s="483">
        <v>0</v>
      </c>
      <c r="U18" s="483">
        <v>0</v>
      </c>
      <c r="V18" s="483">
        <v>0</v>
      </c>
      <c r="W18" s="484">
        <v>0</v>
      </c>
      <c r="X18" s="14">
        <f t="shared" si="12"/>
        <v>1541413</v>
      </c>
      <c r="Y18" s="145">
        <f t="shared" si="13"/>
        <v>68.27000000000001</v>
      </c>
      <c r="Z18" s="14">
        <f t="shared" si="14"/>
        <v>3477623</v>
      </c>
      <c r="AA18" s="14">
        <f t="shared" si="15"/>
        <v>0</v>
      </c>
      <c r="AB18" s="146">
        <f t="shared" si="2"/>
        <v>30.23</v>
      </c>
      <c r="AC18" s="147">
        <f t="shared" si="3"/>
        <v>37.979999999999997</v>
      </c>
      <c r="AD18" s="127">
        <f t="shared" si="4"/>
        <v>68.209999999999994</v>
      </c>
      <c r="AE18" s="77">
        <f t="shared" si="16"/>
        <v>3477623</v>
      </c>
      <c r="AF18" s="155">
        <v>0.02</v>
      </c>
      <c r="AG18" s="281">
        <v>1965585</v>
      </c>
      <c r="AH18" s="281">
        <v>0</v>
      </c>
      <c r="AI18" s="494">
        <f t="shared" si="17"/>
        <v>1965585</v>
      </c>
      <c r="AJ18" s="77">
        <v>110491850</v>
      </c>
      <c r="AK18" s="77">
        <f t="shared" si="5"/>
        <v>98279250</v>
      </c>
      <c r="AL18" s="597">
        <f t="shared" si="18"/>
        <v>-0.11052941913815363</v>
      </c>
      <c r="AM18" s="600">
        <f t="shared" si="19"/>
        <v>98279250</v>
      </c>
      <c r="AN18" s="129">
        <f t="shared" si="6"/>
        <v>0.02</v>
      </c>
      <c r="AO18" s="129">
        <f t="shared" si="7"/>
        <v>0</v>
      </c>
      <c r="AP18" s="77">
        <v>85967.5</v>
      </c>
      <c r="AQ18" s="77">
        <f t="shared" si="8"/>
        <v>5529175.5</v>
      </c>
      <c r="AR18" s="77">
        <f>ROUND(AQ18/'Table 3 Levels 1&amp;2'!C19,2)</f>
        <v>3528.51</v>
      </c>
    </row>
    <row r="19" spans="1:44">
      <c r="A19" s="12">
        <v>12</v>
      </c>
      <c r="B19" s="69" t="s">
        <v>106</v>
      </c>
      <c r="C19" s="14">
        <v>279628799</v>
      </c>
      <c r="D19" s="14">
        <v>11178668</v>
      </c>
      <c r="E19" s="14">
        <f t="shared" si="9"/>
        <v>268450131</v>
      </c>
      <c r="F19" s="14">
        <v>237191774</v>
      </c>
      <c r="G19" s="592">
        <f t="shared" si="10"/>
        <v>0.13178516469125107</v>
      </c>
      <c r="H19" s="593">
        <f t="shared" si="1"/>
        <v>260910951.40000004</v>
      </c>
      <c r="I19" s="499">
        <v>4.4000000000000004</v>
      </c>
      <c r="J19" s="484">
        <v>1257312</v>
      </c>
      <c r="K19" s="499">
        <v>42.49</v>
      </c>
      <c r="L19" s="484">
        <v>12096178</v>
      </c>
      <c r="M19" s="483">
        <v>0</v>
      </c>
      <c r="N19" s="483">
        <v>0</v>
      </c>
      <c r="O19" s="483">
        <v>0</v>
      </c>
      <c r="P19" s="484">
        <v>0</v>
      </c>
      <c r="Q19" s="14">
        <f t="shared" si="11"/>
        <v>13353490</v>
      </c>
      <c r="R19" s="483">
        <v>0</v>
      </c>
      <c r="S19" s="484">
        <v>807947</v>
      </c>
      <c r="T19" s="483">
        <v>2.75</v>
      </c>
      <c r="U19" s="483">
        <v>18</v>
      </c>
      <c r="V19" s="483">
        <v>3</v>
      </c>
      <c r="W19" s="484">
        <v>0</v>
      </c>
      <c r="X19" s="14">
        <f t="shared" si="12"/>
        <v>807947</v>
      </c>
      <c r="Y19" s="145">
        <f t="shared" si="13"/>
        <v>46.89</v>
      </c>
      <c r="Z19" s="14">
        <f t="shared" si="14"/>
        <v>14161437</v>
      </c>
      <c r="AA19" s="14">
        <f t="shared" si="15"/>
        <v>0</v>
      </c>
      <c r="AB19" s="146">
        <f t="shared" si="2"/>
        <v>3.01</v>
      </c>
      <c r="AC19" s="147">
        <f t="shared" si="3"/>
        <v>49.74</v>
      </c>
      <c r="AD19" s="127">
        <f t="shared" si="4"/>
        <v>52.75</v>
      </c>
      <c r="AE19" s="77">
        <f t="shared" si="16"/>
        <v>14161437</v>
      </c>
      <c r="AF19" s="155">
        <v>0</v>
      </c>
      <c r="AG19" s="281">
        <v>0</v>
      </c>
      <c r="AH19" s="281">
        <v>0</v>
      </c>
      <c r="AI19" s="494">
        <f t="shared" si="17"/>
        <v>0</v>
      </c>
      <c r="AJ19" s="77">
        <v>26707332.5</v>
      </c>
      <c r="AK19" s="1396">
        <v>31303034</v>
      </c>
      <c r="AL19" s="599">
        <f t="shared" si="18"/>
        <v>0.17207639512482201</v>
      </c>
      <c r="AM19" s="602">
        <f t="shared" si="19"/>
        <v>30713432.374999996</v>
      </c>
      <c r="AN19" s="129">
        <f t="shared" si="6"/>
        <v>0</v>
      </c>
      <c r="AO19" s="129">
        <f t="shared" si="7"/>
        <v>0</v>
      </c>
      <c r="AP19" s="77">
        <v>647659.5</v>
      </c>
      <c r="AQ19" s="77">
        <f t="shared" si="8"/>
        <v>14809096.5</v>
      </c>
      <c r="AR19" s="77">
        <f>ROUND(AQ19/'Table 3 Levels 1&amp;2'!C20,2)</f>
        <v>12198.6</v>
      </c>
    </row>
    <row r="20" spans="1:44">
      <c r="A20" s="12">
        <v>13</v>
      </c>
      <c r="B20" s="69" t="s">
        <v>107</v>
      </c>
      <c r="C20" s="14">
        <v>50122660</v>
      </c>
      <c r="D20" s="14">
        <v>14802551</v>
      </c>
      <c r="E20" s="14">
        <f t="shared" si="9"/>
        <v>35320109</v>
      </c>
      <c r="F20" s="14">
        <v>35513879</v>
      </c>
      <c r="G20" s="590">
        <f t="shared" si="10"/>
        <v>-5.4561767245982903E-3</v>
      </c>
      <c r="H20" s="591">
        <f t="shared" si="1"/>
        <v>35320109</v>
      </c>
      <c r="I20" s="499">
        <v>4.12</v>
      </c>
      <c r="J20" s="484">
        <f>146594-899</f>
        <v>145695</v>
      </c>
      <c r="K20" s="499">
        <v>13.13</v>
      </c>
      <c r="L20" s="484">
        <v>408250</v>
      </c>
      <c r="M20" s="483">
        <v>4.01</v>
      </c>
      <c r="N20" s="483">
        <v>5.18</v>
      </c>
      <c r="O20" s="483">
        <v>4</v>
      </c>
      <c r="P20" s="484">
        <f>202563+899</f>
        <v>203462</v>
      </c>
      <c r="Q20" s="14">
        <f t="shared" si="11"/>
        <v>757407</v>
      </c>
      <c r="R20" s="483">
        <v>0</v>
      </c>
      <c r="S20" s="484">
        <v>0</v>
      </c>
      <c r="T20" s="483">
        <v>19.7</v>
      </c>
      <c r="U20" s="483">
        <v>25</v>
      </c>
      <c r="V20" s="483">
        <v>2</v>
      </c>
      <c r="W20" s="484">
        <v>198304</v>
      </c>
      <c r="X20" s="14">
        <f t="shared" si="12"/>
        <v>198304</v>
      </c>
      <c r="Y20" s="145">
        <f t="shared" si="13"/>
        <v>17.25</v>
      </c>
      <c r="Z20" s="14">
        <f t="shared" si="14"/>
        <v>553945</v>
      </c>
      <c r="AA20" s="14">
        <f t="shared" si="15"/>
        <v>401766</v>
      </c>
      <c r="AB20" s="146">
        <f t="shared" si="2"/>
        <v>5.61</v>
      </c>
      <c r="AC20" s="147">
        <f t="shared" si="3"/>
        <v>21.44</v>
      </c>
      <c r="AD20" s="127">
        <f t="shared" si="4"/>
        <v>27.06</v>
      </c>
      <c r="AE20" s="77">
        <f t="shared" si="16"/>
        <v>955711</v>
      </c>
      <c r="AF20" s="155">
        <v>0.03</v>
      </c>
      <c r="AG20" s="281">
        <v>2772041</v>
      </c>
      <c r="AH20" s="281">
        <v>0</v>
      </c>
      <c r="AI20" s="494">
        <f t="shared" si="17"/>
        <v>2772041</v>
      </c>
      <c r="AJ20" s="77">
        <v>90056500</v>
      </c>
      <c r="AK20" s="77">
        <f t="shared" ref="AK20:AK51" si="20">ROUND(AI20/AF20,0)</f>
        <v>92401367</v>
      </c>
      <c r="AL20" s="597">
        <f t="shared" si="18"/>
        <v>2.6037731868327106E-2</v>
      </c>
      <c r="AM20" s="600">
        <f t="shared" si="19"/>
        <v>92401367</v>
      </c>
      <c r="AN20" s="129">
        <f t="shared" si="6"/>
        <v>2.9999999891776492E-2</v>
      </c>
      <c r="AO20" s="129">
        <f t="shared" si="7"/>
        <v>0</v>
      </c>
      <c r="AP20" s="77">
        <v>107042.5</v>
      </c>
      <c r="AQ20" s="77">
        <f t="shared" si="8"/>
        <v>3834794.5</v>
      </c>
      <c r="AR20" s="77">
        <f>ROUND(AQ20/'Table 3 Levels 1&amp;2'!C21,2)</f>
        <v>2526.2199999999998</v>
      </c>
    </row>
    <row r="21" spans="1:44">
      <c r="A21" s="12">
        <v>14</v>
      </c>
      <c r="B21" s="69" t="s">
        <v>108</v>
      </c>
      <c r="C21" s="14">
        <v>159949403</v>
      </c>
      <c r="D21" s="14">
        <v>19797469</v>
      </c>
      <c r="E21" s="14">
        <f t="shared" si="9"/>
        <v>140151934</v>
      </c>
      <c r="F21" s="14">
        <v>136823013</v>
      </c>
      <c r="G21" s="590">
        <f t="shared" si="10"/>
        <v>2.4330124933003777E-2</v>
      </c>
      <c r="H21" s="591">
        <f t="shared" si="1"/>
        <v>140151934</v>
      </c>
      <c r="I21" s="499">
        <v>5.16</v>
      </c>
      <c r="J21" s="484">
        <v>723126</v>
      </c>
      <c r="K21" s="499">
        <v>10.039999999999999</v>
      </c>
      <c r="L21" s="484">
        <v>1407012</v>
      </c>
      <c r="M21" s="483">
        <v>3.16</v>
      </c>
      <c r="N21" s="483">
        <v>11.96</v>
      </c>
      <c r="O21" s="483">
        <v>4</v>
      </c>
      <c r="P21" s="484">
        <v>626576</v>
      </c>
      <c r="Q21" s="14">
        <f t="shared" si="11"/>
        <v>2756714</v>
      </c>
      <c r="R21" s="483">
        <v>0</v>
      </c>
      <c r="S21" s="484">
        <v>0</v>
      </c>
      <c r="T21" s="483">
        <v>13</v>
      </c>
      <c r="U21" s="483">
        <v>16.5</v>
      </c>
      <c r="V21" s="483">
        <v>2</v>
      </c>
      <c r="W21" s="484">
        <v>1098644</v>
      </c>
      <c r="X21" s="14">
        <f t="shared" si="12"/>
        <v>1098644</v>
      </c>
      <c r="Y21" s="145">
        <f t="shared" si="13"/>
        <v>15.2</v>
      </c>
      <c r="Z21" s="14">
        <f t="shared" si="14"/>
        <v>2130138</v>
      </c>
      <c r="AA21" s="14">
        <f t="shared" si="15"/>
        <v>1725220</v>
      </c>
      <c r="AB21" s="146">
        <f t="shared" si="2"/>
        <v>7.84</v>
      </c>
      <c r="AC21" s="147">
        <f t="shared" si="3"/>
        <v>19.670000000000002</v>
      </c>
      <c r="AD21" s="127">
        <f t="shared" si="4"/>
        <v>27.51</v>
      </c>
      <c r="AE21" s="77">
        <f t="shared" si="16"/>
        <v>3855358</v>
      </c>
      <c r="AF21" s="155">
        <v>0.02</v>
      </c>
      <c r="AG21" s="281">
        <v>3549236</v>
      </c>
      <c r="AH21" s="281">
        <v>0</v>
      </c>
      <c r="AI21" s="494">
        <f t="shared" si="17"/>
        <v>3549236</v>
      </c>
      <c r="AJ21" s="77">
        <v>141284300</v>
      </c>
      <c r="AK21" s="77">
        <f t="shared" si="20"/>
        <v>177461800</v>
      </c>
      <c r="AL21" s="599">
        <f t="shared" si="18"/>
        <v>0.25606171386346538</v>
      </c>
      <c r="AM21" s="602">
        <f t="shared" si="19"/>
        <v>162476945</v>
      </c>
      <c r="AN21" s="129">
        <f t="shared" si="6"/>
        <v>0.02</v>
      </c>
      <c r="AO21" s="129">
        <f t="shared" si="7"/>
        <v>0</v>
      </c>
      <c r="AP21" s="77">
        <v>165584</v>
      </c>
      <c r="AQ21" s="77">
        <f t="shared" si="8"/>
        <v>7570178</v>
      </c>
      <c r="AR21" s="77">
        <f>ROUND(AQ21/'Table 3 Levels 1&amp;2'!C22,2)</f>
        <v>4046.06</v>
      </c>
    </row>
    <row r="22" spans="1:44">
      <c r="A22" s="18">
        <v>15</v>
      </c>
      <c r="B22" s="70" t="s">
        <v>109</v>
      </c>
      <c r="C22" s="20">
        <v>160375500</v>
      </c>
      <c r="D22" s="20">
        <v>28357690</v>
      </c>
      <c r="E22" s="20">
        <f t="shared" si="9"/>
        <v>132017810</v>
      </c>
      <c r="F22" s="20">
        <v>129931580</v>
      </c>
      <c r="G22" s="761">
        <f t="shared" si="10"/>
        <v>1.605637366989611E-2</v>
      </c>
      <c r="H22" s="762">
        <f t="shared" si="1"/>
        <v>132017810</v>
      </c>
      <c r="I22" s="500">
        <v>2.84</v>
      </c>
      <c r="J22" s="486">
        <v>378678</v>
      </c>
      <c r="K22" s="500">
        <v>35.08</v>
      </c>
      <c r="L22" s="486">
        <v>4678605</v>
      </c>
      <c r="M22" s="485">
        <v>0</v>
      </c>
      <c r="N22" s="485">
        <v>0</v>
      </c>
      <c r="O22" s="485">
        <v>0</v>
      </c>
      <c r="P22" s="486">
        <v>0</v>
      </c>
      <c r="Q22" s="20">
        <f t="shared" si="11"/>
        <v>5057283</v>
      </c>
      <c r="R22" s="485">
        <v>0</v>
      </c>
      <c r="S22" s="486">
        <v>0</v>
      </c>
      <c r="T22" s="485">
        <v>0</v>
      </c>
      <c r="U22" s="485">
        <v>0</v>
      </c>
      <c r="V22" s="485">
        <v>0</v>
      </c>
      <c r="W22" s="486"/>
      <c r="X22" s="20">
        <f t="shared" si="12"/>
        <v>0</v>
      </c>
      <c r="Y22" s="148">
        <f t="shared" si="13"/>
        <v>37.92</v>
      </c>
      <c r="Z22" s="20">
        <f t="shared" si="14"/>
        <v>5057283</v>
      </c>
      <c r="AA22" s="20">
        <f t="shared" si="15"/>
        <v>0</v>
      </c>
      <c r="AB22" s="149">
        <f t="shared" si="2"/>
        <v>0</v>
      </c>
      <c r="AC22" s="150">
        <f t="shared" si="3"/>
        <v>38.31</v>
      </c>
      <c r="AD22" s="128">
        <f t="shared" si="4"/>
        <v>38.31</v>
      </c>
      <c r="AE22" s="78">
        <f t="shared" si="16"/>
        <v>5057283</v>
      </c>
      <c r="AF22" s="156">
        <v>0.02</v>
      </c>
      <c r="AG22" s="282">
        <v>4977915</v>
      </c>
      <c r="AH22" s="282">
        <v>0</v>
      </c>
      <c r="AI22" s="495">
        <f t="shared" si="17"/>
        <v>4977915</v>
      </c>
      <c r="AJ22" s="78">
        <v>229830000</v>
      </c>
      <c r="AK22" s="78">
        <f t="shared" si="20"/>
        <v>248895750</v>
      </c>
      <c r="AL22" s="598">
        <f t="shared" si="18"/>
        <v>8.2955880433363785E-2</v>
      </c>
      <c r="AM22" s="601">
        <f t="shared" si="19"/>
        <v>248895750</v>
      </c>
      <c r="AN22" s="130">
        <f t="shared" si="6"/>
        <v>0.02</v>
      </c>
      <c r="AO22" s="130">
        <f t="shared" si="7"/>
        <v>0</v>
      </c>
      <c r="AP22" s="78">
        <v>163134</v>
      </c>
      <c r="AQ22" s="78">
        <f t="shared" si="8"/>
        <v>10198332</v>
      </c>
      <c r="AR22" s="78">
        <f>ROUND(AQ22/'Table 3 Levels 1&amp;2'!C23,2)</f>
        <v>2811.01</v>
      </c>
    </row>
    <row r="23" spans="1:44">
      <c r="A23" s="12">
        <v>16</v>
      </c>
      <c r="B23" s="69" t="s">
        <v>110</v>
      </c>
      <c r="C23" s="14">
        <v>635089965</v>
      </c>
      <c r="D23" s="14">
        <v>39328962</v>
      </c>
      <c r="E23" s="14">
        <f t="shared" si="9"/>
        <v>595761003</v>
      </c>
      <c r="F23" s="14">
        <v>432685952</v>
      </c>
      <c r="G23" s="592">
        <f t="shared" si="10"/>
        <v>0.37689009834088627</v>
      </c>
      <c r="H23" s="593">
        <f t="shared" si="1"/>
        <v>475954547.20000005</v>
      </c>
      <c r="I23" s="499">
        <v>4.5599999999999996</v>
      </c>
      <c r="J23" s="484">
        <v>2713496</v>
      </c>
      <c r="K23" s="499">
        <v>39</v>
      </c>
      <c r="L23" s="484">
        <v>23211568</v>
      </c>
      <c r="M23" s="483">
        <v>0</v>
      </c>
      <c r="N23" s="483">
        <v>0</v>
      </c>
      <c r="O23" s="483">
        <v>0</v>
      </c>
      <c r="P23" s="484">
        <v>0</v>
      </c>
      <c r="Q23" s="14">
        <f t="shared" si="11"/>
        <v>25925064</v>
      </c>
      <c r="R23" s="483">
        <v>0</v>
      </c>
      <c r="S23" s="484">
        <v>0</v>
      </c>
      <c r="T23" s="483">
        <v>0</v>
      </c>
      <c r="U23" s="483">
        <v>3</v>
      </c>
      <c r="V23" s="483">
        <v>5</v>
      </c>
      <c r="W23" s="484">
        <v>1240864</v>
      </c>
      <c r="X23" s="14">
        <f t="shared" si="12"/>
        <v>1240864</v>
      </c>
      <c r="Y23" s="145">
        <f t="shared" si="13"/>
        <v>43.56</v>
      </c>
      <c r="Z23" s="14">
        <f t="shared" si="14"/>
        <v>25925064</v>
      </c>
      <c r="AA23" s="14">
        <f t="shared" si="15"/>
        <v>1240864</v>
      </c>
      <c r="AB23" s="146">
        <f t="shared" si="2"/>
        <v>2.08</v>
      </c>
      <c r="AC23" s="147">
        <f t="shared" si="3"/>
        <v>43.52</v>
      </c>
      <c r="AD23" s="127">
        <f t="shared" si="4"/>
        <v>45.6</v>
      </c>
      <c r="AE23" s="77">
        <f t="shared" si="16"/>
        <v>27165928</v>
      </c>
      <c r="AF23" s="155">
        <v>2.5000000000000001E-2</v>
      </c>
      <c r="AG23" s="281">
        <v>46429788</v>
      </c>
      <c r="AH23" s="281">
        <v>1729397</v>
      </c>
      <c r="AI23" s="494">
        <f t="shared" si="17"/>
        <v>48159185</v>
      </c>
      <c r="AJ23" s="77">
        <v>2923471120</v>
      </c>
      <c r="AK23" s="77">
        <f t="shared" si="20"/>
        <v>1926367400</v>
      </c>
      <c r="AL23" s="155">
        <f t="shared" si="18"/>
        <v>-0.34106843511421453</v>
      </c>
      <c r="AM23" s="77">
        <f t="shared" si="19"/>
        <v>1926367400</v>
      </c>
      <c r="AN23" s="129">
        <f t="shared" si="6"/>
        <v>2.4102249653934135E-2</v>
      </c>
      <c r="AO23" s="129">
        <f t="shared" si="7"/>
        <v>8.9775034606586466E-4</v>
      </c>
      <c r="AP23" s="77">
        <v>826429.5</v>
      </c>
      <c r="AQ23" s="77">
        <f t="shared" si="8"/>
        <v>76151542.5</v>
      </c>
      <c r="AR23" s="77">
        <f>ROUND(AQ23/'Table 3 Levels 1&amp;2'!C24,2)</f>
        <v>15356.23</v>
      </c>
    </row>
    <row r="24" spans="1:44" s="75" customFormat="1">
      <c r="A24" s="101">
        <v>17</v>
      </c>
      <c r="B24" s="158" t="s">
        <v>111</v>
      </c>
      <c r="C24" s="77">
        <v>3596222330</v>
      </c>
      <c r="D24" s="77">
        <v>545639350</v>
      </c>
      <c r="E24" s="77">
        <f>C24-D24</f>
        <v>3050582980</v>
      </c>
      <c r="F24" s="77">
        <v>3002326940</v>
      </c>
      <c r="G24" s="590">
        <f t="shared" si="10"/>
        <v>1.6072879791033019E-2</v>
      </c>
      <c r="H24" s="591">
        <f t="shared" si="1"/>
        <v>3050582980</v>
      </c>
      <c r="I24" s="499">
        <v>5.25</v>
      </c>
      <c r="J24" s="484">
        <v>15893272</v>
      </c>
      <c r="K24" s="499">
        <v>38.200000000000003</v>
      </c>
      <c r="L24" s="484">
        <v>115639518</v>
      </c>
      <c r="M24" s="483">
        <v>0</v>
      </c>
      <c r="N24" s="483">
        <v>0</v>
      </c>
      <c r="O24" s="483">
        <v>0</v>
      </c>
      <c r="P24" s="484">
        <v>0</v>
      </c>
      <c r="Q24" s="77">
        <f>J24+L24+P24</f>
        <v>131532790</v>
      </c>
      <c r="R24" s="483">
        <v>0</v>
      </c>
      <c r="S24" s="484">
        <v>0</v>
      </c>
      <c r="T24" s="483">
        <v>0</v>
      </c>
      <c r="U24" s="483">
        <v>0</v>
      </c>
      <c r="V24" s="483">
        <v>0</v>
      </c>
      <c r="W24" s="484">
        <v>0</v>
      </c>
      <c r="X24" s="77">
        <f t="shared" si="12"/>
        <v>0</v>
      </c>
      <c r="Y24" s="159">
        <f t="shared" si="13"/>
        <v>43.45</v>
      </c>
      <c r="Z24" s="77">
        <f t="shared" si="14"/>
        <v>131532790</v>
      </c>
      <c r="AA24" s="77">
        <f t="shared" si="15"/>
        <v>0</v>
      </c>
      <c r="AB24" s="160">
        <f t="shared" si="2"/>
        <v>0</v>
      </c>
      <c r="AC24" s="161">
        <f t="shared" si="3"/>
        <v>43.12</v>
      </c>
      <c r="AD24" s="127">
        <f t="shared" si="4"/>
        <v>43.12</v>
      </c>
      <c r="AE24" s="343">
        <f t="shared" si="16"/>
        <v>131532790</v>
      </c>
      <c r="AF24" s="155">
        <v>0.02</v>
      </c>
      <c r="AG24" s="281">
        <v>157956316</v>
      </c>
      <c r="AH24" s="281">
        <v>0</v>
      </c>
      <c r="AI24" s="494">
        <f t="shared" si="17"/>
        <v>157956316</v>
      </c>
      <c r="AJ24" s="77">
        <v>7404466950</v>
      </c>
      <c r="AK24" s="77">
        <f t="shared" si="20"/>
        <v>7897815800</v>
      </c>
      <c r="AL24" s="597">
        <f t="shared" si="18"/>
        <v>6.6628543733320333E-2</v>
      </c>
      <c r="AM24" s="600">
        <f t="shared" si="19"/>
        <v>7897815800</v>
      </c>
      <c r="AN24" s="129">
        <f t="shared" si="6"/>
        <v>0.02</v>
      </c>
      <c r="AO24" s="129">
        <f t="shared" si="7"/>
        <v>0</v>
      </c>
      <c r="AP24" s="77">
        <v>4087419.5</v>
      </c>
      <c r="AQ24" s="77">
        <f t="shared" si="8"/>
        <v>293576525.5</v>
      </c>
      <c r="AR24" s="77">
        <f>ROUND(AQ24/'Table 3 Levels 1&amp;2'!C25,2)</f>
        <v>6710.17</v>
      </c>
    </row>
    <row r="25" spans="1:44">
      <c r="A25" s="12">
        <v>18</v>
      </c>
      <c r="B25" s="69" t="s">
        <v>112</v>
      </c>
      <c r="C25" s="14">
        <v>42267234</v>
      </c>
      <c r="D25" s="14">
        <v>5681675</v>
      </c>
      <c r="E25" s="14">
        <f t="shared" si="9"/>
        <v>36585559</v>
      </c>
      <c r="F25" s="14">
        <v>36375791</v>
      </c>
      <c r="G25" s="590">
        <f t="shared" si="10"/>
        <v>5.7666924686256308E-3</v>
      </c>
      <c r="H25" s="591">
        <f t="shared" si="1"/>
        <v>36585559</v>
      </c>
      <c r="I25" s="499">
        <v>8.1999999999999993</v>
      </c>
      <c r="J25" s="484">
        <v>290856</v>
      </c>
      <c r="K25" s="499">
        <v>7.99</v>
      </c>
      <c r="L25" s="484">
        <v>289446</v>
      </c>
      <c r="M25" s="483">
        <v>0</v>
      </c>
      <c r="N25" s="483">
        <v>0</v>
      </c>
      <c r="O25" s="483">
        <v>0</v>
      </c>
      <c r="P25" s="484">
        <v>0</v>
      </c>
      <c r="Q25" s="77">
        <f t="shared" si="11"/>
        <v>580302</v>
      </c>
      <c r="R25" s="483">
        <v>0</v>
      </c>
      <c r="S25" s="484">
        <v>0</v>
      </c>
      <c r="T25" s="483">
        <v>0</v>
      </c>
      <c r="U25" s="483">
        <v>0</v>
      </c>
      <c r="V25" s="483">
        <v>0</v>
      </c>
      <c r="W25" s="484"/>
      <c r="X25" s="14">
        <f t="shared" si="12"/>
        <v>0</v>
      </c>
      <c r="Y25" s="145">
        <f t="shared" si="13"/>
        <v>16.189999999999998</v>
      </c>
      <c r="Z25" s="14">
        <f t="shared" si="14"/>
        <v>580302</v>
      </c>
      <c r="AA25" s="14">
        <f t="shared" si="15"/>
        <v>0</v>
      </c>
      <c r="AB25" s="146">
        <f t="shared" si="2"/>
        <v>0</v>
      </c>
      <c r="AC25" s="147">
        <f t="shared" si="3"/>
        <v>15.86</v>
      </c>
      <c r="AD25" s="127">
        <f t="shared" si="4"/>
        <v>15.86</v>
      </c>
      <c r="AE25" s="77">
        <f t="shared" si="16"/>
        <v>580302</v>
      </c>
      <c r="AF25" s="155">
        <v>0.03</v>
      </c>
      <c r="AG25" s="281">
        <v>1835065</v>
      </c>
      <c r="AH25" s="281">
        <v>0</v>
      </c>
      <c r="AI25" s="494">
        <f t="shared" si="17"/>
        <v>1835065</v>
      </c>
      <c r="AJ25" s="77">
        <v>46597767</v>
      </c>
      <c r="AK25" s="77">
        <f t="shared" si="20"/>
        <v>61168833</v>
      </c>
      <c r="AL25" s="599">
        <f t="shared" si="18"/>
        <v>0.31269880378602694</v>
      </c>
      <c r="AM25" s="602">
        <f t="shared" si="19"/>
        <v>53587432.049999997</v>
      </c>
      <c r="AN25" s="129">
        <f t="shared" si="6"/>
        <v>3.0000000163481949E-2</v>
      </c>
      <c r="AO25" s="129">
        <f t="shared" si="7"/>
        <v>0</v>
      </c>
      <c r="AP25" s="77">
        <v>131381.5</v>
      </c>
      <c r="AQ25" s="77">
        <f t="shared" si="8"/>
        <v>2546748.5</v>
      </c>
      <c r="AR25" s="77">
        <f>ROUND(AQ25/'Table 3 Levels 1&amp;2'!C26,2)</f>
        <v>2269.83</v>
      </c>
    </row>
    <row r="26" spans="1:44">
      <c r="A26" s="12">
        <v>19</v>
      </c>
      <c r="B26" s="69" t="s">
        <v>113</v>
      </c>
      <c r="C26" s="14">
        <v>143432690</v>
      </c>
      <c r="D26" s="14">
        <v>35429090</v>
      </c>
      <c r="E26" s="14">
        <f t="shared" si="9"/>
        <v>108003600</v>
      </c>
      <c r="F26" s="14">
        <v>103771869</v>
      </c>
      <c r="G26" s="590">
        <f t="shared" si="10"/>
        <v>4.0779173014605721E-2</v>
      </c>
      <c r="H26" s="591">
        <f t="shared" si="1"/>
        <v>108003600</v>
      </c>
      <c r="I26" s="499">
        <v>3.34</v>
      </c>
      <c r="J26" s="484">
        <v>352031</v>
      </c>
      <c r="K26" s="499">
        <v>17</v>
      </c>
      <c r="L26" s="484">
        <v>1791604</v>
      </c>
      <c r="M26" s="483">
        <v>0</v>
      </c>
      <c r="N26" s="483">
        <v>0</v>
      </c>
      <c r="O26" s="483">
        <v>0</v>
      </c>
      <c r="P26" s="484">
        <v>0</v>
      </c>
      <c r="Q26" s="77">
        <f t="shared" si="11"/>
        <v>2143635</v>
      </c>
      <c r="R26" s="483">
        <v>0</v>
      </c>
      <c r="S26" s="484">
        <v>0</v>
      </c>
      <c r="T26" s="483">
        <v>0</v>
      </c>
      <c r="U26" s="483">
        <v>0</v>
      </c>
      <c r="V26" s="483">
        <v>0</v>
      </c>
      <c r="W26" s="484"/>
      <c r="X26" s="14">
        <f t="shared" si="12"/>
        <v>0</v>
      </c>
      <c r="Y26" s="145">
        <f t="shared" si="13"/>
        <v>20.34</v>
      </c>
      <c r="Z26" s="14">
        <f t="shared" si="14"/>
        <v>2143635</v>
      </c>
      <c r="AA26" s="14">
        <f t="shared" si="15"/>
        <v>0</v>
      </c>
      <c r="AB26" s="146">
        <f t="shared" si="2"/>
        <v>0</v>
      </c>
      <c r="AC26" s="147">
        <f t="shared" si="3"/>
        <v>19.850000000000001</v>
      </c>
      <c r="AD26" s="127">
        <f t="shared" si="4"/>
        <v>19.850000000000001</v>
      </c>
      <c r="AE26" s="77">
        <f t="shared" si="16"/>
        <v>2143635</v>
      </c>
      <c r="AF26" s="155">
        <v>0.02</v>
      </c>
      <c r="AG26" s="281">
        <v>3050354</v>
      </c>
      <c r="AH26" s="281">
        <v>0</v>
      </c>
      <c r="AI26" s="494">
        <f t="shared" si="17"/>
        <v>3050354</v>
      </c>
      <c r="AJ26" s="77">
        <v>115682500</v>
      </c>
      <c r="AK26" s="77">
        <f t="shared" si="20"/>
        <v>152517700</v>
      </c>
      <c r="AL26" s="599">
        <f t="shared" si="18"/>
        <v>0.3184163551098913</v>
      </c>
      <c r="AM26" s="602">
        <f t="shared" si="19"/>
        <v>133034874.99999999</v>
      </c>
      <c r="AN26" s="129">
        <f t="shared" si="6"/>
        <v>0.02</v>
      </c>
      <c r="AO26" s="129">
        <f t="shared" si="7"/>
        <v>0</v>
      </c>
      <c r="AP26" s="77">
        <v>103649.5</v>
      </c>
      <c r="AQ26" s="77">
        <f t="shared" si="8"/>
        <v>5297638.5</v>
      </c>
      <c r="AR26" s="77">
        <f>ROUND(AQ26/'Table 3 Levels 1&amp;2'!C27,2)</f>
        <v>2756.32</v>
      </c>
    </row>
    <row r="27" spans="1:44">
      <c r="A27" s="18">
        <v>20</v>
      </c>
      <c r="B27" s="70" t="s">
        <v>114</v>
      </c>
      <c r="C27" s="20">
        <v>269543700</v>
      </c>
      <c r="D27" s="20">
        <v>48409060</v>
      </c>
      <c r="E27" s="20">
        <f t="shared" si="9"/>
        <v>221134640</v>
      </c>
      <c r="F27" s="20">
        <v>177767810</v>
      </c>
      <c r="G27" s="594">
        <f t="shared" si="10"/>
        <v>0.24395209683912966</v>
      </c>
      <c r="H27" s="595">
        <f t="shared" si="1"/>
        <v>195544591.00000003</v>
      </c>
      <c r="I27" s="500">
        <v>4.67</v>
      </c>
      <c r="J27" s="486">
        <v>968236</v>
      </c>
      <c r="K27" s="500">
        <v>10.35</v>
      </c>
      <c r="L27" s="486">
        <v>2070835</v>
      </c>
      <c r="M27" s="485">
        <v>2.02</v>
      </c>
      <c r="N27" s="485">
        <v>12.32</v>
      </c>
      <c r="O27" s="485">
        <v>3</v>
      </c>
      <c r="P27" s="486">
        <v>2973872</v>
      </c>
      <c r="Q27" s="78">
        <f t="shared" si="11"/>
        <v>6012943</v>
      </c>
      <c r="R27" s="485">
        <v>0</v>
      </c>
      <c r="S27" s="486">
        <v>0</v>
      </c>
      <c r="T27" s="485">
        <v>14</v>
      </c>
      <c r="U27" s="485">
        <v>14</v>
      </c>
      <c r="V27" s="485">
        <v>1</v>
      </c>
      <c r="W27" s="486">
        <v>435410</v>
      </c>
      <c r="X27" s="20">
        <f t="shared" si="12"/>
        <v>435410</v>
      </c>
      <c r="Y27" s="148">
        <f t="shared" si="13"/>
        <v>15.02</v>
      </c>
      <c r="Z27" s="20">
        <f t="shared" si="14"/>
        <v>3039071</v>
      </c>
      <c r="AA27" s="20">
        <f t="shared" si="15"/>
        <v>3409282</v>
      </c>
      <c r="AB27" s="149">
        <f t="shared" si="2"/>
        <v>1.97</v>
      </c>
      <c r="AC27" s="150">
        <f t="shared" si="3"/>
        <v>27.19</v>
      </c>
      <c r="AD27" s="128">
        <f t="shared" si="4"/>
        <v>29.16</v>
      </c>
      <c r="AE27" s="78">
        <f t="shared" si="16"/>
        <v>6448353</v>
      </c>
      <c r="AF27" s="156">
        <v>0.02</v>
      </c>
      <c r="AG27" s="282">
        <v>7729294</v>
      </c>
      <c r="AH27" s="282">
        <v>0</v>
      </c>
      <c r="AI27" s="495">
        <f t="shared" si="17"/>
        <v>7729294</v>
      </c>
      <c r="AJ27" s="78">
        <v>365605550</v>
      </c>
      <c r="AK27" s="78">
        <f t="shared" si="20"/>
        <v>386464700</v>
      </c>
      <c r="AL27" s="598">
        <f t="shared" si="18"/>
        <v>5.7053701728543238E-2</v>
      </c>
      <c r="AM27" s="601">
        <f t="shared" si="19"/>
        <v>386464700</v>
      </c>
      <c r="AN27" s="130">
        <f t="shared" si="6"/>
        <v>0.02</v>
      </c>
      <c r="AO27" s="130">
        <f t="shared" si="7"/>
        <v>0</v>
      </c>
      <c r="AP27" s="78">
        <v>217794</v>
      </c>
      <c r="AQ27" s="78">
        <f t="shared" si="8"/>
        <v>14395441</v>
      </c>
      <c r="AR27" s="78">
        <f>ROUND(AQ27/'Table 3 Levels 1&amp;2'!C28,2)</f>
        <v>2439.08</v>
      </c>
    </row>
    <row r="28" spans="1:44">
      <c r="A28" s="12">
        <v>21</v>
      </c>
      <c r="B28" s="69" t="s">
        <v>115</v>
      </c>
      <c r="C28" s="14">
        <v>96917108</v>
      </c>
      <c r="D28" s="14">
        <v>27652652</v>
      </c>
      <c r="E28" s="14">
        <f t="shared" si="9"/>
        <v>69264456</v>
      </c>
      <c r="F28" s="14">
        <v>59307949</v>
      </c>
      <c r="G28" s="592">
        <f t="shared" si="10"/>
        <v>0.16787812035111854</v>
      </c>
      <c r="H28" s="593">
        <f t="shared" si="1"/>
        <v>65238743.900000006</v>
      </c>
      <c r="I28" s="499">
        <v>4.45</v>
      </c>
      <c r="J28" s="484">
        <v>304185</v>
      </c>
      <c r="K28" s="499">
        <v>19.93</v>
      </c>
      <c r="L28" s="484">
        <v>1329651</v>
      </c>
      <c r="M28" s="483">
        <v>19.93</v>
      </c>
      <c r="N28" s="483">
        <v>19.93</v>
      </c>
      <c r="O28" s="483">
        <v>0</v>
      </c>
      <c r="P28" s="484">
        <v>0</v>
      </c>
      <c r="Q28" s="77">
        <f t="shared" si="11"/>
        <v>1633836</v>
      </c>
      <c r="R28" s="483">
        <v>0</v>
      </c>
      <c r="S28" s="484">
        <v>0</v>
      </c>
      <c r="T28" s="483">
        <v>0</v>
      </c>
      <c r="U28" s="483">
        <v>0</v>
      </c>
      <c r="V28" s="483">
        <v>0</v>
      </c>
      <c r="W28" s="484"/>
      <c r="X28" s="14">
        <f t="shared" si="12"/>
        <v>0</v>
      </c>
      <c r="Y28" s="145">
        <f t="shared" si="13"/>
        <v>24.38</v>
      </c>
      <c r="Z28" s="14">
        <f t="shared" si="14"/>
        <v>1633836</v>
      </c>
      <c r="AA28" s="14">
        <f t="shared" si="15"/>
        <v>0</v>
      </c>
      <c r="AB28" s="146">
        <f t="shared" si="2"/>
        <v>0</v>
      </c>
      <c r="AC28" s="147">
        <f t="shared" si="3"/>
        <v>23.59</v>
      </c>
      <c r="AD28" s="127">
        <f t="shared" si="4"/>
        <v>23.59</v>
      </c>
      <c r="AE28" s="77">
        <f t="shared" si="16"/>
        <v>1633836</v>
      </c>
      <c r="AF28" s="155">
        <v>0.02</v>
      </c>
      <c r="AG28" s="281">
        <v>4813265</v>
      </c>
      <c r="AH28" s="281">
        <v>0</v>
      </c>
      <c r="AI28" s="494">
        <f t="shared" si="17"/>
        <v>4813265</v>
      </c>
      <c r="AJ28" s="77">
        <v>233452200</v>
      </c>
      <c r="AK28" s="77">
        <f t="shared" si="20"/>
        <v>240663250</v>
      </c>
      <c r="AL28" s="597">
        <f t="shared" si="18"/>
        <v>3.0888764380888251E-2</v>
      </c>
      <c r="AM28" s="600">
        <f t="shared" si="19"/>
        <v>240663250</v>
      </c>
      <c r="AN28" s="129">
        <f t="shared" si="6"/>
        <v>0.02</v>
      </c>
      <c r="AO28" s="129">
        <f t="shared" si="7"/>
        <v>0</v>
      </c>
      <c r="AP28" s="77">
        <v>302697.5</v>
      </c>
      <c r="AQ28" s="77">
        <f t="shared" si="8"/>
        <v>6749798.5</v>
      </c>
      <c r="AR28" s="77">
        <f>ROUND(AQ28/'Table 3 Levels 1&amp;2'!C29,2)</f>
        <v>2194.34</v>
      </c>
    </row>
    <row r="29" spans="1:44">
      <c r="A29" s="12">
        <v>22</v>
      </c>
      <c r="B29" s="69" t="s">
        <v>116</v>
      </c>
      <c r="C29" s="14">
        <v>66086000</v>
      </c>
      <c r="D29" s="14">
        <v>28655333</v>
      </c>
      <c r="E29" s="14">
        <f t="shared" si="9"/>
        <v>37430667</v>
      </c>
      <c r="F29" s="14">
        <v>38647278</v>
      </c>
      <c r="G29" s="590">
        <f t="shared" si="10"/>
        <v>-3.147986256625887E-2</v>
      </c>
      <c r="H29" s="591">
        <f t="shared" si="1"/>
        <v>37430667</v>
      </c>
      <c r="I29" s="499">
        <v>5.82</v>
      </c>
      <c r="J29" s="484">
        <v>216997</v>
      </c>
      <c r="K29" s="499">
        <v>24.12</v>
      </c>
      <c r="L29" s="484">
        <v>705796</v>
      </c>
      <c r="M29" s="483">
        <v>1.98</v>
      </c>
      <c r="N29" s="483">
        <v>16.12</v>
      </c>
      <c r="O29" s="483">
        <v>8</v>
      </c>
      <c r="P29" s="484">
        <v>568867</v>
      </c>
      <c r="Q29" s="77">
        <f t="shared" si="11"/>
        <v>1491660</v>
      </c>
      <c r="R29" s="483">
        <v>0</v>
      </c>
      <c r="S29" s="484">
        <v>0</v>
      </c>
      <c r="T29" s="483">
        <v>0</v>
      </c>
      <c r="U29" s="483">
        <v>38</v>
      </c>
      <c r="V29" s="483">
        <v>1</v>
      </c>
      <c r="W29" s="484">
        <v>1139430</v>
      </c>
      <c r="X29" s="14">
        <f t="shared" si="12"/>
        <v>1139430</v>
      </c>
      <c r="Y29" s="145">
        <f t="shared" si="13"/>
        <v>29.94</v>
      </c>
      <c r="Z29" s="14">
        <f t="shared" si="14"/>
        <v>922793</v>
      </c>
      <c r="AA29" s="14">
        <f t="shared" si="15"/>
        <v>1708297</v>
      </c>
      <c r="AB29" s="146">
        <f t="shared" si="2"/>
        <v>30.44</v>
      </c>
      <c r="AC29" s="147">
        <f t="shared" si="3"/>
        <v>39.85</v>
      </c>
      <c r="AD29" s="127">
        <f t="shared" si="4"/>
        <v>70.290000000000006</v>
      </c>
      <c r="AE29" s="77">
        <f t="shared" si="16"/>
        <v>2631090</v>
      </c>
      <c r="AF29" s="155">
        <v>0.02</v>
      </c>
      <c r="AG29" s="281">
        <v>2048816</v>
      </c>
      <c r="AH29" s="281">
        <v>0</v>
      </c>
      <c r="AI29" s="494">
        <f t="shared" si="17"/>
        <v>2048816</v>
      </c>
      <c r="AJ29" s="77">
        <v>101703500</v>
      </c>
      <c r="AK29" s="77">
        <f t="shared" si="20"/>
        <v>102440800</v>
      </c>
      <c r="AL29" s="597">
        <f t="shared" si="18"/>
        <v>7.249504687645951E-3</v>
      </c>
      <c r="AM29" s="600">
        <f t="shared" si="19"/>
        <v>102440800</v>
      </c>
      <c r="AN29" s="129">
        <f t="shared" si="6"/>
        <v>0.02</v>
      </c>
      <c r="AO29" s="129">
        <f t="shared" si="7"/>
        <v>0</v>
      </c>
      <c r="AP29" s="77">
        <v>500783</v>
      </c>
      <c r="AQ29" s="77">
        <f t="shared" si="8"/>
        <v>5180689</v>
      </c>
      <c r="AR29" s="77">
        <f>ROUND(AQ29/'Table 3 Levels 1&amp;2'!C30,2)</f>
        <v>1611.91</v>
      </c>
    </row>
    <row r="30" spans="1:44">
      <c r="A30" s="12">
        <v>23</v>
      </c>
      <c r="B30" s="69" t="s">
        <v>117</v>
      </c>
      <c r="C30" s="14">
        <v>606873200</v>
      </c>
      <c r="D30" s="14">
        <v>109883187</v>
      </c>
      <c r="E30" s="14">
        <f t="shared" si="9"/>
        <v>496990013</v>
      </c>
      <c r="F30" s="14">
        <v>507692565</v>
      </c>
      <c r="G30" s="590">
        <f t="shared" si="10"/>
        <v>-2.1080773558304917E-2</v>
      </c>
      <c r="H30" s="591">
        <f t="shared" si="1"/>
        <v>496990013</v>
      </c>
      <c r="I30" s="499">
        <v>4.47</v>
      </c>
      <c r="J30" s="484">
        <v>2187831</v>
      </c>
      <c r="K30" s="499">
        <v>6.23</v>
      </c>
      <c r="L30" s="484">
        <v>3051208</v>
      </c>
      <c r="M30" s="483">
        <v>0</v>
      </c>
      <c r="N30" s="483">
        <v>0</v>
      </c>
      <c r="O30" s="483">
        <v>0</v>
      </c>
      <c r="P30" s="484">
        <v>0</v>
      </c>
      <c r="Q30" s="77">
        <f t="shared" si="11"/>
        <v>5239039</v>
      </c>
      <c r="R30" s="483">
        <v>21.9</v>
      </c>
      <c r="S30" s="484">
        <v>10738053</v>
      </c>
      <c r="T30" s="483">
        <v>0</v>
      </c>
      <c r="U30" s="483">
        <v>0</v>
      </c>
      <c r="V30" s="483">
        <v>0</v>
      </c>
      <c r="W30" s="484">
        <v>0</v>
      </c>
      <c r="X30" s="14">
        <f t="shared" si="12"/>
        <v>10738053</v>
      </c>
      <c r="Y30" s="145">
        <f t="shared" si="13"/>
        <v>32.599999999999994</v>
      </c>
      <c r="Z30" s="14">
        <f t="shared" si="14"/>
        <v>15977092</v>
      </c>
      <c r="AA30" s="14">
        <f t="shared" si="15"/>
        <v>0</v>
      </c>
      <c r="AB30" s="146">
        <f t="shared" si="2"/>
        <v>21.61</v>
      </c>
      <c r="AC30" s="147">
        <f t="shared" si="3"/>
        <v>10.54</v>
      </c>
      <c r="AD30" s="127">
        <f t="shared" si="4"/>
        <v>32.15</v>
      </c>
      <c r="AE30" s="77">
        <f t="shared" si="16"/>
        <v>15977092</v>
      </c>
      <c r="AF30" s="155">
        <v>0.02</v>
      </c>
      <c r="AG30" s="281">
        <v>28486445</v>
      </c>
      <c r="AH30" s="281">
        <v>0</v>
      </c>
      <c r="AI30" s="494">
        <f t="shared" si="17"/>
        <v>28486445</v>
      </c>
      <c r="AJ30" s="77">
        <v>1259993000</v>
      </c>
      <c r="AK30" s="77">
        <f t="shared" si="20"/>
        <v>1424322250</v>
      </c>
      <c r="AL30" s="597">
        <f t="shared" si="18"/>
        <v>0.13042076424234103</v>
      </c>
      <c r="AM30" s="600">
        <f t="shared" si="19"/>
        <v>1424322250</v>
      </c>
      <c r="AN30" s="129">
        <f t="shared" si="6"/>
        <v>0.02</v>
      </c>
      <c r="AO30" s="129">
        <f t="shared" si="7"/>
        <v>0</v>
      </c>
      <c r="AP30" s="77">
        <v>566332</v>
      </c>
      <c r="AQ30" s="77">
        <f t="shared" si="8"/>
        <v>45029869</v>
      </c>
      <c r="AR30" s="77">
        <f>ROUND(AQ30/'Table 3 Levels 1&amp;2'!C31,2)</f>
        <v>3331.6</v>
      </c>
    </row>
    <row r="31" spans="1:44">
      <c r="A31" s="12">
        <v>24</v>
      </c>
      <c r="B31" s="69" t="s">
        <v>118</v>
      </c>
      <c r="C31" s="14">
        <v>469332572</v>
      </c>
      <c r="D31" s="14">
        <v>44984992</v>
      </c>
      <c r="E31" s="14">
        <f t="shared" si="9"/>
        <v>424347580</v>
      </c>
      <c r="F31" s="14">
        <v>412190548</v>
      </c>
      <c r="G31" s="590">
        <f t="shared" si="10"/>
        <v>2.9493718521658094E-2</v>
      </c>
      <c r="H31" s="591">
        <f t="shared" si="1"/>
        <v>424347580</v>
      </c>
      <c r="I31" s="499">
        <v>3.49</v>
      </c>
      <c r="J31" s="484">
        <v>1464679</v>
      </c>
      <c r="K31" s="499">
        <v>53.17</v>
      </c>
      <c r="L31" s="484">
        <v>19214327</v>
      </c>
      <c r="M31" s="483">
        <v>0</v>
      </c>
      <c r="N31" s="483">
        <v>0</v>
      </c>
      <c r="O31" s="483">
        <v>0</v>
      </c>
      <c r="P31" s="484">
        <v>0</v>
      </c>
      <c r="Q31" s="77">
        <f t="shared" si="11"/>
        <v>20679006</v>
      </c>
      <c r="R31" s="483">
        <v>0</v>
      </c>
      <c r="S31" s="484">
        <v>3100000</v>
      </c>
      <c r="T31" s="483">
        <v>0</v>
      </c>
      <c r="U31" s="483">
        <v>0</v>
      </c>
      <c r="V31" s="483">
        <v>0</v>
      </c>
      <c r="W31" s="484">
        <v>0</v>
      </c>
      <c r="X31" s="14">
        <f t="shared" si="12"/>
        <v>3100000</v>
      </c>
      <c r="Y31" s="145">
        <f t="shared" si="13"/>
        <v>56.660000000000004</v>
      </c>
      <c r="Z31" s="14">
        <f t="shared" si="14"/>
        <v>23779006</v>
      </c>
      <c r="AA31" s="14">
        <f t="shared" si="15"/>
        <v>0</v>
      </c>
      <c r="AB31" s="146">
        <f t="shared" si="2"/>
        <v>7.31</v>
      </c>
      <c r="AC31" s="147">
        <f t="shared" si="3"/>
        <v>48.73</v>
      </c>
      <c r="AD31" s="127">
        <f t="shared" si="4"/>
        <v>56.04</v>
      </c>
      <c r="AE31" s="77">
        <f t="shared" si="16"/>
        <v>23779006</v>
      </c>
      <c r="AF31" s="155">
        <v>0.02</v>
      </c>
      <c r="AG31" s="281">
        <v>18663520</v>
      </c>
      <c r="AH31" s="281">
        <v>0</v>
      </c>
      <c r="AI31" s="494">
        <f t="shared" si="17"/>
        <v>18663520</v>
      </c>
      <c r="AJ31" s="77">
        <v>962971950</v>
      </c>
      <c r="AK31" s="77">
        <f t="shared" si="20"/>
        <v>933176000</v>
      </c>
      <c r="AL31" s="597">
        <f t="shared" si="18"/>
        <v>-3.0941659307937266E-2</v>
      </c>
      <c r="AM31" s="600">
        <f t="shared" si="19"/>
        <v>933176000</v>
      </c>
      <c r="AN31" s="129">
        <f t="shared" si="6"/>
        <v>0.02</v>
      </c>
      <c r="AO31" s="129">
        <f t="shared" si="7"/>
        <v>0</v>
      </c>
      <c r="AP31" s="77">
        <v>144561</v>
      </c>
      <c r="AQ31" s="77">
        <f t="shared" si="8"/>
        <v>42587087</v>
      </c>
      <c r="AR31" s="77">
        <f>ROUND(AQ31/'Table 3 Levels 1&amp;2'!C32,2)</f>
        <v>9359.7999999999993</v>
      </c>
    </row>
    <row r="32" spans="1:44">
      <c r="A32" s="18">
        <v>25</v>
      </c>
      <c r="B32" s="70" t="s">
        <v>119</v>
      </c>
      <c r="C32" s="20">
        <v>254041840</v>
      </c>
      <c r="D32" s="20">
        <v>19432690</v>
      </c>
      <c r="E32" s="20">
        <f t="shared" si="9"/>
        <v>234609150</v>
      </c>
      <c r="F32" s="20">
        <v>205225430</v>
      </c>
      <c r="G32" s="594">
        <f t="shared" si="10"/>
        <v>0.14317777285202909</v>
      </c>
      <c r="H32" s="595">
        <f t="shared" si="1"/>
        <v>225747973.00000003</v>
      </c>
      <c r="I32" s="500">
        <v>4.4000000000000004</v>
      </c>
      <c r="J32" s="486">
        <v>1028220</v>
      </c>
      <c r="K32" s="500">
        <v>19.079999999999998</v>
      </c>
      <c r="L32" s="486">
        <v>4459643</v>
      </c>
      <c r="M32" s="485">
        <v>0</v>
      </c>
      <c r="N32" s="485">
        <v>0</v>
      </c>
      <c r="O32" s="485">
        <v>0</v>
      </c>
      <c r="P32" s="486">
        <v>0</v>
      </c>
      <c r="Q32" s="78">
        <f t="shared" si="11"/>
        <v>5487863</v>
      </c>
      <c r="R32" s="485">
        <v>0</v>
      </c>
      <c r="S32" s="486">
        <v>370523</v>
      </c>
      <c r="T32" s="485">
        <v>1</v>
      </c>
      <c r="U32" s="485">
        <v>10</v>
      </c>
      <c r="V32" s="485">
        <v>3</v>
      </c>
      <c r="W32" s="486">
        <v>0</v>
      </c>
      <c r="X32" s="20">
        <f t="shared" si="12"/>
        <v>370523</v>
      </c>
      <c r="Y32" s="148">
        <f t="shared" si="13"/>
        <v>23.479999999999997</v>
      </c>
      <c r="Z32" s="20">
        <f t="shared" si="14"/>
        <v>5858386</v>
      </c>
      <c r="AA32" s="20">
        <f t="shared" si="15"/>
        <v>0</v>
      </c>
      <c r="AB32" s="149">
        <f t="shared" si="2"/>
        <v>1.58</v>
      </c>
      <c r="AC32" s="150">
        <f t="shared" si="3"/>
        <v>23.39</v>
      </c>
      <c r="AD32" s="128">
        <f t="shared" si="4"/>
        <v>24.97</v>
      </c>
      <c r="AE32" s="78">
        <f t="shared" si="16"/>
        <v>5858386</v>
      </c>
      <c r="AF32" s="156">
        <v>0.03</v>
      </c>
      <c r="AG32" s="282">
        <v>6066114</v>
      </c>
      <c r="AH32" s="282">
        <v>0</v>
      </c>
      <c r="AI32" s="495">
        <f t="shared" si="17"/>
        <v>6066114</v>
      </c>
      <c r="AJ32" s="78">
        <v>208921633</v>
      </c>
      <c r="AK32" s="78">
        <f t="shared" si="20"/>
        <v>202203800</v>
      </c>
      <c r="AL32" s="598">
        <f t="shared" si="18"/>
        <v>-3.2154798445405607E-2</v>
      </c>
      <c r="AM32" s="601">
        <f t="shared" si="19"/>
        <v>202203800</v>
      </c>
      <c r="AN32" s="130">
        <f t="shared" si="6"/>
        <v>0.03</v>
      </c>
      <c r="AO32" s="130">
        <f t="shared" si="7"/>
        <v>0</v>
      </c>
      <c r="AP32" s="78">
        <v>111624</v>
      </c>
      <c r="AQ32" s="78">
        <f t="shared" si="8"/>
        <v>12036124</v>
      </c>
      <c r="AR32" s="78">
        <f>ROUND(AQ32/'Table 3 Levels 1&amp;2'!C33,2)</f>
        <v>5397.37</v>
      </c>
    </row>
    <row r="33" spans="1:44" s="75" customFormat="1">
      <c r="A33" s="101">
        <v>26</v>
      </c>
      <c r="B33" s="158" t="s">
        <v>120</v>
      </c>
      <c r="C33" s="77">
        <v>4004920022</v>
      </c>
      <c r="D33" s="77">
        <v>757359030</v>
      </c>
      <c r="E33" s="14">
        <f t="shared" si="9"/>
        <v>3247560992</v>
      </c>
      <c r="F33" s="77">
        <v>3234560195</v>
      </c>
      <c r="G33" s="590">
        <f t="shared" si="10"/>
        <v>4.019339946153019E-3</v>
      </c>
      <c r="H33" s="591">
        <f t="shared" si="1"/>
        <v>3247560992</v>
      </c>
      <c r="I33" s="499">
        <v>2.91</v>
      </c>
      <c r="J33" s="484">
        <v>9427855</v>
      </c>
      <c r="K33" s="499">
        <v>20</v>
      </c>
      <c r="L33" s="484">
        <v>64715549</v>
      </c>
      <c r="M33" s="483">
        <v>0</v>
      </c>
      <c r="N33" s="483">
        <v>0</v>
      </c>
      <c r="O33" s="483">
        <v>0</v>
      </c>
      <c r="P33" s="484">
        <v>0</v>
      </c>
      <c r="Q33" s="77">
        <f t="shared" si="11"/>
        <v>74143404</v>
      </c>
      <c r="R33" s="483">
        <v>0</v>
      </c>
      <c r="S33" s="484">
        <v>0</v>
      </c>
      <c r="T33" s="483">
        <v>0</v>
      </c>
      <c r="U33" s="483">
        <v>0</v>
      </c>
      <c r="V33" s="483">
        <v>0</v>
      </c>
      <c r="W33" s="484">
        <v>0</v>
      </c>
      <c r="X33" s="77">
        <f t="shared" si="12"/>
        <v>0</v>
      </c>
      <c r="Y33" s="159">
        <f t="shared" si="13"/>
        <v>22.91</v>
      </c>
      <c r="Z33" s="77">
        <f t="shared" si="14"/>
        <v>74143404</v>
      </c>
      <c r="AA33" s="77">
        <f t="shared" si="15"/>
        <v>0</v>
      </c>
      <c r="AB33" s="160">
        <f t="shared" si="2"/>
        <v>0</v>
      </c>
      <c r="AC33" s="161">
        <f t="shared" si="3"/>
        <v>22.83</v>
      </c>
      <c r="AD33" s="127">
        <f t="shared" si="4"/>
        <v>22.83</v>
      </c>
      <c r="AE33" s="77">
        <f t="shared" si="16"/>
        <v>74143404</v>
      </c>
      <c r="AF33" s="155">
        <v>0.02</v>
      </c>
      <c r="AG33" s="281">
        <v>170801950</v>
      </c>
      <c r="AH33" s="281">
        <v>0</v>
      </c>
      <c r="AI33" s="494">
        <f t="shared" si="17"/>
        <v>170801950</v>
      </c>
      <c r="AJ33" s="77">
        <v>8672961650</v>
      </c>
      <c r="AK33" s="77">
        <f t="shared" si="20"/>
        <v>8540097500</v>
      </c>
      <c r="AL33" s="597">
        <f t="shared" si="18"/>
        <v>-1.5319351723410422E-2</v>
      </c>
      <c r="AM33" s="600">
        <f t="shared" si="19"/>
        <v>8540097500</v>
      </c>
      <c r="AN33" s="129">
        <f t="shared" si="6"/>
        <v>0.02</v>
      </c>
      <c r="AO33" s="129">
        <f t="shared" si="7"/>
        <v>0</v>
      </c>
      <c r="AP33" s="77">
        <v>2145651</v>
      </c>
      <c r="AQ33" s="77">
        <f t="shared" si="8"/>
        <v>247091005</v>
      </c>
      <c r="AR33" s="77">
        <f>ROUND(AQ33/'Table 3 Levels 1&amp;2'!C34,2)</f>
        <v>5479.83</v>
      </c>
    </row>
    <row r="34" spans="1:44">
      <c r="A34" s="12">
        <v>27</v>
      </c>
      <c r="B34" s="69" t="s">
        <v>121</v>
      </c>
      <c r="C34" s="14">
        <v>223782762</v>
      </c>
      <c r="D34" s="14">
        <v>46005700</v>
      </c>
      <c r="E34" s="14">
        <f t="shared" si="9"/>
        <v>177777062</v>
      </c>
      <c r="F34" s="14">
        <v>174156213</v>
      </c>
      <c r="G34" s="590">
        <f t="shared" si="10"/>
        <v>2.0790811522756296E-2</v>
      </c>
      <c r="H34" s="591">
        <f t="shared" si="1"/>
        <v>177777062</v>
      </c>
      <c r="I34" s="499">
        <v>6.48</v>
      </c>
      <c r="J34" s="484">
        <v>1142639</v>
      </c>
      <c r="K34" s="499">
        <v>10.77</v>
      </c>
      <c r="L34" s="484">
        <v>1899105</v>
      </c>
      <c r="M34" s="483">
        <v>4.0199999999999996</v>
      </c>
      <c r="N34" s="483">
        <v>17.3</v>
      </c>
      <c r="O34" s="483">
        <v>7</v>
      </c>
      <c r="P34" s="484">
        <v>2061866</v>
      </c>
      <c r="Q34" s="77">
        <f t="shared" si="11"/>
        <v>5103610</v>
      </c>
      <c r="R34" s="483">
        <v>0</v>
      </c>
      <c r="S34" s="484">
        <v>0</v>
      </c>
      <c r="T34" s="483">
        <v>3.3</v>
      </c>
      <c r="U34" s="483">
        <v>17.55</v>
      </c>
      <c r="V34" s="483">
        <v>7</v>
      </c>
      <c r="W34" s="484">
        <v>2015863</v>
      </c>
      <c r="X34" s="14">
        <f t="shared" si="12"/>
        <v>2015863</v>
      </c>
      <c r="Y34" s="145">
        <f t="shared" si="13"/>
        <v>17.25</v>
      </c>
      <c r="Z34" s="14">
        <f t="shared" si="14"/>
        <v>3041744</v>
      </c>
      <c r="AA34" s="14">
        <f t="shared" si="15"/>
        <v>4077729</v>
      </c>
      <c r="AB34" s="146">
        <f t="shared" si="2"/>
        <v>11.34</v>
      </c>
      <c r="AC34" s="147">
        <f t="shared" si="3"/>
        <v>28.71</v>
      </c>
      <c r="AD34" s="127">
        <f t="shared" si="4"/>
        <v>40.049999999999997</v>
      </c>
      <c r="AE34" s="77">
        <f t="shared" si="16"/>
        <v>7119473</v>
      </c>
      <c r="AF34" s="155">
        <v>2.5000000000000001E-2</v>
      </c>
      <c r="AG34" s="281">
        <v>9126451</v>
      </c>
      <c r="AH34" s="281">
        <v>1325624</v>
      </c>
      <c r="AI34" s="494">
        <f t="shared" si="17"/>
        <v>10452075</v>
      </c>
      <c r="AJ34" s="77">
        <v>398446080</v>
      </c>
      <c r="AK34" s="77">
        <f t="shared" si="20"/>
        <v>418083000</v>
      </c>
      <c r="AL34" s="597">
        <f t="shared" si="18"/>
        <v>4.9283757541296429E-2</v>
      </c>
      <c r="AM34" s="600">
        <f t="shared" si="19"/>
        <v>418083000</v>
      </c>
      <c r="AN34" s="129">
        <f t="shared" si="6"/>
        <v>2.1829280310368994E-2</v>
      </c>
      <c r="AO34" s="129">
        <f t="shared" si="7"/>
        <v>3.1707196896310062E-3</v>
      </c>
      <c r="AP34" s="77">
        <v>317110.5</v>
      </c>
      <c r="AQ34" s="77">
        <f t="shared" si="8"/>
        <v>17888658.5</v>
      </c>
      <c r="AR34" s="77">
        <f>ROUND(AQ34/'Table 3 Levels 1&amp;2'!C35,2)</f>
        <v>3184.17</v>
      </c>
    </row>
    <row r="35" spans="1:44">
      <c r="A35" s="12">
        <v>28</v>
      </c>
      <c r="B35" s="69" t="s">
        <v>122</v>
      </c>
      <c r="C35" s="14">
        <v>1994635544</v>
      </c>
      <c r="D35" s="14">
        <v>350895141</v>
      </c>
      <c r="E35" s="14">
        <f t="shared" si="9"/>
        <v>1643740403</v>
      </c>
      <c r="F35" s="14">
        <v>1629435454</v>
      </c>
      <c r="G35" s="590">
        <f t="shared" si="10"/>
        <v>8.7790829424287224E-3</v>
      </c>
      <c r="H35" s="591">
        <f t="shared" si="1"/>
        <v>1643740403</v>
      </c>
      <c r="I35" s="499">
        <v>4.59</v>
      </c>
      <c r="J35" s="484">
        <v>7284798</v>
      </c>
      <c r="K35" s="499">
        <v>28.97</v>
      </c>
      <c r="L35" s="484">
        <v>46048026</v>
      </c>
      <c r="M35" s="483">
        <v>0</v>
      </c>
      <c r="N35" s="483">
        <v>0</v>
      </c>
      <c r="O35" s="483">
        <v>0</v>
      </c>
      <c r="P35" s="484">
        <v>0</v>
      </c>
      <c r="Q35" s="77">
        <f t="shared" si="11"/>
        <v>53332824</v>
      </c>
      <c r="R35" s="483">
        <v>0</v>
      </c>
      <c r="S35" s="484">
        <v>0</v>
      </c>
      <c r="T35" s="483">
        <v>0</v>
      </c>
      <c r="U35" s="483">
        <v>0</v>
      </c>
      <c r="V35" s="483">
        <v>0</v>
      </c>
      <c r="W35" s="484">
        <v>0</v>
      </c>
      <c r="X35" s="14">
        <f t="shared" si="12"/>
        <v>0</v>
      </c>
      <c r="Y35" s="145">
        <f t="shared" si="13"/>
        <v>33.56</v>
      </c>
      <c r="Z35" s="14">
        <f t="shared" si="14"/>
        <v>53332824</v>
      </c>
      <c r="AA35" s="14">
        <f t="shared" si="15"/>
        <v>0</v>
      </c>
      <c r="AB35" s="146">
        <f t="shared" si="2"/>
        <v>0</v>
      </c>
      <c r="AC35" s="147">
        <f t="shared" si="3"/>
        <v>32.450000000000003</v>
      </c>
      <c r="AD35" s="127">
        <f t="shared" si="4"/>
        <v>32.450000000000003</v>
      </c>
      <c r="AE35" s="77">
        <f t="shared" si="16"/>
        <v>53332824</v>
      </c>
      <c r="AF35" s="155">
        <v>0.02</v>
      </c>
      <c r="AG35" s="281">
        <v>98896195</v>
      </c>
      <c r="AH35" s="281">
        <v>7482679</v>
      </c>
      <c r="AI35" s="494">
        <f t="shared" si="17"/>
        <v>106378874</v>
      </c>
      <c r="AJ35" s="77">
        <v>4904815000</v>
      </c>
      <c r="AK35" s="77">
        <f t="shared" si="20"/>
        <v>5318943700</v>
      </c>
      <c r="AL35" s="597">
        <f t="shared" si="18"/>
        <v>8.443309278739361E-2</v>
      </c>
      <c r="AM35" s="600">
        <f t="shared" si="19"/>
        <v>5318943700</v>
      </c>
      <c r="AN35" s="129">
        <f t="shared" si="6"/>
        <v>1.8593202067545854E-2</v>
      </c>
      <c r="AO35" s="129">
        <f t="shared" si="7"/>
        <v>1.4067979324541449E-3</v>
      </c>
      <c r="AP35" s="77">
        <v>2195963.5</v>
      </c>
      <c r="AQ35" s="77">
        <f t="shared" si="8"/>
        <v>161907661.5</v>
      </c>
      <c r="AR35" s="77">
        <f>ROUND(AQ35/'Table 3 Levels 1&amp;2'!C36,2)</f>
        <v>5366.51</v>
      </c>
    </row>
    <row r="36" spans="1:44">
      <c r="A36" s="12">
        <v>29</v>
      </c>
      <c r="B36" s="69" t="s">
        <v>123</v>
      </c>
      <c r="C36" s="14">
        <v>914751460</v>
      </c>
      <c r="D36" s="14">
        <v>165590279</v>
      </c>
      <c r="E36" s="14">
        <f t="shared" si="9"/>
        <v>749161181</v>
      </c>
      <c r="F36" s="14">
        <v>733980871</v>
      </c>
      <c r="G36" s="129">
        <f t="shared" si="10"/>
        <v>2.0682160257552543E-2</v>
      </c>
      <c r="H36" s="1388">
        <f t="shared" si="1"/>
        <v>749161181</v>
      </c>
      <c r="I36" s="499">
        <v>3.63</v>
      </c>
      <c r="J36" s="484">
        <v>2662284</v>
      </c>
      <c r="K36" s="499">
        <v>22.47</v>
      </c>
      <c r="L36" s="484">
        <v>16479756</v>
      </c>
      <c r="M36" s="483">
        <v>0</v>
      </c>
      <c r="N36" s="483">
        <v>0</v>
      </c>
      <c r="O36" s="483">
        <v>0</v>
      </c>
      <c r="P36" s="484">
        <v>0</v>
      </c>
      <c r="Q36" s="77">
        <f t="shared" si="11"/>
        <v>19142040</v>
      </c>
      <c r="R36" s="483">
        <v>17.2</v>
      </c>
      <c r="S36" s="484">
        <v>12614677</v>
      </c>
      <c r="T36" s="483">
        <v>0</v>
      </c>
      <c r="U36" s="483">
        <v>0</v>
      </c>
      <c r="V36" s="483">
        <v>0</v>
      </c>
      <c r="W36" s="484">
        <v>0</v>
      </c>
      <c r="X36" s="14">
        <f t="shared" si="12"/>
        <v>12614677</v>
      </c>
      <c r="Y36" s="145">
        <f t="shared" si="13"/>
        <v>43.3</v>
      </c>
      <c r="Z36" s="14">
        <f t="shared" si="14"/>
        <v>31756717</v>
      </c>
      <c r="AA36" s="14">
        <f t="shared" si="15"/>
        <v>0</v>
      </c>
      <c r="AB36" s="146">
        <f t="shared" si="2"/>
        <v>16.84</v>
      </c>
      <c r="AC36" s="147">
        <f t="shared" si="3"/>
        <v>25.55</v>
      </c>
      <c r="AD36" s="127">
        <f t="shared" si="4"/>
        <v>42.39</v>
      </c>
      <c r="AE36" s="77">
        <f t="shared" si="16"/>
        <v>31756717</v>
      </c>
      <c r="AF36" s="155">
        <v>0.02</v>
      </c>
      <c r="AG36" s="281">
        <v>28382070</v>
      </c>
      <c r="AH36" s="281">
        <v>0</v>
      </c>
      <c r="AI36" s="494">
        <f t="shared" si="17"/>
        <v>28382070</v>
      </c>
      <c r="AJ36" s="77">
        <v>1437947300</v>
      </c>
      <c r="AK36" s="77">
        <f t="shared" si="20"/>
        <v>1419103500</v>
      </c>
      <c r="AL36" s="597">
        <f t="shared" si="18"/>
        <v>-1.3104652722669322E-2</v>
      </c>
      <c r="AM36" s="600">
        <f t="shared" si="19"/>
        <v>1419103500</v>
      </c>
      <c r="AN36" s="129">
        <f t="shared" si="6"/>
        <v>0.02</v>
      </c>
      <c r="AO36" s="129">
        <f t="shared" si="7"/>
        <v>0</v>
      </c>
      <c r="AP36" s="77">
        <v>982660</v>
      </c>
      <c r="AQ36" s="77">
        <f t="shared" si="8"/>
        <v>61121447</v>
      </c>
      <c r="AR36" s="77">
        <f>ROUND(AQ36/'Table 3 Levels 1&amp;2'!C37,2)</f>
        <v>4433.2700000000004</v>
      </c>
    </row>
    <row r="37" spans="1:44">
      <c r="A37" s="18">
        <v>30</v>
      </c>
      <c r="B37" s="70" t="s">
        <v>124</v>
      </c>
      <c r="C37" s="20">
        <v>87212385</v>
      </c>
      <c r="D37" s="20">
        <v>20103678</v>
      </c>
      <c r="E37" s="20">
        <f t="shared" si="9"/>
        <v>67108707</v>
      </c>
      <c r="F37" s="20">
        <v>62448120</v>
      </c>
      <c r="G37" s="761">
        <f t="shared" si="10"/>
        <v>7.463134198435438E-2</v>
      </c>
      <c r="H37" s="762">
        <f t="shared" si="1"/>
        <v>67108707</v>
      </c>
      <c r="I37" s="500">
        <v>5.14</v>
      </c>
      <c r="J37" s="486">
        <v>319657</v>
      </c>
      <c r="K37" s="500">
        <v>44.96</v>
      </c>
      <c r="L37" s="486">
        <v>2796064</v>
      </c>
      <c r="M37" s="485">
        <v>0</v>
      </c>
      <c r="N37" s="485">
        <v>0</v>
      </c>
      <c r="O37" s="485">
        <v>0</v>
      </c>
      <c r="P37" s="486">
        <v>0</v>
      </c>
      <c r="Q37" s="78">
        <f t="shared" si="11"/>
        <v>3115721</v>
      </c>
      <c r="R37" s="485">
        <v>0</v>
      </c>
      <c r="S37" s="486">
        <v>0</v>
      </c>
      <c r="T37" s="485">
        <v>0</v>
      </c>
      <c r="U37" s="485">
        <v>0</v>
      </c>
      <c r="V37" s="485">
        <v>0</v>
      </c>
      <c r="W37" s="486">
        <v>0</v>
      </c>
      <c r="X37" s="20">
        <f t="shared" si="12"/>
        <v>0</v>
      </c>
      <c r="Y37" s="148">
        <f t="shared" si="13"/>
        <v>50.1</v>
      </c>
      <c r="Z37" s="20">
        <f t="shared" si="14"/>
        <v>3115721</v>
      </c>
      <c r="AA37" s="20">
        <f t="shared" si="15"/>
        <v>0</v>
      </c>
      <c r="AB37" s="149">
        <f t="shared" si="2"/>
        <v>0</v>
      </c>
      <c r="AC37" s="150">
        <f t="shared" si="3"/>
        <v>46.43</v>
      </c>
      <c r="AD37" s="128">
        <f t="shared" si="4"/>
        <v>46.43</v>
      </c>
      <c r="AE37" s="78">
        <f t="shared" si="16"/>
        <v>3115721</v>
      </c>
      <c r="AF37" s="156">
        <v>0.03</v>
      </c>
      <c r="AG37" s="282">
        <v>5409911</v>
      </c>
      <c r="AH37" s="282">
        <v>825000</v>
      </c>
      <c r="AI37" s="495">
        <f t="shared" si="17"/>
        <v>6234911</v>
      </c>
      <c r="AJ37" s="78">
        <v>191570267</v>
      </c>
      <c r="AK37" s="78">
        <f t="shared" si="20"/>
        <v>207830367</v>
      </c>
      <c r="AL37" s="598">
        <f t="shared" si="18"/>
        <v>8.4877994140917498E-2</v>
      </c>
      <c r="AM37" s="601">
        <f t="shared" si="19"/>
        <v>207830367</v>
      </c>
      <c r="AN37" s="130">
        <f t="shared" si="6"/>
        <v>2.6030416430915509E-2</v>
      </c>
      <c r="AO37" s="130">
        <f t="shared" si="7"/>
        <v>3.9695835209683289E-3</v>
      </c>
      <c r="AP37" s="78">
        <v>86133.5</v>
      </c>
      <c r="AQ37" s="78">
        <f t="shared" si="8"/>
        <v>9436765.5</v>
      </c>
      <c r="AR37" s="78">
        <f>ROUND(AQ37/'Table 3 Levels 1&amp;2'!C38,2)</f>
        <v>3809.76</v>
      </c>
    </row>
    <row r="38" spans="1:44">
      <c r="A38" s="12">
        <v>31</v>
      </c>
      <c r="B38" s="69" t="s">
        <v>125</v>
      </c>
      <c r="C38" s="14">
        <v>412009020</v>
      </c>
      <c r="D38" s="14">
        <v>57082309</v>
      </c>
      <c r="E38" s="14">
        <f t="shared" si="9"/>
        <v>354926711</v>
      </c>
      <c r="F38" s="14">
        <v>353245346</v>
      </c>
      <c r="G38" s="590">
        <f t="shared" si="10"/>
        <v>4.7597654690686286E-3</v>
      </c>
      <c r="H38" s="591">
        <f t="shared" si="1"/>
        <v>354926711</v>
      </c>
      <c r="I38" s="499">
        <v>4.2300000000000004</v>
      </c>
      <c r="J38" s="484">
        <v>1503842</v>
      </c>
      <c r="K38" s="499">
        <v>28.62</v>
      </c>
      <c r="L38" s="484">
        <v>10176658</v>
      </c>
      <c r="M38" s="483">
        <v>4.9400000000000004</v>
      </c>
      <c r="N38" s="483">
        <v>11.85</v>
      </c>
      <c r="O38" s="483">
        <v>4</v>
      </c>
      <c r="P38" s="484">
        <v>989258</v>
      </c>
      <c r="Q38" s="77">
        <f t="shared" si="11"/>
        <v>12669758</v>
      </c>
      <c r="R38" s="483">
        <v>0</v>
      </c>
      <c r="S38" s="484">
        <v>0</v>
      </c>
      <c r="T38" s="483">
        <v>16.95</v>
      </c>
      <c r="U38" s="483">
        <v>40</v>
      </c>
      <c r="V38" s="483">
        <v>4</v>
      </c>
      <c r="W38" s="484">
        <v>3626315</v>
      </c>
      <c r="X38" s="14">
        <f t="shared" si="12"/>
        <v>3626315</v>
      </c>
      <c r="Y38" s="145">
        <f t="shared" si="13"/>
        <v>32.85</v>
      </c>
      <c r="Z38" s="14">
        <f t="shared" si="14"/>
        <v>11680500</v>
      </c>
      <c r="AA38" s="14">
        <f t="shared" si="15"/>
        <v>4615573</v>
      </c>
      <c r="AB38" s="146">
        <f t="shared" si="2"/>
        <v>10.220000000000001</v>
      </c>
      <c r="AC38" s="147">
        <f t="shared" si="3"/>
        <v>35.700000000000003</v>
      </c>
      <c r="AD38" s="127">
        <f t="shared" si="4"/>
        <v>45.91</v>
      </c>
      <c r="AE38" s="77">
        <f t="shared" si="16"/>
        <v>16296073</v>
      </c>
      <c r="AF38" s="155">
        <v>0.02</v>
      </c>
      <c r="AG38" s="281">
        <v>14341049</v>
      </c>
      <c r="AH38" s="281">
        <v>0</v>
      </c>
      <c r="AI38" s="494">
        <f t="shared" si="17"/>
        <v>14341049</v>
      </c>
      <c r="AJ38" s="77">
        <v>725188000</v>
      </c>
      <c r="AK38" s="77">
        <f t="shared" si="20"/>
        <v>717052450</v>
      </c>
      <c r="AL38" s="597">
        <f t="shared" si="18"/>
        <v>-1.1218539192595574E-2</v>
      </c>
      <c r="AM38" s="600">
        <f t="shared" si="19"/>
        <v>717052450</v>
      </c>
      <c r="AN38" s="129">
        <f t="shared" si="6"/>
        <v>0.02</v>
      </c>
      <c r="AO38" s="129">
        <f t="shared" si="7"/>
        <v>0</v>
      </c>
      <c r="AP38" s="77">
        <v>306872</v>
      </c>
      <c r="AQ38" s="77">
        <f t="shared" si="8"/>
        <v>30943994</v>
      </c>
      <c r="AR38" s="77">
        <f>ROUND(AQ38/'Table 3 Levels 1&amp;2'!C39,2)</f>
        <v>4769.42</v>
      </c>
    </row>
    <row r="39" spans="1:44">
      <c r="A39" s="12">
        <v>32</v>
      </c>
      <c r="B39" s="69" t="s">
        <v>126</v>
      </c>
      <c r="C39" s="14">
        <v>647856900</v>
      </c>
      <c r="D39" s="14">
        <v>225468750</v>
      </c>
      <c r="E39" s="14">
        <f t="shared" si="9"/>
        <v>422388150</v>
      </c>
      <c r="F39" s="14">
        <v>408916490</v>
      </c>
      <c r="G39" s="590">
        <f t="shared" si="10"/>
        <v>3.2944770703671057E-2</v>
      </c>
      <c r="H39" s="591">
        <f t="shared" si="1"/>
        <v>422388150</v>
      </c>
      <c r="I39" s="499">
        <v>3.29</v>
      </c>
      <c r="J39" s="484">
        <v>1355053</v>
      </c>
      <c r="K39" s="499">
        <v>19.18</v>
      </c>
      <c r="L39" s="484">
        <v>7899583</v>
      </c>
      <c r="M39" s="483">
        <v>0</v>
      </c>
      <c r="N39" s="483">
        <v>0</v>
      </c>
      <c r="O39" s="483">
        <v>0</v>
      </c>
      <c r="P39" s="484">
        <v>0</v>
      </c>
      <c r="Q39" s="77">
        <f t="shared" si="11"/>
        <v>9254636</v>
      </c>
      <c r="R39" s="483">
        <v>0</v>
      </c>
      <c r="S39" s="484">
        <v>0</v>
      </c>
      <c r="T39" s="483">
        <v>8.7899999999999991</v>
      </c>
      <c r="U39" s="483">
        <v>46.87</v>
      </c>
      <c r="V39" s="483">
        <v>10</v>
      </c>
      <c r="W39" s="484">
        <v>5631056</v>
      </c>
      <c r="X39" s="14">
        <f t="shared" si="12"/>
        <v>5631056</v>
      </c>
      <c r="Y39" s="145">
        <f t="shared" si="13"/>
        <v>22.47</v>
      </c>
      <c r="Z39" s="14">
        <f t="shared" si="14"/>
        <v>9254636</v>
      </c>
      <c r="AA39" s="14">
        <f t="shared" si="15"/>
        <v>5631056</v>
      </c>
      <c r="AB39" s="146">
        <f t="shared" si="2"/>
        <v>13.33</v>
      </c>
      <c r="AC39" s="147">
        <f t="shared" si="3"/>
        <v>21.91</v>
      </c>
      <c r="AD39" s="127">
        <f t="shared" si="4"/>
        <v>35.24</v>
      </c>
      <c r="AE39" s="77">
        <f t="shared" si="16"/>
        <v>14885692</v>
      </c>
      <c r="AF39" s="155">
        <v>2.5000000000000001E-2</v>
      </c>
      <c r="AG39" s="281">
        <v>33545396</v>
      </c>
      <c r="AH39" s="281">
        <v>1155206</v>
      </c>
      <c r="AI39" s="497">
        <f>AG39+AH39</f>
        <v>34700602</v>
      </c>
      <c r="AJ39" s="77">
        <v>1265542400</v>
      </c>
      <c r="AK39" s="77">
        <f t="shared" si="20"/>
        <v>1388024080</v>
      </c>
      <c r="AL39" s="597">
        <f t="shared" si="18"/>
        <v>9.6781964792329367E-2</v>
      </c>
      <c r="AM39" s="600">
        <f t="shared" si="19"/>
        <v>1388024080</v>
      </c>
      <c r="AN39" s="129">
        <f t="shared" si="6"/>
        <v>2.4167733458918091E-2</v>
      </c>
      <c r="AO39" s="129">
        <f t="shared" si="7"/>
        <v>8.3226654108190976E-4</v>
      </c>
      <c r="AP39" s="77">
        <v>938971.5</v>
      </c>
      <c r="AQ39" s="77">
        <f t="shared" si="8"/>
        <v>50525265.5</v>
      </c>
      <c r="AR39" s="77">
        <f>ROUND(AQ39/'Table 3 Levels 1&amp;2'!C40,2)</f>
        <v>2032.88</v>
      </c>
    </row>
    <row r="40" spans="1:44">
      <c r="A40" s="12">
        <v>33</v>
      </c>
      <c r="B40" s="69" t="s">
        <v>127</v>
      </c>
      <c r="C40" s="14">
        <v>116032191</v>
      </c>
      <c r="D40" s="14">
        <v>10202648</v>
      </c>
      <c r="E40" s="14">
        <f t="shared" si="9"/>
        <v>105829543</v>
      </c>
      <c r="F40" s="14">
        <v>103343170</v>
      </c>
      <c r="G40" s="129">
        <f t="shared" si="10"/>
        <v>2.4059383895423374E-2</v>
      </c>
      <c r="H40" s="1388">
        <f t="shared" ref="H40:H76" si="21">IF((E40-F40)/F40&gt;$H$5,F40*(1+$H$5),E40)</f>
        <v>105829543</v>
      </c>
      <c r="I40" s="499">
        <v>4.76</v>
      </c>
      <c r="J40" s="484">
        <v>486166</v>
      </c>
      <c r="K40" s="499">
        <v>5.27</v>
      </c>
      <c r="L40" s="484">
        <v>538249</v>
      </c>
      <c r="M40" s="483">
        <v>0</v>
      </c>
      <c r="N40" s="483">
        <v>0</v>
      </c>
      <c r="O40" s="483">
        <v>0</v>
      </c>
      <c r="P40" s="484">
        <v>0</v>
      </c>
      <c r="Q40" s="77">
        <f t="shared" si="11"/>
        <v>1024415</v>
      </c>
      <c r="R40" s="483">
        <v>13.65</v>
      </c>
      <c r="S40" s="484">
        <v>1394053</v>
      </c>
      <c r="T40" s="483">
        <v>0</v>
      </c>
      <c r="U40" s="483">
        <v>0</v>
      </c>
      <c r="V40" s="483">
        <v>0</v>
      </c>
      <c r="W40" s="484">
        <v>0</v>
      </c>
      <c r="X40" s="14">
        <f t="shared" si="12"/>
        <v>1394053</v>
      </c>
      <c r="Y40" s="145">
        <f t="shared" si="13"/>
        <v>23.68</v>
      </c>
      <c r="Z40" s="14">
        <f t="shared" si="14"/>
        <v>2418468</v>
      </c>
      <c r="AA40" s="14">
        <f t="shared" si="15"/>
        <v>0</v>
      </c>
      <c r="AB40" s="146">
        <f t="shared" ref="AB40:AB71" si="22">ROUND((X40/E40)*1000,2)</f>
        <v>13.17</v>
      </c>
      <c r="AC40" s="147">
        <f t="shared" ref="AC40:AC71" si="23">ROUND((Q40/E40)*1000,2)</f>
        <v>9.68</v>
      </c>
      <c r="AD40" s="127">
        <f t="shared" ref="AD40:AD71" si="24">ROUND((AE40/E40)*1000,2)</f>
        <v>22.85</v>
      </c>
      <c r="AE40" s="77">
        <f t="shared" si="16"/>
        <v>2418468</v>
      </c>
      <c r="AF40" s="155">
        <v>2.5000000000000001E-2</v>
      </c>
      <c r="AG40" s="281">
        <v>1682849</v>
      </c>
      <c r="AH40" s="281">
        <v>1121863</v>
      </c>
      <c r="AI40" s="494">
        <f t="shared" si="17"/>
        <v>2804712</v>
      </c>
      <c r="AJ40" s="77">
        <v>124717280</v>
      </c>
      <c r="AK40" s="77">
        <f t="shared" si="20"/>
        <v>112188480</v>
      </c>
      <c r="AL40" s="597">
        <f t="shared" si="18"/>
        <v>-0.10045761100626954</v>
      </c>
      <c r="AM40" s="600">
        <f t="shared" si="19"/>
        <v>112188480</v>
      </c>
      <c r="AN40" s="129">
        <f t="shared" ref="AN40:AN76" si="25">AG40/AK40</f>
        <v>1.5000194315851324E-2</v>
      </c>
      <c r="AO40" s="129">
        <f t="shared" ref="AO40:AO76" si="26">AH40/AK40</f>
        <v>9.9998056841486757E-3</v>
      </c>
      <c r="AP40" s="77">
        <v>97126</v>
      </c>
      <c r="AQ40" s="77">
        <f t="shared" ref="AQ40:AQ71" si="27">AP40+AE40+AI40</f>
        <v>5320306</v>
      </c>
      <c r="AR40" s="77">
        <f>ROUND(AQ40/'Table 3 Levels 1&amp;2'!C41,2)</f>
        <v>2749.51</v>
      </c>
    </row>
    <row r="41" spans="1:44">
      <c r="A41" s="12">
        <v>34</v>
      </c>
      <c r="B41" s="69" t="s">
        <v>128</v>
      </c>
      <c r="C41" s="14">
        <v>188798960</v>
      </c>
      <c r="D41" s="14">
        <v>36509244</v>
      </c>
      <c r="E41" s="14">
        <f t="shared" si="9"/>
        <v>152289716</v>
      </c>
      <c r="F41" s="14">
        <v>151746769</v>
      </c>
      <c r="G41" s="590">
        <f t="shared" si="10"/>
        <v>3.5779806290307243E-3</v>
      </c>
      <c r="H41" s="591">
        <f t="shared" si="21"/>
        <v>152289716</v>
      </c>
      <c r="I41" s="499">
        <v>5.22</v>
      </c>
      <c r="J41" s="484">
        <v>787195</v>
      </c>
      <c r="K41" s="499">
        <v>22.46</v>
      </c>
      <c r="L41" s="484">
        <v>3387030</v>
      </c>
      <c r="M41" s="483">
        <v>5</v>
      </c>
      <c r="N41" s="483">
        <v>9.9499999999999993</v>
      </c>
      <c r="O41" s="483">
        <v>2</v>
      </c>
      <c r="P41" s="484">
        <v>468550</v>
      </c>
      <c r="Q41" s="77">
        <f t="shared" si="11"/>
        <v>4642775</v>
      </c>
      <c r="R41" s="483">
        <v>10</v>
      </c>
      <c r="S41" s="484">
        <v>1507778</v>
      </c>
      <c r="T41" s="483">
        <v>0</v>
      </c>
      <c r="U41" s="483">
        <v>0</v>
      </c>
      <c r="V41" s="483">
        <v>0</v>
      </c>
      <c r="W41" s="484">
        <v>0</v>
      </c>
      <c r="X41" s="14">
        <f t="shared" si="12"/>
        <v>1507778</v>
      </c>
      <c r="Y41" s="145">
        <f t="shared" si="13"/>
        <v>37.68</v>
      </c>
      <c r="Z41" s="14">
        <f t="shared" si="14"/>
        <v>5682003</v>
      </c>
      <c r="AA41" s="14">
        <f t="shared" si="15"/>
        <v>468550</v>
      </c>
      <c r="AB41" s="146">
        <f t="shared" si="22"/>
        <v>9.9</v>
      </c>
      <c r="AC41" s="147">
        <f t="shared" si="23"/>
        <v>30.49</v>
      </c>
      <c r="AD41" s="127">
        <f t="shared" si="24"/>
        <v>40.39</v>
      </c>
      <c r="AE41" s="77">
        <f t="shared" si="16"/>
        <v>6150553</v>
      </c>
      <c r="AF41" s="155">
        <v>0.02</v>
      </c>
      <c r="AG41" s="281">
        <v>5912154</v>
      </c>
      <c r="AH41" s="281">
        <v>0</v>
      </c>
      <c r="AI41" s="494">
        <f t="shared" si="17"/>
        <v>5912154</v>
      </c>
      <c r="AJ41" s="77">
        <v>289578450</v>
      </c>
      <c r="AK41" s="77">
        <f t="shared" si="20"/>
        <v>295607700</v>
      </c>
      <c r="AL41" s="597">
        <f t="shared" si="18"/>
        <v>2.0820782761976936E-2</v>
      </c>
      <c r="AM41" s="600">
        <f t="shared" si="19"/>
        <v>295607700</v>
      </c>
      <c r="AN41" s="129">
        <f t="shared" si="25"/>
        <v>0.02</v>
      </c>
      <c r="AO41" s="129">
        <f t="shared" si="26"/>
        <v>0</v>
      </c>
      <c r="AP41" s="77">
        <v>246493.5</v>
      </c>
      <c r="AQ41" s="77">
        <f t="shared" si="27"/>
        <v>12309200.5</v>
      </c>
      <c r="AR41" s="77">
        <f>ROUND(AQ41/'Table 3 Levels 1&amp;2'!C42,2)</f>
        <v>2869.95</v>
      </c>
    </row>
    <row r="42" spans="1:44">
      <c r="A42" s="18">
        <v>35</v>
      </c>
      <c r="B42" s="70" t="s">
        <v>129</v>
      </c>
      <c r="C42" s="20">
        <v>292734730</v>
      </c>
      <c r="D42" s="20">
        <v>50880086</v>
      </c>
      <c r="E42" s="20">
        <f t="shared" si="9"/>
        <v>241854644</v>
      </c>
      <c r="F42" s="20">
        <v>224573114</v>
      </c>
      <c r="G42" s="761">
        <f t="shared" si="10"/>
        <v>7.6952800324975673E-2</v>
      </c>
      <c r="H42" s="762">
        <f t="shared" si="21"/>
        <v>241854644</v>
      </c>
      <c r="I42" s="500">
        <v>4.6500000000000004</v>
      </c>
      <c r="J42" s="486">
        <v>1066853</v>
      </c>
      <c r="K42" s="500">
        <v>7</v>
      </c>
      <c r="L42" s="486">
        <v>1606015</v>
      </c>
      <c r="M42" s="485">
        <v>7</v>
      </c>
      <c r="N42" s="485">
        <v>20</v>
      </c>
      <c r="O42" s="485">
        <v>5</v>
      </c>
      <c r="P42" s="486">
        <v>1751002</v>
      </c>
      <c r="Q42" s="78">
        <f t="shared" si="11"/>
        <v>4423870</v>
      </c>
      <c r="R42" s="485">
        <v>0</v>
      </c>
      <c r="S42" s="486">
        <v>0</v>
      </c>
      <c r="T42" s="485">
        <v>10</v>
      </c>
      <c r="U42" s="485">
        <v>14</v>
      </c>
      <c r="V42" s="485">
        <v>3</v>
      </c>
      <c r="W42" s="486">
        <v>2576445</v>
      </c>
      <c r="X42" s="20">
        <f t="shared" si="12"/>
        <v>2576445</v>
      </c>
      <c r="Y42" s="148">
        <f t="shared" si="13"/>
        <v>11.65</v>
      </c>
      <c r="Z42" s="20">
        <f t="shared" si="14"/>
        <v>2672868</v>
      </c>
      <c r="AA42" s="20">
        <f t="shared" si="15"/>
        <v>4327447</v>
      </c>
      <c r="AB42" s="149">
        <f t="shared" si="22"/>
        <v>10.65</v>
      </c>
      <c r="AC42" s="150">
        <f t="shared" si="23"/>
        <v>18.29</v>
      </c>
      <c r="AD42" s="128">
        <f t="shared" si="24"/>
        <v>28.94</v>
      </c>
      <c r="AE42" s="78">
        <f t="shared" si="16"/>
        <v>7000315</v>
      </c>
      <c r="AF42" s="156">
        <v>0.02</v>
      </c>
      <c r="AG42" s="282">
        <v>15482135</v>
      </c>
      <c r="AH42" s="282">
        <v>0</v>
      </c>
      <c r="AI42" s="495">
        <f t="shared" si="17"/>
        <v>15482135</v>
      </c>
      <c r="AJ42" s="78">
        <v>665957400</v>
      </c>
      <c r="AK42" s="78">
        <f t="shared" si="20"/>
        <v>774106750</v>
      </c>
      <c r="AL42" s="759">
        <f t="shared" si="18"/>
        <v>0.16239679895440759</v>
      </c>
      <c r="AM42" s="760">
        <f t="shared" si="19"/>
        <v>765851010</v>
      </c>
      <c r="AN42" s="130">
        <f t="shared" si="25"/>
        <v>0.02</v>
      </c>
      <c r="AO42" s="130">
        <f t="shared" si="26"/>
        <v>0</v>
      </c>
      <c r="AP42" s="78">
        <v>1089831</v>
      </c>
      <c r="AQ42" s="78">
        <f t="shared" si="27"/>
        <v>23572281</v>
      </c>
      <c r="AR42" s="78">
        <f>ROUND(AQ42/'Table 3 Levels 1&amp;2'!C43,2)</f>
        <v>3618.71</v>
      </c>
    </row>
    <row r="43" spans="1:44">
      <c r="A43" s="12">
        <v>36</v>
      </c>
      <c r="B43" s="69" t="s">
        <v>130</v>
      </c>
      <c r="C43" s="14">
        <v>3334929042</v>
      </c>
      <c r="D43" s="14">
        <v>385256805</v>
      </c>
      <c r="E43" s="14">
        <f t="shared" si="9"/>
        <v>2949672237</v>
      </c>
      <c r="F43" s="14">
        <v>2766725610</v>
      </c>
      <c r="G43" s="590">
        <f t="shared" si="10"/>
        <v>6.6123878110196835E-2</v>
      </c>
      <c r="H43" s="591">
        <f t="shared" si="21"/>
        <v>2949672237</v>
      </c>
      <c r="I43" s="499">
        <v>27.65</v>
      </c>
      <c r="J43" s="484">
        <v>77046246</v>
      </c>
      <c r="K43" s="499">
        <v>11.5</v>
      </c>
      <c r="L43" s="484">
        <v>29877503</v>
      </c>
      <c r="M43" s="483">
        <v>0</v>
      </c>
      <c r="N43" s="483">
        <v>0</v>
      </c>
      <c r="O43" s="483">
        <v>0</v>
      </c>
      <c r="P43" s="484">
        <v>0</v>
      </c>
      <c r="Q43" s="77">
        <f t="shared" si="11"/>
        <v>106923749</v>
      </c>
      <c r="R43" s="483">
        <v>4.97</v>
      </c>
      <c r="S43" s="484">
        <v>13523787</v>
      </c>
      <c r="T43" s="483">
        <v>0</v>
      </c>
      <c r="U43" s="483">
        <v>0</v>
      </c>
      <c r="V43" s="483">
        <v>0</v>
      </c>
      <c r="W43" s="484">
        <v>0</v>
      </c>
      <c r="X43" s="14">
        <f t="shared" si="12"/>
        <v>13523787</v>
      </c>
      <c r="Y43" s="145">
        <f t="shared" si="13"/>
        <v>44.12</v>
      </c>
      <c r="Z43" s="14">
        <f t="shared" si="14"/>
        <v>120447536</v>
      </c>
      <c r="AA43" s="14">
        <f t="shared" si="15"/>
        <v>0</v>
      </c>
      <c r="AB43" s="146">
        <f t="shared" si="22"/>
        <v>4.58</v>
      </c>
      <c r="AC43" s="147">
        <f t="shared" si="23"/>
        <v>36.25</v>
      </c>
      <c r="AD43" s="127">
        <f t="shared" si="24"/>
        <v>40.83</v>
      </c>
      <c r="AE43" s="77">
        <f t="shared" si="16"/>
        <v>120447536</v>
      </c>
      <c r="AF43" s="155">
        <v>1.4999999999999999E-2</v>
      </c>
      <c r="AG43" s="281">
        <v>75558162</v>
      </c>
      <c r="AH43" s="281">
        <v>15262624</v>
      </c>
      <c r="AI43" s="494">
        <f t="shared" si="17"/>
        <v>90820786</v>
      </c>
      <c r="AJ43" s="77">
        <v>6340641067</v>
      </c>
      <c r="AK43" s="77">
        <f t="shared" si="20"/>
        <v>6054719067</v>
      </c>
      <c r="AL43" s="597">
        <f t="shared" si="18"/>
        <v>-4.50935476363876E-2</v>
      </c>
      <c r="AM43" s="600">
        <f t="shared" si="19"/>
        <v>6054719067</v>
      </c>
      <c r="AN43" s="129">
        <f t="shared" si="25"/>
        <v>1.2479218468089496E-2</v>
      </c>
      <c r="AO43" s="129">
        <f t="shared" si="26"/>
        <v>2.5207815310847024E-3</v>
      </c>
      <c r="AP43" s="77">
        <v>2253417</v>
      </c>
      <c r="AQ43" s="77">
        <f t="shared" si="27"/>
        <v>213521739</v>
      </c>
      <c r="AR43" s="77">
        <f>ROUND(AQ43/'Table 3 Levels 1&amp;2'!C44,2)</f>
        <v>4832.2299999999996</v>
      </c>
    </row>
    <row r="44" spans="1:44">
      <c r="A44" s="12">
        <v>37</v>
      </c>
      <c r="B44" s="69" t="s">
        <v>131</v>
      </c>
      <c r="C44" s="14">
        <v>714480356</v>
      </c>
      <c r="D44" s="14">
        <v>158255332</v>
      </c>
      <c r="E44" s="14">
        <f t="shared" si="9"/>
        <v>556225024</v>
      </c>
      <c r="F44" s="14">
        <v>536837311</v>
      </c>
      <c r="G44" s="590">
        <f t="shared" si="10"/>
        <v>3.6114689874825037E-2</v>
      </c>
      <c r="H44" s="591">
        <f t="shared" si="21"/>
        <v>556225024</v>
      </c>
      <c r="I44" s="499">
        <v>5.18</v>
      </c>
      <c r="J44" s="484">
        <v>3089029</v>
      </c>
      <c r="K44" s="499">
        <v>24.15</v>
      </c>
      <c r="L44" s="484">
        <v>13091567</v>
      </c>
      <c r="M44" s="483">
        <v>0</v>
      </c>
      <c r="N44" s="483">
        <v>0</v>
      </c>
      <c r="O44" s="483">
        <v>1</v>
      </c>
      <c r="P44" s="484">
        <v>0</v>
      </c>
      <c r="Q44" s="77">
        <f t="shared" si="11"/>
        <v>16180596</v>
      </c>
      <c r="R44" s="483">
        <v>0</v>
      </c>
      <c r="S44" s="484">
        <v>6195095</v>
      </c>
      <c r="T44" s="483">
        <v>30</v>
      </c>
      <c r="U44" s="483">
        <v>30</v>
      </c>
      <c r="V44" s="483">
        <v>1</v>
      </c>
      <c r="W44" s="484">
        <v>0</v>
      </c>
      <c r="X44" s="14">
        <f t="shared" si="12"/>
        <v>6195095</v>
      </c>
      <c r="Y44" s="145">
        <f t="shared" si="13"/>
        <v>29.33</v>
      </c>
      <c r="Z44" s="14">
        <f t="shared" si="14"/>
        <v>22375691</v>
      </c>
      <c r="AA44" s="14">
        <f t="shared" si="15"/>
        <v>0</v>
      </c>
      <c r="AB44" s="146">
        <f t="shared" si="22"/>
        <v>11.14</v>
      </c>
      <c r="AC44" s="147">
        <f t="shared" si="23"/>
        <v>29.09</v>
      </c>
      <c r="AD44" s="127">
        <f t="shared" si="24"/>
        <v>40.229999999999997</v>
      </c>
      <c r="AE44" s="77">
        <f t="shared" si="16"/>
        <v>22375691</v>
      </c>
      <c r="AF44" s="155">
        <v>0.03</v>
      </c>
      <c r="AG44" s="281">
        <v>30683327</v>
      </c>
      <c r="AH44" s="281">
        <v>8719438</v>
      </c>
      <c r="AI44" s="494">
        <f t="shared" si="17"/>
        <v>39402765</v>
      </c>
      <c r="AJ44" s="77">
        <v>1254249833</v>
      </c>
      <c r="AK44" s="77">
        <f t="shared" si="20"/>
        <v>1313425500</v>
      </c>
      <c r="AL44" s="597">
        <f t="shared" si="18"/>
        <v>4.7180127469867481E-2</v>
      </c>
      <c r="AM44" s="600">
        <f t="shared" si="19"/>
        <v>1313425500</v>
      </c>
      <c r="AN44" s="129">
        <f t="shared" si="25"/>
        <v>2.3361299898623865E-2</v>
      </c>
      <c r="AO44" s="129">
        <f t="shared" si="26"/>
        <v>6.638700101376134E-3</v>
      </c>
      <c r="AP44" s="77">
        <v>848543.5</v>
      </c>
      <c r="AQ44" s="77">
        <f t="shared" si="27"/>
        <v>62626999.5</v>
      </c>
      <c r="AR44" s="77">
        <f>ROUND(AQ44/'Table 3 Levels 1&amp;2'!C45,2)</f>
        <v>3161.22</v>
      </c>
    </row>
    <row r="45" spans="1:44">
      <c r="A45" s="12">
        <v>38</v>
      </c>
      <c r="B45" s="69" t="s">
        <v>132</v>
      </c>
      <c r="C45" s="14">
        <v>970621492</v>
      </c>
      <c r="D45" s="14">
        <v>30293195</v>
      </c>
      <c r="E45" s="14">
        <f t="shared" si="9"/>
        <v>940328297</v>
      </c>
      <c r="F45" s="14">
        <v>901760599</v>
      </c>
      <c r="G45" s="590">
        <f t="shared" si="10"/>
        <v>4.2769331508572601E-2</v>
      </c>
      <c r="H45" s="591">
        <f t="shared" si="21"/>
        <v>940328297</v>
      </c>
      <c r="I45" s="499">
        <v>6.03</v>
      </c>
      <c r="J45" s="484">
        <v>5370147</v>
      </c>
      <c r="K45" s="499">
        <v>18.38</v>
      </c>
      <c r="L45" s="484">
        <v>16092173</v>
      </c>
      <c r="M45" s="483">
        <v>0</v>
      </c>
      <c r="N45" s="483">
        <v>0</v>
      </c>
      <c r="O45" s="483">
        <v>0</v>
      </c>
      <c r="P45" s="484">
        <v>0</v>
      </c>
      <c r="Q45" s="77">
        <f t="shared" si="11"/>
        <v>21462320</v>
      </c>
      <c r="R45" s="483">
        <v>0</v>
      </c>
      <c r="S45" s="484">
        <v>0</v>
      </c>
      <c r="T45" s="483">
        <v>0</v>
      </c>
      <c r="U45" s="483">
        <v>0</v>
      </c>
      <c r="V45" s="483">
        <v>0</v>
      </c>
      <c r="W45" s="484">
        <v>0</v>
      </c>
      <c r="X45" s="14">
        <f t="shared" si="12"/>
        <v>0</v>
      </c>
      <c r="Y45" s="145">
        <f t="shared" si="13"/>
        <v>24.41</v>
      </c>
      <c r="Z45" s="14">
        <f t="shared" si="14"/>
        <v>21462320</v>
      </c>
      <c r="AA45" s="14">
        <f t="shared" si="15"/>
        <v>0</v>
      </c>
      <c r="AB45" s="146">
        <f t="shared" si="22"/>
        <v>0</v>
      </c>
      <c r="AC45" s="147">
        <f t="shared" si="23"/>
        <v>22.82</v>
      </c>
      <c r="AD45" s="127">
        <f t="shared" si="24"/>
        <v>22.82</v>
      </c>
      <c r="AE45" s="77">
        <f t="shared" si="16"/>
        <v>21462320</v>
      </c>
      <c r="AF45" s="155">
        <v>0.02</v>
      </c>
      <c r="AG45" s="281">
        <v>20498792</v>
      </c>
      <c r="AH45" s="281">
        <v>0</v>
      </c>
      <c r="AI45" s="494">
        <f t="shared" si="17"/>
        <v>20498792</v>
      </c>
      <c r="AJ45" s="77">
        <v>1145616450</v>
      </c>
      <c r="AK45" s="77">
        <f t="shared" si="20"/>
        <v>1024939600</v>
      </c>
      <c r="AL45" s="155">
        <f t="shared" si="18"/>
        <v>-0.10533791654266138</v>
      </c>
      <c r="AM45" s="77">
        <f t="shared" si="19"/>
        <v>1024939600</v>
      </c>
      <c r="AN45" s="129">
        <f t="shared" si="25"/>
        <v>0.02</v>
      </c>
      <c r="AO45" s="129">
        <f t="shared" si="26"/>
        <v>0</v>
      </c>
      <c r="AP45" s="77">
        <v>126930.5</v>
      </c>
      <c r="AQ45" s="77">
        <f t="shared" si="27"/>
        <v>42088042.5</v>
      </c>
      <c r="AR45" s="77">
        <f>ROUND(AQ45/'Table 3 Levels 1&amp;2'!C46,2)</f>
        <v>9790.19</v>
      </c>
    </row>
    <row r="46" spans="1:44">
      <c r="A46" s="12">
        <v>39</v>
      </c>
      <c r="B46" s="69" t="s">
        <v>133</v>
      </c>
      <c r="C46" s="14">
        <v>374483692</v>
      </c>
      <c r="D46" s="14">
        <v>38728901</v>
      </c>
      <c r="E46" s="14">
        <f t="shared" si="9"/>
        <v>335754791</v>
      </c>
      <c r="F46" s="14">
        <v>340208064</v>
      </c>
      <c r="G46" s="590">
        <f t="shared" si="10"/>
        <v>-1.30898513916472E-2</v>
      </c>
      <c r="H46" s="591">
        <f t="shared" si="21"/>
        <v>335754791</v>
      </c>
      <c r="I46" s="499">
        <v>4.54</v>
      </c>
      <c r="J46" s="484">
        <v>1517547</v>
      </c>
      <c r="K46" s="499">
        <v>11.96</v>
      </c>
      <c r="L46" s="484">
        <v>3997758</v>
      </c>
      <c r="M46" s="483">
        <v>0</v>
      </c>
      <c r="N46" s="483">
        <v>0</v>
      </c>
      <c r="O46" s="483">
        <v>0</v>
      </c>
      <c r="P46" s="484">
        <v>0</v>
      </c>
      <c r="Q46" s="77">
        <f t="shared" si="11"/>
        <v>5515305</v>
      </c>
      <c r="R46" s="483">
        <v>0</v>
      </c>
      <c r="S46" s="484">
        <v>0</v>
      </c>
      <c r="T46" s="483">
        <v>0</v>
      </c>
      <c r="U46" s="483">
        <v>10</v>
      </c>
      <c r="V46" s="483">
        <v>1</v>
      </c>
      <c r="W46" s="484">
        <v>378190</v>
      </c>
      <c r="X46" s="14">
        <f t="shared" si="12"/>
        <v>378190</v>
      </c>
      <c r="Y46" s="145">
        <f t="shared" si="13"/>
        <v>16.5</v>
      </c>
      <c r="Z46" s="14">
        <f t="shared" si="14"/>
        <v>5515305</v>
      </c>
      <c r="AA46" s="14">
        <f t="shared" si="15"/>
        <v>378190</v>
      </c>
      <c r="AB46" s="146">
        <f t="shared" si="22"/>
        <v>1.1299999999999999</v>
      </c>
      <c r="AC46" s="147">
        <f t="shared" si="23"/>
        <v>16.43</v>
      </c>
      <c r="AD46" s="127">
        <f t="shared" si="24"/>
        <v>17.55</v>
      </c>
      <c r="AE46" s="77">
        <f t="shared" si="16"/>
        <v>5893495</v>
      </c>
      <c r="AF46" s="155">
        <v>0.02</v>
      </c>
      <c r="AG46" s="281">
        <v>6689700</v>
      </c>
      <c r="AH46" s="281">
        <v>0</v>
      </c>
      <c r="AI46" s="494">
        <f t="shared" si="17"/>
        <v>6689700</v>
      </c>
      <c r="AJ46" s="77">
        <v>288483000</v>
      </c>
      <c r="AK46" s="77">
        <f t="shared" si="20"/>
        <v>334485000</v>
      </c>
      <c r="AL46" s="599">
        <f t="shared" si="18"/>
        <v>0.15946173604683811</v>
      </c>
      <c r="AM46" s="602">
        <f t="shared" si="19"/>
        <v>331755450</v>
      </c>
      <c r="AN46" s="129">
        <f t="shared" si="25"/>
        <v>0.02</v>
      </c>
      <c r="AO46" s="129">
        <f t="shared" si="26"/>
        <v>0</v>
      </c>
      <c r="AP46" s="77">
        <v>156094</v>
      </c>
      <c r="AQ46" s="77">
        <f t="shared" si="27"/>
        <v>12739289</v>
      </c>
      <c r="AR46" s="77">
        <f>ROUND(AQ46/'Table 3 Levels 1&amp;2'!C47,2)</f>
        <v>4420.29</v>
      </c>
    </row>
    <row r="47" spans="1:44">
      <c r="A47" s="18">
        <v>40</v>
      </c>
      <c r="B47" s="70" t="s">
        <v>134</v>
      </c>
      <c r="C47" s="20">
        <v>825408687</v>
      </c>
      <c r="D47" s="20">
        <v>175594887</v>
      </c>
      <c r="E47" s="20">
        <f t="shared" si="9"/>
        <v>649813800</v>
      </c>
      <c r="F47" s="20">
        <v>625394815</v>
      </c>
      <c r="G47" s="761">
        <f t="shared" si="10"/>
        <v>3.904571066838794E-2</v>
      </c>
      <c r="H47" s="762">
        <f t="shared" si="21"/>
        <v>649813800</v>
      </c>
      <c r="I47" s="500">
        <v>4.79</v>
      </c>
      <c r="J47" s="486">
        <v>3081398</v>
      </c>
      <c r="K47" s="500">
        <v>21.03</v>
      </c>
      <c r="L47" s="486">
        <v>13574800</v>
      </c>
      <c r="M47" s="485">
        <v>9.56</v>
      </c>
      <c r="N47" s="485">
        <v>48.3</v>
      </c>
      <c r="O47" s="485">
        <v>26</v>
      </c>
      <c r="P47" s="486">
        <v>6899293</v>
      </c>
      <c r="Q47" s="78">
        <f t="shared" si="11"/>
        <v>23555491</v>
      </c>
      <c r="R47" s="485">
        <v>0</v>
      </c>
      <c r="S47" s="486">
        <v>0</v>
      </c>
      <c r="T47" s="485">
        <v>10.5</v>
      </c>
      <c r="U47" s="485">
        <v>52</v>
      </c>
      <c r="V47" s="485">
        <v>13</v>
      </c>
      <c r="W47" s="486">
        <v>8724924</v>
      </c>
      <c r="X47" s="20">
        <f t="shared" si="12"/>
        <v>8724924</v>
      </c>
      <c r="Y47" s="148">
        <f t="shared" si="13"/>
        <v>25.82</v>
      </c>
      <c r="Z47" s="20">
        <f t="shared" si="14"/>
        <v>16656198</v>
      </c>
      <c r="AA47" s="20">
        <f t="shared" si="15"/>
        <v>15624217</v>
      </c>
      <c r="AB47" s="149">
        <f t="shared" si="22"/>
        <v>13.43</v>
      </c>
      <c r="AC47" s="150">
        <f t="shared" si="23"/>
        <v>36.25</v>
      </c>
      <c r="AD47" s="128">
        <f t="shared" si="24"/>
        <v>49.68</v>
      </c>
      <c r="AE47" s="78">
        <f t="shared" si="16"/>
        <v>32280415</v>
      </c>
      <c r="AF47" s="156">
        <v>1.4999999999999999E-2</v>
      </c>
      <c r="AG47" s="282">
        <v>35861372</v>
      </c>
      <c r="AH47" s="282">
        <v>0</v>
      </c>
      <c r="AI47" s="495">
        <f t="shared" si="17"/>
        <v>35861372</v>
      </c>
      <c r="AJ47" s="78">
        <v>2304667800</v>
      </c>
      <c r="AK47" s="78">
        <f t="shared" si="20"/>
        <v>2390758133</v>
      </c>
      <c r="AL47" s="598">
        <f t="shared" si="18"/>
        <v>3.7354768873848108E-2</v>
      </c>
      <c r="AM47" s="601">
        <f t="shared" si="19"/>
        <v>2390758133</v>
      </c>
      <c r="AN47" s="130">
        <f t="shared" si="25"/>
        <v>1.5000000002091387E-2</v>
      </c>
      <c r="AO47" s="130">
        <f t="shared" si="26"/>
        <v>0</v>
      </c>
      <c r="AP47" s="78">
        <v>1136698</v>
      </c>
      <c r="AQ47" s="78">
        <f t="shared" si="27"/>
        <v>69278485</v>
      </c>
      <c r="AR47" s="78">
        <f>ROUND(AQ47/'Table 3 Levels 1&amp;2'!C48,2)</f>
        <v>2999.72</v>
      </c>
    </row>
    <row r="48" spans="1:44">
      <c r="A48" s="12">
        <v>41</v>
      </c>
      <c r="B48" s="69" t="s">
        <v>135</v>
      </c>
      <c r="C48" s="14">
        <v>163855040</v>
      </c>
      <c r="D48" s="14">
        <v>10407090</v>
      </c>
      <c r="E48" s="14">
        <f t="shared" si="9"/>
        <v>153447950</v>
      </c>
      <c r="F48" s="14">
        <v>114814510</v>
      </c>
      <c r="G48" s="592">
        <f t="shared" si="10"/>
        <v>0.33648569331524386</v>
      </c>
      <c r="H48" s="593">
        <f t="shared" si="21"/>
        <v>126295961.00000001</v>
      </c>
      <c r="I48" s="499">
        <v>4.41</v>
      </c>
      <c r="J48" s="484">
        <v>676705</v>
      </c>
      <c r="K48" s="499">
        <v>35.36</v>
      </c>
      <c r="L48" s="484">
        <v>5425920</v>
      </c>
      <c r="M48" s="483">
        <v>0</v>
      </c>
      <c r="N48" s="483">
        <v>0</v>
      </c>
      <c r="O48" s="483">
        <v>0</v>
      </c>
      <c r="P48" s="484">
        <v>0</v>
      </c>
      <c r="Q48" s="77">
        <f t="shared" si="11"/>
        <v>6102625</v>
      </c>
      <c r="R48" s="483">
        <v>5.5</v>
      </c>
      <c r="S48" s="484">
        <v>843972</v>
      </c>
      <c r="T48" s="483">
        <v>0</v>
      </c>
      <c r="U48" s="483">
        <v>0</v>
      </c>
      <c r="V48" s="483">
        <v>0</v>
      </c>
      <c r="W48" s="484">
        <v>0</v>
      </c>
      <c r="X48" s="14">
        <f t="shared" si="12"/>
        <v>843972</v>
      </c>
      <c r="Y48" s="145">
        <f t="shared" si="13"/>
        <v>45.269999999999996</v>
      </c>
      <c r="Z48" s="14">
        <f t="shared" si="14"/>
        <v>6946597</v>
      </c>
      <c r="AA48" s="14">
        <f t="shared" si="15"/>
        <v>0</v>
      </c>
      <c r="AB48" s="146">
        <f t="shared" si="22"/>
        <v>5.5</v>
      </c>
      <c r="AC48" s="147">
        <f t="shared" si="23"/>
        <v>39.770000000000003</v>
      </c>
      <c r="AD48" s="127">
        <f t="shared" si="24"/>
        <v>45.27</v>
      </c>
      <c r="AE48" s="77">
        <f t="shared" si="16"/>
        <v>6946597</v>
      </c>
      <c r="AF48" s="155">
        <v>0.02</v>
      </c>
      <c r="AG48" s="281">
        <v>9322096</v>
      </c>
      <c r="AH48" s="281">
        <v>0</v>
      </c>
      <c r="AI48" s="494">
        <f t="shared" si="17"/>
        <v>9322096</v>
      </c>
      <c r="AJ48" s="77">
        <v>966010200</v>
      </c>
      <c r="AK48" s="77">
        <f t="shared" si="20"/>
        <v>466104800</v>
      </c>
      <c r="AL48" s="155">
        <f t="shared" si="18"/>
        <v>-0.5174949498462853</v>
      </c>
      <c r="AM48" s="77">
        <f t="shared" si="19"/>
        <v>466104800</v>
      </c>
      <c r="AN48" s="129">
        <f t="shared" si="25"/>
        <v>0.02</v>
      </c>
      <c r="AO48" s="129">
        <f t="shared" si="26"/>
        <v>0</v>
      </c>
      <c r="AP48" s="77">
        <v>354096.5</v>
      </c>
      <c r="AQ48" s="77">
        <f t="shared" si="27"/>
        <v>16622789.5</v>
      </c>
      <c r="AR48" s="77">
        <f>ROUND(AQ48/'Table 3 Levels 1&amp;2'!C49,2)</f>
        <v>11780.86</v>
      </c>
    </row>
    <row r="49" spans="1:44">
      <c r="A49" s="12">
        <v>42</v>
      </c>
      <c r="B49" s="69" t="s">
        <v>136</v>
      </c>
      <c r="C49" s="14">
        <v>207357810</v>
      </c>
      <c r="D49" s="14">
        <v>27794944</v>
      </c>
      <c r="E49" s="14">
        <f t="shared" si="9"/>
        <v>179562866</v>
      </c>
      <c r="F49" s="14">
        <v>148814434</v>
      </c>
      <c r="G49" s="592">
        <f t="shared" si="10"/>
        <v>0.20662264522001944</v>
      </c>
      <c r="H49" s="593">
        <f t="shared" si="21"/>
        <v>163695877.40000001</v>
      </c>
      <c r="I49" s="499">
        <v>8.14</v>
      </c>
      <c r="J49" s="484">
        <v>1456455</v>
      </c>
      <c r="K49" s="499">
        <v>8</v>
      </c>
      <c r="L49" s="484">
        <v>1438559</v>
      </c>
      <c r="M49" s="483">
        <v>0</v>
      </c>
      <c r="N49" s="483">
        <v>0</v>
      </c>
      <c r="O49" s="483">
        <v>4</v>
      </c>
      <c r="P49" s="484">
        <v>0</v>
      </c>
      <c r="Q49" s="77">
        <f t="shared" si="11"/>
        <v>2895014</v>
      </c>
      <c r="R49" s="483">
        <v>0</v>
      </c>
      <c r="S49" s="484">
        <v>0</v>
      </c>
      <c r="T49" s="483">
        <v>1</v>
      </c>
      <c r="U49" s="483">
        <v>20</v>
      </c>
      <c r="V49" s="483">
        <v>4</v>
      </c>
      <c r="W49" s="484">
        <v>1303471</v>
      </c>
      <c r="X49" s="14">
        <f t="shared" si="12"/>
        <v>1303471</v>
      </c>
      <c r="Y49" s="145">
        <f t="shared" si="13"/>
        <v>16.14</v>
      </c>
      <c r="Z49" s="14">
        <f t="shared" si="14"/>
        <v>2895014</v>
      </c>
      <c r="AA49" s="14">
        <f t="shared" si="15"/>
        <v>1303471</v>
      </c>
      <c r="AB49" s="146">
        <f t="shared" si="22"/>
        <v>7.26</v>
      </c>
      <c r="AC49" s="147">
        <f t="shared" si="23"/>
        <v>16.12</v>
      </c>
      <c r="AD49" s="127">
        <f t="shared" si="24"/>
        <v>23.38</v>
      </c>
      <c r="AE49" s="77">
        <f t="shared" si="16"/>
        <v>4198485</v>
      </c>
      <c r="AF49" s="155">
        <v>0.02</v>
      </c>
      <c r="AG49" s="281">
        <v>5712221</v>
      </c>
      <c r="AH49" s="281">
        <v>0</v>
      </c>
      <c r="AI49" s="494">
        <f t="shared" si="17"/>
        <v>5712221</v>
      </c>
      <c r="AJ49" s="77">
        <v>293332250</v>
      </c>
      <c r="AK49" s="77">
        <f t="shared" si="20"/>
        <v>285611050</v>
      </c>
      <c r="AL49" s="597">
        <f t="shared" si="18"/>
        <v>-2.6322369940570804E-2</v>
      </c>
      <c r="AM49" s="600">
        <f t="shared" si="19"/>
        <v>285611050</v>
      </c>
      <c r="AN49" s="129">
        <f t="shared" si="25"/>
        <v>0.02</v>
      </c>
      <c r="AO49" s="129">
        <f t="shared" si="26"/>
        <v>0</v>
      </c>
      <c r="AP49" s="77">
        <v>220912</v>
      </c>
      <c r="AQ49" s="77">
        <f t="shared" si="27"/>
        <v>10131618</v>
      </c>
      <c r="AR49" s="77">
        <f>ROUND(AQ49/'Table 3 Levels 1&amp;2'!C50,2)</f>
        <v>2618.67</v>
      </c>
    </row>
    <row r="50" spans="1:44">
      <c r="A50" s="12">
        <v>43</v>
      </c>
      <c r="B50" s="69" t="s">
        <v>137</v>
      </c>
      <c r="C50" s="14">
        <v>162146335</v>
      </c>
      <c r="D50" s="14">
        <v>32645912</v>
      </c>
      <c r="E50" s="14">
        <f t="shared" si="9"/>
        <v>129500423</v>
      </c>
      <c r="F50" s="14">
        <v>103405221</v>
      </c>
      <c r="G50" s="592">
        <f t="shared" si="10"/>
        <v>0.25235865024648996</v>
      </c>
      <c r="H50" s="593">
        <f t="shared" si="21"/>
        <v>113745743.10000001</v>
      </c>
      <c r="I50" s="499">
        <v>4.8</v>
      </c>
      <c r="J50" s="484">
        <v>616575</v>
      </c>
      <c r="K50" s="499">
        <v>8.1</v>
      </c>
      <c r="L50" s="484">
        <v>1045112</v>
      </c>
      <c r="M50" s="483">
        <v>6.63</v>
      </c>
      <c r="N50" s="483">
        <v>11.24</v>
      </c>
      <c r="O50" s="483">
        <v>7</v>
      </c>
      <c r="P50" s="484">
        <v>1082759</v>
      </c>
      <c r="Q50" s="77">
        <f t="shared" si="11"/>
        <v>2744446</v>
      </c>
      <c r="R50" s="483">
        <v>0</v>
      </c>
      <c r="S50" s="484">
        <v>0</v>
      </c>
      <c r="T50" s="483">
        <v>3.6</v>
      </c>
      <c r="U50" s="483">
        <v>22</v>
      </c>
      <c r="V50" s="483">
        <v>7</v>
      </c>
      <c r="W50" s="484">
        <v>1276113</v>
      </c>
      <c r="X50" s="14">
        <f t="shared" si="12"/>
        <v>1276113</v>
      </c>
      <c r="Y50" s="145">
        <f t="shared" si="13"/>
        <v>12.899999999999999</v>
      </c>
      <c r="Z50" s="14">
        <f t="shared" si="14"/>
        <v>1661687</v>
      </c>
      <c r="AA50" s="14">
        <f t="shared" si="15"/>
        <v>2358872</v>
      </c>
      <c r="AB50" s="146">
        <f t="shared" si="22"/>
        <v>9.85</v>
      </c>
      <c r="AC50" s="147">
        <f t="shared" si="23"/>
        <v>21.19</v>
      </c>
      <c r="AD50" s="127">
        <f t="shared" si="24"/>
        <v>31.05</v>
      </c>
      <c r="AE50" s="77">
        <f t="shared" si="16"/>
        <v>4020559</v>
      </c>
      <c r="AF50" s="155">
        <v>2.5000000000000001E-2</v>
      </c>
      <c r="AG50" s="281">
        <v>16025360</v>
      </c>
      <c r="AH50" s="281">
        <v>896297</v>
      </c>
      <c r="AI50" s="494">
        <f t="shared" si="17"/>
        <v>16921657</v>
      </c>
      <c r="AJ50" s="77">
        <v>703169680</v>
      </c>
      <c r="AK50" s="77">
        <f t="shared" si="20"/>
        <v>676866280</v>
      </c>
      <c r="AL50" s="155">
        <f t="shared" si="18"/>
        <v>-3.7406902982506297E-2</v>
      </c>
      <c r="AM50" s="77">
        <f t="shared" si="19"/>
        <v>676866280</v>
      </c>
      <c r="AN50" s="129">
        <f t="shared" si="25"/>
        <v>2.3675813781120846E-2</v>
      </c>
      <c r="AO50" s="129">
        <f t="shared" si="26"/>
        <v>1.3241862188791559E-3</v>
      </c>
      <c r="AP50" s="77">
        <v>400406.5</v>
      </c>
      <c r="AQ50" s="77">
        <f t="shared" si="27"/>
        <v>21342622.5</v>
      </c>
      <c r="AR50" s="77">
        <f>ROUND(AQ50/'Table 3 Levels 1&amp;2'!C51,2)</f>
        <v>5295.94</v>
      </c>
    </row>
    <row r="51" spans="1:44">
      <c r="A51" s="12">
        <v>44</v>
      </c>
      <c r="B51" s="69" t="s">
        <v>138</v>
      </c>
      <c r="C51" s="14">
        <v>357678133</v>
      </c>
      <c r="D51" s="14">
        <v>57776586</v>
      </c>
      <c r="E51" s="14">
        <f t="shared" si="9"/>
        <v>299901547</v>
      </c>
      <c r="F51" s="14">
        <v>292917443</v>
      </c>
      <c r="G51" s="590">
        <f t="shared" si="10"/>
        <v>2.3843250604915323E-2</v>
      </c>
      <c r="H51" s="591">
        <f t="shared" si="21"/>
        <v>299901547</v>
      </c>
      <c r="I51" s="499">
        <v>3.75</v>
      </c>
      <c r="J51" s="484">
        <v>1098048</v>
      </c>
      <c r="K51" s="499">
        <v>31.25</v>
      </c>
      <c r="L51" s="484">
        <v>9150396</v>
      </c>
      <c r="M51" s="483">
        <v>0</v>
      </c>
      <c r="N51" s="483">
        <v>0</v>
      </c>
      <c r="O51" s="483">
        <v>0</v>
      </c>
      <c r="P51" s="484">
        <v>0</v>
      </c>
      <c r="Q51" s="77">
        <f t="shared" si="11"/>
        <v>10248444</v>
      </c>
      <c r="R51" s="483">
        <v>10</v>
      </c>
      <c r="S51" s="484">
        <v>2928164</v>
      </c>
      <c r="T51" s="483">
        <v>0</v>
      </c>
      <c r="U51" s="483">
        <v>0</v>
      </c>
      <c r="V51" s="483">
        <v>0</v>
      </c>
      <c r="W51" s="484">
        <v>0</v>
      </c>
      <c r="X51" s="14">
        <f t="shared" si="12"/>
        <v>2928164</v>
      </c>
      <c r="Y51" s="145">
        <f t="shared" si="13"/>
        <v>45</v>
      </c>
      <c r="Z51" s="14">
        <f t="shared" si="14"/>
        <v>13176608</v>
      </c>
      <c r="AA51" s="14">
        <f t="shared" si="15"/>
        <v>0</v>
      </c>
      <c r="AB51" s="146">
        <f t="shared" si="22"/>
        <v>9.76</v>
      </c>
      <c r="AC51" s="147">
        <f t="shared" si="23"/>
        <v>34.17</v>
      </c>
      <c r="AD51" s="127">
        <f t="shared" si="24"/>
        <v>43.94</v>
      </c>
      <c r="AE51" s="77">
        <f t="shared" si="16"/>
        <v>13176608</v>
      </c>
      <c r="AF51" s="155">
        <v>0.02</v>
      </c>
      <c r="AG51" s="281">
        <v>13783159</v>
      </c>
      <c r="AH51" s="281">
        <v>0</v>
      </c>
      <c r="AI51" s="494">
        <f t="shared" si="17"/>
        <v>13783159</v>
      </c>
      <c r="AJ51" s="77">
        <v>925152950</v>
      </c>
      <c r="AK51" s="77">
        <f t="shared" si="20"/>
        <v>689157950</v>
      </c>
      <c r="AL51" s="155">
        <f t="shared" si="18"/>
        <v>-0.25508755065851546</v>
      </c>
      <c r="AM51" s="77">
        <f t="shared" si="19"/>
        <v>689157950</v>
      </c>
      <c r="AN51" s="129">
        <f t="shared" si="25"/>
        <v>0.02</v>
      </c>
      <c r="AO51" s="129">
        <f t="shared" si="26"/>
        <v>0</v>
      </c>
      <c r="AP51" s="77">
        <v>9218</v>
      </c>
      <c r="AQ51" s="77">
        <f t="shared" si="27"/>
        <v>26968985</v>
      </c>
      <c r="AR51" s="77">
        <f>ROUND(AQ51/'Table 3 Levels 1&amp;2'!C52,2)</f>
        <v>4193.59</v>
      </c>
    </row>
    <row r="52" spans="1:44">
      <c r="A52" s="18">
        <v>45</v>
      </c>
      <c r="B52" s="70" t="s">
        <v>139</v>
      </c>
      <c r="C52" s="20">
        <v>1197427196</v>
      </c>
      <c r="D52" s="20">
        <v>99009811</v>
      </c>
      <c r="E52" s="20">
        <f t="shared" si="9"/>
        <v>1098417385</v>
      </c>
      <c r="F52" s="20">
        <v>1019833123</v>
      </c>
      <c r="G52" s="761">
        <f t="shared" si="10"/>
        <v>7.7056000857112783E-2</v>
      </c>
      <c r="H52" s="762">
        <f t="shared" si="21"/>
        <v>1098417385</v>
      </c>
      <c r="I52" s="500">
        <v>4.0999999999999996</v>
      </c>
      <c r="J52" s="486">
        <v>4472585</v>
      </c>
      <c r="K52" s="500">
        <v>46.41</v>
      </c>
      <c r="L52" s="486">
        <v>49361595</v>
      </c>
      <c r="M52" s="485">
        <v>0</v>
      </c>
      <c r="N52" s="485">
        <v>0</v>
      </c>
      <c r="O52" s="485">
        <v>0</v>
      </c>
      <c r="P52" s="486">
        <v>0</v>
      </c>
      <c r="Q52" s="78">
        <f t="shared" si="11"/>
        <v>53834180</v>
      </c>
      <c r="R52" s="485">
        <v>5.86</v>
      </c>
      <c r="S52" s="486">
        <v>6392492</v>
      </c>
      <c r="T52" s="485">
        <v>0</v>
      </c>
      <c r="U52" s="485">
        <v>0</v>
      </c>
      <c r="V52" s="485">
        <v>0</v>
      </c>
      <c r="W52" s="486">
        <v>0</v>
      </c>
      <c r="X52" s="20">
        <f t="shared" si="12"/>
        <v>6392492</v>
      </c>
      <c r="Y52" s="148">
        <f t="shared" si="13"/>
        <v>56.37</v>
      </c>
      <c r="Z52" s="20">
        <f t="shared" si="14"/>
        <v>60226672</v>
      </c>
      <c r="AA52" s="20">
        <f t="shared" si="15"/>
        <v>0</v>
      </c>
      <c r="AB52" s="149">
        <f t="shared" si="22"/>
        <v>5.82</v>
      </c>
      <c r="AC52" s="150">
        <f t="shared" si="23"/>
        <v>49.01</v>
      </c>
      <c r="AD52" s="128">
        <f t="shared" si="24"/>
        <v>54.83</v>
      </c>
      <c r="AE52" s="78">
        <f t="shared" si="16"/>
        <v>60226672</v>
      </c>
      <c r="AF52" s="156">
        <v>0.03</v>
      </c>
      <c r="AG52" s="282">
        <v>56561380</v>
      </c>
      <c r="AH52" s="282">
        <v>1045015</v>
      </c>
      <c r="AI52" s="495">
        <f t="shared" si="17"/>
        <v>57606395</v>
      </c>
      <c r="AJ52" s="78">
        <v>1525807967</v>
      </c>
      <c r="AK52" s="78">
        <f t="shared" ref="AK52:AK76" si="28">ROUND(AI52/AF52,0)</f>
        <v>1920213167</v>
      </c>
      <c r="AL52" s="759">
        <f t="shared" si="18"/>
        <v>0.25848940923769603</v>
      </c>
      <c r="AM52" s="760">
        <f t="shared" si="19"/>
        <v>1754679162.05</v>
      </c>
      <c r="AN52" s="130">
        <f t="shared" si="25"/>
        <v>2.9455781770503817E-2</v>
      </c>
      <c r="AO52" s="130">
        <f t="shared" si="26"/>
        <v>5.4421822428842872E-4</v>
      </c>
      <c r="AP52" s="78">
        <v>284373</v>
      </c>
      <c r="AQ52" s="78">
        <f t="shared" si="27"/>
        <v>118117440</v>
      </c>
      <c r="AR52" s="78">
        <f>ROUND(AQ52/'Table 3 Levels 1&amp;2'!C53,2)</f>
        <v>12408.6</v>
      </c>
    </row>
    <row r="53" spans="1:44" s="75" customFormat="1">
      <c r="A53" s="101">
        <v>46</v>
      </c>
      <c r="B53" s="158" t="s">
        <v>140</v>
      </c>
      <c r="C53" s="77">
        <v>59322840</v>
      </c>
      <c r="D53" s="77">
        <v>16822100</v>
      </c>
      <c r="E53" s="77">
        <f t="shared" si="9"/>
        <v>42500740</v>
      </c>
      <c r="F53" s="77">
        <v>40445540</v>
      </c>
      <c r="G53" s="590">
        <f t="shared" si="10"/>
        <v>5.0814008169998474E-2</v>
      </c>
      <c r="H53" s="591">
        <f t="shared" si="21"/>
        <v>42500740</v>
      </c>
      <c r="I53" s="501">
        <v>3.38</v>
      </c>
      <c r="J53" s="488">
        <v>143296</v>
      </c>
      <c r="K53" s="501">
        <v>14.48</v>
      </c>
      <c r="L53" s="488">
        <v>613884</v>
      </c>
      <c r="M53" s="487">
        <v>0</v>
      </c>
      <c r="N53" s="487">
        <v>0</v>
      </c>
      <c r="O53" s="487">
        <v>6</v>
      </c>
      <c r="P53" s="488">
        <v>0</v>
      </c>
      <c r="Q53" s="77">
        <f t="shared" si="11"/>
        <v>757180</v>
      </c>
      <c r="R53" s="487">
        <v>0</v>
      </c>
      <c r="S53" s="488">
        <v>0</v>
      </c>
      <c r="T53" s="487">
        <v>0</v>
      </c>
      <c r="U53" s="487">
        <v>0</v>
      </c>
      <c r="V53" s="487">
        <v>0</v>
      </c>
      <c r="W53" s="488">
        <v>0</v>
      </c>
      <c r="X53" s="77">
        <f t="shared" si="12"/>
        <v>0</v>
      </c>
      <c r="Y53" s="159">
        <f t="shared" si="13"/>
        <v>17.86</v>
      </c>
      <c r="Z53" s="77">
        <f t="shared" si="14"/>
        <v>757180</v>
      </c>
      <c r="AA53" s="77">
        <f t="shared" si="15"/>
        <v>0</v>
      </c>
      <c r="AB53" s="160">
        <f t="shared" si="22"/>
        <v>0</v>
      </c>
      <c r="AC53" s="161">
        <f t="shared" si="23"/>
        <v>17.82</v>
      </c>
      <c r="AD53" s="127">
        <f t="shared" si="24"/>
        <v>17.82</v>
      </c>
      <c r="AE53" s="77">
        <f t="shared" si="16"/>
        <v>757180</v>
      </c>
      <c r="AF53" s="155">
        <v>0.02</v>
      </c>
      <c r="AG53" s="281">
        <v>1366900</v>
      </c>
      <c r="AH53" s="281">
        <v>0</v>
      </c>
      <c r="AI53" s="494">
        <f t="shared" si="17"/>
        <v>1366900</v>
      </c>
      <c r="AJ53" s="77">
        <v>62201850</v>
      </c>
      <c r="AK53" s="77">
        <f t="shared" si="28"/>
        <v>68345000</v>
      </c>
      <c r="AL53" s="155">
        <f t="shared" si="18"/>
        <v>9.8761532012311526E-2</v>
      </c>
      <c r="AM53" s="77">
        <f t="shared" si="19"/>
        <v>68345000</v>
      </c>
      <c r="AN53" s="129">
        <f t="shared" si="25"/>
        <v>0.02</v>
      </c>
      <c r="AO53" s="129">
        <f t="shared" si="26"/>
        <v>0</v>
      </c>
      <c r="AP53" s="77">
        <v>33026</v>
      </c>
      <c r="AQ53" s="77">
        <f t="shared" si="27"/>
        <v>2157106</v>
      </c>
      <c r="AR53" s="77">
        <f>ROUND(AQ53/'Table 3 Levels 1&amp;2'!C54,2)</f>
        <v>2002.88</v>
      </c>
    </row>
    <row r="54" spans="1:44">
      <c r="A54" s="12">
        <v>47</v>
      </c>
      <c r="B54" s="69" t="s">
        <v>141</v>
      </c>
      <c r="C54" s="14">
        <v>449158779</v>
      </c>
      <c r="D54" s="14">
        <v>39386484</v>
      </c>
      <c r="E54" s="14">
        <f t="shared" si="9"/>
        <v>409772295</v>
      </c>
      <c r="F54" s="14">
        <v>379469007</v>
      </c>
      <c r="G54" s="590">
        <f t="shared" si="10"/>
        <v>7.9857083031816614E-2</v>
      </c>
      <c r="H54" s="591">
        <f t="shared" si="21"/>
        <v>409772295</v>
      </c>
      <c r="I54" s="499">
        <v>3.89</v>
      </c>
      <c r="J54" s="484">
        <v>1641831</v>
      </c>
      <c r="K54" s="499">
        <v>30.07</v>
      </c>
      <c r="L54" s="484">
        <v>12809609</v>
      </c>
      <c r="M54" s="483">
        <v>0</v>
      </c>
      <c r="N54" s="483">
        <v>0</v>
      </c>
      <c r="O54" s="483">
        <v>0</v>
      </c>
      <c r="P54" s="484">
        <v>0</v>
      </c>
      <c r="Q54" s="77">
        <f t="shared" si="11"/>
        <v>14451440</v>
      </c>
      <c r="R54" s="483">
        <v>10</v>
      </c>
      <c r="S54" s="484">
        <v>4102246</v>
      </c>
      <c r="T54" s="483">
        <v>0</v>
      </c>
      <c r="U54" s="483">
        <v>0</v>
      </c>
      <c r="V54" s="483">
        <v>0</v>
      </c>
      <c r="W54" s="484">
        <v>0</v>
      </c>
      <c r="X54" s="14">
        <f t="shared" si="12"/>
        <v>4102246</v>
      </c>
      <c r="Y54" s="145">
        <f t="shared" si="13"/>
        <v>43.96</v>
      </c>
      <c r="Z54" s="14">
        <f t="shared" si="14"/>
        <v>18553686</v>
      </c>
      <c r="AA54" s="14">
        <f t="shared" si="15"/>
        <v>0</v>
      </c>
      <c r="AB54" s="146">
        <f t="shared" si="22"/>
        <v>10.01</v>
      </c>
      <c r="AC54" s="147">
        <f t="shared" si="23"/>
        <v>35.270000000000003</v>
      </c>
      <c r="AD54" s="127">
        <f t="shared" si="24"/>
        <v>45.28</v>
      </c>
      <c r="AE54" s="77">
        <f t="shared" si="16"/>
        <v>18553686</v>
      </c>
      <c r="AF54" s="155">
        <v>2.5000000000000001E-2</v>
      </c>
      <c r="AG54" s="281">
        <v>18100976</v>
      </c>
      <c r="AH54" s="281">
        <v>0</v>
      </c>
      <c r="AI54" s="494">
        <f t="shared" si="17"/>
        <v>18100976</v>
      </c>
      <c r="AJ54" s="77">
        <v>749761480</v>
      </c>
      <c r="AK54" s="77">
        <f t="shared" si="28"/>
        <v>724039040</v>
      </c>
      <c r="AL54" s="155">
        <f t="shared" si="18"/>
        <v>-3.4307497365695556E-2</v>
      </c>
      <c r="AM54" s="77">
        <f t="shared" si="19"/>
        <v>724039040</v>
      </c>
      <c r="AN54" s="129">
        <f t="shared" si="25"/>
        <v>2.5000000000000001E-2</v>
      </c>
      <c r="AO54" s="129">
        <f t="shared" si="26"/>
        <v>0</v>
      </c>
      <c r="AP54" s="77">
        <v>89424</v>
      </c>
      <c r="AQ54" s="77">
        <f t="shared" si="27"/>
        <v>36744086</v>
      </c>
      <c r="AR54" s="77">
        <f>ROUND(AQ54/'Table 3 Levels 1&amp;2'!C55,2)</f>
        <v>10111.200000000001</v>
      </c>
    </row>
    <row r="55" spans="1:44">
      <c r="A55" s="12">
        <v>48</v>
      </c>
      <c r="B55" s="69" t="s">
        <v>202</v>
      </c>
      <c r="C55" s="14">
        <v>455487725</v>
      </c>
      <c r="D55" s="14">
        <v>86298781</v>
      </c>
      <c r="E55" s="14">
        <f t="shared" si="9"/>
        <v>369188944</v>
      </c>
      <c r="F55" s="14">
        <v>348795451</v>
      </c>
      <c r="G55" s="590">
        <f t="shared" si="10"/>
        <v>5.8468345678051863E-2</v>
      </c>
      <c r="H55" s="591">
        <f t="shared" si="21"/>
        <v>369188944</v>
      </c>
      <c r="I55" s="499">
        <v>3.67</v>
      </c>
      <c r="J55" s="484">
        <v>1346253</v>
      </c>
      <c r="K55" s="499">
        <v>25.82</v>
      </c>
      <c r="L55" s="484">
        <v>9079336</v>
      </c>
      <c r="M55" s="483">
        <v>0</v>
      </c>
      <c r="N55" s="483">
        <v>0</v>
      </c>
      <c r="O55" s="483">
        <v>0</v>
      </c>
      <c r="P55" s="484">
        <v>0</v>
      </c>
      <c r="Q55" s="77">
        <f t="shared" si="11"/>
        <v>10425589</v>
      </c>
      <c r="R55" s="483">
        <v>10</v>
      </c>
      <c r="S55" s="484">
        <v>3538702</v>
      </c>
      <c r="T55" s="483">
        <v>0</v>
      </c>
      <c r="U55" s="483">
        <v>0</v>
      </c>
      <c r="V55" s="483">
        <v>0</v>
      </c>
      <c r="W55" s="484">
        <v>0</v>
      </c>
      <c r="X55" s="14">
        <f t="shared" si="12"/>
        <v>3538702</v>
      </c>
      <c r="Y55" s="145">
        <f t="shared" si="13"/>
        <v>39.49</v>
      </c>
      <c r="Z55" s="14">
        <f t="shared" si="14"/>
        <v>13964291</v>
      </c>
      <c r="AA55" s="14">
        <f t="shared" si="15"/>
        <v>0</v>
      </c>
      <c r="AB55" s="146">
        <f t="shared" si="22"/>
        <v>9.59</v>
      </c>
      <c r="AC55" s="147">
        <f t="shared" si="23"/>
        <v>28.24</v>
      </c>
      <c r="AD55" s="127">
        <f t="shared" si="24"/>
        <v>37.82</v>
      </c>
      <c r="AE55" s="77">
        <f t="shared" si="16"/>
        <v>13964291</v>
      </c>
      <c r="AF55" s="155">
        <v>2.2499999999999999E-2</v>
      </c>
      <c r="AG55" s="281">
        <v>19928446</v>
      </c>
      <c r="AH55" s="281">
        <v>0</v>
      </c>
      <c r="AI55" s="494">
        <f t="shared" si="17"/>
        <v>19928446</v>
      </c>
      <c r="AJ55" s="77">
        <v>824979378</v>
      </c>
      <c r="AK55" s="77">
        <f t="shared" si="28"/>
        <v>885708711</v>
      </c>
      <c r="AL55" s="597">
        <f t="shared" si="18"/>
        <v>7.3613152788408243E-2</v>
      </c>
      <c r="AM55" s="600">
        <f t="shared" si="19"/>
        <v>885708711</v>
      </c>
      <c r="AN55" s="129">
        <f t="shared" si="25"/>
        <v>2.2500000002822599E-2</v>
      </c>
      <c r="AO55" s="129">
        <f t="shared" si="26"/>
        <v>0</v>
      </c>
      <c r="AP55" s="77">
        <v>199965.5</v>
      </c>
      <c r="AQ55" s="77">
        <f t="shared" si="27"/>
        <v>34092702.5</v>
      </c>
      <c r="AR55" s="77">
        <f>ROUND(AQ55/'Table 3 Levels 1&amp;2'!C56,2)</f>
        <v>5443.51</v>
      </c>
    </row>
    <row r="56" spans="1:44">
      <c r="A56" s="12">
        <v>49</v>
      </c>
      <c r="B56" s="69" t="s">
        <v>142</v>
      </c>
      <c r="C56" s="14">
        <v>660740200</v>
      </c>
      <c r="D56" s="14">
        <v>124238454</v>
      </c>
      <c r="E56" s="14">
        <f t="shared" si="9"/>
        <v>536501746</v>
      </c>
      <c r="F56" s="14">
        <v>495657100</v>
      </c>
      <c r="G56" s="590">
        <f t="shared" si="10"/>
        <v>8.2405045746343594E-2</v>
      </c>
      <c r="H56" s="591">
        <f t="shared" si="21"/>
        <v>536501746</v>
      </c>
      <c r="I56" s="499">
        <v>4.37</v>
      </c>
      <c r="J56" s="484">
        <v>2299617</v>
      </c>
      <c r="K56" s="499">
        <v>15.86</v>
      </c>
      <c r="L56" s="484">
        <v>8345978</v>
      </c>
      <c r="M56" s="483">
        <v>0</v>
      </c>
      <c r="N56" s="483">
        <v>0</v>
      </c>
      <c r="O56" s="483">
        <v>0</v>
      </c>
      <c r="P56" s="484">
        <v>0</v>
      </c>
      <c r="Q56" s="77">
        <f t="shared" si="11"/>
        <v>10645595</v>
      </c>
      <c r="R56" s="483">
        <v>0</v>
      </c>
      <c r="S56" s="484">
        <v>0</v>
      </c>
      <c r="T56" s="483">
        <v>0</v>
      </c>
      <c r="U56" s="483">
        <v>0</v>
      </c>
      <c r="V56" s="483">
        <v>0</v>
      </c>
      <c r="W56" s="484"/>
      <c r="X56" s="14">
        <f t="shared" si="12"/>
        <v>0</v>
      </c>
      <c r="Y56" s="145">
        <f t="shared" si="13"/>
        <v>20.23</v>
      </c>
      <c r="Z56" s="14">
        <f t="shared" si="14"/>
        <v>10645595</v>
      </c>
      <c r="AA56" s="14">
        <f t="shared" si="15"/>
        <v>0</v>
      </c>
      <c r="AB56" s="146">
        <f t="shared" si="22"/>
        <v>0</v>
      </c>
      <c r="AC56" s="147">
        <f t="shared" si="23"/>
        <v>19.84</v>
      </c>
      <c r="AD56" s="127">
        <f t="shared" si="24"/>
        <v>19.84</v>
      </c>
      <c r="AE56" s="77">
        <f t="shared" si="16"/>
        <v>10645595</v>
      </c>
      <c r="AF56" s="155">
        <v>0.02</v>
      </c>
      <c r="AG56" s="281">
        <v>23493736</v>
      </c>
      <c r="AH56" s="281">
        <v>0</v>
      </c>
      <c r="AI56" s="494">
        <f t="shared" si="17"/>
        <v>23493736</v>
      </c>
      <c r="AJ56" s="77">
        <v>1115120200</v>
      </c>
      <c r="AK56" s="77">
        <f t="shared" si="28"/>
        <v>1174686800</v>
      </c>
      <c r="AL56" s="597">
        <f t="shared" si="18"/>
        <v>5.3417201123251108E-2</v>
      </c>
      <c r="AM56" s="600">
        <f t="shared" si="19"/>
        <v>1174686800</v>
      </c>
      <c r="AN56" s="129">
        <f t="shared" si="25"/>
        <v>0.02</v>
      </c>
      <c r="AO56" s="129">
        <f t="shared" si="26"/>
        <v>0</v>
      </c>
      <c r="AP56" s="77">
        <v>610728</v>
      </c>
      <c r="AQ56" s="77">
        <f t="shared" si="27"/>
        <v>34750059</v>
      </c>
      <c r="AR56" s="77">
        <f>ROUND(AQ56/'Table 3 Levels 1&amp;2'!C57,2)</f>
        <v>2384.88</v>
      </c>
    </row>
    <row r="57" spans="1:44">
      <c r="A57" s="18">
        <v>50</v>
      </c>
      <c r="B57" s="70" t="s">
        <v>143</v>
      </c>
      <c r="C57" s="20">
        <v>346292086</v>
      </c>
      <c r="D57" s="20">
        <v>84084889</v>
      </c>
      <c r="E57" s="20">
        <f t="shared" si="9"/>
        <v>262207197</v>
      </c>
      <c r="F57" s="20">
        <v>259648176</v>
      </c>
      <c r="G57" s="130">
        <f t="shared" si="10"/>
        <v>9.855724925254241E-3</v>
      </c>
      <c r="H57" s="1389">
        <f t="shared" si="21"/>
        <v>262207197</v>
      </c>
      <c r="I57" s="500">
        <v>2.61</v>
      </c>
      <c r="J57" s="486">
        <v>677196</v>
      </c>
      <c r="K57" s="500">
        <v>9.9700000000000006</v>
      </c>
      <c r="L57" s="486">
        <v>2586847</v>
      </c>
      <c r="M57" s="485">
        <v>0</v>
      </c>
      <c r="N57" s="485">
        <v>0</v>
      </c>
      <c r="O57" s="485">
        <v>0</v>
      </c>
      <c r="P57" s="486">
        <v>0</v>
      </c>
      <c r="Q57" s="78">
        <f t="shared" si="11"/>
        <v>3264043</v>
      </c>
      <c r="R57" s="485">
        <v>21.5</v>
      </c>
      <c r="S57" s="486">
        <v>5578476</v>
      </c>
      <c r="T57" s="485">
        <v>0</v>
      </c>
      <c r="U57" s="485">
        <v>0</v>
      </c>
      <c r="V57" s="485">
        <v>0</v>
      </c>
      <c r="W57" s="486">
        <v>0</v>
      </c>
      <c r="X57" s="20">
        <f t="shared" si="12"/>
        <v>5578476</v>
      </c>
      <c r="Y57" s="148">
        <f t="shared" si="13"/>
        <v>34.08</v>
      </c>
      <c r="Z57" s="20">
        <f t="shared" si="14"/>
        <v>8842519</v>
      </c>
      <c r="AA57" s="20">
        <f t="shared" si="15"/>
        <v>0</v>
      </c>
      <c r="AB57" s="149">
        <f t="shared" si="22"/>
        <v>21.28</v>
      </c>
      <c r="AC57" s="150">
        <f t="shared" si="23"/>
        <v>12.45</v>
      </c>
      <c r="AD57" s="128">
        <f t="shared" si="24"/>
        <v>33.72</v>
      </c>
      <c r="AE57" s="78">
        <f t="shared" si="16"/>
        <v>8842519</v>
      </c>
      <c r="AF57" s="156">
        <v>0.02</v>
      </c>
      <c r="AG57" s="282">
        <v>13320229</v>
      </c>
      <c r="AH57" s="282">
        <v>0</v>
      </c>
      <c r="AI57" s="495">
        <f t="shared" si="17"/>
        <v>13320229</v>
      </c>
      <c r="AJ57" s="78">
        <v>588283300</v>
      </c>
      <c r="AK57" s="78">
        <f t="shared" si="28"/>
        <v>666011450</v>
      </c>
      <c r="AL57" s="598">
        <f t="shared" si="18"/>
        <v>0.13212707210964514</v>
      </c>
      <c r="AM57" s="601">
        <f t="shared" si="19"/>
        <v>666011450</v>
      </c>
      <c r="AN57" s="130">
        <f t="shared" si="25"/>
        <v>0.02</v>
      </c>
      <c r="AO57" s="130">
        <f t="shared" si="26"/>
        <v>0</v>
      </c>
      <c r="AP57" s="78">
        <v>581751.5</v>
      </c>
      <c r="AQ57" s="78">
        <f t="shared" si="27"/>
        <v>22744499.5</v>
      </c>
      <c r="AR57" s="78">
        <f>ROUND(AQ57/'Table 3 Levels 1&amp;2'!C58,2)</f>
        <v>2872.14</v>
      </c>
    </row>
    <row r="58" spans="1:44">
      <c r="A58" s="12">
        <v>51</v>
      </c>
      <c r="B58" s="69" t="s">
        <v>144</v>
      </c>
      <c r="C58" s="14">
        <v>721754110</v>
      </c>
      <c r="D58" s="14">
        <v>72982661</v>
      </c>
      <c r="E58" s="14">
        <f t="shared" si="9"/>
        <v>648771449</v>
      </c>
      <c r="F58" s="14">
        <v>566288486</v>
      </c>
      <c r="G58" s="592">
        <f t="shared" si="10"/>
        <v>0.14565537714287907</v>
      </c>
      <c r="H58" s="593">
        <f t="shared" si="21"/>
        <v>622917334.60000002</v>
      </c>
      <c r="I58" s="499">
        <v>8.4</v>
      </c>
      <c r="J58" s="484">
        <v>5066955</v>
      </c>
      <c r="K58" s="499">
        <v>11.18</v>
      </c>
      <c r="L58" s="484">
        <v>6743817</v>
      </c>
      <c r="M58" s="483">
        <v>11.58</v>
      </c>
      <c r="N58" s="483">
        <v>12.25</v>
      </c>
      <c r="O58" s="483">
        <v>3</v>
      </c>
      <c r="P58" s="484">
        <v>7102032</v>
      </c>
      <c r="Q58" s="77">
        <f t="shared" si="11"/>
        <v>18912804</v>
      </c>
      <c r="R58" s="483">
        <v>0</v>
      </c>
      <c r="S58" s="484">
        <v>0</v>
      </c>
      <c r="T58" s="483">
        <v>7</v>
      </c>
      <c r="U58" s="483">
        <v>14</v>
      </c>
      <c r="V58" s="483">
        <v>2</v>
      </c>
      <c r="W58" s="484">
        <v>1973301</v>
      </c>
      <c r="X58" s="14">
        <f t="shared" si="12"/>
        <v>1973301</v>
      </c>
      <c r="Y58" s="145">
        <f t="shared" si="13"/>
        <v>19.579999999999998</v>
      </c>
      <c r="Z58" s="14">
        <f t="shared" si="14"/>
        <v>11810772</v>
      </c>
      <c r="AA58" s="14">
        <f t="shared" si="15"/>
        <v>9075333</v>
      </c>
      <c r="AB58" s="146">
        <f t="shared" si="22"/>
        <v>3.04</v>
      </c>
      <c r="AC58" s="147">
        <f t="shared" si="23"/>
        <v>29.15</v>
      </c>
      <c r="AD58" s="127">
        <f t="shared" si="24"/>
        <v>32.19</v>
      </c>
      <c r="AE58" s="77">
        <f t="shared" si="16"/>
        <v>20886105</v>
      </c>
      <c r="AF58" s="155">
        <v>1.7500000000000002E-2</v>
      </c>
      <c r="AG58" s="281">
        <v>17160175</v>
      </c>
      <c r="AH58" s="281">
        <v>0</v>
      </c>
      <c r="AI58" s="494">
        <f t="shared" si="17"/>
        <v>17160175</v>
      </c>
      <c r="AJ58" s="77">
        <v>1010581943</v>
      </c>
      <c r="AK58" s="77">
        <f t="shared" si="28"/>
        <v>980581429</v>
      </c>
      <c r="AL58" s="155">
        <f t="shared" si="18"/>
        <v>-2.9686374477403462E-2</v>
      </c>
      <c r="AM58" s="77">
        <f t="shared" si="19"/>
        <v>980581429</v>
      </c>
      <c r="AN58" s="129">
        <f t="shared" si="25"/>
        <v>1.7499999992351477E-2</v>
      </c>
      <c r="AO58" s="129">
        <f t="shared" si="26"/>
        <v>0</v>
      </c>
      <c r="AP58" s="77">
        <v>492769.5</v>
      </c>
      <c r="AQ58" s="77">
        <f t="shared" si="27"/>
        <v>38539049.5</v>
      </c>
      <c r="AR58" s="77">
        <f>ROUND(AQ58/'Table 3 Levels 1&amp;2'!C59,2)</f>
        <v>4144.88</v>
      </c>
    </row>
    <row r="59" spans="1:44">
      <c r="A59" s="12">
        <v>52</v>
      </c>
      <c r="B59" s="69" t="s">
        <v>145</v>
      </c>
      <c r="C59" s="14">
        <v>2077286488</v>
      </c>
      <c r="D59" s="14">
        <v>496593299</v>
      </c>
      <c r="E59" s="14">
        <f t="shared" si="9"/>
        <v>1580693189</v>
      </c>
      <c r="F59" s="14">
        <v>1573739407</v>
      </c>
      <c r="G59" s="590">
        <f t="shared" si="10"/>
        <v>4.4186362551954577E-3</v>
      </c>
      <c r="H59" s="591">
        <f t="shared" si="21"/>
        <v>1580693189</v>
      </c>
      <c r="I59" s="499">
        <v>3.8</v>
      </c>
      <c r="J59" s="484">
        <v>5907887</v>
      </c>
      <c r="K59" s="499">
        <v>43.75</v>
      </c>
      <c r="L59" s="484">
        <v>68014618</v>
      </c>
      <c r="M59" s="483">
        <v>43.75</v>
      </c>
      <c r="N59" s="483">
        <v>43.75</v>
      </c>
      <c r="O59" s="483">
        <v>0</v>
      </c>
      <c r="P59" s="484">
        <v>0</v>
      </c>
      <c r="Q59" s="77">
        <f t="shared" si="11"/>
        <v>73922505</v>
      </c>
      <c r="R59" s="483">
        <v>20.9</v>
      </c>
      <c r="S59" s="484">
        <v>32492415</v>
      </c>
      <c r="T59" s="483">
        <v>20.9</v>
      </c>
      <c r="U59" s="483">
        <v>20.9</v>
      </c>
      <c r="V59" s="483">
        <v>0</v>
      </c>
      <c r="W59" s="484">
        <v>0</v>
      </c>
      <c r="X59" s="14">
        <f t="shared" si="12"/>
        <v>32492415</v>
      </c>
      <c r="Y59" s="145">
        <f t="shared" si="13"/>
        <v>68.449999999999989</v>
      </c>
      <c r="Z59" s="14">
        <f t="shared" si="14"/>
        <v>106414920</v>
      </c>
      <c r="AA59" s="14">
        <f t="shared" si="15"/>
        <v>0</v>
      </c>
      <c r="AB59" s="146">
        <f t="shared" si="22"/>
        <v>20.56</v>
      </c>
      <c r="AC59" s="147">
        <f t="shared" si="23"/>
        <v>46.77</v>
      </c>
      <c r="AD59" s="127">
        <f t="shared" si="24"/>
        <v>67.319999999999993</v>
      </c>
      <c r="AE59" s="77">
        <f t="shared" si="16"/>
        <v>106414920</v>
      </c>
      <c r="AF59" s="155">
        <v>0.02</v>
      </c>
      <c r="AG59" s="281">
        <v>77922516</v>
      </c>
      <c r="AH59" s="281">
        <v>0</v>
      </c>
      <c r="AI59" s="494">
        <f t="shared" si="17"/>
        <v>77922516</v>
      </c>
      <c r="AJ59" s="77">
        <v>3761763150</v>
      </c>
      <c r="AK59" s="77">
        <f t="shared" si="28"/>
        <v>3896125800</v>
      </c>
      <c r="AL59" s="155">
        <f t="shared" si="18"/>
        <v>3.5717998354043101E-2</v>
      </c>
      <c r="AM59" s="77">
        <f t="shared" si="19"/>
        <v>3896125800</v>
      </c>
      <c r="AN59" s="129">
        <f t="shared" si="25"/>
        <v>0.02</v>
      </c>
      <c r="AO59" s="129">
        <f t="shared" si="26"/>
        <v>0</v>
      </c>
      <c r="AP59" s="77">
        <v>1906476</v>
      </c>
      <c r="AQ59" s="77">
        <f t="shared" si="27"/>
        <v>186243912</v>
      </c>
      <c r="AR59" s="77">
        <f>ROUND(AQ59/'Table 3 Levels 1&amp;2'!C60,2)</f>
        <v>5008.8500000000004</v>
      </c>
    </row>
    <row r="60" spans="1:44">
      <c r="A60" s="12">
        <v>53</v>
      </c>
      <c r="B60" s="69" t="s">
        <v>146</v>
      </c>
      <c r="C60" s="14">
        <v>682232314</v>
      </c>
      <c r="D60" s="14">
        <v>182984728</v>
      </c>
      <c r="E60" s="14">
        <f t="shared" si="9"/>
        <v>499247586</v>
      </c>
      <c r="F60" s="14">
        <v>490813260</v>
      </c>
      <c r="G60" s="590">
        <f t="shared" si="10"/>
        <v>1.7184389028120389E-2</v>
      </c>
      <c r="H60" s="591">
        <f t="shared" si="21"/>
        <v>499247586</v>
      </c>
      <c r="I60" s="499">
        <v>4.0599999999999996</v>
      </c>
      <c r="J60" s="484">
        <v>2022466</v>
      </c>
      <c r="K60" s="499">
        <v>0</v>
      </c>
      <c r="L60" s="484">
        <v>9089</v>
      </c>
      <c r="M60" s="483">
        <v>0</v>
      </c>
      <c r="N60" s="483">
        <v>0</v>
      </c>
      <c r="O60" s="483">
        <v>0</v>
      </c>
      <c r="P60" s="484">
        <v>0</v>
      </c>
      <c r="Q60" s="77">
        <f t="shared" si="11"/>
        <v>2031555</v>
      </c>
      <c r="R60" s="483">
        <v>0</v>
      </c>
      <c r="S60" s="484">
        <v>4141</v>
      </c>
      <c r="T60" s="483">
        <v>1.75</v>
      </c>
      <c r="U60" s="483">
        <v>17</v>
      </c>
      <c r="V60" s="483">
        <v>6</v>
      </c>
      <c r="W60" s="484">
        <v>1611580</v>
      </c>
      <c r="X60" s="14">
        <f t="shared" si="12"/>
        <v>1615721</v>
      </c>
      <c r="Y60" s="145">
        <f t="shared" si="13"/>
        <v>4.0599999999999996</v>
      </c>
      <c r="Z60" s="14">
        <f t="shared" si="14"/>
        <v>2035696</v>
      </c>
      <c r="AA60" s="14">
        <f t="shared" si="15"/>
        <v>1611580</v>
      </c>
      <c r="AB60" s="146">
        <f t="shared" si="22"/>
        <v>3.24</v>
      </c>
      <c r="AC60" s="147">
        <f t="shared" si="23"/>
        <v>4.07</v>
      </c>
      <c r="AD60" s="127">
        <f t="shared" si="24"/>
        <v>7.31</v>
      </c>
      <c r="AE60" s="77">
        <f t="shared" si="16"/>
        <v>3647276</v>
      </c>
      <c r="AF60" s="155">
        <v>0.02</v>
      </c>
      <c r="AG60" s="281">
        <v>32329148</v>
      </c>
      <c r="AH60" s="281">
        <v>1139718</v>
      </c>
      <c r="AI60" s="494">
        <f t="shared" si="17"/>
        <v>33468866</v>
      </c>
      <c r="AJ60" s="77">
        <v>1566120700</v>
      </c>
      <c r="AK60" s="77">
        <f t="shared" si="28"/>
        <v>1673443300</v>
      </c>
      <c r="AL60" s="155">
        <f t="shared" si="18"/>
        <v>6.8527668397461314E-2</v>
      </c>
      <c r="AM60" s="77">
        <f t="shared" si="19"/>
        <v>1673443300</v>
      </c>
      <c r="AN60" s="129">
        <f t="shared" si="25"/>
        <v>1.931893838291384E-2</v>
      </c>
      <c r="AO60" s="129">
        <f t="shared" si="26"/>
        <v>6.8106161708616001E-4</v>
      </c>
      <c r="AP60" s="77">
        <v>182091</v>
      </c>
      <c r="AQ60" s="77">
        <f t="shared" si="27"/>
        <v>37298233</v>
      </c>
      <c r="AR60" s="77">
        <f>ROUND(AQ60/'Table 3 Levels 1&amp;2'!C61,2)</f>
        <v>1941.1</v>
      </c>
    </row>
    <row r="61" spans="1:44">
      <c r="A61" s="12">
        <v>54</v>
      </c>
      <c r="B61" s="69" t="s">
        <v>147</v>
      </c>
      <c r="C61" s="14">
        <v>50623216</v>
      </c>
      <c r="D61" s="14">
        <v>5994201</v>
      </c>
      <c r="E61" s="14">
        <f t="shared" si="9"/>
        <v>44629015</v>
      </c>
      <c r="F61" s="14">
        <v>40713583</v>
      </c>
      <c r="G61" s="590">
        <f t="shared" si="10"/>
        <v>9.6170165126464063E-2</v>
      </c>
      <c r="H61" s="591">
        <f t="shared" si="21"/>
        <v>44629015</v>
      </c>
      <c r="I61" s="499">
        <v>5.08</v>
      </c>
      <c r="J61" s="484">
        <v>226722</v>
      </c>
      <c r="K61" s="499">
        <v>31.82</v>
      </c>
      <c r="L61" s="484">
        <v>1350516</v>
      </c>
      <c r="M61" s="483">
        <v>0</v>
      </c>
      <c r="N61" s="483">
        <v>0</v>
      </c>
      <c r="O61" s="483">
        <v>0</v>
      </c>
      <c r="P61" s="484">
        <v>0</v>
      </c>
      <c r="Q61" s="77">
        <f t="shared" si="11"/>
        <v>1577238</v>
      </c>
      <c r="R61" s="483">
        <v>0</v>
      </c>
      <c r="S61" s="484">
        <v>0</v>
      </c>
      <c r="T61" s="483">
        <v>0</v>
      </c>
      <c r="U61" s="483">
        <v>0</v>
      </c>
      <c r="V61" s="483">
        <v>0</v>
      </c>
      <c r="W61" s="484">
        <v>0</v>
      </c>
      <c r="X61" s="14">
        <f t="shared" si="12"/>
        <v>0</v>
      </c>
      <c r="Y61" s="145">
        <f t="shared" si="13"/>
        <v>36.9</v>
      </c>
      <c r="Z61" s="14">
        <f t="shared" si="14"/>
        <v>1577238</v>
      </c>
      <c r="AA61" s="14">
        <f t="shared" si="15"/>
        <v>0</v>
      </c>
      <c r="AB61" s="146">
        <f t="shared" si="22"/>
        <v>0</v>
      </c>
      <c r="AC61" s="147">
        <f t="shared" si="23"/>
        <v>35.340000000000003</v>
      </c>
      <c r="AD61" s="127">
        <f t="shared" si="24"/>
        <v>35.340000000000003</v>
      </c>
      <c r="AE61" s="77">
        <f t="shared" si="16"/>
        <v>1577238</v>
      </c>
      <c r="AF61" s="155">
        <v>1.4999999999999999E-2</v>
      </c>
      <c r="AG61" s="281">
        <v>767244</v>
      </c>
      <c r="AH61" s="281">
        <v>0</v>
      </c>
      <c r="AI61" s="494">
        <f t="shared" si="17"/>
        <v>767244</v>
      </c>
      <c r="AJ61" s="77">
        <v>39645267</v>
      </c>
      <c r="AK61" s="77">
        <f t="shared" si="28"/>
        <v>51149600</v>
      </c>
      <c r="AL61" s="599">
        <f t="shared" si="18"/>
        <v>0.2901817510776255</v>
      </c>
      <c r="AM61" s="602">
        <f t="shared" si="19"/>
        <v>45592057.049999997</v>
      </c>
      <c r="AN61" s="129">
        <f t="shared" si="25"/>
        <v>1.4999999999999999E-2</v>
      </c>
      <c r="AO61" s="129">
        <f t="shared" si="26"/>
        <v>0</v>
      </c>
      <c r="AP61" s="77">
        <v>51592.5</v>
      </c>
      <c r="AQ61" s="77">
        <f t="shared" si="27"/>
        <v>2396074.5</v>
      </c>
      <c r="AR61" s="77">
        <f>ROUND(AQ61/'Table 3 Levels 1&amp;2'!C62,2)</f>
        <v>3497.92</v>
      </c>
    </row>
    <row r="62" spans="1:44">
      <c r="A62" s="18">
        <v>55</v>
      </c>
      <c r="B62" s="70" t="s">
        <v>148</v>
      </c>
      <c r="C62" s="20">
        <v>945712650</v>
      </c>
      <c r="D62" s="20">
        <v>175348725</v>
      </c>
      <c r="E62" s="20">
        <f t="shared" si="9"/>
        <v>770363925</v>
      </c>
      <c r="F62" s="20">
        <v>741791975</v>
      </c>
      <c r="G62" s="761">
        <f t="shared" si="10"/>
        <v>3.8517469806814773E-2</v>
      </c>
      <c r="H62" s="762">
        <f t="shared" si="21"/>
        <v>770363925</v>
      </c>
      <c r="I62" s="500">
        <v>3.86</v>
      </c>
      <c r="J62" s="486">
        <v>2908147</v>
      </c>
      <c r="K62" s="500">
        <v>5.41</v>
      </c>
      <c r="L62" s="486">
        <v>4075936</v>
      </c>
      <c r="M62" s="485">
        <v>0</v>
      </c>
      <c r="N62" s="485">
        <v>0</v>
      </c>
      <c r="O62" s="485">
        <v>0</v>
      </c>
      <c r="P62" s="486">
        <v>0</v>
      </c>
      <c r="Q62" s="78">
        <f t="shared" si="11"/>
        <v>6984083</v>
      </c>
      <c r="R62" s="485">
        <v>0</v>
      </c>
      <c r="S62" s="486">
        <v>129</v>
      </c>
      <c r="T62" s="485">
        <v>0</v>
      </c>
      <c r="U62" s="485">
        <v>0</v>
      </c>
      <c r="V62" s="485">
        <v>0</v>
      </c>
      <c r="W62" s="486">
        <v>0</v>
      </c>
      <c r="X62" s="20">
        <f t="shared" si="12"/>
        <v>129</v>
      </c>
      <c r="Y62" s="148">
        <f t="shared" si="13"/>
        <v>9.27</v>
      </c>
      <c r="Z62" s="20">
        <f t="shared" si="14"/>
        <v>6984212</v>
      </c>
      <c r="AA62" s="20">
        <f t="shared" si="15"/>
        <v>0</v>
      </c>
      <c r="AB62" s="149">
        <f t="shared" si="22"/>
        <v>0</v>
      </c>
      <c r="AC62" s="150">
        <f t="shared" si="23"/>
        <v>9.07</v>
      </c>
      <c r="AD62" s="128">
        <f t="shared" si="24"/>
        <v>9.07</v>
      </c>
      <c r="AE62" s="78">
        <f t="shared" si="16"/>
        <v>6984212</v>
      </c>
      <c r="AF62" s="156">
        <v>2.0799999999999999E-2</v>
      </c>
      <c r="AG62" s="282">
        <v>48824395</v>
      </c>
      <c r="AH62" s="282">
        <v>0</v>
      </c>
      <c r="AI62" s="495">
        <f t="shared" si="17"/>
        <v>48824395</v>
      </c>
      <c r="AJ62" s="78">
        <v>2254068317</v>
      </c>
      <c r="AK62" s="78">
        <f t="shared" si="28"/>
        <v>2347326683</v>
      </c>
      <c r="AL62" s="156">
        <f t="shared" si="18"/>
        <v>4.1373353813925241E-2</v>
      </c>
      <c r="AM62" s="78">
        <f t="shared" si="19"/>
        <v>2347326683</v>
      </c>
      <c r="AN62" s="130">
        <f t="shared" si="25"/>
        <v>2.0799999997273493E-2</v>
      </c>
      <c r="AO62" s="130">
        <f t="shared" si="26"/>
        <v>0</v>
      </c>
      <c r="AP62" s="78">
        <v>307581.5</v>
      </c>
      <c r="AQ62" s="78">
        <f t="shared" si="27"/>
        <v>56116188.5</v>
      </c>
      <c r="AR62" s="78">
        <f>ROUND(AQ62/'Table 3 Levels 1&amp;2'!C63,2)</f>
        <v>3144.82</v>
      </c>
    </row>
    <row r="63" spans="1:44">
      <c r="A63" s="12">
        <v>56</v>
      </c>
      <c r="B63" s="69" t="s">
        <v>149</v>
      </c>
      <c r="C63" s="14">
        <v>193594260</v>
      </c>
      <c r="D63" s="14">
        <v>34746574</v>
      </c>
      <c r="E63" s="14">
        <f t="shared" si="9"/>
        <v>158847686</v>
      </c>
      <c r="F63" s="14">
        <v>157721958</v>
      </c>
      <c r="G63" s="129">
        <f t="shared" si="10"/>
        <v>7.1374209036892634E-3</v>
      </c>
      <c r="H63" s="1388">
        <f t="shared" si="21"/>
        <v>158847686</v>
      </c>
      <c r="I63" s="499">
        <v>3.55</v>
      </c>
      <c r="J63" s="484">
        <v>544655</v>
      </c>
      <c r="K63" s="499">
        <v>17.98</v>
      </c>
      <c r="L63" s="484">
        <v>2756275</v>
      </c>
      <c r="M63" s="483">
        <v>1.64</v>
      </c>
      <c r="N63" s="483">
        <v>1.64</v>
      </c>
      <c r="O63" s="483">
        <v>9</v>
      </c>
      <c r="P63" s="484">
        <v>251656</v>
      </c>
      <c r="Q63" s="77">
        <f t="shared" si="11"/>
        <v>3552586</v>
      </c>
      <c r="R63" s="483">
        <v>0</v>
      </c>
      <c r="S63" s="484">
        <v>0</v>
      </c>
      <c r="T63" s="483">
        <v>0</v>
      </c>
      <c r="U63" s="483">
        <v>0</v>
      </c>
      <c r="V63" s="483">
        <v>0</v>
      </c>
      <c r="W63" s="484"/>
      <c r="X63" s="14">
        <f t="shared" si="12"/>
        <v>0</v>
      </c>
      <c r="Y63" s="145">
        <f t="shared" si="13"/>
        <v>21.53</v>
      </c>
      <c r="Z63" s="14">
        <f t="shared" si="14"/>
        <v>3300930</v>
      </c>
      <c r="AA63" s="14">
        <f t="shared" si="15"/>
        <v>251656</v>
      </c>
      <c r="AB63" s="146">
        <f t="shared" si="22"/>
        <v>0</v>
      </c>
      <c r="AC63" s="147">
        <f t="shared" si="23"/>
        <v>22.36</v>
      </c>
      <c r="AD63" s="127">
        <f t="shared" si="24"/>
        <v>22.36</v>
      </c>
      <c r="AE63" s="77">
        <f t="shared" si="16"/>
        <v>3552586</v>
      </c>
      <c r="AF63" s="155">
        <v>0.02</v>
      </c>
      <c r="AG63" s="281">
        <v>4471356</v>
      </c>
      <c r="AH63" s="281">
        <v>0</v>
      </c>
      <c r="AI63" s="494">
        <f t="shared" si="17"/>
        <v>4471356</v>
      </c>
      <c r="AJ63" s="77">
        <v>239373550</v>
      </c>
      <c r="AK63" s="77">
        <f t="shared" si="28"/>
        <v>223567800</v>
      </c>
      <c r="AL63" s="155">
        <f t="shared" si="18"/>
        <v>-6.602964279052552E-2</v>
      </c>
      <c r="AM63" s="77">
        <f t="shared" si="19"/>
        <v>223567800</v>
      </c>
      <c r="AN63" s="129">
        <f t="shared" si="25"/>
        <v>0.02</v>
      </c>
      <c r="AO63" s="129">
        <f t="shared" si="26"/>
        <v>0</v>
      </c>
      <c r="AP63" s="77">
        <v>151652</v>
      </c>
      <c r="AQ63" s="77">
        <f t="shared" si="27"/>
        <v>8175594</v>
      </c>
      <c r="AR63" s="77">
        <f>ROUND(AQ63/'Table 3 Levels 1&amp;2'!C64,2)</f>
        <v>2840.72</v>
      </c>
    </row>
    <row r="64" spans="1:44">
      <c r="A64" s="12">
        <v>57</v>
      </c>
      <c r="B64" s="69" t="s">
        <v>150</v>
      </c>
      <c r="C64" s="14">
        <v>400700850</v>
      </c>
      <c r="D64" s="14">
        <v>90178270</v>
      </c>
      <c r="E64" s="14">
        <f t="shared" si="9"/>
        <v>310522580</v>
      </c>
      <c r="F64" s="14">
        <v>309620720</v>
      </c>
      <c r="G64" s="590">
        <f t="shared" si="10"/>
        <v>2.9127895574947308E-3</v>
      </c>
      <c r="H64" s="591">
        <f t="shared" si="21"/>
        <v>310522580</v>
      </c>
      <c r="I64" s="499">
        <v>4.6500000000000004</v>
      </c>
      <c r="J64" s="484">
        <v>1425372</v>
      </c>
      <c r="K64" s="499">
        <v>35</v>
      </c>
      <c r="L64" s="484">
        <v>10718733</v>
      </c>
      <c r="M64" s="483">
        <v>0</v>
      </c>
      <c r="N64" s="483">
        <v>0</v>
      </c>
      <c r="O64" s="483">
        <v>0</v>
      </c>
      <c r="P64" s="484">
        <v>0</v>
      </c>
      <c r="Q64" s="77">
        <f t="shared" si="11"/>
        <v>12144105</v>
      </c>
      <c r="R64" s="483">
        <v>0</v>
      </c>
      <c r="S64" s="484">
        <v>0</v>
      </c>
      <c r="T64" s="483">
        <v>0</v>
      </c>
      <c r="U64" s="483">
        <v>0</v>
      </c>
      <c r="V64" s="483">
        <v>0</v>
      </c>
      <c r="W64" s="484">
        <v>0</v>
      </c>
      <c r="X64" s="14">
        <f t="shared" si="12"/>
        <v>0</v>
      </c>
      <c r="Y64" s="145">
        <f t="shared" si="13"/>
        <v>39.65</v>
      </c>
      <c r="Z64" s="14">
        <f t="shared" si="14"/>
        <v>12144105</v>
      </c>
      <c r="AA64" s="14">
        <f t="shared" si="15"/>
        <v>0</v>
      </c>
      <c r="AB64" s="146">
        <f t="shared" si="22"/>
        <v>0</v>
      </c>
      <c r="AC64" s="147">
        <f t="shared" si="23"/>
        <v>39.11</v>
      </c>
      <c r="AD64" s="127">
        <f t="shared" si="24"/>
        <v>39.11</v>
      </c>
      <c r="AE64" s="77">
        <f t="shared" si="16"/>
        <v>12144105</v>
      </c>
      <c r="AF64" s="155">
        <v>1.4999999999999999E-2</v>
      </c>
      <c r="AG64" s="281">
        <v>11290503</v>
      </c>
      <c r="AH64" s="281">
        <v>0</v>
      </c>
      <c r="AI64" s="494">
        <f t="shared" si="17"/>
        <v>11290503</v>
      </c>
      <c r="AJ64" s="77">
        <v>734873800</v>
      </c>
      <c r="AK64" s="77">
        <f t="shared" si="28"/>
        <v>752700200</v>
      </c>
      <c r="AL64" s="155">
        <f t="shared" si="18"/>
        <v>2.4257770517876674E-2</v>
      </c>
      <c r="AM64" s="77">
        <f t="shared" si="19"/>
        <v>752700200</v>
      </c>
      <c r="AN64" s="129">
        <f t="shared" si="25"/>
        <v>1.4999999999999999E-2</v>
      </c>
      <c r="AO64" s="129">
        <f t="shared" si="26"/>
        <v>0</v>
      </c>
      <c r="AP64" s="77">
        <v>2326234</v>
      </c>
      <c r="AQ64" s="77">
        <f t="shared" si="27"/>
        <v>25760842</v>
      </c>
      <c r="AR64" s="77">
        <f>ROUND(AQ64/'Table 3 Levels 1&amp;2'!C65,2)</f>
        <v>2842.73</v>
      </c>
    </row>
    <row r="65" spans="1:44">
      <c r="A65" s="12">
        <v>58</v>
      </c>
      <c r="B65" s="69" t="s">
        <v>151</v>
      </c>
      <c r="C65" s="14">
        <v>168097320</v>
      </c>
      <c r="D65" s="14">
        <v>47441907</v>
      </c>
      <c r="E65" s="14">
        <f t="shared" si="9"/>
        <v>120655413</v>
      </c>
      <c r="F65" s="14">
        <v>117095033</v>
      </c>
      <c r="G65" s="590">
        <f t="shared" si="10"/>
        <v>3.0405901162349046E-2</v>
      </c>
      <c r="H65" s="591">
        <f t="shared" si="21"/>
        <v>120655413</v>
      </c>
      <c r="I65" s="499">
        <v>4.18</v>
      </c>
      <c r="J65" s="484">
        <v>492458</v>
      </c>
      <c r="K65" s="499">
        <v>8.1199999999999992</v>
      </c>
      <c r="L65" s="484">
        <v>956641</v>
      </c>
      <c r="M65" s="483">
        <v>10</v>
      </c>
      <c r="N65" s="483">
        <v>18.77</v>
      </c>
      <c r="O65" s="483">
        <v>9</v>
      </c>
      <c r="P65" s="484">
        <v>1795516</v>
      </c>
      <c r="Q65" s="77">
        <f t="shared" si="11"/>
        <v>3244615</v>
      </c>
      <c r="R65" s="483">
        <v>0</v>
      </c>
      <c r="S65" s="484">
        <v>0</v>
      </c>
      <c r="T65" s="483">
        <v>9.93</v>
      </c>
      <c r="U65" s="483">
        <v>40.79</v>
      </c>
      <c r="V65" s="483">
        <v>9</v>
      </c>
      <c r="W65" s="484">
        <v>3805548</v>
      </c>
      <c r="X65" s="14">
        <f t="shared" si="12"/>
        <v>3805548</v>
      </c>
      <c r="Y65" s="145">
        <f t="shared" si="13"/>
        <v>12.299999999999999</v>
      </c>
      <c r="Z65" s="14">
        <f t="shared" si="14"/>
        <v>1449099</v>
      </c>
      <c r="AA65" s="14">
        <f t="shared" si="15"/>
        <v>5601064</v>
      </c>
      <c r="AB65" s="146">
        <f t="shared" si="22"/>
        <v>31.54</v>
      </c>
      <c r="AC65" s="147">
        <f t="shared" si="23"/>
        <v>26.89</v>
      </c>
      <c r="AD65" s="127">
        <f t="shared" si="24"/>
        <v>58.43</v>
      </c>
      <c r="AE65" s="77">
        <f t="shared" si="16"/>
        <v>7050163</v>
      </c>
      <c r="AF65" s="155">
        <v>0.02</v>
      </c>
      <c r="AG65" s="281">
        <v>12246187</v>
      </c>
      <c r="AH65" s="281">
        <v>0</v>
      </c>
      <c r="AI65" s="494">
        <f t="shared" si="17"/>
        <v>12246187</v>
      </c>
      <c r="AJ65" s="77">
        <v>540589950</v>
      </c>
      <c r="AK65" s="77">
        <f t="shared" si="28"/>
        <v>612309350</v>
      </c>
      <c r="AL65" s="597">
        <f t="shared" si="18"/>
        <v>0.13266876308003875</v>
      </c>
      <c r="AM65" s="600">
        <f t="shared" si="19"/>
        <v>612309350</v>
      </c>
      <c r="AN65" s="129">
        <f t="shared" si="25"/>
        <v>0.02</v>
      </c>
      <c r="AO65" s="129">
        <f t="shared" si="26"/>
        <v>0</v>
      </c>
      <c r="AP65" s="77">
        <v>420654</v>
      </c>
      <c r="AQ65" s="77">
        <f t="shared" si="27"/>
        <v>19717004</v>
      </c>
      <c r="AR65" s="77">
        <f>ROUND(AQ65/'Table 3 Levels 1&amp;2'!C66,2)</f>
        <v>2165.5100000000002</v>
      </c>
    </row>
    <row r="66" spans="1:44">
      <c r="A66" s="12">
        <v>59</v>
      </c>
      <c r="B66" s="69" t="s">
        <v>152</v>
      </c>
      <c r="C66" s="14">
        <v>124631650</v>
      </c>
      <c r="D66" s="14">
        <v>42343385</v>
      </c>
      <c r="E66" s="14">
        <f t="shared" si="9"/>
        <v>82288265</v>
      </c>
      <c r="F66" s="14">
        <v>82193101</v>
      </c>
      <c r="G66" s="590">
        <f t="shared" si="10"/>
        <v>1.1578100697283583E-3</v>
      </c>
      <c r="H66" s="591">
        <f t="shared" si="21"/>
        <v>82288265</v>
      </c>
      <c r="I66" s="499">
        <v>3.91</v>
      </c>
      <c r="J66" s="484">
        <v>333330</v>
      </c>
      <c r="K66" s="499">
        <v>15.07</v>
      </c>
      <c r="L66" s="484">
        <v>1284728</v>
      </c>
      <c r="M66" s="483">
        <v>5.19</v>
      </c>
      <c r="N66" s="483">
        <v>5.19</v>
      </c>
      <c r="O66" s="483">
        <v>1</v>
      </c>
      <c r="P66" s="484">
        <v>22511</v>
      </c>
      <c r="Q66" s="77">
        <f t="shared" si="11"/>
        <v>1640569</v>
      </c>
      <c r="R66" s="483">
        <v>0</v>
      </c>
      <c r="S66" s="484">
        <v>0</v>
      </c>
      <c r="T66" s="483">
        <v>16</v>
      </c>
      <c r="U66" s="483">
        <v>30.5</v>
      </c>
      <c r="V66" s="483">
        <v>3</v>
      </c>
      <c r="W66" s="484">
        <v>2284106</v>
      </c>
      <c r="X66" s="14">
        <f t="shared" si="12"/>
        <v>2284106</v>
      </c>
      <c r="Y66" s="145">
        <f t="shared" si="13"/>
        <v>18.98</v>
      </c>
      <c r="Z66" s="14">
        <f t="shared" si="14"/>
        <v>1618058</v>
      </c>
      <c r="AA66" s="14">
        <f t="shared" si="15"/>
        <v>2306617</v>
      </c>
      <c r="AB66" s="146">
        <f t="shared" si="22"/>
        <v>27.76</v>
      </c>
      <c r="AC66" s="147">
        <f t="shared" si="23"/>
        <v>19.940000000000001</v>
      </c>
      <c r="AD66" s="127">
        <f t="shared" si="24"/>
        <v>47.69</v>
      </c>
      <c r="AE66" s="77">
        <f t="shared" si="16"/>
        <v>3924675</v>
      </c>
      <c r="AF66" s="155">
        <v>0.02</v>
      </c>
      <c r="AG66" s="281">
        <v>4135359</v>
      </c>
      <c r="AH66" s="281">
        <v>0</v>
      </c>
      <c r="AI66" s="494">
        <f t="shared" si="17"/>
        <v>4135359</v>
      </c>
      <c r="AJ66" s="77">
        <v>197900500</v>
      </c>
      <c r="AK66" s="77">
        <f t="shared" si="28"/>
        <v>206767950</v>
      </c>
      <c r="AL66" s="597">
        <f t="shared" si="18"/>
        <v>4.4807617969636254E-2</v>
      </c>
      <c r="AM66" s="600">
        <f t="shared" si="19"/>
        <v>206767950</v>
      </c>
      <c r="AN66" s="129">
        <f t="shared" si="25"/>
        <v>0.02</v>
      </c>
      <c r="AO66" s="129">
        <f t="shared" si="26"/>
        <v>0</v>
      </c>
      <c r="AP66" s="77">
        <v>165555</v>
      </c>
      <c r="AQ66" s="77">
        <f t="shared" si="27"/>
        <v>8225589</v>
      </c>
      <c r="AR66" s="77">
        <f>ROUND(AQ66/'Table 3 Levels 1&amp;2'!C67,2)</f>
        <v>1565.88</v>
      </c>
    </row>
    <row r="67" spans="1:44">
      <c r="A67" s="18">
        <v>60</v>
      </c>
      <c r="B67" s="70" t="s">
        <v>153</v>
      </c>
      <c r="C67" s="20">
        <v>286941170</v>
      </c>
      <c r="D67" s="20">
        <v>52467769</v>
      </c>
      <c r="E67" s="20">
        <f t="shared" si="9"/>
        <v>234473401</v>
      </c>
      <c r="F67" s="20">
        <v>228007251</v>
      </c>
      <c r="G67" s="761">
        <f t="shared" si="10"/>
        <v>2.8359405113831226E-2</v>
      </c>
      <c r="H67" s="762">
        <f t="shared" si="21"/>
        <v>234473401</v>
      </c>
      <c r="I67" s="500">
        <v>4.18</v>
      </c>
      <c r="J67" s="486">
        <v>976862</v>
      </c>
      <c r="K67" s="500">
        <v>11.58</v>
      </c>
      <c r="L67" s="486">
        <v>2706236</v>
      </c>
      <c r="M67" s="485">
        <v>7.12</v>
      </c>
      <c r="N67" s="485">
        <v>25.37</v>
      </c>
      <c r="O67" s="485">
        <v>3</v>
      </c>
      <c r="P67" s="486">
        <v>1552191</v>
      </c>
      <c r="Q67" s="78">
        <f t="shared" si="11"/>
        <v>5235289</v>
      </c>
      <c r="R67" s="485">
        <v>0</v>
      </c>
      <c r="S67" s="486">
        <v>0</v>
      </c>
      <c r="T67" s="485">
        <v>17</v>
      </c>
      <c r="U67" s="485">
        <v>39</v>
      </c>
      <c r="V67" s="485">
        <v>7</v>
      </c>
      <c r="W67" s="486">
        <v>6227407</v>
      </c>
      <c r="X67" s="20">
        <f t="shared" si="12"/>
        <v>6227407</v>
      </c>
      <c r="Y67" s="148">
        <f t="shared" si="13"/>
        <v>15.76</v>
      </c>
      <c r="Z67" s="20">
        <f t="shared" si="14"/>
        <v>3683098</v>
      </c>
      <c r="AA67" s="20">
        <f t="shared" si="15"/>
        <v>7779598</v>
      </c>
      <c r="AB67" s="149">
        <f t="shared" si="22"/>
        <v>26.56</v>
      </c>
      <c r="AC67" s="150">
        <f t="shared" si="23"/>
        <v>22.33</v>
      </c>
      <c r="AD67" s="128">
        <f t="shared" si="24"/>
        <v>48.89</v>
      </c>
      <c r="AE67" s="78">
        <f t="shared" si="16"/>
        <v>11462696</v>
      </c>
      <c r="AF67" s="156">
        <v>2.1299999999999999E-2</v>
      </c>
      <c r="AG67" s="282">
        <v>14520505</v>
      </c>
      <c r="AH67" s="282">
        <v>0</v>
      </c>
      <c r="AI67" s="495">
        <f t="shared" si="17"/>
        <v>14520505</v>
      </c>
      <c r="AJ67" s="78">
        <v>671741362</v>
      </c>
      <c r="AK67" s="78">
        <f t="shared" si="28"/>
        <v>681713850</v>
      </c>
      <c r="AL67" s="598">
        <f t="shared" si="18"/>
        <v>1.4845725697623486E-2</v>
      </c>
      <c r="AM67" s="601">
        <f t="shared" si="19"/>
        <v>681713850</v>
      </c>
      <c r="AN67" s="130">
        <f t="shared" si="25"/>
        <v>2.1299999992665544E-2</v>
      </c>
      <c r="AO67" s="130">
        <f t="shared" si="26"/>
        <v>0</v>
      </c>
      <c r="AP67" s="78">
        <v>309654</v>
      </c>
      <c r="AQ67" s="78">
        <f t="shared" si="27"/>
        <v>26292855</v>
      </c>
      <c r="AR67" s="78">
        <f>ROUND(AQ67/'Table 3 Levels 1&amp;2'!C68,2)</f>
        <v>4038.22</v>
      </c>
    </row>
    <row r="68" spans="1:44">
      <c r="A68" s="12">
        <v>61</v>
      </c>
      <c r="B68" s="69" t="s">
        <v>154</v>
      </c>
      <c r="C68" s="14">
        <v>392504800</v>
      </c>
      <c r="D68" s="14">
        <v>39614303</v>
      </c>
      <c r="E68" s="14">
        <f t="shared" si="9"/>
        <v>352890497</v>
      </c>
      <c r="F68" s="14">
        <v>328455777</v>
      </c>
      <c r="G68" s="590">
        <f t="shared" si="10"/>
        <v>7.4392724107878908E-2</v>
      </c>
      <c r="H68" s="591">
        <f t="shared" si="21"/>
        <v>352890497</v>
      </c>
      <c r="I68" s="499">
        <v>4.3899999999999997</v>
      </c>
      <c r="J68" s="484">
        <v>1552509</v>
      </c>
      <c r="K68" s="499">
        <v>27</v>
      </c>
      <c r="L68" s="484">
        <v>9548461</v>
      </c>
      <c r="M68" s="483">
        <v>0</v>
      </c>
      <c r="N68" s="483">
        <v>0</v>
      </c>
      <c r="O68" s="483">
        <v>0</v>
      </c>
      <c r="P68" s="484">
        <v>0</v>
      </c>
      <c r="Q68" s="77">
        <f t="shared" si="11"/>
        <v>11100970</v>
      </c>
      <c r="R68" s="483">
        <v>4</v>
      </c>
      <c r="S68" s="484">
        <v>1414587</v>
      </c>
      <c r="T68" s="483">
        <v>0</v>
      </c>
      <c r="U68" s="483">
        <v>0</v>
      </c>
      <c r="V68" s="483">
        <v>0</v>
      </c>
      <c r="W68" s="484">
        <v>0</v>
      </c>
      <c r="X68" s="14">
        <f t="shared" si="12"/>
        <v>1414587</v>
      </c>
      <c r="Y68" s="145">
        <f t="shared" si="13"/>
        <v>35.39</v>
      </c>
      <c r="Z68" s="14">
        <f t="shared" si="14"/>
        <v>12515557</v>
      </c>
      <c r="AA68" s="14">
        <f t="shared" si="15"/>
        <v>0</v>
      </c>
      <c r="AB68" s="146">
        <f t="shared" si="22"/>
        <v>4.01</v>
      </c>
      <c r="AC68" s="147">
        <f t="shared" si="23"/>
        <v>31.46</v>
      </c>
      <c r="AD68" s="127">
        <f t="shared" si="24"/>
        <v>35.47</v>
      </c>
      <c r="AE68" s="77">
        <f t="shared" si="16"/>
        <v>12515557</v>
      </c>
      <c r="AF68" s="155">
        <v>0.02</v>
      </c>
      <c r="AG68" s="281">
        <v>11835265</v>
      </c>
      <c r="AH68" s="281">
        <v>0</v>
      </c>
      <c r="AI68" s="494">
        <f t="shared" si="17"/>
        <v>11835265</v>
      </c>
      <c r="AJ68" s="77">
        <v>510373150</v>
      </c>
      <c r="AK68" s="77">
        <f t="shared" si="28"/>
        <v>591763250</v>
      </c>
      <c r="AL68" s="599">
        <f t="shared" si="18"/>
        <v>0.15947175120791524</v>
      </c>
      <c r="AM68" s="602">
        <f t="shared" si="19"/>
        <v>586929122.5</v>
      </c>
      <c r="AN68" s="129">
        <f t="shared" si="25"/>
        <v>0.02</v>
      </c>
      <c r="AO68" s="129">
        <f t="shared" si="26"/>
        <v>0</v>
      </c>
      <c r="AP68" s="77">
        <v>156507.5</v>
      </c>
      <c r="AQ68" s="77">
        <f t="shared" si="27"/>
        <v>24507329.5</v>
      </c>
      <c r="AR68" s="77">
        <f>ROUND(AQ68/'Table 3 Levels 1&amp;2'!C69,2)</f>
        <v>6736.48</v>
      </c>
    </row>
    <row r="69" spans="1:44">
      <c r="A69" s="12">
        <v>62</v>
      </c>
      <c r="B69" s="69" t="s">
        <v>155</v>
      </c>
      <c r="C69" s="14">
        <v>69021260</v>
      </c>
      <c r="D69" s="14">
        <v>16243936</v>
      </c>
      <c r="E69" s="14">
        <f t="shared" si="9"/>
        <v>52777324</v>
      </c>
      <c r="F69" s="14">
        <v>50448171</v>
      </c>
      <c r="G69" s="590">
        <f t="shared" si="10"/>
        <v>4.6169225837741475E-2</v>
      </c>
      <c r="H69" s="591">
        <f t="shared" si="21"/>
        <v>52777324</v>
      </c>
      <c r="I69" s="499">
        <v>7.03</v>
      </c>
      <c r="J69" s="484">
        <v>356747</v>
      </c>
      <c r="K69" s="499">
        <v>16.899999999999999</v>
      </c>
      <c r="L69" s="484">
        <v>888369</v>
      </c>
      <c r="M69" s="483">
        <v>4.47</v>
      </c>
      <c r="N69" s="483">
        <v>4.47</v>
      </c>
      <c r="O69" s="483">
        <v>1</v>
      </c>
      <c r="P69" s="484">
        <v>107285</v>
      </c>
      <c r="Q69" s="77">
        <f t="shared" si="11"/>
        <v>1352401</v>
      </c>
      <c r="R69" s="483">
        <v>0</v>
      </c>
      <c r="S69" s="484">
        <v>0</v>
      </c>
      <c r="T69" s="483">
        <v>0</v>
      </c>
      <c r="U69" s="483">
        <v>0</v>
      </c>
      <c r="V69" s="483">
        <v>0</v>
      </c>
      <c r="W69" s="484"/>
      <c r="X69" s="14">
        <f t="shared" si="12"/>
        <v>0</v>
      </c>
      <c r="Y69" s="145">
        <f t="shared" si="13"/>
        <v>23.93</v>
      </c>
      <c r="Z69" s="14">
        <f>J69+L69+S69</f>
        <v>1245116</v>
      </c>
      <c r="AA69" s="14">
        <f t="shared" si="15"/>
        <v>107285</v>
      </c>
      <c r="AB69" s="146">
        <f t="shared" si="22"/>
        <v>0</v>
      </c>
      <c r="AC69" s="147">
        <f t="shared" si="23"/>
        <v>25.62</v>
      </c>
      <c r="AD69" s="127">
        <f t="shared" si="24"/>
        <v>25.62</v>
      </c>
      <c r="AE69" s="77">
        <f t="shared" si="16"/>
        <v>1352401</v>
      </c>
      <c r="AF69" s="155">
        <v>0.02</v>
      </c>
      <c r="AG69" s="281">
        <v>2408700</v>
      </c>
      <c r="AH69" s="281">
        <v>0</v>
      </c>
      <c r="AI69" s="494">
        <f t="shared" si="17"/>
        <v>2408700</v>
      </c>
      <c r="AJ69" s="77">
        <v>113624700</v>
      </c>
      <c r="AK69" s="77">
        <f t="shared" si="28"/>
        <v>120435000</v>
      </c>
      <c r="AL69" s="597">
        <f t="shared" si="18"/>
        <v>5.9936791912321881E-2</v>
      </c>
      <c r="AM69" s="600">
        <f t="shared" si="19"/>
        <v>120435000</v>
      </c>
      <c r="AN69" s="129">
        <f t="shared" si="25"/>
        <v>0.02</v>
      </c>
      <c r="AO69" s="129">
        <f t="shared" si="26"/>
        <v>0</v>
      </c>
      <c r="AP69" s="77">
        <v>99511</v>
      </c>
      <c r="AQ69" s="77">
        <f t="shared" si="27"/>
        <v>3860612</v>
      </c>
      <c r="AR69" s="77">
        <f>ROUND(AQ69/'Table 3 Levels 1&amp;2'!C70,2)</f>
        <v>1801.5</v>
      </c>
    </row>
    <row r="70" spans="1:44">
      <c r="A70" s="12">
        <v>63</v>
      </c>
      <c r="B70" s="69" t="s">
        <v>156</v>
      </c>
      <c r="C70" s="14">
        <v>285153365</v>
      </c>
      <c r="D70" s="14">
        <v>16839952</v>
      </c>
      <c r="E70" s="14">
        <f t="shared" si="9"/>
        <v>268313413</v>
      </c>
      <c r="F70" s="14">
        <v>271070965</v>
      </c>
      <c r="G70" s="590">
        <f t="shared" si="10"/>
        <v>-1.0172804748749096E-2</v>
      </c>
      <c r="H70" s="591">
        <f t="shared" si="21"/>
        <v>268313413</v>
      </c>
      <c r="I70" s="499">
        <v>4.46</v>
      </c>
      <c r="J70" s="484">
        <v>1155674</v>
      </c>
      <c r="K70" s="499">
        <v>29.5</v>
      </c>
      <c r="L70" s="484">
        <v>7753675</v>
      </c>
      <c r="M70" s="483">
        <v>0</v>
      </c>
      <c r="N70" s="483">
        <v>0</v>
      </c>
      <c r="O70" s="483">
        <v>0</v>
      </c>
      <c r="P70" s="484">
        <v>0</v>
      </c>
      <c r="Q70" s="77">
        <f t="shared" si="11"/>
        <v>8909349</v>
      </c>
      <c r="R70" s="483">
        <v>2</v>
      </c>
      <c r="S70" s="484">
        <v>1027137</v>
      </c>
      <c r="T70" s="483">
        <v>0</v>
      </c>
      <c r="U70" s="483">
        <v>0</v>
      </c>
      <c r="V70" s="483">
        <v>0</v>
      </c>
      <c r="W70" s="484">
        <v>0</v>
      </c>
      <c r="X70" s="14">
        <f t="shared" si="12"/>
        <v>1027137</v>
      </c>
      <c r="Y70" s="145">
        <f t="shared" si="13"/>
        <v>35.96</v>
      </c>
      <c r="Z70" s="14">
        <f t="shared" si="14"/>
        <v>9936486</v>
      </c>
      <c r="AA70" s="14">
        <f t="shared" si="15"/>
        <v>0</v>
      </c>
      <c r="AB70" s="146">
        <f t="shared" si="22"/>
        <v>3.83</v>
      </c>
      <c r="AC70" s="147">
        <f t="shared" si="23"/>
        <v>33.21</v>
      </c>
      <c r="AD70" s="127">
        <f t="shared" si="24"/>
        <v>37.03</v>
      </c>
      <c r="AE70" s="77">
        <f t="shared" si="16"/>
        <v>9936486</v>
      </c>
      <c r="AF70" s="155">
        <v>2.5000000000000001E-2</v>
      </c>
      <c r="AG70" s="281">
        <v>4451261</v>
      </c>
      <c r="AH70" s="281">
        <v>0</v>
      </c>
      <c r="AI70" s="494">
        <f t="shared" si="17"/>
        <v>4451261</v>
      </c>
      <c r="AJ70" s="77">
        <v>166329400</v>
      </c>
      <c r="AK70" s="77">
        <f t="shared" si="28"/>
        <v>178050440</v>
      </c>
      <c r="AL70" s="597">
        <f t="shared" si="18"/>
        <v>7.0468840746133882E-2</v>
      </c>
      <c r="AM70" s="600">
        <f t="shared" si="19"/>
        <v>178050440</v>
      </c>
      <c r="AN70" s="129">
        <f t="shared" si="25"/>
        <v>2.5000000000000001E-2</v>
      </c>
      <c r="AO70" s="129">
        <f t="shared" si="26"/>
        <v>0</v>
      </c>
      <c r="AP70" s="77">
        <v>56320.5</v>
      </c>
      <c r="AQ70" s="77">
        <f t="shared" si="27"/>
        <v>14444067.5</v>
      </c>
      <c r="AR70" s="77">
        <f>ROUND(AQ70/'Table 3 Levels 1&amp;2'!C71,2)</f>
        <v>7070.03</v>
      </c>
    </row>
    <row r="71" spans="1:44">
      <c r="A71" s="12">
        <v>64</v>
      </c>
      <c r="B71" s="69" t="s">
        <v>157</v>
      </c>
      <c r="C71" s="14">
        <v>79447343</v>
      </c>
      <c r="D71" s="14">
        <v>16176475</v>
      </c>
      <c r="E71" s="14">
        <f t="shared" si="9"/>
        <v>63270868</v>
      </c>
      <c r="F71" s="14">
        <v>70009749</v>
      </c>
      <c r="G71" s="129">
        <f t="shared" si="10"/>
        <v>-9.6256322815840983E-2</v>
      </c>
      <c r="H71" s="1388">
        <f t="shared" si="21"/>
        <v>63270868</v>
      </c>
      <c r="I71" s="499">
        <v>4.88</v>
      </c>
      <c r="J71" s="484">
        <v>300021</v>
      </c>
      <c r="K71" s="499">
        <v>15.64</v>
      </c>
      <c r="L71" s="484">
        <v>962794</v>
      </c>
      <c r="M71" s="483">
        <v>3</v>
      </c>
      <c r="N71" s="483">
        <v>3.12</v>
      </c>
      <c r="O71" s="483">
        <v>2</v>
      </c>
      <c r="P71" s="484">
        <v>157249</v>
      </c>
      <c r="Q71" s="77">
        <f t="shared" si="11"/>
        <v>1420064</v>
      </c>
      <c r="R71" s="483">
        <v>0</v>
      </c>
      <c r="S71" s="484">
        <v>0</v>
      </c>
      <c r="T71" s="483">
        <v>16</v>
      </c>
      <c r="U71" s="483">
        <v>45</v>
      </c>
      <c r="V71" s="483">
        <v>4</v>
      </c>
      <c r="W71" s="484">
        <v>1422171</v>
      </c>
      <c r="X71" s="14">
        <f t="shared" si="12"/>
        <v>1422171</v>
      </c>
      <c r="Y71" s="145">
        <f t="shared" si="13"/>
        <v>20.52</v>
      </c>
      <c r="Z71" s="14">
        <f t="shared" si="14"/>
        <v>1262815</v>
      </c>
      <c r="AA71" s="14">
        <f t="shared" si="15"/>
        <v>1579420</v>
      </c>
      <c r="AB71" s="146">
        <f t="shared" si="22"/>
        <v>22.48</v>
      </c>
      <c r="AC71" s="147">
        <f t="shared" si="23"/>
        <v>22.44</v>
      </c>
      <c r="AD71" s="127">
        <f t="shared" si="24"/>
        <v>44.92</v>
      </c>
      <c r="AE71" s="77">
        <f t="shared" si="16"/>
        <v>2842235</v>
      </c>
      <c r="AF71" s="155">
        <v>0.02</v>
      </c>
      <c r="AG71" s="281">
        <v>3671568</v>
      </c>
      <c r="AH71" s="281">
        <v>0</v>
      </c>
      <c r="AI71" s="494">
        <f t="shared" si="17"/>
        <v>3671568</v>
      </c>
      <c r="AJ71" s="77">
        <v>175201800</v>
      </c>
      <c r="AK71" s="77">
        <f t="shared" si="28"/>
        <v>183578400</v>
      </c>
      <c r="AL71" s="597">
        <f t="shared" si="18"/>
        <v>4.7811152625144265E-2</v>
      </c>
      <c r="AM71" s="600">
        <f t="shared" si="19"/>
        <v>183578400</v>
      </c>
      <c r="AN71" s="129">
        <f t="shared" si="25"/>
        <v>0.02</v>
      </c>
      <c r="AO71" s="129">
        <f t="shared" si="26"/>
        <v>0</v>
      </c>
      <c r="AP71" s="77">
        <v>378258</v>
      </c>
      <c r="AQ71" s="77">
        <f t="shared" si="27"/>
        <v>6892061</v>
      </c>
      <c r="AR71" s="77">
        <f>ROUND(AQ71/'Table 3 Levels 1&amp;2'!C72,2)</f>
        <v>2874.09</v>
      </c>
    </row>
    <row r="72" spans="1:44">
      <c r="A72" s="18">
        <v>65</v>
      </c>
      <c r="B72" s="70" t="s">
        <v>158</v>
      </c>
      <c r="C72" s="20">
        <v>387637647</v>
      </c>
      <c r="D72" s="20">
        <v>46526907</v>
      </c>
      <c r="E72" s="20">
        <f t="shared" si="9"/>
        <v>341110740</v>
      </c>
      <c r="F72" s="20">
        <v>337062437</v>
      </c>
      <c r="G72" s="761">
        <f t="shared" si="10"/>
        <v>1.2010543316637801E-2</v>
      </c>
      <c r="H72" s="762">
        <f t="shared" si="21"/>
        <v>341110740</v>
      </c>
      <c r="I72" s="500">
        <v>7.07</v>
      </c>
      <c r="J72" s="486">
        <v>2405548</v>
      </c>
      <c r="K72" s="500">
        <v>20.57</v>
      </c>
      <c r="L72" s="486">
        <v>7059875</v>
      </c>
      <c r="M72" s="485">
        <v>0</v>
      </c>
      <c r="N72" s="485">
        <v>0</v>
      </c>
      <c r="O72" s="485">
        <v>0</v>
      </c>
      <c r="P72" s="486">
        <v>0</v>
      </c>
      <c r="Q72" s="78">
        <f t="shared" si="11"/>
        <v>9465423</v>
      </c>
      <c r="R72" s="485">
        <v>17</v>
      </c>
      <c r="S72" s="486">
        <v>5819656</v>
      </c>
      <c r="T72" s="485">
        <v>0</v>
      </c>
      <c r="U72" s="485">
        <v>0</v>
      </c>
      <c r="V72" s="485">
        <v>0</v>
      </c>
      <c r="W72" s="486">
        <v>0</v>
      </c>
      <c r="X72" s="20">
        <f t="shared" si="12"/>
        <v>5819656</v>
      </c>
      <c r="Y72" s="148">
        <f t="shared" si="13"/>
        <v>44.64</v>
      </c>
      <c r="Z72" s="20">
        <f t="shared" si="14"/>
        <v>15285079</v>
      </c>
      <c r="AA72" s="20">
        <f t="shared" si="15"/>
        <v>0</v>
      </c>
      <c r="AB72" s="149">
        <f t="shared" ref="AB72:AB77" si="29">ROUND((X72/E72)*1000,2)</f>
        <v>17.059999999999999</v>
      </c>
      <c r="AC72" s="150">
        <f t="shared" ref="AC72:AC77" si="30">ROUND((Q72/E72)*1000,2)</f>
        <v>27.75</v>
      </c>
      <c r="AD72" s="128">
        <f t="shared" ref="AD72:AD77" si="31">ROUND((AE72/E72)*1000,2)</f>
        <v>44.81</v>
      </c>
      <c r="AE72" s="78">
        <f t="shared" si="16"/>
        <v>15285079</v>
      </c>
      <c r="AF72" s="156">
        <v>0.02</v>
      </c>
      <c r="AG72" s="282">
        <v>25768276</v>
      </c>
      <c r="AH72" s="282">
        <v>0</v>
      </c>
      <c r="AI72" s="495">
        <f t="shared" si="17"/>
        <v>25768276</v>
      </c>
      <c r="AJ72" s="78">
        <v>1243900150</v>
      </c>
      <c r="AK72" s="78">
        <f t="shared" si="28"/>
        <v>1288413800</v>
      </c>
      <c r="AL72" s="598">
        <f t="shared" si="18"/>
        <v>3.5785549185760608E-2</v>
      </c>
      <c r="AM72" s="601">
        <f t="shared" si="19"/>
        <v>1288413800</v>
      </c>
      <c r="AN72" s="130">
        <f t="shared" si="25"/>
        <v>0.02</v>
      </c>
      <c r="AO72" s="130">
        <f t="shared" si="26"/>
        <v>0</v>
      </c>
      <c r="AP72" s="78">
        <v>296519</v>
      </c>
      <c r="AQ72" s="78">
        <f>AP72+AE72+AI72</f>
        <v>41349874</v>
      </c>
      <c r="AR72" s="78">
        <f>ROUND(AQ72/'Table 3 Levels 1&amp;2'!C73,2)</f>
        <v>4879.62</v>
      </c>
    </row>
    <row r="73" spans="1:44">
      <c r="A73" s="12">
        <v>66</v>
      </c>
      <c r="B73" s="69" t="s">
        <v>159</v>
      </c>
      <c r="C73" s="77">
        <v>97317860</v>
      </c>
      <c r="D73" s="77">
        <v>20997740</v>
      </c>
      <c r="E73" s="14">
        <f>C73-D73</f>
        <v>76320120</v>
      </c>
      <c r="F73" s="77">
        <v>78604030</v>
      </c>
      <c r="G73" s="590">
        <f>(E73-F73)/F73</f>
        <v>-2.9055889373610998E-2</v>
      </c>
      <c r="H73" s="591">
        <f t="shared" si="21"/>
        <v>76320120</v>
      </c>
      <c r="I73" s="499">
        <v>6.44</v>
      </c>
      <c r="J73" s="484">
        <v>486271</v>
      </c>
      <c r="K73" s="499">
        <v>56.37</v>
      </c>
      <c r="L73" s="484">
        <v>4329966</v>
      </c>
      <c r="M73" s="483">
        <v>0</v>
      </c>
      <c r="N73" s="483">
        <v>0</v>
      </c>
      <c r="O73" s="483">
        <v>0</v>
      </c>
      <c r="P73" s="484">
        <v>0</v>
      </c>
      <c r="Q73" s="77">
        <f>J73+L73+P73</f>
        <v>4816237</v>
      </c>
      <c r="R73" s="483">
        <v>0</v>
      </c>
      <c r="S73" s="484">
        <v>0</v>
      </c>
      <c r="T73" s="483">
        <v>0</v>
      </c>
      <c r="U73" s="483">
        <v>0</v>
      </c>
      <c r="V73" s="483">
        <v>0</v>
      </c>
      <c r="W73" s="484"/>
      <c r="X73" s="77">
        <f>S73+W73</f>
        <v>0</v>
      </c>
      <c r="Y73" s="159">
        <f t="shared" ref="Y73:Z75" si="32">I73+K73+R73</f>
        <v>62.809999999999995</v>
      </c>
      <c r="Z73" s="77">
        <f t="shared" si="32"/>
        <v>4816237</v>
      </c>
      <c r="AA73" s="77">
        <f>P73+W73</f>
        <v>0</v>
      </c>
      <c r="AB73" s="160">
        <f t="shared" si="29"/>
        <v>0</v>
      </c>
      <c r="AC73" s="161">
        <f t="shared" si="30"/>
        <v>63.11</v>
      </c>
      <c r="AD73" s="127">
        <f t="shared" si="31"/>
        <v>63.11</v>
      </c>
      <c r="AE73" s="77">
        <f>X73+Q73</f>
        <v>4816237</v>
      </c>
      <c r="AF73" s="155">
        <v>0.01</v>
      </c>
      <c r="AG73" s="281">
        <v>2415009</v>
      </c>
      <c r="AH73" s="281">
        <v>0</v>
      </c>
      <c r="AI73" s="494">
        <f>AG73+AH73</f>
        <v>2415009</v>
      </c>
      <c r="AJ73" s="77">
        <v>231064300</v>
      </c>
      <c r="AK73" s="77">
        <f t="shared" si="28"/>
        <v>241500900</v>
      </c>
      <c r="AL73" s="597">
        <f>(AK73-AJ73)/AJ73</f>
        <v>4.5167513977710967E-2</v>
      </c>
      <c r="AM73" s="600">
        <f>IF((AK73-AJ73)/AJ73&gt;$AM$5,AJ73*(1+$AM$5),AK73)</f>
        <v>241500900</v>
      </c>
      <c r="AN73" s="129">
        <f t="shared" si="25"/>
        <v>0.01</v>
      </c>
      <c r="AO73" s="129">
        <f t="shared" si="26"/>
        <v>0</v>
      </c>
      <c r="AP73" s="77">
        <v>216332</v>
      </c>
      <c r="AQ73" s="77">
        <f>AP73+AE73+AI73</f>
        <v>7447578</v>
      </c>
      <c r="AR73" s="77">
        <f>ROUND(AQ73/'Table 3 Levels 1&amp;2'!C74,2)</f>
        <v>3657.95</v>
      </c>
    </row>
    <row r="74" spans="1:44" s="75" customFormat="1">
      <c r="A74" s="101">
        <v>67</v>
      </c>
      <c r="B74" s="158" t="s">
        <v>32</v>
      </c>
      <c r="C74" s="77">
        <v>236636240</v>
      </c>
      <c r="D74" s="163">
        <v>38734750</v>
      </c>
      <c r="E74" s="14">
        <f>C74-D74</f>
        <v>197901490</v>
      </c>
      <c r="F74" s="163">
        <v>186663350</v>
      </c>
      <c r="G74" s="763">
        <f>(E74-F74)/F74</f>
        <v>6.0205391149360597E-2</v>
      </c>
      <c r="H74" s="591">
        <f t="shared" si="21"/>
        <v>197901490</v>
      </c>
      <c r="I74" s="159">
        <v>5</v>
      </c>
      <c r="J74" s="77">
        <v>956567</v>
      </c>
      <c r="K74" s="159">
        <v>38.200000000000003</v>
      </c>
      <c r="L74" s="77">
        <v>7655792</v>
      </c>
      <c r="M74" s="489">
        <v>0</v>
      </c>
      <c r="N74" s="489">
        <v>0</v>
      </c>
      <c r="O74" s="81">
        <v>4</v>
      </c>
      <c r="P74" s="77">
        <v>0</v>
      </c>
      <c r="Q74" s="77">
        <f>J74+L74+P74</f>
        <v>8612359</v>
      </c>
      <c r="R74" s="483">
        <v>36</v>
      </c>
      <c r="S74" s="77">
        <v>6965783</v>
      </c>
      <c r="T74" s="489">
        <v>0</v>
      </c>
      <c r="U74" s="489">
        <v>0</v>
      </c>
      <c r="V74" s="81">
        <v>4</v>
      </c>
      <c r="W74" s="77">
        <v>0</v>
      </c>
      <c r="X74" s="77">
        <f>S74+W74</f>
        <v>6965783</v>
      </c>
      <c r="Y74" s="159">
        <f t="shared" si="32"/>
        <v>79.2</v>
      </c>
      <c r="Z74" s="77">
        <f t="shared" si="32"/>
        <v>15578142</v>
      </c>
      <c r="AA74" s="77">
        <f>P74+W74</f>
        <v>0</v>
      </c>
      <c r="AB74" s="160">
        <f t="shared" si="29"/>
        <v>35.200000000000003</v>
      </c>
      <c r="AC74" s="161">
        <f t="shared" si="30"/>
        <v>43.52</v>
      </c>
      <c r="AD74" s="127">
        <f t="shared" si="31"/>
        <v>78.72</v>
      </c>
      <c r="AE74" s="77">
        <f>X74+Q74</f>
        <v>15578142</v>
      </c>
      <c r="AF74" s="155">
        <v>0.02</v>
      </c>
      <c r="AG74" s="281">
        <v>10609846</v>
      </c>
      <c r="AH74" s="281">
        <v>0</v>
      </c>
      <c r="AI74" s="494">
        <f>AG74+AH74</f>
        <v>10609846</v>
      </c>
      <c r="AJ74" s="77">
        <v>388099200</v>
      </c>
      <c r="AK74" s="77">
        <f t="shared" si="28"/>
        <v>530492300</v>
      </c>
      <c r="AL74" s="599">
        <f>(AK74-AJ74)/AJ74</f>
        <v>0.3668987207394398</v>
      </c>
      <c r="AM74" s="602">
        <f>IF((AK74-AJ74)/AJ74&gt;$AM$5,AJ74*(1+$AM$5),AK74)</f>
        <v>446314079.99999994</v>
      </c>
      <c r="AN74" s="129">
        <f t="shared" si="25"/>
        <v>0.02</v>
      </c>
      <c r="AO74" s="129">
        <f t="shared" si="26"/>
        <v>0</v>
      </c>
      <c r="AP74" s="77">
        <v>82848</v>
      </c>
      <c r="AQ74" s="77">
        <f>AP74+AE74+AI74</f>
        <v>26270836</v>
      </c>
      <c r="AR74" s="77">
        <f>ROUND(AQ74/'Table 3 Levels 1&amp;2'!C75,2)</f>
        <v>5147.1099999999997</v>
      </c>
    </row>
    <row r="75" spans="1:44" s="75" customFormat="1">
      <c r="A75" s="101">
        <v>68</v>
      </c>
      <c r="B75" s="158" t="s">
        <v>30</v>
      </c>
      <c r="C75" s="77">
        <v>62011730</v>
      </c>
      <c r="D75" s="163">
        <v>21144000</v>
      </c>
      <c r="E75" s="163">
        <f>C75-D75</f>
        <v>40867730</v>
      </c>
      <c r="F75" s="163">
        <v>44450770</v>
      </c>
      <c r="G75" s="763">
        <f>(E75-F75)/F75</f>
        <v>-8.0606927619026617E-2</v>
      </c>
      <c r="H75" s="591">
        <f t="shared" si="21"/>
        <v>40867730</v>
      </c>
      <c r="I75" s="159">
        <v>5</v>
      </c>
      <c r="J75" s="77">
        <v>213808</v>
      </c>
      <c r="K75" s="159">
        <v>38.200000000000003</v>
      </c>
      <c r="L75" s="77">
        <v>1541013</v>
      </c>
      <c r="M75" s="489">
        <v>0</v>
      </c>
      <c r="N75" s="489">
        <v>0</v>
      </c>
      <c r="O75" s="81">
        <v>0</v>
      </c>
      <c r="P75" s="77">
        <v>0</v>
      </c>
      <c r="Q75" s="77">
        <f>J75+L75+P75</f>
        <v>1754821</v>
      </c>
      <c r="R75" s="483">
        <v>0</v>
      </c>
      <c r="S75" s="77">
        <v>0</v>
      </c>
      <c r="T75" s="489">
        <v>0</v>
      </c>
      <c r="U75" s="489">
        <v>0</v>
      </c>
      <c r="V75" s="81">
        <v>0</v>
      </c>
      <c r="W75" s="77">
        <v>0</v>
      </c>
      <c r="X75" s="77">
        <f>S75+W75</f>
        <v>0</v>
      </c>
      <c r="Y75" s="159">
        <f t="shared" si="32"/>
        <v>43.2</v>
      </c>
      <c r="Z75" s="77">
        <f t="shared" si="32"/>
        <v>1754821</v>
      </c>
      <c r="AA75" s="77">
        <f>P75+W75</f>
        <v>0</v>
      </c>
      <c r="AB75" s="160">
        <f t="shared" si="29"/>
        <v>0</v>
      </c>
      <c r="AC75" s="161">
        <f t="shared" si="30"/>
        <v>42.94</v>
      </c>
      <c r="AD75" s="127">
        <f t="shared" si="31"/>
        <v>42.94</v>
      </c>
      <c r="AE75" s="77">
        <f>X75+Q75</f>
        <v>1754821</v>
      </c>
      <c r="AF75" s="155">
        <v>0.02</v>
      </c>
      <c r="AG75" s="281">
        <v>3064477</v>
      </c>
      <c r="AH75" s="281">
        <v>0</v>
      </c>
      <c r="AI75" s="494">
        <f>AG75+AH75</f>
        <v>3064477</v>
      </c>
      <c r="AJ75" s="77">
        <v>161011650</v>
      </c>
      <c r="AK75" s="77">
        <f t="shared" si="28"/>
        <v>153223850</v>
      </c>
      <c r="AL75" s="597">
        <f>(AK75-AJ75)/AJ75</f>
        <v>-4.8367928656094142E-2</v>
      </c>
      <c r="AM75" s="600">
        <f>IF((AK75-AJ75)/AJ75&gt;$AM$5,AJ75*(1+$AM$5),AK75)</f>
        <v>153223850</v>
      </c>
      <c r="AN75" s="129">
        <f t="shared" si="25"/>
        <v>0.02</v>
      </c>
      <c r="AO75" s="129">
        <f t="shared" si="26"/>
        <v>0</v>
      </c>
      <c r="AP75" s="77">
        <v>45224</v>
      </c>
      <c r="AQ75" s="77">
        <f>AP75+AE75+AI75</f>
        <v>4864522</v>
      </c>
      <c r="AR75" s="77">
        <f>ROUND(AQ75/'Table 3 Levels 1&amp;2'!C76,2)</f>
        <v>2776.55</v>
      </c>
    </row>
    <row r="76" spans="1:44" s="107" customFormat="1">
      <c r="A76" s="101">
        <v>69</v>
      </c>
      <c r="B76" s="158" t="s">
        <v>213</v>
      </c>
      <c r="C76" s="77">
        <v>172552240</v>
      </c>
      <c r="D76" s="163">
        <v>62717500</v>
      </c>
      <c r="E76" s="163">
        <f>C76-D76</f>
        <v>109834740</v>
      </c>
      <c r="F76" s="163">
        <v>105395730</v>
      </c>
      <c r="G76" s="763">
        <f>(E76-F76)/F76</f>
        <v>4.2117550682556112E-2</v>
      </c>
      <c r="H76" s="591">
        <f t="shared" si="21"/>
        <v>109834740</v>
      </c>
      <c r="I76" s="159">
        <v>4.58</v>
      </c>
      <c r="J76" s="77">
        <v>491680</v>
      </c>
      <c r="K76" s="159">
        <v>35.21</v>
      </c>
      <c r="L76" s="77">
        <v>3788012</v>
      </c>
      <c r="M76" s="489">
        <v>0</v>
      </c>
      <c r="N76" s="489">
        <v>0</v>
      </c>
      <c r="O76" s="81">
        <v>0</v>
      </c>
      <c r="P76" s="77">
        <v>0</v>
      </c>
      <c r="Q76" s="490">
        <f>J76+L76+P76</f>
        <v>4279692</v>
      </c>
      <c r="R76" s="485">
        <v>23.65</v>
      </c>
      <c r="S76" s="77">
        <v>2543809</v>
      </c>
      <c r="T76" s="489">
        <v>0</v>
      </c>
      <c r="U76" s="489">
        <v>0</v>
      </c>
      <c r="V76" s="81">
        <v>0</v>
      </c>
      <c r="W76" s="77">
        <v>0</v>
      </c>
      <c r="X76" s="490">
        <f>S76+W76</f>
        <v>2543809</v>
      </c>
      <c r="Y76" s="159">
        <f>I76+K76+R76</f>
        <v>63.44</v>
      </c>
      <c r="Z76" s="77">
        <f>J76+L76+S76</f>
        <v>6823501</v>
      </c>
      <c r="AA76" s="77">
        <f>P76+W76</f>
        <v>0</v>
      </c>
      <c r="AB76" s="491">
        <f t="shared" si="29"/>
        <v>23.16</v>
      </c>
      <c r="AC76" s="492">
        <f t="shared" si="30"/>
        <v>38.96</v>
      </c>
      <c r="AD76" s="493">
        <f t="shared" si="31"/>
        <v>62.13</v>
      </c>
      <c r="AE76" s="77">
        <f>X76+Q76</f>
        <v>6823501</v>
      </c>
      <c r="AF76" s="155">
        <v>2.5000000000000001E-2</v>
      </c>
      <c r="AG76" s="281">
        <v>5860228</v>
      </c>
      <c r="AH76" s="281">
        <v>1463309</v>
      </c>
      <c r="AI76" s="494">
        <f>AG76+AH76</f>
        <v>7323537</v>
      </c>
      <c r="AJ76" s="77">
        <v>268690320</v>
      </c>
      <c r="AK76" s="77">
        <f t="shared" si="28"/>
        <v>292941480</v>
      </c>
      <c r="AL76" s="597">
        <f>(AK76-AJ76)/AJ76</f>
        <v>9.0256917331446848E-2</v>
      </c>
      <c r="AM76" s="600">
        <f>IF((AK76-AJ76)/AJ76&gt;$AM$5,AJ76*(1+$AM$5),AK76)</f>
        <v>292941480</v>
      </c>
      <c r="AN76" s="129">
        <f t="shared" si="25"/>
        <v>2.0004773649672281E-2</v>
      </c>
      <c r="AO76" s="129">
        <f t="shared" si="26"/>
        <v>4.9952263503277175E-3</v>
      </c>
      <c r="AP76" s="77">
        <v>0</v>
      </c>
      <c r="AQ76" s="77">
        <f>AP76+AE76+AI76</f>
        <v>14147038</v>
      </c>
      <c r="AR76" s="77">
        <f>ROUND(AQ76/'Table 3 Levels 1&amp;2'!C77,2)</f>
        <v>3372.36</v>
      </c>
    </row>
    <row r="77" spans="1:44" s="62" customFormat="1" ht="13.5" thickBot="1">
      <c r="A77" s="380"/>
      <c r="B77" s="381" t="s">
        <v>91</v>
      </c>
      <c r="C77" s="157">
        <f>SUM(C8:C76)</f>
        <v>40735525511</v>
      </c>
      <c r="D77" s="157">
        <f>SUM(D8:D76)</f>
        <v>6820688843</v>
      </c>
      <c r="E77" s="157">
        <f>SUM(E8:E76)</f>
        <v>33914836668</v>
      </c>
      <c r="F77" s="382">
        <f>SUM(F8:F76)</f>
        <v>32512371740</v>
      </c>
      <c r="G77" s="961">
        <f>(E77-F77)/F77</f>
        <v>4.3136346348874519E-2</v>
      </c>
      <c r="H77" s="962">
        <f>SUM(H8:H76)</f>
        <v>33628503076.299995</v>
      </c>
      <c r="I77" s="383">
        <v>5.07</v>
      </c>
      <c r="J77" s="157">
        <f>SUM(J8:J76)</f>
        <v>218348990</v>
      </c>
      <c r="K77" s="384">
        <v>23.86</v>
      </c>
      <c r="L77" s="157">
        <f>SUM(L8:L76)</f>
        <v>883395398</v>
      </c>
      <c r="M77" s="384">
        <v>0</v>
      </c>
      <c r="N77" s="384">
        <v>89.78</v>
      </c>
      <c r="O77" s="384">
        <f>SUM(O8:O76)</f>
        <v>128</v>
      </c>
      <c r="P77" s="157">
        <f>SUM(P8:P76)</f>
        <v>31262376</v>
      </c>
      <c r="Q77" s="157">
        <f>SUM(Q8:Q76)</f>
        <v>1133006764</v>
      </c>
      <c r="R77" s="496">
        <v>4.99</v>
      </c>
      <c r="S77" s="417">
        <f>SUM(S8:S76)</f>
        <v>155292511</v>
      </c>
      <c r="T77" s="496">
        <v>0</v>
      </c>
      <c r="U77" s="496">
        <v>70</v>
      </c>
      <c r="V77" s="496">
        <f>SUM(V8:V76)</f>
        <v>132</v>
      </c>
      <c r="W77" s="417">
        <f>SUM(W8:W76)</f>
        <v>83636615</v>
      </c>
      <c r="X77" s="157">
        <f>SUM(X8:X76)</f>
        <v>238929126</v>
      </c>
      <c r="Y77" s="384"/>
      <c r="Z77" s="157">
        <f>SUM(Z8:Z76)</f>
        <v>1257036899</v>
      </c>
      <c r="AA77" s="157">
        <f>SUM(AA8:AA76)</f>
        <v>114898991</v>
      </c>
      <c r="AB77" s="385">
        <f t="shared" si="29"/>
        <v>7.04</v>
      </c>
      <c r="AC77" s="386">
        <f t="shared" si="30"/>
        <v>33.409999999999997</v>
      </c>
      <c r="AD77" s="764">
        <f t="shared" si="31"/>
        <v>40.450000000000003</v>
      </c>
      <c r="AE77" s="157">
        <f>SUM(AE8:AE76)</f>
        <v>1371935890</v>
      </c>
      <c r="AF77" s="482">
        <f>ROUND(AI77/AK77,4)</f>
        <v>1.9900000000000001E-2</v>
      </c>
      <c r="AG77" s="757">
        <f>SUM(AG8:AG76)</f>
        <v>1627106430</v>
      </c>
      <c r="AH77" s="757">
        <f>SUM(AH8:AH76)</f>
        <v>42166170</v>
      </c>
      <c r="AI77" s="382">
        <f>SUM(AI8:AI76)</f>
        <v>1669272600</v>
      </c>
      <c r="AJ77" s="382">
        <f>SUM(AJ8:AJ76)</f>
        <v>82977212324.5</v>
      </c>
      <c r="AK77" s="382">
        <f>SUM(AK8:AK76)</f>
        <v>84073022650</v>
      </c>
      <c r="AL77" s="965">
        <f>(AK77-AJ77)/AJ77</f>
        <v>1.3206159797398365E-2</v>
      </c>
      <c r="AM77" s="382">
        <f>SUM(AM8:AM76)</f>
        <v>83696655339.525009</v>
      </c>
      <c r="AN77" s="387">
        <f>ROUND(AG77/$AK77,4)</f>
        <v>1.9400000000000001E-2</v>
      </c>
      <c r="AO77" s="387">
        <f>ROUND(AH77/$AK77,4)</f>
        <v>5.0000000000000001E-4</v>
      </c>
      <c r="AP77" s="417">
        <f>SUM(AP8:AP76)</f>
        <v>37437635.5</v>
      </c>
      <c r="AQ77" s="157">
        <f>SUM(AQ8:AQ76)</f>
        <v>3078646125.5</v>
      </c>
      <c r="AR77" s="157">
        <f>ROUND(AQ77/'Table 3 Levels 1&amp;2'!C78,2)</f>
        <v>4500.63</v>
      </c>
    </row>
    <row r="78" spans="1:44" ht="13.5" hidden="1" thickTop="1">
      <c r="I78" s="75"/>
      <c r="AF78" s="155"/>
      <c r="AG78" s="439"/>
      <c r="AH78" s="439"/>
      <c r="AI78" s="604" t="s">
        <v>345</v>
      </c>
    </row>
    <row r="79" spans="1:44" hidden="1">
      <c r="D79" s="292"/>
      <c r="J79" s="793"/>
      <c r="L79" s="793"/>
      <c r="Q79" s="59">
        <f>J77+L77+P77</f>
        <v>1133006764</v>
      </c>
      <c r="S79" s="793" t="s">
        <v>621</v>
      </c>
      <c r="W79" s="793" t="s">
        <v>622</v>
      </c>
      <c r="X79" s="59">
        <f>S77+W77</f>
        <v>238929126</v>
      </c>
      <c r="AF79" s="283"/>
      <c r="AG79" s="795" t="s">
        <v>452</v>
      </c>
      <c r="AH79" s="439"/>
      <c r="AI79" s="605" t="s">
        <v>344</v>
      </c>
      <c r="AO79" s="439"/>
    </row>
    <row r="80" spans="1:44" hidden="1">
      <c r="E80" s="59"/>
      <c r="J80" s="794" t="s">
        <v>623</v>
      </c>
      <c r="L80" s="793" t="s">
        <v>624</v>
      </c>
      <c r="AD80" s="337"/>
      <c r="AF80" s="283"/>
      <c r="AG80" s="439"/>
      <c r="AH80" s="439"/>
      <c r="AI80" s="458" t="s">
        <v>244</v>
      </c>
      <c r="AJ80" s="162"/>
      <c r="AK80" s="162"/>
      <c r="AL80" s="162"/>
      <c r="AM80" s="162"/>
      <c r="AQ80" s="162"/>
    </row>
    <row r="81" spans="1:45" s="75" customFormat="1" hidden="1">
      <c r="A81" s="450"/>
      <c r="B81" s="169"/>
      <c r="C81"/>
      <c r="D81"/>
      <c r="E81"/>
      <c r="F81"/>
      <c r="G81"/>
      <c r="H81"/>
      <c r="I81"/>
      <c r="J81" s="793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 s="35"/>
      <c r="AF81" s="249"/>
      <c r="AG81" s="756"/>
      <c r="AH81" s="203"/>
      <c r="AI81" s="434">
        <f>AG77+AH77</f>
        <v>1669272600</v>
      </c>
      <c r="AJ81" s="233"/>
      <c r="AK81" s="233"/>
      <c r="AL81" s="249"/>
      <c r="AM81" s="233"/>
      <c r="AN81" s="203"/>
      <c r="AO81" s="203"/>
      <c r="AP81" s="233"/>
      <c r="AQ81" s="233"/>
      <c r="AR81" s="233"/>
      <c r="AS81" s="177"/>
    </row>
    <row r="82" spans="1:45" hidden="1">
      <c r="AE82" s="35"/>
      <c r="AF82" s="35"/>
      <c r="AG82" s="435"/>
      <c r="AH82" s="35"/>
      <c r="AI82" s="435">
        <f>AI77-AI81</f>
        <v>0</v>
      </c>
      <c r="AJ82" s="35"/>
      <c r="AK82" s="35"/>
      <c r="AL82" s="35"/>
      <c r="AM82" s="436"/>
      <c r="AN82" s="35"/>
      <c r="AO82" s="35"/>
      <c r="AP82" s="35"/>
      <c r="AQ82" s="35"/>
      <c r="AR82" s="35"/>
      <c r="AS82" s="35"/>
    </row>
    <row r="83" spans="1:45" hidden="1">
      <c r="AE83" s="35"/>
      <c r="AF83" s="35"/>
      <c r="AG83" s="435"/>
      <c r="AH83" s="35"/>
      <c r="AI83" s="435"/>
      <c r="AJ83" s="35"/>
      <c r="AK83" s="35"/>
      <c r="AL83" s="35"/>
      <c r="AM83" s="437"/>
      <c r="AN83" s="35"/>
      <c r="AO83" s="35"/>
      <c r="AP83" s="35"/>
      <c r="AQ83" s="35"/>
      <c r="AR83" s="35"/>
      <c r="AS83" s="35"/>
    </row>
    <row r="84" spans="1:45" ht="13.5" thickTop="1"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</row>
    <row r="85" spans="1:45"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</row>
    <row r="86" spans="1:45"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</row>
  </sheetData>
  <mergeCells count="50">
    <mergeCell ref="AR3:AR5"/>
    <mergeCell ref="AQ3:AQ5"/>
    <mergeCell ref="AI3:AI5"/>
    <mergeCell ref="AE3:AE5"/>
    <mergeCell ref="AJ4:AJ5"/>
    <mergeCell ref="AK4:AK5"/>
    <mergeCell ref="AF4:AF5"/>
    <mergeCell ref="AG4:AG5"/>
    <mergeCell ref="AH4:AH5"/>
    <mergeCell ref="AO4:AO5"/>
    <mergeCell ref="AP3:AP5"/>
    <mergeCell ref="AF3:AH3"/>
    <mergeCell ref="J4:J5"/>
    <mergeCell ref="S4:S5"/>
    <mergeCell ref="M4:M5"/>
    <mergeCell ref="N4:N5"/>
    <mergeCell ref="V4:V5"/>
    <mergeCell ref="W4:W5"/>
    <mergeCell ref="C2:D2"/>
    <mergeCell ref="I3:J3"/>
    <mergeCell ref="K3:P3"/>
    <mergeCell ref="C3:H3"/>
    <mergeCell ref="P4:P5"/>
    <mergeCell ref="R4:R5"/>
    <mergeCell ref="Q3:Q5"/>
    <mergeCell ref="R3:W3"/>
    <mergeCell ref="T4:T5"/>
    <mergeCell ref="U4:U5"/>
    <mergeCell ref="K4:K5"/>
    <mergeCell ref="L4:L5"/>
    <mergeCell ref="G4:G5"/>
    <mergeCell ref="I4:I5"/>
    <mergeCell ref="O4:O5"/>
    <mergeCell ref="A3:A5"/>
    <mergeCell ref="B3:B5"/>
    <mergeCell ref="C4:C5"/>
    <mergeCell ref="D4:D5"/>
    <mergeCell ref="F4:F5"/>
    <mergeCell ref="E4:E5"/>
    <mergeCell ref="X3:X5"/>
    <mergeCell ref="Y3:AD3"/>
    <mergeCell ref="AJ3:AO3"/>
    <mergeCell ref="AC4:AC5"/>
    <mergeCell ref="AD4:AD5"/>
    <mergeCell ref="AL4:AL5"/>
    <mergeCell ref="AN4:AN5"/>
    <mergeCell ref="Y4:Y5"/>
    <mergeCell ref="Z4:Z5"/>
    <mergeCell ref="AA4:AA5"/>
    <mergeCell ref="AB4:AB5"/>
  </mergeCells>
  <phoneticPr fontId="0" type="noConversion"/>
  <printOptions horizontalCentered="1"/>
  <pageMargins left="0.19" right="0.19" top="1.02" bottom="0.35" header="0.35" footer="0.27"/>
  <pageSetup paperSize="5" scale="85" firstPageNumber="136" fitToWidth="0" orientation="portrait" useFirstPageNumber="1" r:id="rId1"/>
  <headerFooter alignWithMargins="0">
    <oddHeader xml:space="preserve">&amp;L&amp;"Arial,Bold"&amp;18Table 7: FY2013-14 Budget Letter (Projection)&amp;20
&amp;18FY2011-2012 Local Property and Sales Tax Revenues </oddHeader>
    <oddFooter>&amp;R&amp;12&amp;P</oddFooter>
  </headerFooter>
  <colBreaks count="5" manualBreakCount="5">
    <brk id="8" min="2" max="76" man="1"/>
    <brk id="17" min="2" max="76" man="1"/>
    <brk id="24" min="2" max="76" man="1"/>
    <brk id="31" min="2" max="76" man="1"/>
    <brk id="35" min="2" max="7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A872"/>
  <sheetViews>
    <sheetView view="pageBreakPreview" zoomScale="80" zoomScaleNormal="85" zoomScaleSheetLayoutView="80" workbookViewId="0">
      <pane xSplit="2" ySplit="8" topLeftCell="C9" activePane="bottomRight" state="frozen"/>
      <selection activeCell="B3" sqref="B3:B5"/>
      <selection pane="topRight" activeCell="B3" sqref="B3:B5"/>
      <selection pane="bottomLeft" activeCell="B3" sqref="B3:B5"/>
      <selection pane="bottomRight" activeCell="B6" sqref="B6"/>
    </sheetView>
  </sheetViews>
  <sheetFormatPr defaultColWidth="9.140625" defaultRowHeight="12.75"/>
  <cols>
    <col min="1" max="1" width="4.7109375" style="1" bestFit="1" customWidth="1"/>
    <col min="2" max="2" width="18.7109375" style="2" customWidth="1"/>
    <col min="3" max="3" width="20.140625" style="2" customWidth="1"/>
    <col min="4" max="4" width="15.85546875" style="2" customWidth="1"/>
    <col min="5" max="5" width="15.42578125" style="3" bestFit="1" customWidth="1"/>
    <col min="6" max="6" width="16.7109375" style="2" bestFit="1" customWidth="1"/>
    <col min="7" max="7" width="13.42578125" style="2" bestFit="1" customWidth="1"/>
    <col min="8" max="8" width="18.5703125" style="2" customWidth="1"/>
    <col min="9" max="9" width="15.85546875" style="2" customWidth="1"/>
    <col min="10" max="10" width="18.140625" style="2" customWidth="1"/>
    <col min="11" max="11" width="15.5703125" style="2" customWidth="1"/>
    <col min="12" max="12" width="18.28515625" style="2" customWidth="1"/>
    <col min="13" max="13" width="15.42578125" style="2" customWidth="1"/>
    <col min="14" max="19" width="15.85546875" style="2" bestFit="1" customWidth="1"/>
    <col min="20" max="23" width="16.7109375" style="2" bestFit="1" customWidth="1"/>
    <col min="24" max="25" width="18.42578125" style="2" customWidth="1"/>
    <col min="26" max="26" width="19" style="2" customWidth="1"/>
    <col min="27" max="27" width="18.42578125" style="2" customWidth="1"/>
    <col min="28" max="28" width="14.5703125" style="2" bestFit="1" customWidth="1"/>
    <col min="29" max="29" width="13.7109375" style="2" customWidth="1"/>
    <col min="30" max="30" width="12.85546875" style="2" bestFit="1" customWidth="1"/>
    <col min="31" max="31" width="13.5703125" style="2" bestFit="1" customWidth="1"/>
    <col min="32" max="32" width="13.5703125" style="2" customWidth="1"/>
    <col min="33" max="33" width="15.85546875" style="2" bestFit="1" customWidth="1"/>
    <col min="34" max="34" width="15.140625" style="2" bestFit="1" customWidth="1"/>
    <col min="35" max="35" width="18" style="2" customWidth="1"/>
    <col min="36" max="36" width="15.42578125" style="2" customWidth="1"/>
    <col min="37" max="37" width="18.28515625" style="2" bestFit="1" customWidth="1"/>
    <col min="38" max="38" width="22.28515625" style="2" customWidth="1"/>
    <col min="39" max="39" width="24.7109375" style="2" customWidth="1"/>
    <col min="40" max="40" width="15.7109375" style="2" customWidth="1"/>
    <col min="41" max="41" width="13.28515625" style="4" customWidth="1"/>
    <col min="42" max="43" width="14.85546875" style="2" customWidth="1"/>
    <col min="44" max="44" width="15.140625" style="2" bestFit="1" customWidth="1"/>
    <col min="45" max="45" width="9.85546875" style="2" bestFit="1" customWidth="1"/>
    <col min="46" max="46" width="17.7109375" style="2" customWidth="1"/>
    <col min="47" max="47" width="15.42578125" style="138" customWidth="1"/>
    <col min="48" max="48" width="15.28515625" style="138" customWidth="1"/>
    <col min="49" max="49" width="18.28515625" style="138" customWidth="1"/>
    <col min="50" max="50" width="10.7109375" style="138" bestFit="1" customWidth="1"/>
    <col min="51" max="52" width="10" style="138" customWidth="1"/>
    <col min="53" max="53" width="18.140625" style="138" customWidth="1"/>
    <col min="54" max="54" width="15.140625" style="138" customWidth="1"/>
    <col min="55" max="55" width="9.5703125" style="138" customWidth="1"/>
    <col min="56" max="56" width="14.140625" style="138" customWidth="1"/>
    <col min="57" max="57" width="14.42578125" style="138" customWidth="1"/>
    <col min="58" max="58" width="13.85546875" style="138" customWidth="1"/>
    <col min="59" max="59" width="16" style="138" customWidth="1"/>
    <col min="60" max="60" width="10.5703125" style="138" customWidth="1"/>
    <col min="61" max="61" width="15.5703125" style="138" customWidth="1"/>
    <col min="62" max="62" width="9.42578125" style="138" bestFit="1" customWidth="1"/>
    <col min="63" max="63" width="17.42578125" style="138" customWidth="1"/>
    <col min="64" max="64" width="9.42578125" style="138" bestFit="1" customWidth="1"/>
    <col min="65" max="65" width="18.85546875" style="138" customWidth="1"/>
    <col min="66" max="66" width="9.42578125" style="138" bestFit="1" customWidth="1"/>
    <col min="67" max="67" width="17.28515625" style="138" customWidth="1"/>
    <col min="68" max="68" width="9.42578125" style="138" bestFit="1" customWidth="1"/>
    <col min="69" max="69" width="17.85546875" style="138" customWidth="1"/>
    <col min="70" max="70" width="9.42578125" style="138" bestFit="1" customWidth="1"/>
    <col min="71" max="71" width="17.85546875" style="138" bestFit="1" customWidth="1"/>
    <col min="72" max="72" width="9.42578125" style="138" bestFit="1" customWidth="1"/>
    <col min="73" max="73" width="17.28515625" style="138" bestFit="1" customWidth="1"/>
    <col min="74" max="74" width="7.7109375" style="138" customWidth="1"/>
    <col min="75" max="75" width="17.28515625" style="138" bestFit="1" customWidth="1"/>
    <col min="76" max="76" width="9.5703125" style="138" customWidth="1"/>
    <col min="77" max="77" width="13.85546875" style="138" customWidth="1"/>
    <col min="78" max="78" width="5.7109375" style="138" bestFit="1" customWidth="1"/>
    <col min="79" max="79" width="16.28515625" style="138" customWidth="1"/>
    <col min="80" max="80" width="8.140625" style="138" bestFit="1" customWidth="1"/>
    <col min="81" max="81" width="5" style="138" bestFit="1" customWidth="1"/>
    <col min="82" max="82" width="9.85546875" style="138" bestFit="1" customWidth="1"/>
    <col min="83" max="83" width="18.5703125" style="138" customWidth="1"/>
    <col min="84" max="84" width="8.85546875" style="138" bestFit="1" customWidth="1"/>
    <col min="85" max="85" width="5" style="138" bestFit="1" customWidth="1"/>
    <col min="86" max="86" width="21.5703125" style="138" customWidth="1"/>
    <col min="87" max="87" width="17.140625" style="138" customWidth="1"/>
    <col min="88" max="88" width="9.42578125" style="138" customWidth="1"/>
    <col min="89" max="90" width="17.42578125" style="177" customWidth="1"/>
    <col min="91" max="91" width="14.28515625" style="177" customWidth="1"/>
    <col min="92" max="92" width="15" style="177" customWidth="1"/>
    <col min="93" max="93" width="13.140625" style="35" customWidth="1"/>
    <col min="94" max="94" width="12.7109375" style="35" customWidth="1"/>
    <col min="95" max="95" width="15.5703125" style="35" customWidth="1"/>
    <col min="96" max="96" width="16.28515625" style="35" customWidth="1"/>
    <col min="97" max="97" width="13.85546875" style="35" customWidth="1"/>
    <col min="98" max="98" width="15" style="35" customWidth="1"/>
    <col min="99" max="99" width="11.5703125" style="35" customWidth="1"/>
    <col min="100" max="100" width="10.140625" style="35" customWidth="1"/>
    <col min="101" max="101" width="16.7109375" style="35" customWidth="1"/>
    <col min="102" max="102" width="12.28515625" style="35" customWidth="1"/>
    <col min="103" max="103" width="10.140625" style="35" customWidth="1"/>
    <col min="104" max="183" width="8.85546875" customWidth="1"/>
    <col min="184" max="16384" width="9.140625" style="2"/>
  </cols>
  <sheetData>
    <row r="1" spans="1:183" ht="48.75" customHeight="1">
      <c r="A1" s="1898"/>
      <c r="B1" s="1899"/>
      <c r="C1" s="1357"/>
      <c r="D1" s="1928" t="s">
        <v>1146</v>
      </c>
      <c r="E1" s="1929"/>
      <c r="F1" s="1357"/>
      <c r="G1" s="1357"/>
      <c r="H1" s="1905" t="s">
        <v>1152</v>
      </c>
      <c r="I1" s="1905"/>
      <c r="J1" s="1905"/>
      <c r="K1" s="1905"/>
      <c r="L1" s="1905"/>
      <c r="M1" s="1905"/>
      <c r="N1" s="1906" t="s">
        <v>1151</v>
      </c>
      <c r="O1" s="1907"/>
      <c r="P1" s="1907"/>
      <c r="Q1" s="1907"/>
      <c r="R1" s="1907"/>
      <c r="S1" s="1908"/>
      <c r="T1" s="1890" t="s">
        <v>1148</v>
      </c>
      <c r="U1" s="1891"/>
      <c r="V1" s="1891"/>
      <c r="W1" s="1892"/>
      <c r="X1" s="1890" t="s">
        <v>1148</v>
      </c>
      <c r="Y1" s="1891"/>
      <c r="Z1" s="1891"/>
      <c r="AA1" s="1892"/>
      <c r="AB1" s="1923" t="s">
        <v>1156</v>
      </c>
      <c r="AC1" s="1924"/>
      <c r="AD1" s="1924"/>
      <c r="AE1" s="1924"/>
      <c r="AF1" s="1925"/>
      <c r="AG1" s="1381"/>
      <c r="AH1" s="1918" t="s">
        <v>737</v>
      </c>
      <c r="AI1" s="1919"/>
      <c r="AJ1" s="1919"/>
      <c r="AK1" s="1920"/>
      <c r="AL1" s="1921" t="s">
        <v>1447</v>
      </c>
      <c r="AM1" s="1922"/>
      <c r="AN1" s="1357"/>
      <c r="AO1" s="1357"/>
      <c r="AP1" s="1357"/>
      <c r="AQ1" s="1357"/>
      <c r="AR1" s="1357"/>
      <c r="AS1" s="1357"/>
      <c r="AT1" s="1357"/>
      <c r="AU1" s="239"/>
      <c r="AV1" s="239"/>
      <c r="AW1" s="240"/>
      <c r="AX1" s="240"/>
      <c r="AY1" s="240"/>
      <c r="AZ1" s="240"/>
      <c r="BA1" s="240"/>
      <c r="BD1" s="241"/>
      <c r="BE1" s="239"/>
      <c r="BF1" s="240"/>
      <c r="BG1" s="240"/>
      <c r="BH1" s="240"/>
    </row>
    <row r="2" spans="1:183" ht="1.5" hidden="1" customHeight="1">
      <c r="A2" s="1900"/>
      <c r="B2" s="1901"/>
      <c r="D2" s="1930"/>
      <c r="E2" s="1931"/>
      <c r="H2" s="1905"/>
      <c r="I2" s="1905"/>
      <c r="J2" s="1905"/>
      <c r="K2" s="1905"/>
      <c r="L2" s="1905"/>
      <c r="M2" s="1905"/>
      <c r="N2" s="1909"/>
      <c r="O2" s="1910"/>
      <c r="P2" s="1910"/>
      <c r="Q2" s="1910"/>
      <c r="R2" s="1910"/>
      <c r="S2" s="1911"/>
      <c r="T2" s="294"/>
      <c r="U2" s="294"/>
      <c r="V2" s="294"/>
      <c r="W2" s="294"/>
      <c r="AO2" s="2"/>
      <c r="AU2" s="242"/>
      <c r="AV2" s="242"/>
      <c r="BE2" s="243"/>
      <c r="BF2" s="244"/>
      <c r="BG2" s="244"/>
      <c r="BH2" s="244"/>
      <c r="BI2" s="244"/>
      <c r="BJ2" s="244"/>
      <c r="BK2" s="244"/>
      <c r="BL2" s="244"/>
      <c r="BM2" s="244"/>
      <c r="BN2" s="244"/>
      <c r="BO2" s="244"/>
      <c r="BP2" s="244"/>
      <c r="BQ2" s="244"/>
      <c r="BR2" s="244"/>
      <c r="BS2" s="244"/>
      <c r="BT2" s="244"/>
      <c r="BU2" s="244"/>
      <c r="BV2" s="244"/>
      <c r="BW2" s="244"/>
      <c r="BX2" s="244"/>
      <c r="BY2" s="244"/>
      <c r="BZ2" s="244"/>
      <c r="CA2" s="244"/>
      <c r="CB2" s="244"/>
      <c r="CC2" s="244"/>
      <c r="CD2" s="244"/>
      <c r="CE2" s="244"/>
      <c r="CF2" s="244"/>
      <c r="CG2" s="244"/>
      <c r="CH2" s="244"/>
      <c r="CI2" s="244"/>
      <c r="CJ2" s="244"/>
    </row>
    <row r="3" spans="1:183" s="7" customFormat="1" ht="40.5" hidden="1" customHeight="1">
      <c r="A3" s="1939"/>
      <c r="B3" s="1940"/>
      <c r="C3" s="1710" t="s">
        <v>62</v>
      </c>
      <c r="D3" s="1930"/>
      <c r="E3" s="1931"/>
      <c r="F3" s="121" t="s">
        <v>71</v>
      </c>
      <c r="G3" s="1358" t="s">
        <v>73</v>
      </c>
      <c r="H3" s="1905"/>
      <c r="I3" s="1905"/>
      <c r="J3" s="1905"/>
      <c r="K3" s="1905"/>
      <c r="L3" s="1905"/>
      <c r="M3" s="1905"/>
      <c r="N3" s="1909"/>
      <c r="O3" s="1910"/>
      <c r="P3" s="1910"/>
      <c r="Q3" s="1910"/>
      <c r="R3" s="1910"/>
      <c r="S3" s="1911"/>
      <c r="T3" s="1379"/>
      <c r="U3" s="1379"/>
      <c r="V3" s="1379"/>
      <c r="W3" s="1379"/>
      <c r="X3" s="245"/>
      <c r="Y3" s="245"/>
      <c r="Z3" s="245"/>
      <c r="AA3" s="245"/>
      <c r="AB3" s="245"/>
      <c r="AC3" s="245"/>
      <c r="AD3" s="245"/>
      <c r="AE3" s="245"/>
      <c r="AF3" s="245"/>
      <c r="AG3" s="245"/>
      <c r="AH3" s="121" t="s">
        <v>70</v>
      </c>
      <c r="AI3" s="220" t="s">
        <v>74</v>
      </c>
      <c r="AJ3" s="245"/>
      <c r="AK3" s="245"/>
      <c r="AL3" s="245"/>
      <c r="AM3" s="245"/>
      <c r="AN3" s="73" t="s">
        <v>193</v>
      </c>
      <c r="AO3" s="73" t="s">
        <v>194</v>
      </c>
      <c r="AP3" s="221" t="s">
        <v>195</v>
      </c>
      <c r="AQ3" s="112" t="s">
        <v>191</v>
      </c>
      <c r="AR3" s="123" t="s">
        <v>197</v>
      </c>
      <c r="AS3" s="222" t="s">
        <v>22</v>
      </c>
      <c r="AT3" s="236" t="s">
        <v>196</v>
      </c>
      <c r="AU3" s="245"/>
      <c r="AV3" s="245"/>
      <c r="AW3" s="245"/>
      <c r="AX3" s="245"/>
      <c r="AY3" s="245"/>
      <c r="AZ3" s="245"/>
      <c r="BA3" s="245"/>
      <c r="BB3" s="245"/>
      <c r="BC3" s="245"/>
      <c r="BD3" s="246"/>
      <c r="BE3" s="245"/>
      <c r="BF3" s="245"/>
      <c r="BG3" s="245"/>
      <c r="BH3" s="245"/>
      <c r="BI3" s="245"/>
      <c r="BJ3" s="245"/>
      <c r="BK3" s="245"/>
      <c r="BL3" s="245"/>
      <c r="BM3" s="245"/>
      <c r="BN3" s="245"/>
      <c r="BO3" s="245"/>
      <c r="BP3" s="245"/>
      <c r="BQ3" s="245"/>
      <c r="BR3" s="245"/>
      <c r="BS3" s="245"/>
      <c r="BT3" s="245"/>
      <c r="BU3" s="245"/>
      <c r="BV3" s="245"/>
      <c r="BW3" s="245"/>
      <c r="BX3" s="245"/>
      <c r="BY3" s="245"/>
      <c r="BZ3" s="245"/>
      <c r="CA3" s="245"/>
      <c r="CB3" s="245"/>
      <c r="CC3" s="245"/>
      <c r="CD3" s="245"/>
      <c r="CE3" s="245"/>
      <c r="CF3" s="245"/>
      <c r="CG3" s="245"/>
      <c r="CH3" s="245"/>
      <c r="CI3" s="245"/>
      <c r="CJ3" s="245"/>
      <c r="CK3" s="247"/>
      <c r="CL3" s="247"/>
      <c r="CM3" s="177"/>
      <c r="CN3" s="177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</row>
    <row r="4" spans="1:183" s="7" customFormat="1" ht="40.5" customHeight="1" thickBot="1">
      <c r="A4" s="1343"/>
      <c r="B4" s="1344"/>
      <c r="C4" s="1345"/>
      <c r="D4" s="1932"/>
      <c r="E4" s="1933"/>
      <c r="F4" s="121"/>
      <c r="G4" s="245"/>
      <c r="H4" s="1905"/>
      <c r="I4" s="1905"/>
      <c r="J4" s="1905"/>
      <c r="K4" s="1905"/>
      <c r="L4" s="1905"/>
      <c r="M4" s="1905"/>
      <c r="N4" s="1912"/>
      <c r="O4" s="1913"/>
      <c r="P4" s="1913"/>
      <c r="Q4" s="1913"/>
      <c r="R4" s="1913"/>
      <c r="S4" s="1914"/>
      <c r="T4" s="1893" t="s">
        <v>725</v>
      </c>
      <c r="U4" s="1894"/>
      <c r="V4" s="1894"/>
      <c r="W4" s="1895"/>
      <c r="X4" s="1945" t="s">
        <v>744</v>
      </c>
      <c r="Y4" s="1915"/>
      <c r="Z4" s="1917" t="s">
        <v>741</v>
      </c>
      <c r="AA4" s="1916"/>
      <c r="AB4" s="1915" t="s">
        <v>1446</v>
      </c>
      <c r="AC4" s="1916"/>
      <c r="AD4" s="1916"/>
      <c r="AE4" s="1916"/>
      <c r="AF4" s="1916"/>
      <c r="AH4" s="121"/>
      <c r="AI4" s="245"/>
      <c r="AJ4" s="245"/>
      <c r="AK4" s="245"/>
      <c r="AL4" s="245"/>
      <c r="AM4" s="245"/>
      <c r="AN4" s="73"/>
      <c r="AO4" s="73"/>
      <c r="AP4" s="126"/>
      <c r="AQ4" s="126"/>
      <c r="AR4" s="1346"/>
      <c r="AS4" s="1347"/>
      <c r="AT4" s="1348"/>
      <c r="AU4" s="245"/>
      <c r="AV4" s="245"/>
      <c r="AW4" s="245"/>
      <c r="AX4" s="245"/>
      <c r="AY4" s="245"/>
      <c r="AZ4" s="245"/>
      <c r="BA4" s="245"/>
      <c r="BB4" s="245"/>
      <c r="BC4" s="245"/>
      <c r="BD4" s="246"/>
      <c r="BE4" s="245"/>
      <c r="BF4" s="245"/>
      <c r="BG4" s="245"/>
      <c r="BH4" s="245"/>
      <c r="BI4" s="245"/>
      <c r="BJ4" s="245"/>
      <c r="BK4" s="245"/>
      <c r="BL4" s="245"/>
      <c r="BM4" s="245"/>
      <c r="BN4" s="245"/>
      <c r="BO4" s="245"/>
      <c r="BP4" s="245"/>
      <c r="BQ4" s="245"/>
      <c r="BR4" s="245"/>
      <c r="BS4" s="245"/>
      <c r="BT4" s="245"/>
      <c r="BU4" s="245"/>
      <c r="BV4" s="245"/>
      <c r="BW4" s="245"/>
      <c r="BX4" s="245"/>
      <c r="BY4" s="245"/>
      <c r="BZ4" s="245"/>
      <c r="CA4" s="245"/>
      <c r="CB4" s="245"/>
      <c r="CC4" s="245"/>
      <c r="CD4" s="245"/>
      <c r="CE4" s="245"/>
      <c r="CF4" s="245"/>
      <c r="CG4" s="245"/>
      <c r="CH4" s="245"/>
      <c r="CI4" s="245"/>
      <c r="CJ4" s="245"/>
      <c r="CK4" s="247"/>
      <c r="CL4" s="247"/>
      <c r="CM4" s="177"/>
      <c r="CN4" s="177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</row>
    <row r="5" spans="1:183" s="7" customFormat="1" ht="20.25" customHeight="1" thickBot="1">
      <c r="C5" s="218"/>
      <c r="D5" s="1926">
        <v>0.22</v>
      </c>
      <c r="E5" s="1927"/>
      <c r="F5" s="1896">
        <v>0.06</v>
      </c>
      <c r="G5" s="1897"/>
      <c r="H5" s="1896">
        <v>0.4</v>
      </c>
      <c r="I5" s="1934"/>
      <c r="J5" s="1935">
        <v>0.55000000000000004</v>
      </c>
      <c r="K5" s="1934"/>
      <c r="L5" s="1935">
        <v>0.8</v>
      </c>
      <c r="M5" s="1897"/>
      <c r="N5" s="1896">
        <v>0.35</v>
      </c>
      <c r="O5" s="1897"/>
      <c r="P5" s="1896">
        <v>0.55000000000000004</v>
      </c>
      <c r="Q5" s="1897"/>
      <c r="R5" s="1896">
        <v>0.7</v>
      </c>
      <c r="S5" s="1897"/>
      <c r="T5" s="1896">
        <v>1.35</v>
      </c>
      <c r="U5" s="1897"/>
      <c r="V5" s="1896">
        <v>1.75</v>
      </c>
      <c r="W5" s="1897"/>
      <c r="X5" s="1896">
        <v>1.5</v>
      </c>
      <c r="Y5" s="1897"/>
      <c r="Z5" s="1896">
        <v>1.5</v>
      </c>
      <c r="AA5" s="1934"/>
      <c r="AB5" s="1349"/>
      <c r="AC5" s="1349"/>
      <c r="AD5" s="1349">
        <v>0.12</v>
      </c>
      <c r="AE5" s="1349">
        <v>0.06</v>
      </c>
      <c r="AF5" s="1349">
        <v>0.03</v>
      </c>
      <c r="AG5" s="1342"/>
      <c r="AH5" s="1926">
        <v>0.6</v>
      </c>
      <c r="AI5" s="1927"/>
      <c r="AJ5" s="1926">
        <v>0.3</v>
      </c>
      <c r="AK5" s="1927"/>
      <c r="AL5" s="365"/>
      <c r="AM5" s="366">
        <v>0.3</v>
      </c>
      <c r="AN5" s="367">
        <v>7500</v>
      </c>
      <c r="AO5" s="367">
        <v>37500</v>
      </c>
      <c r="AP5" s="368">
        <f>AO5</f>
        <v>37500</v>
      </c>
      <c r="AS5" s="369">
        <f>ROUND(3855*1,0)</f>
        <v>3855</v>
      </c>
      <c r="AU5" s="250"/>
      <c r="AV5" s="370">
        <v>0.75</v>
      </c>
      <c r="AW5" s="251"/>
      <c r="AX5" s="252"/>
      <c r="AY5" s="252"/>
      <c r="AZ5" s="252"/>
      <c r="BB5" s="22"/>
      <c r="BC5" s="22"/>
      <c r="BD5" s="371">
        <v>0.34</v>
      </c>
      <c r="BE5" s="22"/>
      <c r="BF5" s="372">
        <v>1.72</v>
      </c>
      <c r="BG5" s="466"/>
      <c r="BH5" s="22"/>
      <c r="BI5" s="22"/>
      <c r="BJ5" s="22"/>
      <c r="BK5" s="1902" t="s">
        <v>404</v>
      </c>
      <c r="BL5" s="1903"/>
      <c r="BM5" s="1903"/>
      <c r="BN5" s="1904"/>
      <c r="BO5" s="1941" t="s">
        <v>405</v>
      </c>
      <c r="BP5" s="1942"/>
      <c r="BQ5" s="1942"/>
      <c r="BR5" s="1943"/>
      <c r="BS5" s="1597"/>
      <c r="BT5" s="1597"/>
      <c r="BU5" s="1597"/>
      <c r="BV5" s="1597"/>
      <c r="BW5" s="1597"/>
      <c r="BX5" s="1597"/>
      <c r="BY5" s="22"/>
      <c r="BZ5" s="22"/>
      <c r="CA5" s="22"/>
      <c r="CB5" s="22"/>
      <c r="CC5" s="22"/>
      <c r="CD5" s="22"/>
      <c r="CE5" s="22"/>
      <c r="CF5" s="22"/>
      <c r="CG5" s="22"/>
      <c r="CH5" s="1936" t="s">
        <v>212</v>
      </c>
      <c r="CI5" s="1937"/>
      <c r="CJ5" s="1768"/>
      <c r="CK5" s="177"/>
      <c r="CL5" s="177"/>
      <c r="CM5" s="177"/>
      <c r="CN5" s="177"/>
      <c r="CO5" s="177"/>
      <c r="CP5" s="177"/>
      <c r="CQ5" s="177"/>
      <c r="CR5" s="177"/>
      <c r="CS5" s="177"/>
      <c r="CT5" s="177"/>
      <c r="CU5" s="177"/>
      <c r="CV5" s="177"/>
      <c r="CW5" s="177"/>
      <c r="CX5" s="177"/>
      <c r="CY5" s="177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</row>
    <row r="6" spans="1:183" s="1" customFormat="1" ht="192.75" customHeight="1">
      <c r="A6" s="46" t="s">
        <v>190</v>
      </c>
      <c r="B6" s="46" t="s">
        <v>255</v>
      </c>
      <c r="C6" s="1711" t="s">
        <v>1172</v>
      </c>
      <c r="D6" s="1739" t="s">
        <v>1203</v>
      </c>
      <c r="E6" s="1706" t="s">
        <v>1167</v>
      </c>
      <c r="F6" s="1739" t="s">
        <v>1204</v>
      </c>
      <c r="G6" s="1706" t="s">
        <v>1168</v>
      </c>
      <c r="H6" s="1736" t="s">
        <v>1194</v>
      </c>
      <c r="I6" s="1707" t="s">
        <v>1147</v>
      </c>
      <c r="J6" s="1736" t="s">
        <v>1195</v>
      </c>
      <c r="K6" s="1707" t="s">
        <v>1147</v>
      </c>
      <c r="L6" s="1736" t="s">
        <v>1196</v>
      </c>
      <c r="M6" s="1707" t="s">
        <v>1147</v>
      </c>
      <c r="N6" s="1362" t="s">
        <v>1194</v>
      </c>
      <c r="O6" s="1362" t="s">
        <v>1147</v>
      </c>
      <c r="P6" s="1362" t="s">
        <v>1195</v>
      </c>
      <c r="Q6" s="1362" t="s">
        <v>1147</v>
      </c>
      <c r="R6" s="1362" t="s">
        <v>1196</v>
      </c>
      <c r="S6" s="1362" t="s">
        <v>1147</v>
      </c>
      <c r="T6" s="1707" t="s">
        <v>1153</v>
      </c>
      <c r="U6" s="1707" t="s">
        <v>1154</v>
      </c>
      <c r="V6" s="1707" t="s">
        <v>1155</v>
      </c>
      <c r="W6" s="1707" t="s">
        <v>1154</v>
      </c>
      <c r="X6" s="1705" t="s">
        <v>1149</v>
      </c>
      <c r="Y6" s="1705" t="s">
        <v>1150</v>
      </c>
      <c r="Z6" s="1705" t="s">
        <v>1169</v>
      </c>
      <c r="AA6" s="1705" t="s">
        <v>1170</v>
      </c>
      <c r="AB6" s="1367" t="s">
        <v>740</v>
      </c>
      <c r="AC6" s="1740" t="s">
        <v>1205</v>
      </c>
      <c r="AD6" s="1708" t="s">
        <v>1157</v>
      </c>
      <c r="AE6" s="1708" t="s">
        <v>1158</v>
      </c>
      <c r="AF6" s="1708" t="s">
        <v>1159</v>
      </c>
      <c r="AG6" s="1361" t="s">
        <v>739</v>
      </c>
      <c r="AH6" s="1737" t="s">
        <v>1197</v>
      </c>
      <c r="AI6" s="1709" t="s">
        <v>1160</v>
      </c>
      <c r="AJ6" s="1737" t="s">
        <v>1198</v>
      </c>
      <c r="AK6" s="1709" t="s">
        <v>1161</v>
      </c>
      <c r="AL6" s="1360" t="s">
        <v>1162</v>
      </c>
      <c r="AM6" s="1360" t="s">
        <v>1163</v>
      </c>
      <c r="AN6" s="373" t="s">
        <v>246</v>
      </c>
      <c r="AO6" s="374" t="s">
        <v>245</v>
      </c>
      <c r="AP6" s="360" t="s">
        <v>209</v>
      </c>
      <c r="AQ6" s="46" t="s">
        <v>235</v>
      </c>
      <c r="AR6" s="46" t="s">
        <v>236</v>
      </c>
      <c r="AS6" s="360" t="s">
        <v>259</v>
      </c>
      <c r="AT6" s="46" t="s">
        <v>215</v>
      </c>
      <c r="AU6" s="264" t="s">
        <v>1322</v>
      </c>
      <c r="AV6" s="334" t="s">
        <v>1323</v>
      </c>
      <c r="AW6" s="265" t="s">
        <v>1324</v>
      </c>
      <c r="AX6" s="332" t="s">
        <v>1325</v>
      </c>
      <c r="AY6" s="335" t="s">
        <v>1326</v>
      </c>
      <c r="AZ6" s="335" t="s">
        <v>1327</v>
      </c>
      <c r="BA6" s="263" t="s">
        <v>260</v>
      </c>
      <c r="BB6" s="263" t="s">
        <v>261</v>
      </c>
      <c r="BC6" s="263" t="s">
        <v>262</v>
      </c>
      <c r="BD6" s="375" t="s">
        <v>216</v>
      </c>
      <c r="BE6" s="333" t="s">
        <v>210</v>
      </c>
      <c r="BF6" s="375" t="s">
        <v>1328</v>
      </c>
      <c r="BG6" s="376" t="s">
        <v>1329</v>
      </c>
      <c r="BH6" s="377" t="s">
        <v>84</v>
      </c>
      <c r="BI6" s="1745" t="s">
        <v>1450</v>
      </c>
      <c r="BJ6" s="46" t="s">
        <v>263</v>
      </c>
      <c r="BK6" s="433" t="s">
        <v>401</v>
      </c>
      <c r="BL6" s="360" t="s">
        <v>263</v>
      </c>
      <c r="BM6" s="1746" t="s">
        <v>1451</v>
      </c>
      <c r="BN6" s="360" t="s">
        <v>259</v>
      </c>
      <c r="BO6" s="433" t="s">
        <v>402</v>
      </c>
      <c r="BP6" s="360" t="s">
        <v>259</v>
      </c>
      <c r="BQ6" s="1746" t="s">
        <v>1452</v>
      </c>
      <c r="BR6" s="360" t="s">
        <v>259</v>
      </c>
      <c r="BS6" s="1598" t="s">
        <v>1206</v>
      </c>
      <c r="BT6" s="1598" t="s">
        <v>259</v>
      </c>
      <c r="BU6" s="1598" t="s">
        <v>1448</v>
      </c>
      <c r="BV6" s="1598" t="s">
        <v>259</v>
      </c>
      <c r="BW6" s="1599" t="s">
        <v>1061</v>
      </c>
      <c r="BX6" s="1598" t="s">
        <v>1132</v>
      </c>
      <c r="BY6" s="336" t="s">
        <v>403</v>
      </c>
      <c r="BZ6" s="336" t="s">
        <v>200</v>
      </c>
      <c r="CA6" s="333" t="s">
        <v>1453</v>
      </c>
      <c r="CB6" s="333" t="s">
        <v>259</v>
      </c>
      <c r="CC6" s="333" t="s">
        <v>226</v>
      </c>
      <c r="CD6" s="333" t="s">
        <v>227</v>
      </c>
      <c r="CE6" s="263" t="s">
        <v>1454</v>
      </c>
      <c r="CF6" s="263" t="s">
        <v>259</v>
      </c>
      <c r="CG6" s="263" t="s">
        <v>200</v>
      </c>
      <c r="CH6" s="270" t="s">
        <v>1455</v>
      </c>
      <c r="CI6" s="270" t="s">
        <v>1456</v>
      </c>
      <c r="CJ6" s="1588"/>
      <c r="CK6" s="1769"/>
      <c r="CL6" s="1769"/>
      <c r="CM6" s="1770"/>
      <c r="CN6" s="1771"/>
      <c r="CO6" s="1771"/>
      <c r="CP6" s="1770"/>
      <c r="CQ6" s="1771"/>
      <c r="CR6" s="1772"/>
      <c r="CS6" s="1770"/>
      <c r="CT6" s="1771"/>
      <c r="CU6" s="1771"/>
      <c r="CV6" s="1771"/>
      <c r="CW6" s="1771"/>
      <c r="CX6" s="1771"/>
      <c r="CY6" s="1771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</row>
    <row r="7" spans="1:183" s="216" customFormat="1">
      <c r="A7" s="213"/>
      <c r="B7" s="213"/>
      <c r="C7" s="215">
        <v>1</v>
      </c>
      <c r="D7" s="214" t="s">
        <v>734</v>
      </c>
      <c r="E7" s="214">
        <v>2</v>
      </c>
      <c r="F7" s="214" t="s">
        <v>221</v>
      </c>
      <c r="G7" s="214">
        <v>3</v>
      </c>
      <c r="H7" s="214" t="s">
        <v>722</v>
      </c>
      <c r="I7" s="215">
        <v>4</v>
      </c>
      <c r="J7" s="215" t="s">
        <v>726</v>
      </c>
      <c r="K7" s="215">
        <v>5</v>
      </c>
      <c r="L7" s="215" t="s">
        <v>727</v>
      </c>
      <c r="M7" s="215">
        <v>6</v>
      </c>
      <c r="N7" s="215" t="s">
        <v>728</v>
      </c>
      <c r="O7" s="215">
        <v>7</v>
      </c>
      <c r="P7" s="215" t="s">
        <v>729</v>
      </c>
      <c r="Q7" s="215">
        <v>8</v>
      </c>
      <c r="R7" s="215" t="s">
        <v>730</v>
      </c>
      <c r="S7" s="215">
        <v>9</v>
      </c>
      <c r="T7" s="215" t="s">
        <v>731</v>
      </c>
      <c r="U7" s="215">
        <v>10</v>
      </c>
      <c r="V7" s="215" t="s">
        <v>220</v>
      </c>
      <c r="W7" s="215">
        <v>11</v>
      </c>
      <c r="X7" s="215" t="s">
        <v>1133</v>
      </c>
      <c r="Y7" s="215">
        <v>12</v>
      </c>
      <c r="Z7" s="215" t="s">
        <v>735</v>
      </c>
      <c r="AA7" s="215">
        <v>13</v>
      </c>
      <c r="AB7" s="215" t="s">
        <v>732</v>
      </c>
      <c r="AC7" s="215" t="s">
        <v>1134</v>
      </c>
      <c r="AD7" s="1380">
        <v>14.1</v>
      </c>
      <c r="AE7" s="1380">
        <v>14.2</v>
      </c>
      <c r="AF7" s="1380">
        <v>14.3</v>
      </c>
      <c r="AG7" s="215">
        <v>15</v>
      </c>
      <c r="AH7" s="215" t="s">
        <v>736</v>
      </c>
      <c r="AI7" s="214">
        <v>16</v>
      </c>
      <c r="AJ7" s="215" t="s">
        <v>733</v>
      </c>
      <c r="AK7" s="214">
        <v>17</v>
      </c>
      <c r="AL7" s="215" t="s">
        <v>742</v>
      </c>
      <c r="AM7" s="214">
        <v>18</v>
      </c>
      <c r="AN7" s="215" t="s">
        <v>743</v>
      </c>
      <c r="AO7" s="215" t="s">
        <v>1135</v>
      </c>
      <c r="AP7" s="214">
        <v>20</v>
      </c>
      <c r="AQ7" s="214">
        <f>AP7+1</f>
        <v>21</v>
      </c>
      <c r="AR7" s="214">
        <f t="shared" ref="AR7:BS7" si="0">AQ7+1</f>
        <v>22</v>
      </c>
      <c r="AS7" s="214">
        <f t="shared" si="0"/>
        <v>23</v>
      </c>
      <c r="AT7" s="214">
        <f t="shared" si="0"/>
        <v>24</v>
      </c>
      <c r="AU7" s="214">
        <f t="shared" si="0"/>
        <v>25</v>
      </c>
      <c r="AV7" s="214">
        <f t="shared" si="0"/>
        <v>26</v>
      </c>
      <c r="AW7" s="214">
        <f t="shared" si="0"/>
        <v>27</v>
      </c>
      <c r="AX7" s="214">
        <f t="shared" si="0"/>
        <v>28</v>
      </c>
      <c r="AY7" s="214">
        <f t="shared" si="0"/>
        <v>29</v>
      </c>
      <c r="AZ7" s="214">
        <f t="shared" si="0"/>
        <v>30</v>
      </c>
      <c r="BA7" s="214">
        <f t="shared" si="0"/>
        <v>31</v>
      </c>
      <c r="BB7" s="214">
        <f t="shared" si="0"/>
        <v>32</v>
      </c>
      <c r="BC7" s="214">
        <f t="shared" si="0"/>
        <v>33</v>
      </c>
      <c r="BD7" s="214">
        <f t="shared" si="0"/>
        <v>34</v>
      </c>
      <c r="BE7" s="214">
        <f t="shared" si="0"/>
        <v>35</v>
      </c>
      <c r="BF7" s="214">
        <f t="shared" si="0"/>
        <v>36</v>
      </c>
      <c r="BG7" s="214">
        <f t="shared" si="0"/>
        <v>37</v>
      </c>
      <c r="BH7" s="214">
        <f t="shared" si="0"/>
        <v>38</v>
      </c>
      <c r="BI7" s="214">
        <f t="shared" si="0"/>
        <v>39</v>
      </c>
      <c r="BJ7" s="214">
        <f t="shared" si="0"/>
        <v>40</v>
      </c>
      <c r="BK7" s="214">
        <f t="shared" si="0"/>
        <v>41</v>
      </c>
      <c r="BL7" s="214">
        <f t="shared" si="0"/>
        <v>42</v>
      </c>
      <c r="BM7" s="214">
        <f t="shared" si="0"/>
        <v>43</v>
      </c>
      <c r="BN7" s="214">
        <f t="shared" si="0"/>
        <v>44</v>
      </c>
      <c r="BO7" s="214">
        <f t="shared" si="0"/>
        <v>45</v>
      </c>
      <c r="BP7" s="214">
        <f t="shared" si="0"/>
        <v>46</v>
      </c>
      <c r="BQ7" s="214">
        <f t="shared" si="0"/>
        <v>47</v>
      </c>
      <c r="BR7" s="214">
        <f t="shared" si="0"/>
        <v>48</v>
      </c>
      <c r="BS7" s="214">
        <f t="shared" si="0"/>
        <v>49</v>
      </c>
      <c r="BT7" s="214">
        <f t="shared" ref="BT7" si="1">BS7+1</f>
        <v>50</v>
      </c>
      <c r="BU7" s="214">
        <f t="shared" ref="BU7" si="2">BT7+1</f>
        <v>51</v>
      </c>
      <c r="BV7" s="214">
        <f t="shared" ref="BV7" si="3">BU7+1</f>
        <v>52</v>
      </c>
      <c r="BW7" s="214">
        <f t="shared" ref="BW7" si="4">BV7+1</f>
        <v>53</v>
      </c>
      <c r="BX7" s="214">
        <f t="shared" ref="BX7" si="5">BW7+1</f>
        <v>54</v>
      </c>
      <c r="BY7" s="214">
        <f t="shared" ref="BY7" si="6">BX7+1</f>
        <v>55</v>
      </c>
      <c r="BZ7" s="214">
        <f t="shared" ref="BZ7" si="7">BY7+1</f>
        <v>56</v>
      </c>
      <c r="CA7" s="214">
        <f t="shared" ref="CA7" si="8">BZ7+1</f>
        <v>57</v>
      </c>
      <c r="CB7" s="214">
        <f t="shared" ref="CB7" si="9">CA7+1</f>
        <v>58</v>
      </c>
      <c r="CC7" s="214">
        <f t="shared" ref="CC7" si="10">CB7+1</f>
        <v>59</v>
      </c>
      <c r="CD7" s="214">
        <f t="shared" ref="CD7" si="11">CC7+1</f>
        <v>60</v>
      </c>
      <c r="CE7" s="214">
        <f t="shared" ref="CE7" si="12">CD7+1</f>
        <v>61</v>
      </c>
      <c r="CF7" s="214">
        <f t="shared" ref="CF7" si="13">CE7+1</f>
        <v>62</v>
      </c>
      <c r="CG7" s="214">
        <f t="shared" ref="CG7" si="14">CF7+1</f>
        <v>63</v>
      </c>
      <c r="CH7" s="214">
        <f t="shared" ref="CH7" si="15">CG7+1</f>
        <v>64</v>
      </c>
      <c r="CI7" s="214">
        <f t="shared" ref="CI7" si="16">CH7+1</f>
        <v>65</v>
      </c>
      <c r="CJ7" s="1773"/>
      <c r="CK7" s="1774"/>
      <c r="CL7" s="1774"/>
      <c r="CM7" s="1774"/>
      <c r="CN7" s="1774"/>
      <c r="CO7" s="1774"/>
      <c r="CP7" s="1774"/>
      <c r="CQ7" s="1774"/>
      <c r="CR7" s="1774"/>
      <c r="CS7" s="1774"/>
      <c r="CT7" s="1774"/>
      <c r="CU7" s="1774"/>
      <c r="CV7" s="1774"/>
      <c r="CW7" s="1774"/>
      <c r="CX7" s="1774"/>
      <c r="CY7" s="1774"/>
      <c r="CZ7" s="1775"/>
      <c r="DA7" s="1775"/>
      <c r="DB7" s="1775"/>
      <c r="DC7" s="1775"/>
      <c r="DD7" s="1775"/>
      <c r="DE7" s="1775"/>
      <c r="DF7" s="1775"/>
      <c r="DG7" s="1775"/>
      <c r="DH7" s="1775"/>
      <c r="DI7" s="1775"/>
      <c r="DJ7" s="1775"/>
      <c r="DK7" s="1775"/>
      <c r="DL7" s="1775"/>
      <c r="DM7" s="1775"/>
      <c r="DN7" s="1775"/>
      <c r="DO7" s="1775"/>
      <c r="DP7" s="1775"/>
      <c r="DQ7" s="1775"/>
      <c r="DR7" s="1775"/>
      <c r="DS7" s="1775"/>
      <c r="DT7" s="1775"/>
      <c r="DU7" s="1775"/>
      <c r="DV7" s="1775"/>
      <c r="DW7" s="1775"/>
      <c r="DX7" s="1775"/>
      <c r="DY7" s="1775"/>
      <c r="DZ7" s="1775"/>
      <c r="EA7" s="1775"/>
      <c r="EB7" s="1775"/>
      <c r="EC7" s="1775"/>
      <c r="ED7" s="1775"/>
      <c r="EE7" s="1775"/>
      <c r="EF7" s="1775"/>
      <c r="EG7" s="1775"/>
      <c r="EH7" s="1775"/>
      <c r="EI7" s="1775"/>
      <c r="EJ7" s="1775"/>
      <c r="EK7" s="1775"/>
      <c r="EL7" s="1775"/>
      <c r="EM7" s="1775"/>
      <c r="EN7" s="1775"/>
      <c r="EO7" s="1775"/>
      <c r="EP7" s="1775"/>
      <c r="EQ7" s="1775"/>
      <c r="ER7" s="1775"/>
      <c r="ES7" s="1775"/>
      <c r="ET7" s="1775"/>
      <c r="EU7" s="1775"/>
      <c r="EV7" s="1775"/>
      <c r="EW7" s="1775"/>
      <c r="EX7" s="1775"/>
      <c r="EY7" s="1775"/>
      <c r="EZ7" s="1775"/>
      <c r="FA7" s="1775"/>
      <c r="FB7" s="1775"/>
      <c r="FC7" s="1775"/>
      <c r="FD7" s="1775"/>
      <c r="FE7" s="1775"/>
      <c r="FF7" s="1775"/>
      <c r="FG7" s="217"/>
      <c r="FH7" s="217"/>
      <c r="FI7" s="217"/>
      <c r="FJ7" s="217"/>
      <c r="FK7" s="217"/>
      <c r="FL7" s="217"/>
      <c r="FM7" s="217"/>
      <c r="FN7" s="217"/>
      <c r="FO7" s="217"/>
      <c r="FP7" s="217"/>
      <c r="FQ7" s="217"/>
      <c r="FR7" s="217"/>
      <c r="FS7" s="217"/>
      <c r="FT7" s="217"/>
      <c r="FU7" s="217"/>
      <c r="FV7" s="217"/>
      <c r="FW7" s="217"/>
      <c r="FX7" s="217"/>
      <c r="FY7" s="217"/>
      <c r="FZ7" s="217"/>
      <c r="GA7" s="217"/>
    </row>
    <row r="8" spans="1:183" ht="0.75" customHeight="1">
      <c r="A8" s="293"/>
      <c r="B8" s="294"/>
      <c r="C8" s="295">
        <v>39114</v>
      </c>
      <c r="D8" s="296" t="s">
        <v>94</v>
      </c>
      <c r="E8" s="295">
        <v>39114</v>
      </c>
      <c r="F8" s="296" t="s">
        <v>94</v>
      </c>
      <c r="G8" s="295">
        <v>38992</v>
      </c>
      <c r="H8" s="297" t="s">
        <v>94</v>
      </c>
      <c r="I8" s="295">
        <v>39114</v>
      </c>
      <c r="J8" s="295"/>
      <c r="K8" s="295"/>
      <c r="L8" s="295"/>
      <c r="M8" s="295"/>
      <c r="N8" s="295"/>
      <c r="O8" s="295"/>
      <c r="P8" s="295"/>
      <c r="Q8" s="295"/>
      <c r="R8" s="295"/>
      <c r="S8" s="295"/>
      <c r="T8" s="295"/>
      <c r="U8" s="295"/>
      <c r="V8" s="295"/>
      <c r="W8" s="295"/>
      <c r="X8" s="295"/>
      <c r="Y8" s="295"/>
      <c r="Z8" s="295"/>
      <c r="AA8" s="295"/>
      <c r="AB8" s="295"/>
      <c r="AC8" s="295"/>
      <c r="AD8" s="295"/>
      <c r="AE8" s="295"/>
      <c r="AF8" s="295"/>
      <c r="AG8" s="295"/>
      <c r="AH8" s="297" t="s">
        <v>94</v>
      </c>
      <c r="AI8" s="295">
        <v>39114</v>
      </c>
      <c r="AJ8" s="295"/>
      <c r="AK8" s="295"/>
      <c r="AL8" s="295"/>
      <c r="AM8" s="295"/>
      <c r="AN8" s="297" t="s">
        <v>94</v>
      </c>
      <c r="AO8" s="298" t="s">
        <v>94</v>
      </c>
      <c r="AP8" s="294"/>
      <c r="AQ8" s="294"/>
      <c r="AR8" s="294"/>
      <c r="AS8" s="294"/>
      <c r="AT8" s="294"/>
      <c r="AU8" s="299"/>
      <c r="AV8" s="299"/>
      <c r="AW8" s="299"/>
      <c r="AX8" s="299"/>
      <c r="AY8" s="299"/>
      <c r="AZ8" s="299"/>
      <c r="BA8" s="299"/>
      <c r="BB8" s="299"/>
      <c r="BC8" s="299"/>
      <c r="BD8" s="299"/>
      <c r="BE8" s="299"/>
      <c r="BF8" s="299"/>
      <c r="BG8" s="299"/>
      <c r="BH8" s="299"/>
      <c r="BI8" s="299"/>
      <c r="BJ8" s="299"/>
      <c r="BK8" s="299"/>
      <c r="BL8" s="299"/>
      <c r="BM8" s="299"/>
      <c r="BN8" s="299"/>
      <c r="BO8" s="299"/>
      <c r="BP8" s="299"/>
      <c r="BQ8" s="299"/>
      <c r="BR8" s="299"/>
      <c r="BS8" s="1593"/>
      <c r="BT8" s="1593"/>
      <c r="BU8" s="1593"/>
      <c r="BV8" s="1593"/>
      <c r="BW8" s="1593"/>
      <c r="BX8" s="1593"/>
      <c r="BY8" s="299"/>
      <c r="BZ8" s="299"/>
      <c r="CA8" s="299"/>
      <c r="CB8" s="299"/>
      <c r="CC8" s="299"/>
      <c r="CD8" s="299"/>
      <c r="CE8" s="299"/>
      <c r="CF8" s="299"/>
      <c r="CG8" s="299"/>
      <c r="CH8" s="299"/>
      <c r="CI8" s="299"/>
      <c r="CK8" s="138"/>
      <c r="CO8" s="177"/>
      <c r="CP8" s="177"/>
      <c r="CQ8" s="177"/>
      <c r="CR8" s="177"/>
      <c r="CS8" s="177"/>
      <c r="CT8" s="177"/>
      <c r="CU8" s="177"/>
      <c r="CV8" s="177"/>
      <c r="CW8" s="177"/>
      <c r="CX8" s="177"/>
      <c r="CY8" s="177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  <c r="EN8" s="75"/>
      <c r="EO8" s="75"/>
      <c r="EP8" s="75"/>
      <c r="EQ8" s="75"/>
      <c r="ER8" s="75"/>
      <c r="ES8" s="75"/>
      <c r="ET8" s="75"/>
      <c r="EU8" s="75"/>
      <c r="EV8" s="75"/>
      <c r="EW8" s="75"/>
      <c r="EX8" s="75"/>
      <c r="EY8" s="75"/>
      <c r="EZ8" s="75"/>
      <c r="FA8" s="75"/>
      <c r="FB8" s="75"/>
      <c r="FC8" s="75"/>
      <c r="FD8" s="75"/>
      <c r="FE8" s="75"/>
      <c r="FF8" s="75"/>
    </row>
    <row r="9" spans="1:183" s="5" customFormat="1">
      <c r="A9" s="101">
        <v>1</v>
      </c>
      <c r="B9" s="81" t="s">
        <v>95</v>
      </c>
      <c r="C9" s="13">
        <f>'[2]ALL-Reformatted'!AC6</f>
        <v>9601</v>
      </c>
      <c r="D9" s="13">
        <f>'[3]All-Reformatted'!AC6</f>
        <v>6662</v>
      </c>
      <c r="E9" s="13">
        <f t="shared" ref="E9:E40" si="17">ROUND($D$5*D9,0)</f>
        <v>1466</v>
      </c>
      <c r="F9" s="13">
        <f>'[4]MS5627_CTE -Reformatted'!AC7</f>
        <v>2987</v>
      </c>
      <c r="G9" s="13">
        <f t="shared" ref="G9:G40" si="18">ROUND($F$5*F9,0)</f>
        <v>179</v>
      </c>
      <c r="H9" s="607">
        <f>'[5]Rollup_Level1 Formatted 2'!Y6</f>
        <v>151</v>
      </c>
      <c r="I9" s="13">
        <f t="shared" ref="I9:I40" si="19">ROUND($H$5*H9,0)</f>
        <v>60</v>
      </c>
      <c r="J9" s="13">
        <f>'[5]Rollup_Level2 Formatted 2'!AB6</f>
        <v>678</v>
      </c>
      <c r="K9" s="13">
        <f t="shared" ref="K9:K40" si="20">ROUND($J$5*J9,0)</f>
        <v>373</v>
      </c>
      <c r="L9" s="13">
        <f>'[5]Rollup_Level3 Formatted 2'!T6</f>
        <v>102</v>
      </c>
      <c r="M9" s="13">
        <f t="shared" ref="M9:M40" si="21">ROUND($L$5*L9,0)</f>
        <v>82</v>
      </c>
      <c r="N9" s="13">
        <f>'[6]Rollup_Level1-REFORMATTED (2)'!P5</f>
        <v>140</v>
      </c>
      <c r="O9" s="13">
        <f t="shared" ref="O9:O40" si="22">ROUND(N9*$N$5,0)</f>
        <v>49</v>
      </c>
      <c r="P9" s="13">
        <f>'[6]Rollup_Level2_REFORMATTED (2)'!V5</f>
        <v>140</v>
      </c>
      <c r="Q9" s="13">
        <f t="shared" ref="Q9:Q40" si="23">ROUND(P9*$P$5,0)</f>
        <v>77</v>
      </c>
      <c r="R9" s="13">
        <f>'[6]Rollup_Level3 FORMATTED (2)'!Y5</f>
        <v>382</v>
      </c>
      <c r="S9" s="13">
        <f t="shared" ref="S9:S40" si="24">ROUND(R9*$R$5,0)</f>
        <v>267</v>
      </c>
      <c r="T9" s="13">
        <f>[7]Exceeds!AJ6</f>
        <v>47</v>
      </c>
      <c r="U9" s="13">
        <f t="shared" ref="U9:U40" si="25">ROUND(T9*$T$5,0)</f>
        <v>63</v>
      </c>
      <c r="V9" s="13">
        <f>'[8]Significantly Exceeds'!V6</f>
        <v>100</v>
      </c>
      <c r="W9" s="13">
        <f t="shared" ref="W9:W40" si="26">ROUND(V9*$V$5,0)</f>
        <v>175</v>
      </c>
      <c r="X9" s="13">
        <f>'[9]Roll up'!J6</f>
        <v>25</v>
      </c>
      <c r="Y9" s="13">
        <f t="shared" ref="Y9:Y40" si="27">ROUND(X9*$X$5,0)</f>
        <v>38</v>
      </c>
      <c r="Z9" s="13">
        <f>[10]BeginSchYr2011_ByExcept!P2</f>
        <v>17</v>
      </c>
      <c r="AA9" s="13">
        <f t="shared" ref="AA9:AA40" si="28">ROUND(Z9*$Z$5,0)</f>
        <v>26</v>
      </c>
      <c r="AB9" s="16">
        <v>2.3951150181607539E-3</v>
      </c>
      <c r="AC9" s="13">
        <f>H9+J9+L9</f>
        <v>931</v>
      </c>
      <c r="AD9" s="13">
        <f>ROUND(IF(AB9&lt;=-2%,$AD$5*AC9,0),0)</f>
        <v>0</v>
      </c>
      <c r="AE9" s="13">
        <f>ROUND(IF(AND(AB9&lt;=0%,AB9&gt;-1.99%),AC9*$AE$5,0),0)</f>
        <v>0</v>
      </c>
      <c r="AF9" s="13">
        <f>ROUND(IF(AND(AB9&lt;=1%,AB9&gt;-0.01%),AC9*$AF$5,0),0)</f>
        <v>28</v>
      </c>
      <c r="AG9" s="13">
        <f t="shared" ref="AG9:AG40" si="29">I9+K9+M9+O9+Q9+S9+U9+W9+AD9+AE9+AF9+AA9+Y9</f>
        <v>1238</v>
      </c>
      <c r="AH9" s="607">
        <f>'[11]Rollup_PS-8th'!R5</f>
        <v>57</v>
      </c>
      <c r="AI9" s="13">
        <f t="shared" ref="AI9:AI40" si="30">ROUND($AH$5*AH9,0)</f>
        <v>34</v>
      </c>
      <c r="AJ9" s="13">
        <f>'[11]Rollup_9th-12th'!M5</f>
        <v>27</v>
      </c>
      <c r="AK9" s="13">
        <f t="shared" ref="AK9:AK40" si="31">$AJ$5*AJ9</f>
        <v>8.1</v>
      </c>
      <c r="AL9" s="13">
        <f>[12]Reformatted!Y6</f>
        <v>3</v>
      </c>
      <c r="AM9" s="13">
        <f>$AM$5*AL9</f>
        <v>0.89999999999999991</v>
      </c>
      <c r="AN9" s="15">
        <f t="shared" ref="AN9:AN40" si="32">IF(C9&lt;$AN$5,$AN$5-C9,0)</f>
        <v>0</v>
      </c>
      <c r="AO9" s="65">
        <f t="shared" ref="AO9:AO40" si="33">ROUND(AN9/$AO$5,5)</f>
        <v>0</v>
      </c>
      <c r="AP9" s="13">
        <f t="shared" ref="AP9:AP40" si="34" xml:space="preserve"> ROUND(C9*AO9,0)</f>
        <v>0</v>
      </c>
      <c r="AQ9" s="13">
        <f t="shared" ref="AQ9:AQ40" si="35">E9+G9+AG9+AI9+AK9+AM9+AP9</f>
        <v>2926</v>
      </c>
      <c r="AR9" s="13">
        <f t="shared" ref="AR9:AR40" si="36">AQ9+C9</f>
        <v>12527</v>
      </c>
      <c r="AS9" s="388">
        <f>$AS$5</f>
        <v>3855</v>
      </c>
      <c r="AT9" s="388">
        <f t="shared" ref="AT9:AT40" si="37">ROUND(AR9*AS9,0)</f>
        <v>48291585</v>
      </c>
      <c r="AU9" s="388">
        <f>'Table 6 (Local Deduct Calc.)'!J9</f>
        <v>11705986</v>
      </c>
      <c r="AV9" s="388">
        <f>IF((AU9&gt;AT9*$AV$5),AT9*$AV$5,AU9)</f>
        <v>11705986</v>
      </c>
      <c r="AW9" s="389">
        <f>AT9-AV9</f>
        <v>36585599</v>
      </c>
      <c r="AX9" s="390">
        <f>ROUND(AW9/AT9,4)</f>
        <v>0.75760000000000005</v>
      </c>
      <c r="AY9" s="390">
        <f>ROUND(AV9/AT9,4)</f>
        <v>0.2424</v>
      </c>
      <c r="AZ9" s="391">
        <f t="shared" ref="AZ9:AZ40" si="38">AV9/C9</f>
        <v>1219.2465368190813</v>
      </c>
      <c r="BA9" s="388">
        <f>'Table 7 Local Revenue'!AQ8</f>
        <v>20575110</v>
      </c>
      <c r="BB9" s="388">
        <f>IF(BA9-AV9&gt;0,BA9-AV9,0)</f>
        <v>8869124</v>
      </c>
      <c r="BC9" s="279">
        <f>IF(BA9-AV9&lt;0,BA9-AV9,0)</f>
        <v>0</v>
      </c>
      <c r="BD9" s="14">
        <f>AT9*$BD$5</f>
        <v>16419138.9</v>
      </c>
      <c r="BE9" s="14">
        <f>IF(BB9&lt;BD9,BB9,BD9)</f>
        <v>8869124</v>
      </c>
      <c r="BF9" s="388">
        <f>IF(BE9&gt;0,BE9*(AY9*$BF$5),0)</f>
        <v>3697786.1310720001</v>
      </c>
      <c r="BG9" s="392">
        <f>IF(BE9-BF9&gt;BE9*$BG$5,BE9-BF9,BE9*$BG$5)</f>
        <v>5171337.8689280003</v>
      </c>
      <c r="BH9" s="16">
        <f>IF(BE9=0,0,ROUND(BG9/BE9,4))</f>
        <v>0.58309999999999995</v>
      </c>
      <c r="BI9" s="392">
        <f>AW9+BG9</f>
        <v>41756936.868928</v>
      </c>
      <c r="BJ9" s="14">
        <f t="shared" ref="BJ9:BJ40" si="39">ROUND(BI9/C9,0)</f>
        <v>4349</v>
      </c>
      <c r="BK9" s="392">
        <f>'Table 4 Level 3'!M6</f>
        <v>1299565</v>
      </c>
      <c r="BL9" s="14">
        <f t="shared" ref="BL9:BL40" si="40">BK9/C9</f>
        <v>135.35725445266118</v>
      </c>
      <c r="BM9" s="392">
        <f>BK9+BI9</f>
        <v>43056501.868928</v>
      </c>
      <c r="BN9" s="14">
        <f t="shared" ref="BN9:BN40" si="41">BM9/C9</f>
        <v>4484.5851337285703</v>
      </c>
      <c r="BO9" s="518">
        <f>'Table 4 Level 3'!P6</f>
        <v>8761662.5439999998</v>
      </c>
      <c r="BP9" s="519">
        <f t="shared" ref="BP9:BP40" si="42">BO9/C9</f>
        <v>912.57812144568277</v>
      </c>
      <c r="BQ9" s="392">
        <f>BI9+BO9</f>
        <v>50518599.412928</v>
      </c>
      <c r="BR9" s="14">
        <f t="shared" ref="BR9:BR40" si="43">BQ9/C9</f>
        <v>5261.8060007215918</v>
      </c>
      <c r="BS9" s="1594">
        <f>'[13]Table 3 Levels 1&amp;2'!CE9</f>
        <v>-860096.75515198708</v>
      </c>
      <c r="BT9" s="1594">
        <f>BS9/C9</f>
        <v>-89.584080319965324</v>
      </c>
      <c r="BU9" s="1594">
        <f>-(BS9*90%)</f>
        <v>774087.07963678834</v>
      </c>
      <c r="BV9" s="1594">
        <f t="shared" ref="BV9:BV40" si="44">BU9/C9</f>
        <v>80.625672287968783</v>
      </c>
      <c r="BW9" s="1600">
        <f>BQ9+BU9</f>
        <v>51292686.49256479</v>
      </c>
      <c r="BX9" s="1602">
        <f t="shared" ref="BX9:BX40" si="45">BW9/C9</f>
        <v>5342.4316730095607</v>
      </c>
      <c r="BY9" s="16">
        <f>BW9/CE9</f>
        <v>0.7137089071302104</v>
      </c>
      <c r="BZ9" s="393">
        <f>RANK(BY9,$BY$9:$BY$77)</f>
        <v>13</v>
      </c>
      <c r="CA9" s="14">
        <f>ROUND(BE9+AV9,2)</f>
        <v>20575110</v>
      </c>
      <c r="CB9" s="14">
        <f t="shared" ref="CB9:CB40" si="46">ROUND(CA9/C9,2)</f>
        <v>2143.02</v>
      </c>
      <c r="CC9" s="393">
        <f>RANK(CB9,$CB$9:$CB$77)</f>
        <v>62</v>
      </c>
      <c r="CD9" s="16">
        <f>CA9/CE9</f>
        <v>0.28629109286978949</v>
      </c>
      <c r="CE9" s="393">
        <f>BW9+CA9</f>
        <v>71867796.492564797</v>
      </c>
      <c r="CF9" s="394">
        <f t="shared" ref="CF9:CF40" si="47">CE9/C9</f>
        <v>7485.449067031017</v>
      </c>
      <c r="CG9" s="393">
        <f>RANK(CF9,$CF$9:$CF$77)</f>
        <v>67</v>
      </c>
      <c r="CH9" s="1340">
        <v>50486266.004192002</v>
      </c>
      <c r="CI9" s="279">
        <f>BW9-CH9</f>
        <v>806420.48837278783</v>
      </c>
      <c r="CJ9" s="1747"/>
      <c r="CK9" s="350"/>
      <c r="CL9" s="350"/>
      <c r="CM9" s="350"/>
      <c r="CN9" s="350"/>
      <c r="CO9" s="350"/>
      <c r="CP9" s="350"/>
      <c r="CQ9" s="350"/>
      <c r="CR9" s="350"/>
      <c r="CS9" s="350"/>
      <c r="CT9" s="196"/>
      <c r="CU9" s="196"/>
      <c r="CV9" s="1748"/>
      <c r="CW9" s="196"/>
      <c r="CX9" s="196"/>
      <c r="CY9" s="1748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</row>
    <row r="10" spans="1:183" s="5" customFormat="1">
      <c r="A10" s="101">
        <v>2</v>
      </c>
      <c r="B10" s="81" t="s">
        <v>96</v>
      </c>
      <c r="C10" s="81">
        <f>'[2]ALL-Reformatted'!AC7</f>
        <v>4083</v>
      </c>
      <c r="D10" s="13">
        <f>'[3]All-Reformatted'!AC7</f>
        <v>2659</v>
      </c>
      <c r="E10" s="13">
        <f t="shared" si="17"/>
        <v>585</v>
      </c>
      <c r="F10" s="13">
        <f>'[4]MS5627_CTE -Reformatted'!AC8</f>
        <v>1498</v>
      </c>
      <c r="G10" s="13">
        <f t="shared" si="18"/>
        <v>90</v>
      </c>
      <c r="H10" s="607">
        <f>'[5]Rollup_Level1 Formatted 2'!Y7</f>
        <v>112</v>
      </c>
      <c r="I10" s="13">
        <f t="shared" si="19"/>
        <v>45</v>
      </c>
      <c r="J10" s="13">
        <f>'[5]Rollup_Level2 Formatted 2'!AB7</f>
        <v>292</v>
      </c>
      <c r="K10" s="13">
        <f t="shared" si="20"/>
        <v>161</v>
      </c>
      <c r="L10" s="13">
        <f>'[5]Rollup_Level3 Formatted 2'!T7</f>
        <v>46</v>
      </c>
      <c r="M10" s="13">
        <f t="shared" si="21"/>
        <v>37</v>
      </c>
      <c r="N10" s="13">
        <f>'[6]Rollup_Level1-REFORMATTED (2)'!P6</f>
        <v>37</v>
      </c>
      <c r="O10" s="13">
        <f t="shared" si="22"/>
        <v>13</v>
      </c>
      <c r="P10" s="13">
        <f>'[6]Rollup_Level2_REFORMATTED (2)'!V6</f>
        <v>115</v>
      </c>
      <c r="Q10" s="13">
        <f t="shared" si="23"/>
        <v>63</v>
      </c>
      <c r="R10" s="13">
        <f>'[6]Rollup_Level3 FORMATTED (2)'!Y6</f>
        <v>161</v>
      </c>
      <c r="S10" s="13">
        <f t="shared" si="24"/>
        <v>113</v>
      </c>
      <c r="T10" s="13">
        <f>[7]Exceeds!AJ7</f>
        <v>21</v>
      </c>
      <c r="U10" s="13">
        <f t="shared" si="25"/>
        <v>28</v>
      </c>
      <c r="V10" s="13">
        <f>'[8]Significantly Exceeds'!V7</f>
        <v>66</v>
      </c>
      <c r="W10" s="13">
        <f t="shared" si="26"/>
        <v>116</v>
      </c>
      <c r="X10" s="13">
        <f>'[9]Roll up'!J7</f>
        <v>5</v>
      </c>
      <c r="Y10" s="13">
        <f t="shared" si="27"/>
        <v>8</v>
      </c>
      <c r="Z10" s="13">
        <f>[10]BeginSchYr2011_ByExcept!P3</f>
        <v>1</v>
      </c>
      <c r="AA10" s="13">
        <f t="shared" si="28"/>
        <v>2</v>
      </c>
      <c r="AB10" s="1350">
        <v>4.2377098556873841E-2</v>
      </c>
      <c r="AC10" s="13">
        <f t="shared" ref="AC10:AC73" si="48">H10+J10+L10</f>
        <v>450</v>
      </c>
      <c r="AD10" s="13">
        <f t="shared" ref="AD10:AD73" si="49">ROUND(IF(AB10&lt;=-2%,$AD$5*AC10,0),0)</f>
        <v>0</v>
      </c>
      <c r="AE10" s="13">
        <f t="shared" ref="AE10:AE73" si="50">ROUND(IF(AND(AB10&lt;=0%,AB10&gt;-1.99%),AC10*$AE$5,0),0)</f>
        <v>0</v>
      </c>
      <c r="AF10" s="13">
        <f t="shared" ref="AF10:AF73" si="51">ROUND(IF(AND(AB10&lt;=1%,AB10&gt;-0.01%),AC10*$AF$5,0),0)</f>
        <v>0</v>
      </c>
      <c r="AG10" s="13">
        <f t="shared" si="29"/>
        <v>586</v>
      </c>
      <c r="AH10" s="607">
        <f>'[11]Rollup_PS-8th'!R6</f>
        <v>48</v>
      </c>
      <c r="AI10" s="13">
        <f t="shared" si="30"/>
        <v>29</v>
      </c>
      <c r="AJ10" s="13">
        <f>'[11]Rollup_9th-12th'!M6</f>
        <v>6</v>
      </c>
      <c r="AK10" s="13">
        <f t="shared" si="31"/>
        <v>1.7999999999999998</v>
      </c>
      <c r="AL10" s="13">
        <f>[12]Reformatted!Y7</f>
        <v>19</v>
      </c>
      <c r="AM10" s="13">
        <f t="shared" ref="AM10:AM73" si="52">$AM$5*AL10</f>
        <v>5.7</v>
      </c>
      <c r="AN10" s="13">
        <f t="shared" si="32"/>
        <v>3417</v>
      </c>
      <c r="AO10" s="65">
        <f t="shared" si="33"/>
        <v>9.1120000000000007E-2</v>
      </c>
      <c r="AP10" s="13">
        <f t="shared" si="34"/>
        <v>372</v>
      </c>
      <c r="AQ10" s="13">
        <f t="shared" si="35"/>
        <v>1669.5</v>
      </c>
      <c r="AR10" s="13">
        <f t="shared" si="36"/>
        <v>5752.5</v>
      </c>
      <c r="AS10" s="388">
        <f t="shared" ref="AS10:AS73" si="53">$AS$5</f>
        <v>3855</v>
      </c>
      <c r="AT10" s="388">
        <f t="shared" si="37"/>
        <v>22175888</v>
      </c>
      <c r="AU10" s="388">
        <f>'Table 6 (Local Deduct Calc.)'!J10</f>
        <v>3389489</v>
      </c>
      <c r="AV10" s="388">
        <f t="shared" ref="AV10:AV73" si="54">IF((AU10&gt;AT10*$AV$5),AT10*$AV$5,AU10)</f>
        <v>3389489</v>
      </c>
      <c r="AW10" s="389">
        <f t="shared" ref="AW10:AW73" si="55">AT10-AV10</f>
        <v>18786399</v>
      </c>
      <c r="AX10" s="390">
        <f>ROUND(AW10/AT10,4)</f>
        <v>0.84719999999999995</v>
      </c>
      <c r="AY10" s="390">
        <f t="shared" ref="AY10:AY73" si="56">ROUND(AV10/AT10,4)</f>
        <v>0.15279999999999999</v>
      </c>
      <c r="AZ10" s="391">
        <f t="shared" si="38"/>
        <v>830.14670585353906</v>
      </c>
      <c r="BA10" s="388">
        <f>'Table 7 Local Revenue'!AQ9</f>
        <v>10744736</v>
      </c>
      <c r="BB10" s="388">
        <f t="shared" ref="BB10:BB73" si="57">IF(BA10-AV10&gt;0,BA10-AV10,0)</f>
        <v>7355247</v>
      </c>
      <c r="BC10" s="279">
        <f t="shared" ref="BC10:BC73" si="58">IF(BA10-AV10&lt;0,BA10-AV10,0)</f>
        <v>0</v>
      </c>
      <c r="BD10" s="14">
        <f t="shared" ref="BD10:BD73" si="59">AT10*$BD$5</f>
        <v>7539801.9200000009</v>
      </c>
      <c r="BE10" s="14">
        <f t="shared" ref="BE10:BE73" si="60">IF(BB10&lt;BD10,BB10,BD10)</f>
        <v>7355247</v>
      </c>
      <c r="BF10" s="388">
        <f t="shared" ref="BF10:BF73" si="61">IF(BE10&gt;0,BE10*(AY10*$BF$5),0)</f>
        <v>1933076.595552</v>
      </c>
      <c r="BG10" s="392">
        <f t="shared" ref="BG10:BG73" si="62">IF(BE10-BF10&gt;BE10*$BG$5,BE10-BF10,BE10*$BG$5)</f>
        <v>5422170.4044479998</v>
      </c>
      <c r="BH10" s="16">
        <f t="shared" ref="BH10:BH73" si="63">IF(BE10=0,0,ROUND(BG10/BE10,4))</f>
        <v>0.73719999999999997</v>
      </c>
      <c r="BI10" s="392">
        <f t="shared" ref="BI10:BI73" si="64">AW10+BG10</f>
        <v>24208569.404447999</v>
      </c>
      <c r="BJ10" s="14">
        <f t="shared" si="39"/>
        <v>5929</v>
      </c>
      <c r="BK10" s="392">
        <f>'Table 4 Level 3'!M7</f>
        <v>552664</v>
      </c>
      <c r="BL10" s="14">
        <f t="shared" si="40"/>
        <v>135.35733529267696</v>
      </c>
      <c r="BM10" s="392">
        <f t="shared" ref="BM10:BM73" si="65">BK10+BI10</f>
        <v>24761233.404447999</v>
      </c>
      <c r="BN10" s="14">
        <f t="shared" si="41"/>
        <v>6064.4705864433008</v>
      </c>
      <c r="BO10" s="518">
        <f>'Table 4 Level 3'!P7</f>
        <v>3991351.1680000001</v>
      </c>
      <c r="BP10" s="519">
        <f t="shared" si="42"/>
        <v>977.55355571883422</v>
      </c>
      <c r="BQ10" s="392">
        <f t="shared" ref="BQ10:BQ73" si="66">BI10+BO10</f>
        <v>28199920.572448</v>
      </c>
      <c r="BR10" s="14">
        <f t="shared" si="43"/>
        <v>6906.6668068694589</v>
      </c>
      <c r="BS10" s="1594">
        <f>'[13]Table 3 Levels 1&amp;2'!CE10</f>
        <v>-306576.3458160013</v>
      </c>
      <c r="BT10" s="1594">
        <f t="shared" ref="BT10:BT73" si="67">BS10/C10</f>
        <v>-75.086050897869526</v>
      </c>
      <c r="BU10" s="1594">
        <f t="shared" ref="BU10:BU73" si="68">-(BS10*90%)</f>
        <v>275918.71123440115</v>
      </c>
      <c r="BV10" s="1594">
        <f t="shared" si="44"/>
        <v>67.577445808082572</v>
      </c>
      <c r="BW10" s="1600">
        <f t="shared" ref="BW10:BW73" si="69">BQ10+BU10</f>
        <v>28475839.283682402</v>
      </c>
      <c r="BX10" s="1602">
        <f t="shared" si="45"/>
        <v>6974.2442526775412</v>
      </c>
      <c r="BY10" s="16">
        <f t="shared" ref="BY10:BY73" si="70">BW10/CE10</f>
        <v>0.72604338609815555</v>
      </c>
      <c r="BZ10" s="393">
        <f t="shared" ref="BZ10:BZ73" si="71">RANK(BY10,$BY$9:$BY$77)</f>
        <v>12</v>
      </c>
      <c r="CA10" s="14">
        <f t="shared" ref="CA10:CA73" si="72">ROUND(BE10+AV10,2)</f>
        <v>10744736</v>
      </c>
      <c r="CB10" s="14">
        <f t="shared" si="46"/>
        <v>2631.58</v>
      </c>
      <c r="CC10" s="393">
        <f t="shared" ref="CC10:CC73" si="73">RANK(CB10,$CB$9:$CB$77)</f>
        <v>54</v>
      </c>
      <c r="CD10" s="16">
        <f t="shared" ref="CD10:CD73" si="74">CA10/CE10</f>
        <v>0.27395661390184434</v>
      </c>
      <c r="CE10" s="393">
        <f t="shared" ref="CE10:CE73" si="75">BW10+CA10</f>
        <v>39220575.283682406</v>
      </c>
      <c r="CF10" s="394">
        <f t="shared" si="47"/>
        <v>9605.8229937992674</v>
      </c>
      <c r="CG10" s="393">
        <f t="shared" ref="CG10:CG73" si="76">RANK(CF10,$CF$9:$CF$77)</f>
        <v>7</v>
      </c>
      <c r="CH10" s="1340">
        <v>28090970.458928</v>
      </c>
      <c r="CI10" s="279">
        <f t="shared" ref="CI10:CI73" si="77">BW10-CH10</f>
        <v>384868.82475440204</v>
      </c>
      <c r="CJ10" s="1747"/>
      <c r="CK10" s="350"/>
      <c r="CL10" s="350"/>
      <c r="CM10" s="350"/>
      <c r="CN10" s="350"/>
      <c r="CO10" s="350"/>
      <c r="CP10" s="350"/>
      <c r="CQ10" s="350"/>
      <c r="CR10" s="350"/>
      <c r="CS10" s="350"/>
      <c r="CT10" s="169"/>
      <c r="CU10" s="169"/>
      <c r="CV10" s="1749"/>
      <c r="CW10" s="169"/>
      <c r="CX10" s="169"/>
      <c r="CY10" s="1749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</row>
    <row r="11" spans="1:183" s="5" customFormat="1">
      <c r="A11" s="101">
        <v>3</v>
      </c>
      <c r="B11" s="81" t="s">
        <v>97</v>
      </c>
      <c r="C11" s="81">
        <f>'[2]ALL-Reformatted'!AC8</f>
        <v>20690</v>
      </c>
      <c r="D11" s="13">
        <f>'[3]All-Reformatted'!AC8</f>
        <v>10034</v>
      </c>
      <c r="E11" s="13">
        <f t="shared" si="17"/>
        <v>2207</v>
      </c>
      <c r="F11" s="13">
        <f>'[4]MS5627_CTE -Reformatted'!AC9</f>
        <v>7753.5</v>
      </c>
      <c r="G11" s="13">
        <f t="shared" si="18"/>
        <v>465</v>
      </c>
      <c r="H11" s="607">
        <f>'[5]Rollup_Level1 Formatted 2'!Y8</f>
        <v>483</v>
      </c>
      <c r="I11" s="13">
        <f t="shared" si="19"/>
        <v>193</v>
      </c>
      <c r="J11" s="13">
        <f>'[5]Rollup_Level2 Formatted 2'!AB8</f>
        <v>1494</v>
      </c>
      <c r="K11" s="13">
        <f t="shared" si="20"/>
        <v>822</v>
      </c>
      <c r="L11" s="13">
        <f>'[5]Rollup_Level3 Formatted 2'!T8</f>
        <v>280</v>
      </c>
      <c r="M11" s="13">
        <f t="shared" si="21"/>
        <v>224</v>
      </c>
      <c r="N11" s="13">
        <f>'[6]Rollup_Level1-REFORMATTED (2)'!P7</f>
        <v>140</v>
      </c>
      <c r="O11" s="13">
        <f t="shared" si="22"/>
        <v>49</v>
      </c>
      <c r="P11" s="13">
        <f>'[6]Rollup_Level2_REFORMATTED (2)'!V7</f>
        <v>337</v>
      </c>
      <c r="Q11" s="13">
        <f t="shared" si="23"/>
        <v>185</v>
      </c>
      <c r="R11" s="13">
        <f>'[6]Rollup_Level3 FORMATTED (2)'!Y7</f>
        <v>924</v>
      </c>
      <c r="S11" s="13">
        <f t="shared" si="24"/>
        <v>647</v>
      </c>
      <c r="T11" s="13">
        <f>[7]Exceeds!AJ8</f>
        <v>150</v>
      </c>
      <c r="U11" s="13">
        <f t="shared" si="25"/>
        <v>203</v>
      </c>
      <c r="V11" s="13">
        <f>'[8]Significantly Exceeds'!V8</f>
        <v>482</v>
      </c>
      <c r="W11" s="13">
        <f t="shared" si="26"/>
        <v>844</v>
      </c>
      <c r="X11" s="13">
        <f>'[9]Roll up'!J8</f>
        <v>65</v>
      </c>
      <c r="Y11" s="13">
        <f t="shared" si="27"/>
        <v>98</v>
      </c>
      <c r="Z11" s="13">
        <f>[10]BeginSchYr2011_ByExcept!P4</f>
        <v>27</v>
      </c>
      <c r="AA11" s="13">
        <f t="shared" si="28"/>
        <v>41</v>
      </c>
      <c r="AB11" s="16">
        <v>-1.4567614070101625E-2</v>
      </c>
      <c r="AC11" s="13">
        <f t="shared" si="48"/>
        <v>2257</v>
      </c>
      <c r="AD11" s="13">
        <f t="shared" si="49"/>
        <v>0</v>
      </c>
      <c r="AE11" s="13">
        <f t="shared" si="50"/>
        <v>135</v>
      </c>
      <c r="AF11" s="13">
        <f t="shared" si="51"/>
        <v>0</v>
      </c>
      <c r="AG11" s="13">
        <f t="shared" si="29"/>
        <v>3441</v>
      </c>
      <c r="AH11" s="607">
        <f>'[11]Rollup_PS-8th'!R7</f>
        <v>312</v>
      </c>
      <c r="AI11" s="13">
        <f t="shared" si="30"/>
        <v>187</v>
      </c>
      <c r="AJ11" s="13">
        <f>'[11]Rollup_9th-12th'!M7</f>
        <v>234</v>
      </c>
      <c r="AK11" s="13">
        <f t="shared" si="31"/>
        <v>70.2</v>
      </c>
      <c r="AL11" s="13">
        <f>[12]Reformatted!Y8</f>
        <v>648</v>
      </c>
      <c r="AM11" s="13">
        <f t="shared" si="52"/>
        <v>194.4</v>
      </c>
      <c r="AN11" s="13">
        <f t="shared" si="32"/>
        <v>0</v>
      </c>
      <c r="AO11" s="65">
        <f t="shared" si="33"/>
        <v>0</v>
      </c>
      <c r="AP11" s="13">
        <f t="shared" si="34"/>
        <v>0</v>
      </c>
      <c r="AQ11" s="13">
        <f t="shared" si="35"/>
        <v>6564.5999999999995</v>
      </c>
      <c r="AR11" s="13">
        <f t="shared" si="36"/>
        <v>27254.6</v>
      </c>
      <c r="AS11" s="388">
        <f t="shared" si="53"/>
        <v>3855</v>
      </c>
      <c r="AT11" s="388">
        <f t="shared" si="37"/>
        <v>105066483</v>
      </c>
      <c r="AU11" s="388">
        <f>'Table 6 (Local Deduct Calc.)'!J11</f>
        <v>35597440</v>
      </c>
      <c r="AV11" s="388">
        <f t="shared" si="54"/>
        <v>35597440</v>
      </c>
      <c r="AW11" s="389">
        <f t="shared" si="55"/>
        <v>69469043</v>
      </c>
      <c r="AX11" s="390">
        <f t="shared" ref="AX11:AX73" si="78">ROUND(AW11/AT11,4)</f>
        <v>0.66120000000000001</v>
      </c>
      <c r="AY11" s="390">
        <f t="shared" si="56"/>
        <v>0.33879999999999999</v>
      </c>
      <c r="AZ11" s="391">
        <f t="shared" si="38"/>
        <v>1720.5142580956983</v>
      </c>
      <c r="BA11" s="388">
        <f>'Table 7 Local Revenue'!AQ10</f>
        <v>103883659</v>
      </c>
      <c r="BB11" s="388">
        <f t="shared" si="57"/>
        <v>68286219</v>
      </c>
      <c r="BC11" s="279">
        <f t="shared" si="58"/>
        <v>0</v>
      </c>
      <c r="BD11" s="14">
        <f t="shared" si="59"/>
        <v>35722604.220000006</v>
      </c>
      <c r="BE11" s="14">
        <f t="shared" si="60"/>
        <v>35722604.220000006</v>
      </c>
      <c r="BF11" s="388">
        <f t="shared" si="61"/>
        <v>20816847.492745921</v>
      </c>
      <c r="BG11" s="392">
        <f t="shared" si="62"/>
        <v>14905756.727254085</v>
      </c>
      <c r="BH11" s="16">
        <f t="shared" si="63"/>
        <v>0.4173</v>
      </c>
      <c r="BI11" s="392">
        <f t="shared" si="64"/>
        <v>84374799.727254093</v>
      </c>
      <c r="BJ11" s="14">
        <f t="shared" si="39"/>
        <v>4078</v>
      </c>
      <c r="BK11" s="392">
        <f>'Table 4 Level 3'!M8</f>
        <v>2800541</v>
      </c>
      <c r="BL11" s="14">
        <f t="shared" si="40"/>
        <v>135.35722571290478</v>
      </c>
      <c r="BM11" s="392">
        <f>BK11+BI11</f>
        <v>87175340.727254093</v>
      </c>
      <c r="BN11" s="14">
        <f t="shared" si="41"/>
        <v>4213.4045784076407</v>
      </c>
      <c r="BO11" s="518">
        <f>'Table 4 Level 3'!P8</f>
        <v>15145224.143809985</v>
      </c>
      <c r="BP11" s="519">
        <f t="shared" si="42"/>
        <v>732.0069668347021</v>
      </c>
      <c r="BQ11" s="392">
        <f t="shared" si="66"/>
        <v>99520023.871064082</v>
      </c>
      <c r="BR11" s="14">
        <f t="shared" si="43"/>
        <v>4810.0543195294385</v>
      </c>
      <c r="BS11" s="1594">
        <f>'[13]Table 3 Levels 1&amp;2'!CE11</f>
        <v>607871.27363967896</v>
      </c>
      <c r="BT11" s="1594">
        <f t="shared" si="67"/>
        <v>29.379955226664038</v>
      </c>
      <c r="BU11" s="1594">
        <f t="shared" si="68"/>
        <v>-547084.14627571113</v>
      </c>
      <c r="BV11" s="1594">
        <f t="shared" si="44"/>
        <v>-26.44195970399764</v>
      </c>
      <c r="BW11" s="1600">
        <f t="shared" si="69"/>
        <v>98972939.724788368</v>
      </c>
      <c r="BX11" s="1602">
        <f t="shared" si="45"/>
        <v>4783.6123598254408</v>
      </c>
      <c r="BY11" s="16">
        <f t="shared" si="70"/>
        <v>0.58119211626990419</v>
      </c>
      <c r="BZ11" s="393">
        <f t="shared" si="71"/>
        <v>47</v>
      </c>
      <c r="CA11" s="14">
        <f t="shared" si="72"/>
        <v>71320044.219999999</v>
      </c>
      <c r="CB11" s="14">
        <f t="shared" si="46"/>
        <v>3447.08</v>
      </c>
      <c r="CC11" s="393">
        <f t="shared" si="73"/>
        <v>32</v>
      </c>
      <c r="CD11" s="16">
        <f t="shared" si="74"/>
        <v>0.41880788373009581</v>
      </c>
      <c r="CE11" s="393">
        <f t="shared" si="75"/>
        <v>170292983.94478837</v>
      </c>
      <c r="CF11" s="394">
        <f t="shared" si="47"/>
        <v>8230.6903791584518</v>
      </c>
      <c r="CG11" s="393">
        <f t="shared" si="76"/>
        <v>57</v>
      </c>
      <c r="CH11" s="1340">
        <v>99168985.724354401</v>
      </c>
      <c r="CI11" s="279">
        <f t="shared" si="77"/>
        <v>-196045.99956603348</v>
      </c>
      <c r="CJ11" s="1750"/>
      <c r="CK11" s="350"/>
      <c r="CL11" s="350"/>
      <c r="CM11" s="350"/>
      <c r="CN11" s="350"/>
      <c r="CO11" s="350"/>
      <c r="CP11" s="350"/>
      <c r="CQ11" s="350"/>
      <c r="CR11" s="350"/>
      <c r="CS11" s="350"/>
      <c r="CT11" s="169"/>
      <c r="CU11" s="169"/>
      <c r="CV11" s="1749"/>
      <c r="CW11" s="169"/>
      <c r="CX11" s="169"/>
      <c r="CY11" s="1749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</row>
    <row r="12" spans="1:183" s="5" customFormat="1">
      <c r="A12" s="101">
        <v>4</v>
      </c>
      <c r="B12" s="81" t="s">
        <v>98</v>
      </c>
      <c r="C12" s="81">
        <f>'[2]ALL-Reformatted'!AC9</f>
        <v>3564</v>
      </c>
      <c r="D12" s="13">
        <f>'[3]All-Reformatted'!AC9</f>
        <v>2390</v>
      </c>
      <c r="E12" s="13">
        <f t="shared" si="17"/>
        <v>526</v>
      </c>
      <c r="F12" s="13">
        <f>'[4]MS5627_CTE -Reformatted'!AC10</f>
        <v>1686.5</v>
      </c>
      <c r="G12" s="13">
        <f t="shared" si="18"/>
        <v>101</v>
      </c>
      <c r="H12" s="607">
        <f>'[5]Rollup_Level1 Formatted 2'!Y9</f>
        <v>101</v>
      </c>
      <c r="I12" s="13">
        <f t="shared" si="19"/>
        <v>40</v>
      </c>
      <c r="J12" s="13">
        <f>'[5]Rollup_Level2 Formatted 2'!AB9</f>
        <v>333</v>
      </c>
      <c r="K12" s="13">
        <f t="shared" si="20"/>
        <v>183</v>
      </c>
      <c r="L12" s="13">
        <f>'[5]Rollup_Level3 Formatted 2'!T9</f>
        <v>53</v>
      </c>
      <c r="M12" s="13">
        <f t="shared" si="21"/>
        <v>42</v>
      </c>
      <c r="N12" s="13">
        <f>'[6]Rollup_Level1-REFORMATTED (2)'!P8</f>
        <v>26</v>
      </c>
      <c r="O12" s="13">
        <f t="shared" si="22"/>
        <v>9</v>
      </c>
      <c r="P12" s="13">
        <f>'[6]Rollup_Level2_REFORMATTED (2)'!V8</f>
        <v>71</v>
      </c>
      <c r="Q12" s="13">
        <f t="shared" si="23"/>
        <v>39</v>
      </c>
      <c r="R12" s="13">
        <f>'[6]Rollup_Level3 FORMATTED (2)'!Y8</f>
        <v>224</v>
      </c>
      <c r="S12" s="13">
        <f t="shared" si="24"/>
        <v>157</v>
      </c>
      <c r="T12" s="13">
        <f>[7]Exceeds!AJ9</f>
        <v>30</v>
      </c>
      <c r="U12" s="13">
        <f t="shared" si="25"/>
        <v>41</v>
      </c>
      <c r="V12" s="13">
        <f>'[8]Significantly Exceeds'!V9</f>
        <v>78</v>
      </c>
      <c r="W12" s="13">
        <f t="shared" si="26"/>
        <v>137</v>
      </c>
      <c r="X12" s="13">
        <f>'[9]Roll up'!J9</f>
        <v>4</v>
      </c>
      <c r="Y12" s="13">
        <f t="shared" si="27"/>
        <v>6</v>
      </c>
      <c r="Z12" s="13">
        <f>[10]BeginSchYr2011_ByExcept!P5</f>
        <v>2</v>
      </c>
      <c r="AA12" s="13">
        <f t="shared" si="28"/>
        <v>3</v>
      </c>
      <c r="AB12" s="1350">
        <v>1.5500982143650727E-2</v>
      </c>
      <c r="AC12" s="13">
        <f t="shared" si="48"/>
        <v>487</v>
      </c>
      <c r="AD12" s="13">
        <f t="shared" si="49"/>
        <v>0</v>
      </c>
      <c r="AE12" s="13">
        <f t="shared" si="50"/>
        <v>0</v>
      </c>
      <c r="AF12" s="13">
        <f t="shared" si="51"/>
        <v>0</v>
      </c>
      <c r="AG12" s="13">
        <f t="shared" si="29"/>
        <v>657</v>
      </c>
      <c r="AH12" s="607">
        <f>'[11]Rollup_PS-8th'!R8</f>
        <v>42</v>
      </c>
      <c r="AI12" s="13">
        <f t="shared" si="30"/>
        <v>25</v>
      </c>
      <c r="AJ12" s="13">
        <f>'[11]Rollup_9th-12th'!M8</f>
        <v>48</v>
      </c>
      <c r="AK12" s="13">
        <f t="shared" si="31"/>
        <v>14.399999999999999</v>
      </c>
      <c r="AL12" s="13">
        <f>[12]Reformatted!Y9</f>
        <v>23</v>
      </c>
      <c r="AM12" s="13">
        <f t="shared" si="52"/>
        <v>6.8999999999999995</v>
      </c>
      <c r="AN12" s="13">
        <f t="shared" si="32"/>
        <v>3936</v>
      </c>
      <c r="AO12" s="65">
        <f t="shared" si="33"/>
        <v>0.10496</v>
      </c>
      <c r="AP12" s="13">
        <f t="shared" si="34"/>
        <v>374</v>
      </c>
      <c r="AQ12" s="13">
        <f t="shared" si="35"/>
        <v>1704.3000000000002</v>
      </c>
      <c r="AR12" s="13">
        <f t="shared" si="36"/>
        <v>5268.3</v>
      </c>
      <c r="AS12" s="388">
        <f t="shared" si="53"/>
        <v>3855</v>
      </c>
      <c r="AT12" s="388">
        <f t="shared" si="37"/>
        <v>20309297</v>
      </c>
      <c r="AU12" s="388">
        <f>'Table 6 (Local Deduct Calc.)'!J12</f>
        <v>4391505</v>
      </c>
      <c r="AV12" s="388">
        <f t="shared" si="54"/>
        <v>4391505</v>
      </c>
      <c r="AW12" s="389">
        <f t="shared" si="55"/>
        <v>15917792</v>
      </c>
      <c r="AX12" s="390">
        <f t="shared" si="78"/>
        <v>0.78380000000000005</v>
      </c>
      <c r="AY12" s="390">
        <f t="shared" si="56"/>
        <v>0.2162</v>
      </c>
      <c r="AZ12" s="391">
        <f t="shared" si="38"/>
        <v>1232.1843434343434</v>
      </c>
      <c r="BA12" s="388">
        <f>'Table 7 Local Revenue'!AQ11</f>
        <v>12413215</v>
      </c>
      <c r="BB12" s="388">
        <f t="shared" si="57"/>
        <v>8021710</v>
      </c>
      <c r="BC12" s="279">
        <f t="shared" si="58"/>
        <v>0</v>
      </c>
      <c r="BD12" s="14">
        <f t="shared" si="59"/>
        <v>6905160.9800000004</v>
      </c>
      <c r="BE12" s="14">
        <f t="shared" si="60"/>
        <v>6905160.9800000004</v>
      </c>
      <c r="BF12" s="388">
        <f t="shared" si="61"/>
        <v>2567780.78266672</v>
      </c>
      <c r="BG12" s="392">
        <f t="shared" si="62"/>
        <v>4337380.19733328</v>
      </c>
      <c r="BH12" s="16">
        <f t="shared" si="63"/>
        <v>0.62809999999999999</v>
      </c>
      <c r="BI12" s="392">
        <f t="shared" si="64"/>
        <v>20255172.19733328</v>
      </c>
      <c r="BJ12" s="14">
        <f t="shared" si="39"/>
        <v>5683</v>
      </c>
      <c r="BK12" s="392">
        <f>'Table 4 Level 3'!M9</f>
        <v>482413</v>
      </c>
      <c r="BL12" s="14">
        <f t="shared" si="40"/>
        <v>135.35718294051628</v>
      </c>
      <c r="BM12" s="392">
        <f t="shared" si="65"/>
        <v>20737585.19733328</v>
      </c>
      <c r="BN12" s="14">
        <f t="shared" si="41"/>
        <v>5818.6265985783612</v>
      </c>
      <c r="BO12" s="518">
        <f>'Table 4 Level 3'!P9</f>
        <v>2569857.0876199696</v>
      </c>
      <c r="BP12" s="519">
        <f t="shared" si="42"/>
        <v>721.05978889449204</v>
      </c>
      <c r="BQ12" s="392">
        <f t="shared" si="66"/>
        <v>22825029.284953251</v>
      </c>
      <c r="BR12" s="14">
        <f t="shared" si="43"/>
        <v>6404.3292045323378</v>
      </c>
      <c r="BS12" s="1594">
        <f>'[13]Table 3 Levels 1&amp;2'!CE12</f>
        <v>-397002.9782659933</v>
      </c>
      <c r="BT12" s="1594">
        <f t="shared" si="67"/>
        <v>-111.39253037766366</v>
      </c>
      <c r="BU12" s="1594">
        <f t="shared" si="68"/>
        <v>357302.68043939397</v>
      </c>
      <c r="BV12" s="1594">
        <f t="shared" si="44"/>
        <v>100.25327733989729</v>
      </c>
      <c r="BW12" s="1600">
        <f t="shared" si="69"/>
        <v>23182331.965392645</v>
      </c>
      <c r="BX12" s="1602">
        <f t="shared" si="45"/>
        <v>6504.5824818722349</v>
      </c>
      <c r="BY12" s="16">
        <f t="shared" si="70"/>
        <v>0.67236095440211163</v>
      </c>
      <c r="BZ12" s="393">
        <f t="shared" si="71"/>
        <v>28</v>
      </c>
      <c r="CA12" s="14">
        <f t="shared" si="72"/>
        <v>11296665.98</v>
      </c>
      <c r="CB12" s="14">
        <f t="shared" si="46"/>
        <v>3169.66</v>
      </c>
      <c r="CC12" s="393">
        <f t="shared" si="73"/>
        <v>38</v>
      </c>
      <c r="CD12" s="16">
        <f t="shared" si="74"/>
        <v>0.32763904559788837</v>
      </c>
      <c r="CE12" s="393">
        <f t="shared" si="75"/>
        <v>34478997.945392646</v>
      </c>
      <c r="CF12" s="394">
        <f t="shared" si="47"/>
        <v>9674.2418477532683</v>
      </c>
      <c r="CG12" s="393">
        <f t="shared" si="76"/>
        <v>6</v>
      </c>
      <c r="CH12" s="1340">
        <v>23793975.173258767</v>
      </c>
      <c r="CI12" s="279">
        <f t="shared" si="77"/>
        <v>-611643.20786612108</v>
      </c>
      <c r="CJ12" s="1747"/>
      <c r="CK12" s="350"/>
      <c r="CL12" s="350"/>
      <c r="CM12" s="350"/>
      <c r="CN12" s="350"/>
      <c r="CO12" s="350"/>
      <c r="CP12" s="350"/>
      <c r="CQ12" s="350"/>
      <c r="CR12" s="350"/>
      <c r="CS12" s="350"/>
      <c r="CT12" s="169"/>
      <c r="CU12" s="169"/>
      <c r="CV12" s="1749"/>
      <c r="CW12" s="169"/>
      <c r="CX12" s="169"/>
      <c r="CY12" s="1749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</row>
    <row r="13" spans="1:183" s="21" customFormat="1">
      <c r="A13" s="102">
        <v>5</v>
      </c>
      <c r="B13" s="82" t="s">
        <v>99</v>
      </c>
      <c r="C13" s="82">
        <f>'[2]ALL-Reformatted'!AC10</f>
        <v>6451</v>
      </c>
      <c r="D13" s="19">
        <f>'[3]All-Reformatted'!AC10</f>
        <v>5219</v>
      </c>
      <c r="E13" s="19">
        <f t="shared" si="17"/>
        <v>1148</v>
      </c>
      <c r="F13" s="19">
        <f>'[4]MS5627_CTE -Reformatted'!AC11</f>
        <v>2293</v>
      </c>
      <c r="G13" s="19">
        <f t="shared" si="18"/>
        <v>138</v>
      </c>
      <c r="H13" s="792">
        <f>'[5]Rollup_Level1 Formatted 2'!Y10</f>
        <v>103</v>
      </c>
      <c r="I13" s="19">
        <f t="shared" si="19"/>
        <v>41</v>
      </c>
      <c r="J13" s="19">
        <f>'[5]Rollup_Level2 Formatted 2'!AB10</f>
        <v>386</v>
      </c>
      <c r="K13" s="19">
        <f t="shared" si="20"/>
        <v>212</v>
      </c>
      <c r="L13" s="19">
        <f>'[5]Rollup_Level3 Formatted 2'!T10</f>
        <v>98</v>
      </c>
      <c r="M13" s="19">
        <f t="shared" si="21"/>
        <v>78</v>
      </c>
      <c r="N13" s="19">
        <f>'[6]Rollup_Level1-REFORMATTED (2)'!P9</f>
        <v>81</v>
      </c>
      <c r="O13" s="19">
        <f t="shared" si="22"/>
        <v>28</v>
      </c>
      <c r="P13" s="19">
        <f>'[6]Rollup_Level2_REFORMATTED (2)'!V9</f>
        <v>100</v>
      </c>
      <c r="Q13" s="19">
        <f t="shared" si="23"/>
        <v>55</v>
      </c>
      <c r="R13" s="19">
        <f>'[6]Rollup_Level3 FORMATTED (2)'!Y9</f>
        <v>263</v>
      </c>
      <c r="S13" s="19">
        <f t="shared" si="24"/>
        <v>184</v>
      </c>
      <c r="T13" s="19">
        <f>[7]Exceeds!AJ10</f>
        <v>17</v>
      </c>
      <c r="U13" s="19">
        <f t="shared" si="25"/>
        <v>23</v>
      </c>
      <c r="V13" s="19">
        <f>'[8]Significantly Exceeds'!V10</f>
        <v>30</v>
      </c>
      <c r="W13" s="19">
        <f t="shared" si="26"/>
        <v>53</v>
      </c>
      <c r="X13" s="19">
        <f>'[9]Roll up'!J10</f>
        <v>8</v>
      </c>
      <c r="Y13" s="19">
        <f t="shared" si="27"/>
        <v>12</v>
      </c>
      <c r="Z13" s="19">
        <f>[10]BeginSchYr2011_ByExcept!P6</f>
        <v>8</v>
      </c>
      <c r="AA13" s="19">
        <f t="shared" si="28"/>
        <v>12</v>
      </c>
      <c r="AB13" s="273">
        <v>-2.8603987292232583E-3</v>
      </c>
      <c r="AC13" s="19">
        <f t="shared" si="48"/>
        <v>587</v>
      </c>
      <c r="AD13" s="19">
        <f t="shared" si="49"/>
        <v>0</v>
      </c>
      <c r="AE13" s="19">
        <f t="shared" si="50"/>
        <v>35</v>
      </c>
      <c r="AF13" s="19">
        <f t="shared" si="51"/>
        <v>0</v>
      </c>
      <c r="AG13" s="19">
        <f t="shared" si="29"/>
        <v>733</v>
      </c>
      <c r="AH13" s="792">
        <f>'[11]Rollup_PS-8th'!R9</f>
        <v>1</v>
      </c>
      <c r="AI13" s="19">
        <f t="shared" si="30"/>
        <v>1</v>
      </c>
      <c r="AJ13" s="19">
        <f>'[11]Rollup_9th-12th'!M9</f>
        <v>4</v>
      </c>
      <c r="AK13" s="19">
        <f t="shared" si="31"/>
        <v>1.2</v>
      </c>
      <c r="AL13" s="19">
        <f>[12]Reformatted!Y10</f>
        <v>68</v>
      </c>
      <c r="AM13" s="19">
        <f t="shared" si="52"/>
        <v>20.399999999999999</v>
      </c>
      <c r="AN13" s="19">
        <f t="shared" si="32"/>
        <v>1049</v>
      </c>
      <c r="AO13" s="66">
        <f t="shared" si="33"/>
        <v>2.7969999999999998E-2</v>
      </c>
      <c r="AP13" s="19">
        <f t="shared" si="34"/>
        <v>180</v>
      </c>
      <c r="AQ13" s="19">
        <f t="shared" si="35"/>
        <v>2221.6000000000004</v>
      </c>
      <c r="AR13" s="13">
        <f t="shared" si="36"/>
        <v>8672.6</v>
      </c>
      <c r="AS13" s="395">
        <f t="shared" si="53"/>
        <v>3855</v>
      </c>
      <c r="AT13" s="395">
        <f t="shared" si="37"/>
        <v>33432873</v>
      </c>
      <c r="AU13" s="395">
        <f>'Table 6 (Local Deduct Calc.)'!J13</f>
        <v>5614990.5</v>
      </c>
      <c r="AV13" s="395">
        <f t="shared" si="54"/>
        <v>5614990.5</v>
      </c>
      <c r="AW13" s="396">
        <f t="shared" si="55"/>
        <v>27817882.5</v>
      </c>
      <c r="AX13" s="397">
        <f t="shared" si="78"/>
        <v>0.83209999999999995</v>
      </c>
      <c r="AY13" s="398">
        <f t="shared" si="56"/>
        <v>0.16789999999999999</v>
      </c>
      <c r="AZ13" s="399">
        <f t="shared" si="38"/>
        <v>870.40621609052857</v>
      </c>
      <c r="BA13" s="395">
        <f>'Table 7 Local Revenue'!AQ12</f>
        <v>8911093.5</v>
      </c>
      <c r="BB13" s="395">
        <f t="shared" si="57"/>
        <v>3296103</v>
      </c>
      <c r="BC13" s="280">
        <f t="shared" si="58"/>
        <v>0</v>
      </c>
      <c r="BD13" s="20">
        <f t="shared" si="59"/>
        <v>11367176.82</v>
      </c>
      <c r="BE13" s="20">
        <f t="shared" si="60"/>
        <v>3296103</v>
      </c>
      <c r="BF13" s="395">
        <f t="shared" si="61"/>
        <v>951874.99316399998</v>
      </c>
      <c r="BG13" s="400">
        <f t="shared" si="62"/>
        <v>2344228.0068359999</v>
      </c>
      <c r="BH13" s="273">
        <f t="shared" si="63"/>
        <v>0.71120000000000005</v>
      </c>
      <c r="BI13" s="400">
        <f t="shared" si="64"/>
        <v>30162110.506836001</v>
      </c>
      <c r="BJ13" s="20">
        <f t="shared" si="39"/>
        <v>4676</v>
      </c>
      <c r="BK13" s="400">
        <f>'Table 4 Level 3'!M10</f>
        <v>873190</v>
      </c>
      <c r="BL13" s="20">
        <f t="shared" si="40"/>
        <v>135.35730894434971</v>
      </c>
      <c r="BM13" s="400">
        <f t="shared" si="65"/>
        <v>31035300.506836001</v>
      </c>
      <c r="BN13" s="20">
        <f t="shared" si="41"/>
        <v>4810.9286167781738</v>
      </c>
      <c r="BO13" s="520">
        <f>'Table 4 Level 3'!P10</f>
        <v>4443882.4270495623</v>
      </c>
      <c r="BP13" s="521">
        <f t="shared" si="42"/>
        <v>688.86721857844714</v>
      </c>
      <c r="BQ13" s="400">
        <f t="shared" si="66"/>
        <v>34605992.933885559</v>
      </c>
      <c r="BR13" s="20">
        <f t="shared" si="43"/>
        <v>5364.4385264122711</v>
      </c>
      <c r="BS13" s="20">
        <f>'[13]Table 3 Levels 1&amp;2'!CE13</f>
        <v>-497585.83264400065</v>
      </c>
      <c r="BT13" s="20">
        <f t="shared" si="67"/>
        <v>-77.133131707332296</v>
      </c>
      <c r="BU13" s="20">
        <f t="shared" si="68"/>
        <v>447827.24937960057</v>
      </c>
      <c r="BV13" s="20">
        <f t="shared" si="44"/>
        <v>69.419818536599067</v>
      </c>
      <c r="BW13" s="760">
        <f t="shared" si="69"/>
        <v>35053820.183265157</v>
      </c>
      <c r="BX13" s="78">
        <f t="shared" si="45"/>
        <v>5433.8583449488697</v>
      </c>
      <c r="BY13" s="273">
        <f t="shared" si="70"/>
        <v>0.79731352222825069</v>
      </c>
      <c r="BZ13" s="401">
        <f t="shared" si="71"/>
        <v>3</v>
      </c>
      <c r="CA13" s="20">
        <f t="shared" si="72"/>
        <v>8911093.5</v>
      </c>
      <c r="CB13" s="20">
        <f t="shared" si="46"/>
        <v>1381.35</v>
      </c>
      <c r="CC13" s="401">
        <f t="shared" si="73"/>
        <v>69</v>
      </c>
      <c r="CD13" s="273">
        <f t="shared" si="74"/>
        <v>0.20268647777174931</v>
      </c>
      <c r="CE13" s="401">
        <f t="shared" si="75"/>
        <v>43964913.683265157</v>
      </c>
      <c r="CF13" s="402">
        <f t="shared" si="47"/>
        <v>6815.2090657673471</v>
      </c>
      <c r="CG13" s="401">
        <f t="shared" si="76"/>
        <v>69</v>
      </c>
      <c r="CH13" s="1341">
        <v>34501205.989194468</v>
      </c>
      <c r="CI13" s="280">
        <f t="shared" si="77"/>
        <v>552614.19407068938</v>
      </c>
      <c r="CJ13" s="1747"/>
      <c r="CK13" s="350"/>
      <c r="CL13" s="350"/>
      <c r="CM13" s="350"/>
      <c r="CN13" s="350"/>
      <c r="CO13" s="350"/>
      <c r="CP13" s="350"/>
      <c r="CQ13" s="350"/>
      <c r="CR13" s="350"/>
      <c r="CS13" s="350"/>
      <c r="CT13" s="169"/>
      <c r="CU13" s="169"/>
      <c r="CV13" s="1749"/>
      <c r="CW13" s="169"/>
      <c r="CX13" s="169"/>
      <c r="CY13" s="1749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</row>
    <row r="14" spans="1:183" s="5" customFormat="1">
      <c r="A14" s="101">
        <v>6</v>
      </c>
      <c r="B14" s="81" t="s">
        <v>100</v>
      </c>
      <c r="C14" s="81">
        <f>'[2]ALL-Reformatted'!AC11</f>
        <v>6064</v>
      </c>
      <c r="D14" s="81">
        <f>'[3]All-Reformatted'!AC11</f>
        <v>3286</v>
      </c>
      <c r="E14" s="81">
        <f t="shared" si="17"/>
        <v>723</v>
      </c>
      <c r="F14" s="81">
        <f>'[4]MS5627_CTE -Reformatted'!AC12</f>
        <v>1850.5</v>
      </c>
      <c r="G14" s="81">
        <f t="shared" si="18"/>
        <v>111</v>
      </c>
      <c r="H14" s="607">
        <f>'[5]Rollup_Level1 Formatted 2'!Y11</f>
        <v>50</v>
      </c>
      <c r="I14" s="81">
        <f t="shared" si="19"/>
        <v>20</v>
      </c>
      <c r="J14" s="81">
        <f>'[5]Rollup_Level2 Formatted 2'!AB11</f>
        <v>762</v>
      </c>
      <c r="K14" s="81">
        <f t="shared" si="20"/>
        <v>419</v>
      </c>
      <c r="L14" s="81">
        <f>'[5]Rollup_Level3 Formatted 2'!T11</f>
        <v>125</v>
      </c>
      <c r="M14" s="81">
        <f t="shared" si="21"/>
        <v>100</v>
      </c>
      <c r="N14" s="81">
        <f>'[6]Rollup_Level1-REFORMATTED (2)'!P10</f>
        <v>72</v>
      </c>
      <c r="O14" s="81">
        <f t="shared" si="22"/>
        <v>25</v>
      </c>
      <c r="P14" s="81">
        <f>'[6]Rollup_Level2_REFORMATTED (2)'!V10</f>
        <v>193</v>
      </c>
      <c r="Q14" s="81">
        <f t="shared" si="23"/>
        <v>106</v>
      </c>
      <c r="R14" s="81">
        <f>'[6]Rollup_Level3 FORMATTED (2)'!Y10</f>
        <v>611</v>
      </c>
      <c r="S14" s="81">
        <f t="shared" si="24"/>
        <v>428</v>
      </c>
      <c r="T14" s="81">
        <f>[7]Exceeds!AJ11</f>
        <v>60</v>
      </c>
      <c r="U14" s="81">
        <f t="shared" si="25"/>
        <v>81</v>
      </c>
      <c r="V14" s="81">
        <f>'[8]Significantly Exceeds'!V11</f>
        <v>103</v>
      </c>
      <c r="W14" s="81">
        <f t="shared" si="26"/>
        <v>180</v>
      </c>
      <c r="X14" s="81">
        <f>'[9]Roll up'!J11</f>
        <v>28</v>
      </c>
      <c r="Y14" s="81">
        <f t="shared" si="27"/>
        <v>42</v>
      </c>
      <c r="Z14" s="81">
        <f>[10]BeginSchYr2011_ByExcept!P7</f>
        <v>4</v>
      </c>
      <c r="AA14" s="81">
        <f t="shared" si="28"/>
        <v>6</v>
      </c>
      <c r="AB14" s="1363">
        <v>1.4682321706490899E-2</v>
      </c>
      <c r="AC14" s="158">
        <f t="shared" si="48"/>
        <v>937</v>
      </c>
      <c r="AD14" s="158">
        <f t="shared" si="49"/>
        <v>0</v>
      </c>
      <c r="AE14" s="1368">
        <f t="shared" si="50"/>
        <v>0</v>
      </c>
      <c r="AF14" s="81">
        <f t="shared" si="51"/>
        <v>0</v>
      </c>
      <c r="AG14" s="81">
        <f t="shared" si="29"/>
        <v>1407</v>
      </c>
      <c r="AH14" s="607">
        <f>'[11]Rollup_PS-8th'!R10</f>
        <v>67</v>
      </c>
      <c r="AI14" s="13">
        <f t="shared" si="30"/>
        <v>40</v>
      </c>
      <c r="AJ14" s="13">
        <f>'[11]Rollup_9th-12th'!M10</f>
        <v>9</v>
      </c>
      <c r="AK14" s="13">
        <f t="shared" si="31"/>
        <v>2.6999999999999997</v>
      </c>
      <c r="AL14" s="13">
        <f>[12]Reformatted!Y11</f>
        <v>120</v>
      </c>
      <c r="AM14" s="13">
        <f t="shared" si="52"/>
        <v>36</v>
      </c>
      <c r="AN14" s="13">
        <f t="shared" si="32"/>
        <v>1436</v>
      </c>
      <c r="AO14" s="65">
        <f t="shared" si="33"/>
        <v>3.8289999999999998E-2</v>
      </c>
      <c r="AP14" s="13">
        <f t="shared" si="34"/>
        <v>232</v>
      </c>
      <c r="AQ14" s="13">
        <f t="shared" si="35"/>
        <v>2551.6999999999998</v>
      </c>
      <c r="AR14" s="36">
        <f t="shared" si="36"/>
        <v>8615.7000000000007</v>
      </c>
      <c r="AS14" s="388">
        <f t="shared" si="53"/>
        <v>3855</v>
      </c>
      <c r="AT14" s="388">
        <f t="shared" si="37"/>
        <v>33213524</v>
      </c>
      <c r="AU14" s="388">
        <f>'Table 6 (Local Deduct Calc.)'!J14</f>
        <v>7930912.5</v>
      </c>
      <c r="AV14" s="388">
        <f t="shared" si="54"/>
        <v>7930912.5</v>
      </c>
      <c r="AW14" s="389">
        <f t="shared" si="55"/>
        <v>25282611.5</v>
      </c>
      <c r="AX14" s="390">
        <f t="shared" si="78"/>
        <v>0.76119999999999999</v>
      </c>
      <c r="AY14" s="390">
        <f t="shared" si="56"/>
        <v>0.23880000000000001</v>
      </c>
      <c r="AZ14" s="391">
        <f t="shared" si="38"/>
        <v>1307.8681563324537</v>
      </c>
      <c r="BA14" s="388">
        <f>'Table 7 Local Revenue'!AQ13</f>
        <v>22299544.5</v>
      </c>
      <c r="BB14" s="388">
        <f t="shared" si="57"/>
        <v>14368632</v>
      </c>
      <c r="BC14" s="279">
        <f t="shared" si="58"/>
        <v>0</v>
      </c>
      <c r="BD14" s="14">
        <f t="shared" si="59"/>
        <v>11292598.16</v>
      </c>
      <c r="BE14" s="14">
        <f t="shared" si="60"/>
        <v>11292598.16</v>
      </c>
      <c r="BF14" s="388">
        <f t="shared" si="61"/>
        <v>4638276.5978457602</v>
      </c>
      <c r="BG14" s="392">
        <f t="shared" si="62"/>
        <v>6654321.56215424</v>
      </c>
      <c r="BH14" s="16">
        <f t="shared" si="63"/>
        <v>0.58930000000000005</v>
      </c>
      <c r="BI14" s="392">
        <f t="shared" si="64"/>
        <v>31936933.062154241</v>
      </c>
      <c r="BJ14" s="14">
        <f t="shared" si="39"/>
        <v>5267</v>
      </c>
      <c r="BK14" s="392">
        <f>'Table 4 Level 3'!M11</f>
        <v>820806</v>
      </c>
      <c r="BL14" s="14">
        <f t="shared" si="40"/>
        <v>135.35718997361477</v>
      </c>
      <c r="BM14" s="392">
        <f t="shared" si="65"/>
        <v>32757739.062154241</v>
      </c>
      <c r="BN14" s="14">
        <f t="shared" si="41"/>
        <v>5402.0018242338783</v>
      </c>
      <c r="BO14" s="518">
        <f>'Table 4 Level 3'!P11</f>
        <v>4126469.3479999993</v>
      </c>
      <c r="BP14" s="519">
        <f t="shared" si="42"/>
        <v>680.48637005277033</v>
      </c>
      <c r="BQ14" s="392">
        <f t="shared" si="66"/>
        <v>36063402.410154238</v>
      </c>
      <c r="BR14" s="14">
        <f t="shared" si="43"/>
        <v>5947.1310043130343</v>
      </c>
      <c r="BS14" s="1594">
        <f>'[13]Table 3 Levels 1&amp;2'!CE14</f>
        <v>149752.85429783911</v>
      </c>
      <c r="BT14" s="1594">
        <f t="shared" si="67"/>
        <v>24.695391539881118</v>
      </c>
      <c r="BU14" s="1594">
        <f t="shared" si="68"/>
        <v>-134777.56886805521</v>
      </c>
      <c r="BV14" s="1594">
        <f t="shared" si="44"/>
        <v>-22.22585238589301</v>
      </c>
      <c r="BW14" s="1600">
        <f t="shared" si="69"/>
        <v>35928624.841286182</v>
      </c>
      <c r="BX14" s="1602">
        <f t="shared" si="45"/>
        <v>5924.9051519271407</v>
      </c>
      <c r="BY14" s="16">
        <f t="shared" si="70"/>
        <v>0.65144576025434786</v>
      </c>
      <c r="BZ14" s="393">
        <f t="shared" si="71"/>
        <v>33</v>
      </c>
      <c r="CA14" s="14">
        <f t="shared" si="72"/>
        <v>19223510.66</v>
      </c>
      <c r="CB14" s="14">
        <f t="shared" si="46"/>
        <v>3170.1</v>
      </c>
      <c r="CC14" s="393">
        <f t="shared" si="73"/>
        <v>37</v>
      </c>
      <c r="CD14" s="16">
        <f t="shared" si="74"/>
        <v>0.34855423974565225</v>
      </c>
      <c r="CE14" s="393">
        <f t="shared" si="75"/>
        <v>55152135.501286179</v>
      </c>
      <c r="CF14" s="394">
        <f t="shared" si="47"/>
        <v>9095.0091525867701</v>
      </c>
      <c r="CG14" s="393">
        <f t="shared" si="76"/>
        <v>21</v>
      </c>
      <c r="CH14" s="1340">
        <v>36755881.3706204</v>
      </c>
      <c r="CI14" s="279">
        <f t="shared" si="77"/>
        <v>-827256.52933421731</v>
      </c>
      <c r="CJ14" s="1750"/>
      <c r="CK14" s="350"/>
      <c r="CL14" s="350"/>
      <c r="CM14" s="350"/>
      <c r="CN14" s="350"/>
      <c r="CO14" s="350"/>
      <c r="CP14" s="350"/>
      <c r="CQ14" s="350"/>
      <c r="CR14" s="350"/>
      <c r="CS14" s="350"/>
      <c r="CT14" s="169"/>
      <c r="CU14" s="169"/>
      <c r="CV14" s="1749"/>
      <c r="CW14" s="169"/>
      <c r="CX14" s="169"/>
      <c r="CY14" s="1749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</row>
    <row r="15" spans="1:183" s="5" customFormat="1">
      <c r="A15" s="101">
        <v>7</v>
      </c>
      <c r="B15" s="81" t="s">
        <v>101</v>
      </c>
      <c r="C15" s="81">
        <f>'[2]ALL-Reformatted'!AC12</f>
        <v>2211</v>
      </c>
      <c r="D15" s="81">
        <f>'[3]All-Reformatted'!AC12</f>
        <v>1559</v>
      </c>
      <c r="E15" s="81">
        <f t="shared" si="17"/>
        <v>343</v>
      </c>
      <c r="F15" s="81">
        <f>'[4]MS5627_CTE -Reformatted'!AC13</f>
        <v>751.5</v>
      </c>
      <c r="G15" s="81">
        <f t="shared" si="18"/>
        <v>45</v>
      </c>
      <c r="H15" s="607">
        <f>'[5]Rollup_Level1 Formatted 2'!Y12</f>
        <v>44</v>
      </c>
      <c r="I15" s="81">
        <f t="shared" si="19"/>
        <v>18</v>
      </c>
      <c r="J15" s="81">
        <f>'[5]Rollup_Level2 Formatted 2'!AB12</f>
        <v>144</v>
      </c>
      <c r="K15" s="81">
        <f t="shared" si="20"/>
        <v>79</v>
      </c>
      <c r="L15" s="81">
        <f>'[5]Rollup_Level3 Formatted 2'!T12</f>
        <v>25</v>
      </c>
      <c r="M15" s="81">
        <f t="shared" si="21"/>
        <v>20</v>
      </c>
      <c r="N15" s="81">
        <f>'[6]Rollup_Level1-REFORMATTED (2)'!P11</f>
        <v>23</v>
      </c>
      <c r="O15" s="81">
        <f t="shared" si="22"/>
        <v>8</v>
      </c>
      <c r="P15" s="81">
        <f>'[6]Rollup_Level2_REFORMATTED (2)'!V11</f>
        <v>32</v>
      </c>
      <c r="Q15" s="81">
        <f t="shared" si="23"/>
        <v>18</v>
      </c>
      <c r="R15" s="81">
        <f>'[6]Rollup_Level3 FORMATTED (2)'!Y11</f>
        <v>88</v>
      </c>
      <c r="S15" s="81">
        <f t="shared" si="24"/>
        <v>62</v>
      </c>
      <c r="T15" s="81">
        <f>[7]Exceeds!AJ12</f>
        <v>10</v>
      </c>
      <c r="U15" s="81">
        <f t="shared" si="25"/>
        <v>14</v>
      </c>
      <c r="V15" s="81">
        <f>'[8]Significantly Exceeds'!V12</f>
        <v>28</v>
      </c>
      <c r="W15" s="81">
        <f t="shared" si="26"/>
        <v>49</v>
      </c>
      <c r="X15" s="81">
        <f>'[9]Roll up'!J12</f>
        <v>8</v>
      </c>
      <c r="Y15" s="81">
        <f t="shared" si="27"/>
        <v>12</v>
      </c>
      <c r="Z15" s="81">
        <f>[10]BeginSchYr2011_ByExcept!P8</f>
        <v>2</v>
      </c>
      <c r="AA15" s="81">
        <f t="shared" si="28"/>
        <v>3</v>
      </c>
      <c r="AB15" s="129">
        <v>-3.2707077868368191E-2</v>
      </c>
      <c r="AC15" s="81">
        <f t="shared" si="48"/>
        <v>213</v>
      </c>
      <c r="AD15" s="81">
        <f t="shared" si="49"/>
        <v>26</v>
      </c>
      <c r="AE15" s="81">
        <f t="shared" si="50"/>
        <v>0</v>
      </c>
      <c r="AF15" s="81">
        <f t="shared" si="51"/>
        <v>0</v>
      </c>
      <c r="AG15" s="81">
        <f t="shared" si="29"/>
        <v>309</v>
      </c>
      <c r="AH15" s="607">
        <f>'[11]Rollup_PS-8th'!R11</f>
        <v>13</v>
      </c>
      <c r="AI15" s="13">
        <f t="shared" si="30"/>
        <v>8</v>
      </c>
      <c r="AJ15" s="13">
        <f>'[11]Rollup_9th-12th'!M11</f>
        <v>18</v>
      </c>
      <c r="AK15" s="13">
        <f t="shared" si="31"/>
        <v>5.3999999999999995</v>
      </c>
      <c r="AL15" s="13">
        <f>[12]Reformatted!Y12</f>
        <v>10</v>
      </c>
      <c r="AM15" s="13">
        <f t="shared" si="52"/>
        <v>3</v>
      </c>
      <c r="AN15" s="13">
        <f t="shared" si="32"/>
        <v>5289</v>
      </c>
      <c r="AO15" s="65">
        <f t="shared" si="33"/>
        <v>0.14104</v>
      </c>
      <c r="AP15" s="13">
        <f t="shared" si="34"/>
        <v>312</v>
      </c>
      <c r="AQ15" s="13">
        <f t="shared" si="35"/>
        <v>1025.4000000000001</v>
      </c>
      <c r="AR15" s="13">
        <f t="shared" si="36"/>
        <v>3236.4</v>
      </c>
      <c r="AS15" s="388">
        <f t="shared" si="53"/>
        <v>3855</v>
      </c>
      <c r="AT15" s="388">
        <f t="shared" si="37"/>
        <v>12476322</v>
      </c>
      <c r="AU15" s="388">
        <f>'Table 6 (Local Deduct Calc.)'!J15</f>
        <v>9021887.5</v>
      </c>
      <c r="AV15" s="388">
        <f t="shared" si="54"/>
        <v>9021887.5</v>
      </c>
      <c r="AW15" s="389">
        <f t="shared" si="55"/>
        <v>3454434.5</v>
      </c>
      <c r="AX15" s="390">
        <f t="shared" si="78"/>
        <v>0.27689999999999998</v>
      </c>
      <c r="AY15" s="390">
        <f t="shared" si="56"/>
        <v>0.72309999999999997</v>
      </c>
      <c r="AZ15" s="391">
        <f t="shared" si="38"/>
        <v>4080.4556761646313</v>
      </c>
      <c r="BA15" s="388">
        <f>'Table 7 Local Revenue'!AQ14</f>
        <v>28690249.5</v>
      </c>
      <c r="BB15" s="388">
        <f t="shared" si="57"/>
        <v>19668362</v>
      </c>
      <c r="BC15" s="279">
        <f t="shared" si="58"/>
        <v>0</v>
      </c>
      <c r="BD15" s="14">
        <f t="shared" si="59"/>
        <v>4241949.4800000004</v>
      </c>
      <c r="BE15" s="14">
        <f t="shared" si="60"/>
        <v>4241949.4800000004</v>
      </c>
      <c r="BF15" s="388">
        <f t="shared" si="61"/>
        <v>5275848.3106593601</v>
      </c>
      <c r="BG15" s="392">
        <f t="shared" si="62"/>
        <v>0</v>
      </c>
      <c r="BH15" s="16">
        <f t="shared" si="63"/>
        <v>0</v>
      </c>
      <c r="BI15" s="392">
        <f t="shared" si="64"/>
        <v>3454434.5</v>
      </c>
      <c r="BJ15" s="14">
        <f t="shared" si="39"/>
        <v>1562</v>
      </c>
      <c r="BK15" s="392">
        <f>'Table 4 Level 3'!M12</f>
        <v>299275</v>
      </c>
      <c r="BL15" s="14">
        <f t="shared" si="40"/>
        <v>135.35730438715512</v>
      </c>
      <c r="BM15" s="392">
        <f t="shared" si="65"/>
        <v>3753709.5</v>
      </c>
      <c r="BN15" s="14">
        <f t="shared" si="41"/>
        <v>1697.7428765264585</v>
      </c>
      <c r="BO15" s="518">
        <f>'Table 4 Level 3'!P12</f>
        <v>1971916.8159999996</v>
      </c>
      <c r="BP15" s="519">
        <f t="shared" si="42"/>
        <v>891.8664929895973</v>
      </c>
      <c r="BQ15" s="392">
        <f t="shared" si="66"/>
        <v>5426351.3159999996</v>
      </c>
      <c r="BR15" s="14">
        <f t="shared" si="43"/>
        <v>2454.252065128901</v>
      </c>
      <c r="BS15" s="1594">
        <f>'[13]Table 3 Levels 1&amp;2'!CE15</f>
        <v>-963.75</v>
      </c>
      <c r="BT15" s="1594">
        <f t="shared" si="67"/>
        <v>-0.43588873812754408</v>
      </c>
      <c r="BU15" s="1594">
        <f t="shared" si="68"/>
        <v>867.375</v>
      </c>
      <c r="BV15" s="1594">
        <f t="shared" si="44"/>
        <v>0.39229986431478969</v>
      </c>
      <c r="BW15" s="1600">
        <f t="shared" si="69"/>
        <v>5427218.6909999996</v>
      </c>
      <c r="BX15" s="1602">
        <f t="shared" si="45"/>
        <v>2454.6443649932157</v>
      </c>
      <c r="BY15" s="16">
        <f t="shared" si="70"/>
        <v>0.29036448162853473</v>
      </c>
      <c r="BZ15" s="393">
        <f t="shared" si="71"/>
        <v>67</v>
      </c>
      <c r="CA15" s="14">
        <f t="shared" si="72"/>
        <v>13263836.98</v>
      </c>
      <c r="CB15" s="14">
        <f t="shared" si="46"/>
        <v>5999.02</v>
      </c>
      <c r="CC15" s="393">
        <f t="shared" si="73"/>
        <v>4</v>
      </c>
      <c r="CD15" s="16">
        <f t="shared" si="74"/>
        <v>0.70963551837146521</v>
      </c>
      <c r="CE15" s="393">
        <f t="shared" si="75"/>
        <v>18691055.671</v>
      </c>
      <c r="CF15" s="394">
        <f t="shared" si="47"/>
        <v>8453.6660655811847</v>
      </c>
      <c r="CG15" s="393">
        <f t="shared" si="76"/>
        <v>49</v>
      </c>
      <c r="CH15" s="1340">
        <v>5101656.9479999999</v>
      </c>
      <c r="CI15" s="279">
        <f t="shared" si="77"/>
        <v>325561.74299999978</v>
      </c>
      <c r="CJ15" s="1747"/>
      <c r="CK15" s="350"/>
      <c r="CL15" s="350"/>
      <c r="CM15" s="350"/>
      <c r="CN15" s="350"/>
      <c r="CO15" s="350"/>
      <c r="CP15" s="350"/>
      <c r="CQ15" s="350"/>
      <c r="CR15" s="350"/>
      <c r="CS15" s="350"/>
      <c r="CT15" s="169"/>
      <c r="CU15" s="169"/>
      <c r="CV15" s="1749"/>
      <c r="CW15" s="169"/>
      <c r="CX15" s="169"/>
      <c r="CY15" s="1749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</row>
    <row r="16" spans="1:183" s="5" customFormat="1">
      <c r="A16" s="101">
        <v>8</v>
      </c>
      <c r="B16" s="81" t="s">
        <v>102</v>
      </c>
      <c r="C16" s="81">
        <f>'[2]ALL-Reformatted'!AC13</f>
        <v>21213</v>
      </c>
      <c r="D16" s="81">
        <f>'[3]All-Reformatted'!AC13</f>
        <v>9905</v>
      </c>
      <c r="E16" s="81">
        <f t="shared" si="17"/>
        <v>2179</v>
      </c>
      <c r="F16" s="81">
        <f>'[4]MS5627_CTE -Reformatted'!AC14</f>
        <v>6695</v>
      </c>
      <c r="G16" s="81">
        <f t="shared" si="18"/>
        <v>402</v>
      </c>
      <c r="H16" s="607">
        <f>'[5]Rollup_Level1 Formatted 2'!Y13</f>
        <v>307</v>
      </c>
      <c r="I16" s="81">
        <f t="shared" si="19"/>
        <v>123</v>
      </c>
      <c r="J16" s="81">
        <f>'[5]Rollup_Level2 Formatted 2'!AB13</f>
        <v>1830</v>
      </c>
      <c r="K16" s="81">
        <f t="shared" si="20"/>
        <v>1007</v>
      </c>
      <c r="L16" s="81">
        <f>'[5]Rollup_Level3 Formatted 2'!T13</f>
        <v>337</v>
      </c>
      <c r="M16" s="81">
        <f t="shared" si="21"/>
        <v>270</v>
      </c>
      <c r="N16" s="81">
        <f>'[6]Rollup_Level1-REFORMATTED (2)'!P12</f>
        <v>245</v>
      </c>
      <c r="O16" s="81">
        <f t="shared" si="22"/>
        <v>86</v>
      </c>
      <c r="P16" s="81">
        <f>'[6]Rollup_Level2_REFORMATTED (2)'!V12</f>
        <v>758</v>
      </c>
      <c r="Q16" s="81">
        <f t="shared" si="23"/>
        <v>417</v>
      </c>
      <c r="R16" s="81">
        <f>'[6]Rollup_Level3 FORMATTED (2)'!Y12</f>
        <v>1002</v>
      </c>
      <c r="S16" s="81">
        <f t="shared" si="24"/>
        <v>701</v>
      </c>
      <c r="T16" s="81">
        <f>[7]Exceeds!AJ13</f>
        <v>180</v>
      </c>
      <c r="U16" s="81">
        <f t="shared" si="25"/>
        <v>243</v>
      </c>
      <c r="V16" s="81">
        <f>'[8]Significantly Exceeds'!V13</f>
        <v>539</v>
      </c>
      <c r="W16" s="81">
        <f t="shared" si="26"/>
        <v>943</v>
      </c>
      <c r="X16" s="81">
        <f>'[9]Roll up'!J13</f>
        <v>24</v>
      </c>
      <c r="Y16" s="81">
        <f t="shared" si="27"/>
        <v>36</v>
      </c>
      <c r="Z16" s="81">
        <f>[10]BeginSchYr2011_ByExcept!P9</f>
        <v>12</v>
      </c>
      <c r="AA16" s="81">
        <f t="shared" si="28"/>
        <v>18</v>
      </c>
      <c r="AB16" s="129">
        <v>-6.6987649152187578E-3</v>
      </c>
      <c r="AC16" s="81">
        <f t="shared" si="48"/>
        <v>2474</v>
      </c>
      <c r="AD16" s="81">
        <f t="shared" si="49"/>
        <v>0</v>
      </c>
      <c r="AE16" s="81">
        <f t="shared" si="50"/>
        <v>148</v>
      </c>
      <c r="AF16" s="81">
        <f t="shared" si="51"/>
        <v>0</v>
      </c>
      <c r="AG16" s="81">
        <f t="shared" si="29"/>
        <v>3992</v>
      </c>
      <c r="AH16" s="607">
        <f>'[11]Rollup_PS-8th'!R12</f>
        <v>630</v>
      </c>
      <c r="AI16" s="13">
        <f t="shared" si="30"/>
        <v>378</v>
      </c>
      <c r="AJ16" s="13">
        <f>'[11]Rollup_9th-12th'!M12</f>
        <v>333</v>
      </c>
      <c r="AK16" s="13">
        <f t="shared" si="31"/>
        <v>99.899999999999991</v>
      </c>
      <c r="AL16" s="13">
        <f>[12]Reformatted!Y13</f>
        <v>264</v>
      </c>
      <c r="AM16" s="13">
        <f t="shared" si="52"/>
        <v>79.2</v>
      </c>
      <c r="AN16" s="13">
        <f t="shared" si="32"/>
        <v>0</v>
      </c>
      <c r="AO16" s="65">
        <f t="shared" si="33"/>
        <v>0</v>
      </c>
      <c r="AP16" s="13">
        <f t="shared" si="34"/>
        <v>0</v>
      </c>
      <c r="AQ16" s="13">
        <f t="shared" si="35"/>
        <v>7130.0999999999995</v>
      </c>
      <c r="AR16" s="13">
        <f t="shared" si="36"/>
        <v>28343.1</v>
      </c>
      <c r="AS16" s="388">
        <f t="shared" si="53"/>
        <v>3855</v>
      </c>
      <c r="AT16" s="388">
        <f t="shared" si="37"/>
        <v>109262651</v>
      </c>
      <c r="AU16" s="388">
        <f>'Table 6 (Local Deduct Calc.)'!J16</f>
        <v>36613411</v>
      </c>
      <c r="AV16" s="388">
        <f t="shared" si="54"/>
        <v>36613411</v>
      </c>
      <c r="AW16" s="389">
        <f t="shared" si="55"/>
        <v>72649240</v>
      </c>
      <c r="AX16" s="390">
        <f t="shared" si="78"/>
        <v>0.66490000000000005</v>
      </c>
      <c r="AY16" s="390">
        <f t="shared" si="56"/>
        <v>0.33510000000000001</v>
      </c>
      <c r="AZ16" s="391">
        <f t="shared" si="38"/>
        <v>1725.989299014755</v>
      </c>
      <c r="BA16" s="388">
        <f>'Table 7 Local Revenue'!AQ15</f>
        <v>90863515</v>
      </c>
      <c r="BB16" s="388">
        <f t="shared" si="57"/>
        <v>54250104</v>
      </c>
      <c r="BC16" s="279">
        <f t="shared" si="58"/>
        <v>0</v>
      </c>
      <c r="BD16" s="14">
        <f t="shared" si="59"/>
        <v>37149301.340000004</v>
      </c>
      <c r="BE16" s="14">
        <f t="shared" si="60"/>
        <v>37149301.340000004</v>
      </c>
      <c r="BF16" s="388">
        <f t="shared" si="61"/>
        <v>21411817.11193848</v>
      </c>
      <c r="BG16" s="392">
        <f t="shared" si="62"/>
        <v>15737484.228061523</v>
      </c>
      <c r="BH16" s="16">
        <f t="shared" si="63"/>
        <v>0.42359999999999998</v>
      </c>
      <c r="BI16" s="392">
        <f t="shared" si="64"/>
        <v>88386724.228061527</v>
      </c>
      <c r="BJ16" s="14">
        <f t="shared" si="39"/>
        <v>4167</v>
      </c>
      <c r="BK16" s="392">
        <f>'Table 4 Level 3'!M13</f>
        <v>2871333</v>
      </c>
      <c r="BL16" s="14">
        <f t="shared" si="40"/>
        <v>135.35723377174375</v>
      </c>
      <c r="BM16" s="392">
        <f t="shared" si="65"/>
        <v>91258057.228061527</v>
      </c>
      <c r="BN16" s="14">
        <f t="shared" si="41"/>
        <v>4301.9873298478069</v>
      </c>
      <c r="BO16" s="518">
        <f>'Table 4 Level 3'!P13</f>
        <v>18261073.799999997</v>
      </c>
      <c r="BP16" s="519">
        <f t="shared" si="42"/>
        <v>860.8435299109035</v>
      </c>
      <c r="BQ16" s="392">
        <f t="shared" si="66"/>
        <v>106647798.02806152</v>
      </c>
      <c r="BR16" s="14">
        <f t="shared" si="43"/>
        <v>5027.4736259869669</v>
      </c>
      <c r="BS16" s="1594">
        <f>'[13]Table 3 Levels 1&amp;2'!CE16</f>
        <v>1464390.8483781815</v>
      </c>
      <c r="BT16" s="1594">
        <f t="shared" si="67"/>
        <v>69.032708639899184</v>
      </c>
      <c r="BU16" s="1594">
        <f t="shared" si="68"/>
        <v>-1317951.7635403634</v>
      </c>
      <c r="BV16" s="1594">
        <f t="shared" si="44"/>
        <v>-62.129437775909274</v>
      </c>
      <c r="BW16" s="1600">
        <f t="shared" si="69"/>
        <v>105329846.26452117</v>
      </c>
      <c r="BX16" s="1602">
        <f t="shared" si="45"/>
        <v>4965.3441882110574</v>
      </c>
      <c r="BY16" s="16">
        <f t="shared" si="70"/>
        <v>0.58813078044808353</v>
      </c>
      <c r="BZ16" s="393">
        <f t="shared" si="71"/>
        <v>44</v>
      </c>
      <c r="CA16" s="14">
        <f t="shared" si="72"/>
        <v>73762712.340000004</v>
      </c>
      <c r="CB16" s="14">
        <f t="shared" si="46"/>
        <v>3477.24</v>
      </c>
      <c r="CC16" s="393">
        <f t="shared" si="73"/>
        <v>30</v>
      </c>
      <c r="CD16" s="16">
        <f t="shared" si="74"/>
        <v>0.41186921955191652</v>
      </c>
      <c r="CE16" s="393">
        <f t="shared" si="75"/>
        <v>179092558.60452116</v>
      </c>
      <c r="CF16" s="394">
        <f t="shared" si="47"/>
        <v>8442.585141400139</v>
      </c>
      <c r="CG16" s="393">
        <f t="shared" si="76"/>
        <v>50</v>
      </c>
      <c r="CH16" s="1340">
        <v>98935116.1643444</v>
      </c>
      <c r="CI16" s="279">
        <f t="shared" si="77"/>
        <v>6394730.1001767665</v>
      </c>
      <c r="CJ16" s="1750"/>
      <c r="CK16" s="350"/>
      <c r="CL16" s="350"/>
      <c r="CM16" s="350"/>
      <c r="CN16" s="350"/>
      <c r="CO16" s="350"/>
      <c r="CP16" s="350"/>
      <c r="CQ16" s="350"/>
      <c r="CR16" s="350"/>
      <c r="CS16" s="350"/>
      <c r="CT16" s="169"/>
      <c r="CU16" s="169"/>
      <c r="CV16" s="1749"/>
      <c r="CW16" s="169"/>
      <c r="CX16" s="169"/>
      <c r="CY16" s="1749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</row>
    <row r="17" spans="1:183" s="5" customFormat="1">
      <c r="A17" s="101">
        <v>9</v>
      </c>
      <c r="B17" s="81" t="s">
        <v>103</v>
      </c>
      <c r="C17" s="607">
        <f>'[2]ALL-Reformatted'!AC14</f>
        <v>40999</v>
      </c>
      <c r="D17" s="607">
        <f>'[3]All-Reformatted'!AC14</f>
        <v>27302</v>
      </c>
      <c r="E17" s="607">
        <f t="shared" si="17"/>
        <v>6006</v>
      </c>
      <c r="F17" s="607">
        <f>'[4]MS5627_CTE -Reformatted'!AC15</f>
        <v>11437.5</v>
      </c>
      <c r="G17" s="607">
        <f t="shared" si="18"/>
        <v>686</v>
      </c>
      <c r="H17" s="607">
        <f>'[5]Rollup_Level1 Formatted 2'!Y14</f>
        <v>332</v>
      </c>
      <c r="I17" s="607">
        <f t="shared" si="19"/>
        <v>133</v>
      </c>
      <c r="J17" s="607">
        <f>'[5]Rollup_Level2 Formatted 2'!AB14</f>
        <v>2931</v>
      </c>
      <c r="K17" s="607">
        <f t="shared" si="20"/>
        <v>1612</v>
      </c>
      <c r="L17" s="607">
        <f>'[5]Rollup_Level3 Formatted 2'!T14</f>
        <v>802</v>
      </c>
      <c r="M17" s="607">
        <f t="shared" si="21"/>
        <v>642</v>
      </c>
      <c r="N17" s="607">
        <f>'[6]Rollup_Level1-REFORMATTED (2)'!P13</f>
        <v>1180</v>
      </c>
      <c r="O17" s="607">
        <f t="shared" si="22"/>
        <v>413</v>
      </c>
      <c r="P17" s="607">
        <f>'[6]Rollup_Level2_REFORMATTED (2)'!V13</f>
        <v>789</v>
      </c>
      <c r="Q17" s="607">
        <f t="shared" si="23"/>
        <v>434</v>
      </c>
      <c r="R17" s="607">
        <f>'[6]Rollup_Level3 FORMATTED (2)'!Y13</f>
        <v>1697</v>
      </c>
      <c r="S17" s="607">
        <f t="shared" si="24"/>
        <v>1188</v>
      </c>
      <c r="T17" s="607">
        <f>[7]Exceeds!AJ14</f>
        <v>220</v>
      </c>
      <c r="U17" s="607">
        <f t="shared" si="25"/>
        <v>297</v>
      </c>
      <c r="V17" s="607">
        <f>'[8]Significantly Exceeds'!V14</f>
        <v>717</v>
      </c>
      <c r="W17" s="607">
        <f t="shared" si="26"/>
        <v>1255</v>
      </c>
      <c r="X17" s="607">
        <f>'[9]Roll up'!J14</f>
        <v>99</v>
      </c>
      <c r="Y17" s="607">
        <f t="shared" si="27"/>
        <v>149</v>
      </c>
      <c r="Z17" s="607">
        <f>[10]BeginSchYr2011_ByExcept!P10</f>
        <v>16</v>
      </c>
      <c r="AA17" s="607">
        <f t="shared" si="28"/>
        <v>24</v>
      </c>
      <c r="AB17" s="590">
        <v>1.6740452919542514E-3</v>
      </c>
      <c r="AC17" s="607">
        <f t="shared" si="48"/>
        <v>4065</v>
      </c>
      <c r="AD17" s="607">
        <f t="shared" si="49"/>
        <v>0</v>
      </c>
      <c r="AE17" s="607">
        <f t="shared" si="50"/>
        <v>0</v>
      </c>
      <c r="AF17" s="607">
        <f t="shared" si="51"/>
        <v>122</v>
      </c>
      <c r="AG17" s="607">
        <f t="shared" si="29"/>
        <v>6269</v>
      </c>
      <c r="AH17" s="607">
        <f>'[11]Rollup_PS-8th'!R13</f>
        <v>961</v>
      </c>
      <c r="AI17" s="13">
        <f t="shared" si="30"/>
        <v>577</v>
      </c>
      <c r="AJ17" s="13">
        <f>'[11]Rollup_9th-12th'!M13</f>
        <v>767</v>
      </c>
      <c r="AK17" s="13">
        <f t="shared" si="31"/>
        <v>230.1</v>
      </c>
      <c r="AL17" s="13">
        <f>[12]Reformatted!Y14</f>
        <v>309</v>
      </c>
      <c r="AM17" s="13">
        <f t="shared" si="52"/>
        <v>92.7</v>
      </c>
      <c r="AN17" s="13">
        <f t="shared" si="32"/>
        <v>0</v>
      </c>
      <c r="AO17" s="65">
        <f t="shared" si="33"/>
        <v>0</v>
      </c>
      <c r="AP17" s="13">
        <f t="shared" si="34"/>
        <v>0</v>
      </c>
      <c r="AQ17" s="13">
        <f t="shared" si="35"/>
        <v>13860.800000000001</v>
      </c>
      <c r="AR17" s="13">
        <f t="shared" si="36"/>
        <v>54859.8</v>
      </c>
      <c r="AS17" s="388">
        <f t="shared" si="53"/>
        <v>3855</v>
      </c>
      <c r="AT17" s="388">
        <f t="shared" si="37"/>
        <v>211484529</v>
      </c>
      <c r="AU17" s="388">
        <f>'Table 6 (Local Deduct Calc.)'!J17</f>
        <v>69676600</v>
      </c>
      <c r="AV17" s="388">
        <f t="shared" si="54"/>
        <v>69676600</v>
      </c>
      <c r="AW17" s="389">
        <f t="shared" si="55"/>
        <v>141807929</v>
      </c>
      <c r="AX17" s="390">
        <f t="shared" si="78"/>
        <v>0.67049999999999998</v>
      </c>
      <c r="AY17" s="390">
        <f t="shared" si="56"/>
        <v>0.32950000000000002</v>
      </c>
      <c r="AZ17" s="391">
        <f t="shared" si="38"/>
        <v>1699.4707187980196</v>
      </c>
      <c r="BA17" s="388">
        <f>'Table 7 Local Revenue'!AQ16</f>
        <v>195657015</v>
      </c>
      <c r="BB17" s="388">
        <f t="shared" si="57"/>
        <v>125980415</v>
      </c>
      <c r="BC17" s="279">
        <f t="shared" si="58"/>
        <v>0</v>
      </c>
      <c r="BD17" s="14">
        <f t="shared" si="59"/>
        <v>71904739.859999999</v>
      </c>
      <c r="BE17" s="14">
        <f t="shared" si="60"/>
        <v>71904739.859999999</v>
      </c>
      <c r="BF17" s="388">
        <f t="shared" si="61"/>
        <v>40751292.268256404</v>
      </c>
      <c r="BG17" s="392">
        <f t="shared" si="62"/>
        <v>31153447.591743596</v>
      </c>
      <c r="BH17" s="16">
        <f t="shared" si="63"/>
        <v>0.43330000000000002</v>
      </c>
      <c r="BI17" s="392">
        <f t="shared" si="64"/>
        <v>172961376.59174359</v>
      </c>
      <c r="BJ17" s="14">
        <f t="shared" si="39"/>
        <v>4219</v>
      </c>
      <c r="BK17" s="392">
        <f>'Table 4 Level 3'!M14</f>
        <v>5549512</v>
      </c>
      <c r="BL17" s="14">
        <f t="shared" si="40"/>
        <v>135.35725261591747</v>
      </c>
      <c r="BM17" s="392">
        <f t="shared" si="65"/>
        <v>178510888.59174359</v>
      </c>
      <c r="BN17" s="14">
        <f t="shared" si="41"/>
        <v>4354.0303078549132</v>
      </c>
      <c r="BO17" s="518">
        <f>'Table 4 Level 3'!P14</f>
        <v>36072606.887999997</v>
      </c>
      <c r="BP17" s="519">
        <f t="shared" si="42"/>
        <v>879.84113973511546</v>
      </c>
      <c r="BQ17" s="392">
        <f t="shared" si="66"/>
        <v>209033983.4797436</v>
      </c>
      <c r="BR17" s="14">
        <f t="shared" si="43"/>
        <v>5098.5141949741119</v>
      </c>
      <c r="BS17" s="1594">
        <f>'[13]Table 3 Levels 1&amp;2'!CE17</f>
        <v>-330041.02444249392</v>
      </c>
      <c r="BT17" s="1594">
        <f t="shared" si="67"/>
        <v>-8.0499774248760687</v>
      </c>
      <c r="BU17" s="1594">
        <f t="shared" si="68"/>
        <v>297036.92199824454</v>
      </c>
      <c r="BV17" s="1594">
        <f t="shared" si="44"/>
        <v>7.2449796823884611</v>
      </c>
      <c r="BW17" s="1600">
        <f t="shared" si="69"/>
        <v>209331020.40174183</v>
      </c>
      <c r="BX17" s="1602">
        <f t="shared" si="45"/>
        <v>5105.7591746564995</v>
      </c>
      <c r="BY17" s="16">
        <f t="shared" si="70"/>
        <v>0.59653361952142125</v>
      </c>
      <c r="BZ17" s="393">
        <f t="shared" si="71"/>
        <v>43</v>
      </c>
      <c r="CA17" s="14">
        <f t="shared" si="72"/>
        <v>141581339.86000001</v>
      </c>
      <c r="CB17" s="14">
        <f t="shared" si="46"/>
        <v>3453.29</v>
      </c>
      <c r="CC17" s="393">
        <f t="shared" si="73"/>
        <v>31</v>
      </c>
      <c r="CD17" s="16">
        <f t="shared" si="74"/>
        <v>0.40346638047857863</v>
      </c>
      <c r="CE17" s="393">
        <f t="shared" si="75"/>
        <v>350912360.26174188</v>
      </c>
      <c r="CF17" s="394">
        <f t="shared" si="47"/>
        <v>8559.0468124037634</v>
      </c>
      <c r="CG17" s="393">
        <f t="shared" si="76"/>
        <v>44</v>
      </c>
      <c r="CH17" s="1340">
        <v>207752402.7456744</v>
      </c>
      <c r="CI17" s="279">
        <f t="shared" si="77"/>
        <v>1578617.656067431</v>
      </c>
      <c r="CJ17" s="1750"/>
      <c r="CK17" s="350"/>
      <c r="CL17" s="350"/>
      <c r="CM17" s="350"/>
      <c r="CN17" s="350"/>
      <c r="CO17" s="350"/>
      <c r="CP17" s="350"/>
      <c r="CQ17" s="350"/>
      <c r="CR17" s="350"/>
      <c r="CS17" s="350"/>
      <c r="CT17" s="1751"/>
      <c r="CU17" s="1751"/>
      <c r="CV17" s="1752"/>
      <c r="CW17" s="1751"/>
      <c r="CX17" s="1751"/>
      <c r="CY17" s="1752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</row>
    <row r="18" spans="1:183" s="21" customFormat="1">
      <c r="A18" s="102">
        <v>10</v>
      </c>
      <c r="B18" s="82" t="s">
        <v>104</v>
      </c>
      <c r="C18" s="792">
        <f>'[2]ALL-Reformatted'!AC15</f>
        <v>32094</v>
      </c>
      <c r="D18" s="792">
        <f>'[3]All-Reformatted'!AC15</f>
        <v>18996</v>
      </c>
      <c r="E18" s="792">
        <f t="shared" si="17"/>
        <v>4179</v>
      </c>
      <c r="F18" s="792">
        <f>'[4]MS5627_CTE -Reformatted'!AC16</f>
        <v>8028</v>
      </c>
      <c r="G18" s="792">
        <f t="shared" si="18"/>
        <v>482</v>
      </c>
      <c r="H18" s="792">
        <f>'[5]Rollup_Level1 Formatted 2'!Y15</f>
        <v>803</v>
      </c>
      <c r="I18" s="792">
        <f t="shared" si="19"/>
        <v>321</v>
      </c>
      <c r="J18" s="792">
        <f>'[5]Rollup_Level2 Formatted 2'!AB15</f>
        <v>3657</v>
      </c>
      <c r="K18" s="792">
        <f t="shared" si="20"/>
        <v>2011</v>
      </c>
      <c r="L18" s="792">
        <f>'[5]Rollup_Level3 Formatted 2'!T15</f>
        <v>505</v>
      </c>
      <c r="M18" s="792">
        <f t="shared" si="21"/>
        <v>404</v>
      </c>
      <c r="N18" s="792">
        <f>'[6]Rollup_Level1-REFORMATTED (2)'!P14</f>
        <v>551</v>
      </c>
      <c r="O18" s="792">
        <f t="shared" si="22"/>
        <v>193</v>
      </c>
      <c r="P18" s="792">
        <f>'[6]Rollup_Level2_REFORMATTED (2)'!V14</f>
        <v>838</v>
      </c>
      <c r="Q18" s="792">
        <f t="shared" si="23"/>
        <v>461</v>
      </c>
      <c r="R18" s="792">
        <f>'[6]Rollup_Level3 FORMATTED (2)'!Y14</f>
        <v>2555</v>
      </c>
      <c r="S18" s="792">
        <f t="shared" si="24"/>
        <v>1789</v>
      </c>
      <c r="T18" s="792">
        <f>[7]Exceeds!AJ15</f>
        <v>359</v>
      </c>
      <c r="U18" s="792">
        <f t="shared" si="25"/>
        <v>485</v>
      </c>
      <c r="V18" s="792">
        <f>'[8]Significantly Exceeds'!V15</f>
        <v>775</v>
      </c>
      <c r="W18" s="792">
        <f t="shared" si="26"/>
        <v>1356</v>
      </c>
      <c r="X18" s="792">
        <f>'[9]Roll up'!J15</f>
        <v>105</v>
      </c>
      <c r="Y18" s="792">
        <f t="shared" si="27"/>
        <v>158</v>
      </c>
      <c r="Z18" s="792">
        <f>[10]BeginSchYr2011_ByExcept!P11</f>
        <v>28</v>
      </c>
      <c r="AA18" s="792">
        <f t="shared" si="28"/>
        <v>42</v>
      </c>
      <c r="AB18" s="1364">
        <v>3.6299599500160928E-2</v>
      </c>
      <c r="AC18" s="792">
        <f t="shared" si="48"/>
        <v>4965</v>
      </c>
      <c r="AD18" s="792">
        <f t="shared" si="49"/>
        <v>0</v>
      </c>
      <c r="AE18" s="792">
        <f t="shared" si="50"/>
        <v>0</v>
      </c>
      <c r="AF18" s="792">
        <f t="shared" si="51"/>
        <v>0</v>
      </c>
      <c r="AG18" s="792">
        <f t="shared" si="29"/>
        <v>7220</v>
      </c>
      <c r="AH18" s="792">
        <f>'[11]Rollup_PS-8th'!R14</f>
        <v>1025</v>
      </c>
      <c r="AI18" s="19">
        <f t="shared" si="30"/>
        <v>615</v>
      </c>
      <c r="AJ18" s="19">
        <f>'[11]Rollup_9th-12th'!M14</f>
        <v>260</v>
      </c>
      <c r="AK18" s="19">
        <f t="shared" si="31"/>
        <v>78</v>
      </c>
      <c r="AL18" s="19">
        <f>[12]Reformatted!Y15</f>
        <v>503</v>
      </c>
      <c r="AM18" s="19">
        <f t="shared" si="52"/>
        <v>150.9</v>
      </c>
      <c r="AN18" s="19">
        <f t="shared" si="32"/>
        <v>0</v>
      </c>
      <c r="AO18" s="66">
        <f t="shared" si="33"/>
        <v>0</v>
      </c>
      <c r="AP18" s="19">
        <f t="shared" si="34"/>
        <v>0</v>
      </c>
      <c r="AQ18" s="19">
        <f t="shared" si="35"/>
        <v>12724.9</v>
      </c>
      <c r="AR18" s="13">
        <f t="shared" si="36"/>
        <v>44818.9</v>
      </c>
      <c r="AS18" s="395">
        <f t="shared" si="53"/>
        <v>3855</v>
      </c>
      <c r="AT18" s="395">
        <f t="shared" si="37"/>
        <v>172776860</v>
      </c>
      <c r="AU18" s="395">
        <f>'Table 6 (Local Deduct Calc.)'!J18</f>
        <v>64538365</v>
      </c>
      <c r="AV18" s="395">
        <f t="shared" si="54"/>
        <v>64538365</v>
      </c>
      <c r="AW18" s="396">
        <f t="shared" si="55"/>
        <v>108238495</v>
      </c>
      <c r="AX18" s="397">
        <f t="shared" si="78"/>
        <v>0.62649999999999995</v>
      </c>
      <c r="AY18" s="398">
        <f t="shared" si="56"/>
        <v>0.3735</v>
      </c>
      <c r="AZ18" s="399">
        <f t="shared" si="38"/>
        <v>2010.9168380382625</v>
      </c>
      <c r="BA18" s="395">
        <f>'Table 7 Local Revenue'!AQ17</f>
        <v>142522641</v>
      </c>
      <c r="BB18" s="771">
        <f>IF(BA18-AV18&gt;0,BA18-AV18,0)</f>
        <v>77984276</v>
      </c>
      <c r="BC18" s="280">
        <f t="shared" si="58"/>
        <v>0</v>
      </c>
      <c r="BD18" s="20">
        <f t="shared" si="59"/>
        <v>58744132.400000006</v>
      </c>
      <c r="BE18" s="20">
        <f t="shared" si="60"/>
        <v>58744132.400000006</v>
      </c>
      <c r="BF18" s="395">
        <f t="shared" si="61"/>
        <v>37738405.536408</v>
      </c>
      <c r="BG18" s="400">
        <f t="shared" si="62"/>
        <v>21005726.863592006</v>
      </c>
      <c r="BH18" s="273">
        <f t="shared" si="63"/>
        <v>0.35759999999999997</v>
      </c>
      <c r="BI18" s="400">
        <f t="shared" si="64"/>
        <v>129244221.863592</v>
      </c>
      <c r="BJ18" s="20">
        <f t="shared" si="39"/>
        <v>4027</v>
      </c>
      <c r="BK18" s="400">
        <f>'Table 4 Level 3'!M15</f>
        <v>4344155</v>
      </c>
      <c r="BL18" s="20">
        <f t="shared" si="40"/>
        <v>135.35723188134853</v>
      </c>
      <c r="BM18" s="400">
        <f t="shared" si="65"/>
        <v>133588376.863592</v>
      </c>
      <c r="BN18" s="20">
        <f t="shared" si="41"/>
        <v>4162.4096984979124</v>
      </c>
      <c r="BO18" s="520">
        <f>'Table 4 Level 3'!P15</f>
        <v>23851902.320000008</v>
      </c>
      <c r="BP18" s="521">
        <f t="shared" si="42"/>
        <v>743.18883031096175</v>
      </c>
      <c r="BQ18" s="400">
        <f t="shared" si="66"/>
        <v>153096124.18359202</v>
      </c>
      <c r="BR18" s="20">
        <f t="shared" si="43"/>
        <v>4770.2412969275265</v>
      </c>
      <c r="BS18" s="20">
        <f>'[13]Table 3 Levels 1&amp;2'!CE18</f>
        <v>-608162.28582280874</v>
      </c>
      <c r="BT18" s="20">
        <f t="shared" si="67"/>
        <v>-18.949407547292601</v>
      </c>
      <c r="BU18" s="20">
        <f t="shared" si="68"/>
        <v>547346.05724052794</v>
      </c>
      <c r="BV18" s="20">
        <f t="shared" si="44"/>
        <v>17.054466792563343</v>
      </c>
      <c r="BW18" s="760">
        <f t="shared" si="69"/>
        <v>153643470.24083254</v>
      </c>
      <c r="BX18" s="78">
        <f t="shared" si="45"/>
        <v>4787.2957637200889</v>
      </c>
      <c r="BY18" s="273">
        <f t="shared" si="70"/>
        <v>0.55481785095757097</v>
      </c>
      <c r="BZ18" s="401">
        <f t="shared" si="71"/>
        <v>52</v>
      </c>
      <c r="CA18" s="20">
        <f t="shared" si="72"/>
        <v>123282497.40000001</v>
      </c>
      <c r="CB18" s="20">
        <f t="shared" si="46"/>
        <v>3841.29</v>
      </c>
      <c r="CC18" s="401">
        <f t="shared" si="73"/>
        <v>22</v>
      </c>
      <c r="CD18" s="273">
        <f t="shared" si="74"/>
        <v>0.44518214904242909</v>
      </c>
      <c r="CE18" s="401">
        <f t="shared" si="75"/>
        <v>276925967.64083254</v>
      </c>
      <c r="CF18" s="402">
        <f t="shared" si="47"/>
        <v>8628.5900056344653</v>
      </c>
      <c r="CG18" s="401">
        <f t="shared" si="76"/>
        <v>42</v>
      </c>
      <c r="CH18" s="1341">
        <v>155645604.21761</v>
      </c>
      <c r="CI18" s="280">
        <f t="shared" si="77"/>
        <v>-2002133.9767774642</v>
      </c>
      <c r="CJ18" s="1747"/>
      <c r="CK18" s="350"/>
      <c r="CL18" s="350"/>
      <c r="CM18" s="350"/>
      <c r="CN18" s="350"/>
      <c r="CO18" s="350"/>
      <c r="CP18" s="350"/>
      <c r="CQ18" s="350"/>
      <c r="CR18" s="350"/>
      <c r="CS18" s="350"/>
      <c r="CT18" s="169"/>
      <c r="CU18" s="169"/>
      <c r="CV18" s="1749"/>
      <c r="CW18" s="169"/>
      <c r="CX18" s="169"/>
      <c r="CY18" s="1749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</row>
    <row r="19" spans="1:183" s="5" customFormat="1">
      <c r="A19" s="101">
        <v>11</v>
      </c>
      <c r="B19" s="81" t="s">
        <v>105</v>
      </c>
      <c r="C19" s="607">
        <f>'[2]ALL-Reformatted'!AC16</f>
        <v>1567</v>
      </c>
      <c r="D19" s="607">
        <f>'[3]All-Reformatted'!AC16</f>
        <v>1045</v>
      </c>
      <c r="E19" s="607">
        <f t="shared" si="17"/>
        <v>230</v>
      </c>
      <c r="F19" s="607">
        <f>'[4]MS5627_CTE -Reformatted'!AC17</f>
        <v>623.5</v>
      </c>
      <c r="G19" s="607">
        <f t="shared" si="18"/>
        <v>37</v>
      </c>
      <c r="H19" s="607">
        <f>'[5]Rollup_Level1 Formatted 2'!Y16</f>
        <v>25</v>
      </c>
      <c r="I19" s="607">
        <f t="shared" si="19"/>
        <v>10</v>
      </c>
      <c r="J19" s="607">
        <f>'[5]Rollup_Level2 Formatted 2'!AB16</f>
        <v>262</v>
      </c>
      <c r="K19" s="607">
        <f t="shared" si="20"/>
        <v>144</v>
      </c>
      <c r="L19" s="607">
        <f>'[5]Rollup_Level3 Formatted 2'!T16</f>
        <v>16</v>
      </c>
      <c r="M19" s="607">
        <f t="shared" si="21"/>
        <v>13</v>
      </c>
      <c r="N19" s="607">
        <f>'[6]Rollup_Level1-REFORMATTED (2)'!P15</f>
        <v>14</v>
      </c>
      <c r="O19" s="607">
        <f t="shared" si="22"/>
        <v>5</v>
      </c>
      <c r="P19" s="607">
        <f>'[6]Rollup_Level2_REFORMATTED (2)'!V15</f>
        <v>52</v>
      </c>
      <c r="Q19" s="607">
        <f t="shared" si="23"/>
        <v>29</v>
      </c>
      <c r="R19" s="607">
        <f>'[6]Rollup_Level3 FORMATTED (2)'!Y15</f>
        <v>205</v>
      </c>
      <c r="S19" s="607">
        <f t="shared" si="24"/>
        <v>144</v>
      </c>
      <c r="T19" s="607">
        <f>[7]Exceeds!AJ16</f>
        <v>23</v>
      </c>
      <c r="U19" s="607">
        <f t="shared" si="25"/>
        <v>31</v>
      </c>
      <c r="V19" s="607">
        <f>'[8]Significantly Exceeds'!V16</f>
        <v>47</v>
      </c>
      <c r="W19" s="607">
        <f t="shared" si="26"/>
        <v>82</v>
      </c>
      <c r="X19" s="607">
        <f>'[9]Roll up'!J16</f>
        <v>6</v>
      </c>
      <c r="Y19" s="607">
        <f t="shared" si="27"/>
        <v>9</v>
      </c>
      <c r="Z19" s="607">
        <f>[10]BeginSchYr2011_ByExcept!P12</f>
        <v>1</v>
      </c>
      <c r="AA19" s="607">
        <f t="shared" si="28"/>
        <v>2</v>
      </c>
      <c r="AB19" s="590">
        <v>-4.4444444444444425E-2</v>
      </c>
      <c r="AC19" s="607">
        <f t="shared" si="48"/>
        <v>303</v>
      </c>
      <c r="AD19" s="607">
        <f t="shared" si="49"/>
        <v>36</v>
      </c>
      <c r="AE19" s="607">
        <f t="shared" si="50"/>
        <v>0</v>
      </c>
      <c r="AF19" s="607">
        <f t="shared" si="51"/>
        <v>0</v>
      </c>
      <c r="AG19" s="607">
        <f t="shared" si="29"/>
        <v>505</v>
      </c>
      <c r="AH19" s="607">
        <f>'[11]Rollup_PS-8th'!R15</f>
        <v>14</v>
      </c>
      <c r="AI19" s="13">
        <f t="shared" si="30"/>
        <v>8</v>
      </c>
      <c r="AJ19" s="13">
        <f>'[11]Rollup_9th-12th'!M15</f>
        <v>13</v>
      </c>
      <c r="AK19" s="13">
        <f t="shared" si="31"/>
        <v>3.9</v>
      </c>
      <c r="AL19" s="13">
        <f>[12]Reformatted!Y16</f>
        <v>12</v>
      </c>
      <c r="AM19" s="13">
        <f t="shared" si="52"/>
        <v>3.5999999999999996</v>
      </c>
      <c r="AN19" s="13">
        <f t="shared" si="32"/>
        <v>5933</v>
      </c>
      <c r="AO19" s="65">
        <f t="shared" si="33"/>
        <v>0.15820999999999999</v>
      </c>
      <c r="AP19" s="13">
        <f t="shared" si="34"/>
        <v>248</v>
      </c>
      <c r="AQ19" s="13">
        <f t="shared" si="35"/>
        <v>1035.5</v>
      </c>
      <c r="AR19" s="36">
        <f t="shared" si="36"/>
        <v>2602.5</v>
      </c>
      <c r="AS19" s="388">
        <f t="shared" si="53"/>
        <v>3855</v>
      </c>
      <c r="AT19" s="388">
        <f t="shared" si="37"/>
        <v>10032638</v>
      </c>
      <c r="AU19" s="388">
        <f>'Table 6 (Local Deduct Calc.)'!J19</f>
        <v>1715745.5</v>
      </c>
      <c r="AV19" s="388">
        <f t="shared" si="54"/>
        <v>1715745.5</v>
      </c>
      <c r="AW19" s="389">
        <f t="shared" si="55"/>
        <v>8316892.5</v>
      </c>
      <c r="AX19" s="390">
        <f t="shared" si="78"/>
        <v>0.82899999999999996</v>
      </c>
      <c r="AY19" s="390">
        <f t="shared" si="56"/>
        <v>0.17100000000000001</v>
      </c>
      <c r="AZ19" s="391">
        <f t="shared" si="38"/>
        <v>1094.9237396298661</v>
      </c>
      <c r="BA19" s="388">
        <f>'Table 7 Local Revenue'!AQ18</f>
        <v>5529175.5</v>
      </c>
      <c r="BB19" s="388">
        <f t="shared" si="57"/>
        <v>3813430</v>
      </c>
      <c r="BC19" s="279">
        <f t="shared" si="58"/>
        <v>0</v>
      </c>
      <c r="BD19" s="14">
        <f t="shared" si="59"/>
        <v>3411096.9200000004</v>
      </c>
      <c r="BE19" s="14">
        <f t="shared" si="60"/>
        <v>3411096.9200000004</v>
      </c>
      <c r="BF19" s="388">
        <f t="shared" si="61"/>
        <v>1003271.8261104001</v>
      </c>
      <c r="BG19" s="392">
        <f t="shared" si="62"/>
        <v>2407825.0938896001</v>
      </c>
      <c r="BH19" s="16">
        <f t="shared" si="63"/>
        <v>0.70589999999999997</v>
      </c>
      <c r="BI19" s="392">
        <f t="shared" si="64"/>
        <v>10724717.5938896</v>
      </c>
      <c r="BJ19" s="14">
        <f t="shared" si="39"/>
        <v>6844</v>
      </c>
      <c r="BK19" s="392">
        <f>'Table 4 Level 3'!M16</f>
        <v>212105</v>
      </c>
      <c r="BL19" s="14">
        <f t="shared" si="40"/>
        <v>135.35737077217613</v>
      </c>
      <c r="BM19" s="392">
        <f t="shared" si="65"/>
        <v>10936822.5938896</v>
      </c>
      <c r="BN19" s="14">
        <f t="shared" si="41"/>
        <v>6979.4655991637519</v>
      </c>
      <c r="BO19" s="518">
        <f>'Table 4 Level 3'!P16</f>
        <v>1318632.9550000001</v>
      </c>
      <c r="BP19" s="519">
        <f t="shared" si="42"/>
        <v>841.50156668793875</v>
      </c>
      <c r="BQ19" s="392">
        <f t="shared" si="66"/>
        <v>12043350.5488896</v>
      </c>
      <c r="BR19" s="14">
        <f t="shared" si="43"/>
        <v>7685.6097950795147</v>
      </c>
      <c r="BS19" s="1594">
        <f>'[13]Table 3 Levels 1&amp;2'!CE19</f>
        <v>268903.14417944103</v>
      </c>
      <c r="BT19" s="1594">
        <f t="shared" si="67"/>
        <v>171.60379334999428</v>
      </c>
      <c r="BU19" s="1594">
        <f t="shared" si="68"/>
        <v>-242012.82976149695</v>
      </c>
      <c r="BV19" s="1594">
        <f t="shared" si="44"/>
        <v>-154.44341401499486</v>
      </c>
      <c r="BW19" s="1600">
        <f t="shared" si="69"/>
        <v>11801337.719128102</v>
      </c>
      <c r="BX19" s="1602">
        <f t="shared" si="45"/>
        <v>7531.1663810645196</v>
      </c>
      <c r="BY19" s="16">
        <f t="shared" si="70"/>
        <v>0.69714154871558076</v>
      </c>
      <c r="BZ19" s="393">
        <f t="shared" si="71"/>
        <v>16</v>
      </c>
      <c r="CA19" s="14">
        <f t="shared" si="72"/>
        <v>5126842.42</v>
      </c>
      <c r="CB19" s="14">
        <f t="shared" si="46"/>
        <v>3271.76</v>
      </c>
      <c r="CC19" s="393">
        <f t="shared" si="73"/>
        <v>35</v>
      </c>
      <c r="CD19" s="16">
        <f t="shared" si="74"/>
        <v>0.30285845128441913</v>
      </c>
      <c r="CE19" s="393">
        <f t="shared" si="75"/>
        <v>16928180.139128104</v>
      </c>
      <c r="CF19" s="394">
        <f t="shared" si="47"/>
        <v>10802.922871173008</v>
      </c>
      <c r="CG19" s="393">
        <f t="shared" si="76"/>
        <v>1</v>
      </c>
      <c r="CH19" s="1340">
        <v>11743394.40289057</v>
      </c>
      <c r="CI19" s="279">
        <f t="shared" si="77"/>
        <v>57943.316237531602</v>
      </c>
      <c r="CJ19" s="1750"/>
      <c r="CK19" s="350"/>
      <c r="CL19" s="350"/>
      <c r="CM19" s="350"/>
      <c r="CN19" s="350"/>
      <c r="CO19" s="350"/>
      <c r="CP19" s="350"/>
      <c r="CQ19" s="350"/>
      <c r="CR19" s="350"/>
      <c r="CS19" s="350"/>
      <c r="CT19" s="169"/>
      <c r="CU19" s="169"/>
      <c r="CV19" s="1749"/>
      <c r="CW19" s="169"/>
      <c r="CX19" s="169"/>
      <c r="CY19" s="174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</row>
    <row r="20" spans="1:183" s="5" customFormat="1">
      <c r="A20" s="101">
        <v>12</v>
      </c>
      <c r="B20" s="81" t="s">
        <v>106</v>
      </c>
      <c r="C20" s="607">
        <f>'[2]ALL-Reformatted'!AC17</f>
        <v>1214</v>
      </c>
      <c r="D20" s="607">
        <f>'[3]All-Reformatted'!AC17</f>
        <v>560</v>
      </c>
      <c r="E20" s="607">
        <f t="shared" si="17"/>
        <v>123</v>
      </c>
      <c r="F20" s="607">
        <f>'[4]MS5627_CTE -Reformatted'!AC18</f>
        <v>513</v>
      </c>
      <c r="G20" s="607">
        <f t="shared" si="18"/>
        <v>31</v>
      </c>
      <c r="H20" s="607">
        <f>'[5]Rollup_Level1 Formatted 2'!Y17</f>
        <v>35</v>
      </c>
      <c r="I20" s="607">
        <f t="shared" si="19"/>
        <v>14</v>
      </c>
      <c r="J20" s="607">
        <f>'[5]Rollup_Level2 Formatted 2'!AB17</f>
        <v>101</v>
      </c>
      <c r="K20" s="607">
        <f t="shared" si="20"/>
        <v>56</v>
      </c>
      <c r="L20" s="607">
        <f>'[5]Rollup_Level3 Formatted 2'!T17</f>
        <v>12</v>
      </c>
      <c r="M20" s="607">
        <f t="shared" si="21"/>
        <v>10</v>
      </c>
      <c r="N20" s="607">
        <f>'[6]Rollup_Level1-REFORMATTED (2)'!P16</f>
        <v>6</v>
      </c>
      <c r="O20" s="607">
        <f t="shared" si="22"/>
        <v>2</v>
      </c>
      <c r="P20" s="607">
        <f>'[6]Rollup_Level2_REFORMATTED (2)'!V16</f>
        <v>24</v>
      </c>
      <c r="Q20" s="607">
        <f t="shared" si="23"/>
        <v>13</v>
      </c>
      <c r="R20" s="607">
        <f>'[6]Rollup_Level3 FORMATTED (2)'!Y16</f>
        <v>78</v>
      </c>
      <c r="S20" s="607">
        <f t="shared" si="24"/>
        <v>55</v>
      </c>
      <c r="T20" s="607">
        <f>[7]Exceeds!AJ17</f>
        <v>13</v>
      </c>
      <c r="U20" s="607">
        <f t="shared" si="25"/>
        <v>18</v>
      </c>
      <c r="V20" s="607">
        <f>'[8]Significantly Exceeds'!V17</f>
        <v>60</v>
      </c>
      <c r="W20" s="607">
        <f t="shared" si="26"/>
        <v>105</v>
      </c>
      <c r="X20" s="607">
        <f>'[9]Roll up'!J17</f>
        <v>7</v>
      </c>
      <c r="Y20" s="607">
        <f t="shared" si="27"/>
        <v>11</v>
      </c>
      <c r="Z20" s="607">
        <v>0</v>
      </c>
      <c r="AA20" s="607">
        <f t="shared" si="28"/>
        <v>0</v>
      </c>
      <c r="AB20" s="590">
        <v>-5.9050911376492779E-2</v>
      </c>
      <c r="AC20" s="607">
        <f t="shared" si="48"/>
        <v>148</v>
      </c>
      <c r="AD20" s="607">
        <f t="shared" si="49"/>
        <v>18</v>
      </c>
      <c r="AE20" s="607">
        <f t="shared" si="50"/>
        <v>0</v>
      </c>
      <c r="AF20" s="607">
        <f t="shared" si="51"/>
        <v>0</v>
      </c>
      <c r="AG20" s="607">
        <f t="shared" si="29"/>
        <v>302</v>
      </c>
      <c r="AH20" s="607">
        <f>'[11]Rollup_PS-8th'!R16</f>
        <v>63</v>
      </c>
      <c r="AI20" s="13">
        <f t="shared" si="30"/>
        <v>38</v>
      </c>
      <c r="AJ20" s="13">
        <f>'[11]Rollup_9th-12th'!M16</f>
        <v>28</v>
      </c>
      <c r="AK20" s="13">
        <f t="shared" si="31"/>
        <v>8.4</v>
      </c>
      <c r="AL20" s="13">
        <f>[12]Reformatted!Y17</f>
        <v>7</v>
      </c>
      <c r="AM20" s="13">
        <f t="shared" si="52"/>
        <v>2.1</v>
      </c>
      <c r="AN20" s="13">
        <f t="shared" si="32"/>
        <v>6286</v>
      </c>
      <c r="AO20" s="65">
        <f t="shared" si="33"/>
        <v>0.16763</v>
      </c>
      <c r="AP20" s="13">
        <f t="shared" si="34"/>
        <v>204</v>
      </c>
      <c r="AQ20" s="13">
        <f t="shared" si="35"/>
        <v>708.5</v>
      </c>
      <c r="AR20" s="13">
        <f t="shared" si="36"/>
        <v>1922.5</v>
      </c>
      <c r="AS20" s="388">
        <f t="shared" si="53"/>
        <v>3855</v>
      </c>
      <c r="AT20" s="388">
        <f t="shared" si="37"/>
        <v>7411238</v>
      </c>
      <c r="AU20" s="388">
        <f>'Table 6 (Local Deduct Calc.)'!J20</f>
        <v>5299017.5</v>
      </c>
      <c r="AV20" s="388">
        <f t="shared" si="54"/>
        <v>5299017.5</v>
      </c>
      <c r="AW20" s="389">
        <f t="shared" si="55"/>
        <v>2112220.5</v>
      </c>
      <c r="AX20" s="390">
        <f t="shared" si="78"/>
        <v>0.28499999999999998</v>
      </c>
      <c r="AY20" s="390">
        <f t="shared" si="56"/>
        <v>0.71499999999999997</v>
      </c>
      <c r="AZ20" s="391">
        <f t="shared" si="38"/>
        <v>4364.9238056013182</v>
      </c>
      <c r="BA20" s="388">
        <f>'Table 7 Local Revenue'!AQ19</f>
        <v>14809096.5</v>
      </c>
      <c r="BB20" s="388">
        <f t="shared" si="57"/>
        <v>9510079</v>
      </c>
      <c r="BC20" s="279">
        <f t="shared" si="58"/>
        <v>0</v>
      </c>
      <c r="BD20" s="14">
        <f t="shared" si="59"/>
        <v>2519820.9200000004</v>
      </c>
      <c r="BE20" s="14">
        <f t="shared" si="60"/>
        <v>2519820.9200000004</v>
      </c>
      <c r="BF20" s="388">
        <f t="shared" si="61"/>
        <v>3098875.7674160004</v>
      </c>
      <c r="BG20" s="392">
        <f t="shared" si="62"/>
        <v>0</v>
      </c>
      <c r="BH20" s="16">
        <f t="shared" si="63"/>
        <v>0</v>
      </c>
      <c r="BI20" s="392">
        <f t="shared" si="64"/>
        <v>2112220.5</v>
      </c>
      <c r="BJ20" s="14">
        <f t="shared" si="39"/>
        <v>1740</v>
      </c>
      <c r="BK20" s="392">
        <f>'Table 4 Level 3'!M17</f>
        <v>164324</v>
      </c>
      <c r="BL20" s="14">
        <f t="shared" si="40"/>
        <v>135.35749588138387</v>
      </c>
      <c r="BM20" s="392">
        <f t="shared" si="65"/>
        <v>2276544.5</v>
      </c>
      <c r="BN20" s="14">
        <f t="shared" si="41"/>
        <v>1875.2425864909389</v>
      </c>
      <c r="BO20" s="518">
        <f>'Table 4 Level 3'!P17</f>
        <v>1455076.0090000001</v>
      </c>
      <c r="BP20" s="519">
        <f t="shared" si="42"/>
        <v>1198.5799085667215</v>
      </c>
      <c r="BQ20" s="392">
        <f t="shared" si="66"/>
        <v>3567296.5090000001</v>
      </c>
      <c r="BR20" s="14">
        <f t="shared" si="43"/>
        <v>2938.4649991762767</v>
      </c>
      <c r="BS20" s="1594">
        <f>'[13]Table 3 Levels 1&amp;2'!CE20</f>
        <v>252503</v>
      </c>
      <c r="BT20" s="1594">
        <f t="shared" si="67"/>
        <v>207.99258649093903</v>
      </c>
      <c r="BU20" s="1594">
        <f t="shared" si="68"/>
        <v>-227252.7</v>
      </c>
      <c r="BV20" s="1594">
        <f t="shared" si="44"/>
        <v>-187.19332784184516</v>
      </c>
      <c r="BW20" s="1600">
        <f t="shared" si="69"/>
        <v>3340043.8089999999</v>
      </c>
      <c r="BX20" s="1602">
        <f t="shared" si="45"/>
        <v>2751.2716713344316</v>
      </c>
      <c r="BY20" s="16">
        <f t="shared" si="70"/>
        <v>0.29931705886453441</v>
      </c>
      <c r="BZ20" s="393">
        <f t="shared" si="71"/>
        <v>66</v>
      </c>
      <c r="CA20" s="14">
        <f t="shared" si="72"/>
        <v>7818838.4199999999</v>
      </c>
      <c r="CB20" s="14">
        <f t="shared" si="46"/>
        <v>6440.56</v>
      </c>
      <c r="CC20" s="393">
        <f t="shared" si="73"/>
        <v>1</v>
      </c>
      <c r="CD20" s="16">
        <f t="shared" si="74"/>
        <v>0.70068294113546559</v>
      </c>
      <c r="CE20" s="393">
        <f t="shared" si="75"/>
        <v>11158882.229</v>
      </c>
      <c r="CF20" s="394">
        <f t="shared" si="47"/>
        <v>9191.830501647446</v>
      </c>
      <c r="CG20" s="393">
        <f t="shared" si="76"/>
        <v>17</v>
      </c>
      <c r="CH20" s="1340">
        <v>3484419.588</v>
      </c>
      <c r="CI20" s="279">
        <f t="shared" si="77"/>
        <v>-144375.7790000001</v>
      </c>
      <c r="CJ20" s="1750"/>
      <c r="CK20" s="350"/>
      <c r="CL20" s="350"/>
      <c r="CM20" s="350"/>
      <c r="CN20" s="350"/>
      <c r="CO20" s="350"/>
      <c r="CP20" s="350"/>
      <c r="CQ20" s="350"/>
      <c r="CR20" s="350"/>
      <c r="CS20" s="350"/>
      <c r="CT20" s="169"/>
      <c r="CU20" s="169"/>
      <c r="CV20" s="1749"/>
      <c r="CW20" s="169"/>
      <c r="CX20" s="169"/>
      <c r="CY20" s="1749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</row>
    <row r="21" spans="1:183" s="5" customFormat="1">
      <c r="A21" s="101">
        <v>13</v>
      </c>
      <c r="B21" s="81" t="s">
        <v>107</v>
      </c>
      <c r="C21" s="607">
        <f>'[2]ALL-Reformatted'!AC18</f>
        <v>1518</v>
      </c>
      <c r="D21" s="607">
        <f>'[3]All-Reformatted'!AC18</f>
        <v>1162</v>
      </c>
      <c r="E21" s="607">
        <f t="shared" si="17"/>
        <v>256</v>
      </c>
      <c r="F21" s="607">
        <f>'[4]MS5627_CTE -Reformatted'!AC19</f>
        <v>729</v>
      </c>
      <c r="G21" s="607">
        <f t="shared" si="18"/>
        <v>44</v>
      </c>
      <c r="H21" s="607">
        <f>'[5]Rollup_Level1 Formatted 2'!Y18</f>
        <v>33</v>
      </c>
      <c r="I21" s="607">
        <f t="shared" si="19"/>
        <v>13</v>
      </c>
      <c r="J21" s="607">
        <f>'[5]Rollup_Level2 Formatted 2'!AB18</f>
        <v>109</v>
      </c>
      <c r="K21" s="607">
        <f t="shared" si="20"/>
        <v>60</v>
      </c>
      <c r="L21" s="607">
        <f>'[5]Rollup_Level3 Formatted 2'!T18</f>
        <v>28</v>
      </c>
      <c r="M21" s="607">
        <f t="shared" si="21"/>
        <v>22</v>
      </c>
      <c r="N21" s="607">
        <f>'[6]Rollup_Level1-REFORMATTED (2)'!P17</f>
        <v>23</v>
      </c>
      <c r="O21" s="607">
        <f t="shared" si="22"/>
        <v>8</v>
      </c>
      <c r="P21" s="607">
        <f>'[6]Rollup_Level2_REFORMATTED (2)'!V17</f>
        <v>35</v>
      </c>
      <c r="Q21" s="607">
        <f t="shared" si="23"/>
        <v>19</v>
      </c>
      <c r="R21" s="607">
        <f>'[6]Rollup_Level3 FORMATTED (2)'!Y17</f>
        <v>61</v>
      </c>
      <c r="S21" s="607">
        <f t="shared" si="24"/>
        <v>43</v>
      </c>
      <c r="T21" s="607">
        <f>[7]Exceeds!AJ18</f>
        <v>7</v>
      </c>
      <c r="U21" s="607">
        <f t="shared" si="25"/>
        <v>9</v>
      </c>
      <c r="V21" s="607">
        <f>'[8]Significantly Exceeds'!V18</f>
        <v>26</v>
      </c>
      <c r="W21" s="607">
        <f t="shared" si="26"/>
        <v>46</v>
      </c>
      <c r="X21" s="607">
        <f>'[9]Roll up'!J18</f>
        <v>2</v>
      </c>
      <c r="Y21" s="607">
        <f t="shared" si="27"/>
        <v>3</v>
      </c>
      <c r="Z21" s="607">
        <v>0</v>
      </c>
      <c r="AA21" s="607">
        <f t="shared" si="28"/>
        <v>0</v>
      </c>
      <c r="AB21" s="590">
        <v>-8.5227272727272652E-3</v>
      </c>
      <c r="AC21" s="607">
        <f t="shared" si="48"/>
        <v>170</v>
      </c>
      <c r="AD21" s="607">
        <f t="shared" si="49"/>
        <v>0</v>
      </c>
      <c r="AE21" s="607">
        <f t="shared" si="50"/>
        <v>10</v>
      </c>
      <c r="AF21" s="607">
        <f t="shared" si="51"/>
        <v>0</v>
      </c>
      <c r="AG21" s="607">
        <f t="shared" si="29"/>
        <v>233</v>
      </c>
      <c r="AH21" s="607">
        <f>'[11]Rollup_PS-8th'!R17</f>
        <v>17</v>
      </c>
      <c r="AI21" s="13">
        <f t="shared" si="30"/>
        <v>10</v>
      </c>
      <c r="AJ21" s="13">
        <f>'[11]Rollup_9th-12th'!M17</f>
        <v>13</v>
      </c>
      <c r="AK21" s="13">
        <f t="shared" si="31"/>
        <v>3.9</v>
      </c>
      <c r="AL21" s="13">
        <f>[12]Reformatted!Y18</f>
        <v>0</v>
      </c>
      <c r="AM21" s="13">
        <f t="shared" si="52"/>
        <v>0</v>
      </c>
      <c r="AN21" s="13">
        <f t="shared" si="32"/>
        <v>5982</v>
      </c>
      <c r="AO21" s="65">
        <f t="shared" si="33"/>
        <v>0.15952</v>
      </c>
      <c r="AP21" s="13">
        <f t="shared" si="34"/>
        <v>242</v>
      </c>
      <c r="AQ21" s="13">
        <f t="shared" si="35"/>
        <v>788.9</v>
      </c>
      <c r="AR21" s="13">
        <f t="shared" si="36"/>
        <v>2306.9</v>
      </c>
      <c r="AS21" s="388">
        <f t="shared" si="53"/>
        <v>3855</v>
      </c>
      <c r="AT21" s="388">
        <f t="shared" si="37"/>
        <v>8893100</v>
      </c>
      <c r="AU21" s="388">
        <f>'Table 6 (Local Deduct Calc.)'!J21</f>
        <v>1468277.5</v>
      </c>
      <c r="AV21" s="388">
        <f t="shared" si="54"/>
        <v>1468277.5</v>
      </c>
      <c r="AW21" s="389">
        <f t="shared" si="55"/>
        <v>7424822.5</v>
      </c>
      <c r="AX21" s="390">
        <f t="shared" si="78"/>
        <v>0.83489999999999998</v>
      </c>
      <c r="AY21" s="390">
        <f t="shared" si="56"/>
        <v>0.1651</v>
      </c>
      <c r="AZ21" s="391">
        <f t="shared" si="38"/>
        <v>967.24472990777338</v>
      </c>
      <c r="BA21" s="388">
        <f>'Table 7 Local Revenue'!AQ20</f>
        <v>3834794.5</v>
      </c>
      <c r="BB21" s="388">
        <f t="shared" si="57"/>
        <v>2366517</v>
      </c>
      <c r="BC21" s="279">
        <f t="shared" si="58"/>
        <v>0</v>
      </c>
      <c r="BD21" s="14">
        <f t="shared" si="59"/>
        <v>3023654</v>
      </c>
      <c r="BE21" s="14">
        <f t="shared" si="60"/>
        <v>2366517</v>
      </c>
      <c r="BF21" s="388">
        <f t="shared" si="61"/>
        <v>672024.56552399998</v>
      </c>
      <c r="BG21" s="392">
        <f t="shared" si="62"/>
        <v>1694492.434476</v>
      </c>
      <c r="BH21" s="16">
        <f t="shared" si="63"/>
        <v>0.71599999999999997</v>
      </c>
      <c r="BI21" s="392">
        <f t="shared" si="64"/>
        <v>9119314.9344759993</v>
      </c>
      <c r="BJ21" s="14">
        <f t="shared" si="39"/>
        <v>6007</v>
      </c>
      <c r="BK21" s="392">
        <f>'Table 4 Level 3'!M18</f>
        <v>205472</v>
      </c>
      <c r="BL21" s="14">
        <f t="shared" si="40"/>
        <v>135.35704874835309</v>
      </c>
      <c r="BM21" s="392">
        <f t="shared" si="65"/>
        <v>9324786.9344759993</v>
      </c>
      <c r="BN21" s="14">
        <f t="shared" si="41"/>
        <v>6142.8108922766796</v>
      </c>
      <c r="BO21" s="518">
        <f>'Table 4 Level 3'!P18</f>
        <v>1342132.4810000001</v>
      </c>
      <c r="BP21" s="519">
        <f t="shared" si="42"/>
        <v>884.14524440052708</v>
      </c>
      <c r="BQ21" s="392">
        <f t="shared" si="66"/>
        <v>10461447.415476</v>
      </c>
      <c r="BR21" s="14">
        <f t="shared" si="43"/>
        <v>6891.5990879288538</v>
      </c>
      <c r="BS21" s="1594">
        <f>'[13]Table 3 Levels 1&amp;2'!CE21</f>
        <v>-74810.809635998681</v>
      </c>
      <c r="BT21" s="1594">
        <f t="shared" si="67"/>
        <v>-49.282483291171729</v>
      </c>
      <c r="BU21" s="1594">
        <f t="shared" si="68"/>
        <v>67329.728672398822</v>
      </c>
      <c r="BV21" s="1594">
        <f t="shared" si="44"/>
        <v>44.354234962054562</v>
      </c>
      <c r="BW21" s="1600">
        <f t="shared" si="69"/>
        <v>10528777.144148398</v>
      </c>
      <c r="BX21" s="1602">
        <f t="shared" si="45"/>
        <v>6935.9533228909077</v>
      </c>
      <c r="BY21" s="16">
        <f t="shared" si="70"/>
        <v>0.73301943311834528</v>
      </c>
      <c r="BZ21" s="393">
        <f t="shared" si="71"/>
        <v>11</v>
      </c>
      <c r="CA21" s="14">
        <f t="shared" si="72"/>
        <v>3834794.5</v>
      </c>
      <c r="CB21" s="14">
        <f t="shared" si="46"/>
        <v>2526.2199999999998</v>
      </c>
      <c r="CC21" s="393">
        <f t="shared" si="73"/>
        <v>56</v>
      </c>
      <c r="CD21" s="16">
        <f t="shared" si="74"/>
        <v>0.26698056688165467</v>
      </c>
      <c r="CE21" s="393">
        <f t="shared" si="75"/>
        <v>14363571.644148398</v>
      </c>
      <c r="CF21" s="394">
        <f t="shared" si="47"/>
        <v>9462.1684085299057</v>
      </c>
      <c r="CG21" s="393">
        <f t="shared" si="76"/>
        <v>10</v>
      </c>
      <c r="CH21" s="1340">
        <v>10442244.713172</v>
      </c>
      <c r="CI21" s="279">
        <f t="shared" si="77"/>
        <v>86532.430976398289</v>
      </c>
      <c r="CJ21" s="1747"/>
      <c r="CK21" s="350"/>
      <c r="CL21" s="350"/>
      <c r="CM21" s="350"/>
      <c r="CN21" s="350"/>
      <c r="CO21" s="350"/>
      <c r="CP21" s="350"/>
      <c r="CQ21" s="350"/>
      <c r="CR21" s="350"/>
      <c r="CS21" s="350"/>
      <c r="CT21" s="169"/>
      <c r="CU21" s="169"/>
      <c r="CV21" s="1749"/>
      <c r="CW21" s="169"/>
      <c r="CX21" s="169"/>
      <c r="CY21" s="1749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</row>
    <row r="22" spans="1:183" s="5" customFormat="1">
      <c r="A22" s="101">
        <v>14</v>
      </c>
      <c r="B22" s="81" t="s">
        <v>108</v>
      </c>
      <c r="C22" s="607">
        <f>'[2]ALL-Reformatted'!AC19</f>
        <v>1871</v>
      </c>
      <c r="D22" s="607">
        <f>'[3]All-Reformatted'!AC19</f>
        <v>1492</v>
      </c>
      <c r="E22" s="607">
        <f t="shared" si="17"/>
        <v>328</v>
      </c>
      <c r="F22" s="607">
        <f>'[4]MS5627_CTE -Reformatted'!AC20</f>
        <v>518</v>
      </c>
      <c r="G22" s="607">
        <f t="shared" si="18"/>
        <v>31</v>
      </c>
      <c r="H22" s="607">
        <f>'[5]Rollup_Level1 Formatted 2'!Y19</f>
        <v>33</v>
      </c>
      <c r="I22" s="607">
        <f t="shared" si="19"/>
        <v>13</v>
      </c>
      <c r="J22" s="607">
        <f>'[5]Rollup_Level2 Formatted 2'!AB19</f>
        <v>277</v>
      </c>
      <c r="K22" s="607">
        <f t="shared" si="20"/>
        <v>152</v>
      </c>
      <c r="L22" s="607">
        <f>'[5]Rollup_Level3 Formatted 2'!T19</f>
        <v>38</v>
      </c>
      <c r="M22" s="607">
        <f t="shared" si="21"/>
        <v>30</v>
      </c>
      <c r="N22" s="607">
        <f>'[6]Rollup_Level1-REFORMATTED (2)'!P18</f>
        <v>25</v>
      </c>
      <c r="O22" s="607">
        <f t="shared" si="22"/>
        <v>9</v>
      </c>
      <c r="P22" s="607">
        <f>'[6]Rollup_Level2_REFORMATTED (2)'!V18</f>
        <v>123</v>
      </c>
      <c r="Q22" s="607">
        <f t="shared" si="23"/>
        <v>68</v>
      </c>
      <c r="R22" s="607">
        <f>'[6]Rollup_Level3 FORMATTED (2)'!Y18</f>
        <v>159</v>
      </c>
      <c r="S22" s="607">
        <f t="shared" si="24"/>
        <v>111</v>
      </c>
      <c r="T22" s="607">
        <f>[7]Exceeds!AJ19</f>
        <v>23</v>
      </c>
      <c r="U22" s="607">
        <f t="shared" si="25"/>
        <v>31</v>
      </c>
      <c r="V22" s="607">
        <f>'[8]Significantly Exceeds'!V19</f>
        <v>54</v>
      </c>
      <c r="W22" s="607">
        <f t="shared" si="26"/>
        <v>95</v>
      </c>
      <c r="X22" s="607">
        <f>'[9]Roll up'!J19</f>
        <v>16</v>
      </c>
      <c r="Y22" s="607">
        <f t="shared" si="27"/>
        <v>24</v>
      </c>
      <c r="Z22" s="607">
        <f>[10]BeginSchYr2011_ByExcept!P16</f>
        <v>2</v>
      </c>
      <c r="AA22" s="607">
        <f t="shared" si="28"/>
        <v>3</v>
      </c>
      <c r="AB22" s="1365">
        <v>9.1214042826946035E-3</v>
      </c>
      <c r="AC22" s="607">
        <f t="shared" si="48"/>
        <v>348</v>
      </c>
      <c r="AD22" s="607">
        <f t="shared" si="49"/>
        <v>0</v>
      </c>
      <c r="AE22" s="607">
        <f t="shared" si="50"/>
        <v>0</v>
      </c>
      <c r="AF22" s="607">
        <f t="shared" si="51"/>
        <v>10</v>
      </c>
      <c r="AG22" s="607">
        <f t="shared" si="29"/>
        <v>546</v>
      </c>
      <c r="AH22" s="607">
        <f>'[11]Rollup_PS-8th'!R18</f>
        <v>74</v>
      </c>
      <c r="AI22" s="13">
        <f t="shared" si="30"/>
        <v>44</v>
      </c>
      <c r="AJ22" s="13">
        <f>'[11]Rollup_9th-12th'!M18</f>
        <v>30</v>
      </c>
      <c r="AK22" s="13">
        <f t="shared" si="31"/>
        <v>9</v>
      </c>
      <c r="AL22" s="13">
        <f>[12]Reformatted!Y19</f>
        <v>0</v>
      </c>
      <c r="AM22" s="13">
        <f t="shared" si="52"/>
        <v>0</v>
      </c>
      <c r="AN22" s="13">
        <f t="shared" si="32"/>
        <v>5629</v>
      </c>
      <c r="AO22" s="65">
        <f t="shared" si="33"/>
        <v>0.15010999999999999</v>
      </c>
      <c r="AP22" s="13">
        <f t="shared" si="34"/>
        <v>281</v>
      </c>
      <c r="AQ22" s="13">
        <f t="shared" si="35"/>
        <v>1239</v>
      </c>
      <c r="AR22" s="13">
        <f t="shared" si="36"/>
        <v>3110</v>
      </c>
      <c r="AS22" s="388">
        <f t="shared" si="53"/>
        <v>3855</v>
      </c>
      <c r="AT22" s="388">
        <f t="shared" si="37"/>
        <v>11989050</v>
      </c>
      <c r="AU22" s="388">
        <f>'Table 6 (Local Deduct Calc.)'!J22</f>
        <v>3874339</v>
      </c>
      <c r="AV22" s="388">
        <f t="shared" si="54"/>
        <v>3874339</v>
      </c>
      <c r="AW22" s="389">
        <f t="shared" si="55"/>
        <v>8114711</v>
      </c>
      <c r="AX22" s="390">
        <f t="shared" si="78"/>
        <v>0.67679999999999996</v>
      </c>
      <c r="AY22" s="390">
        <f t="shared" si="56"/>
        <v>0.32319999999999999</v>
      </c>
      <c r="AZ22" s="391">
        <f t="shared" si="38"/>
        <v>2070.7316942811331</v>
      </c>
      <c r="BA22" s="388">
        <f>'Table 7 Local Revenue'!AQ21</f>
        <v>7570178</v>
      </c>
      <c r="BB22" s="388">
        <f t="shared" si="57"/>
        <v>3695839</v>
      </c>
      <c r="BC22" s="279">
        <f t="shared" si="58"/>
        <v>0</v>
      </c>
      <c r="BD22" s="14">
        <f t="shared" si="59"/>
        <v>4076277.0000000005</v>
      </c>
      <c r="BE22" s="14">
        <f t="shared" si="60"/>
        <v>3695839</v>
      </c>
      <c r="BF22" s="388">
        <f t="shared" si="61"/>
        <v>2054531.6834559999</v>
      </c>
      <c r="BG22" s="392">
        <f t="shared" si="62"/>
        <v>1641307.3165440001</v>
      </c>
      <c r="BH22" s="16">
        <f t="shared" si="63"/>
        <v>0.44409999999999999</v>
      </c>
      <c r="BI22" s="392">
        <f t="shared" si="64"/>
        <v>9756018.3165440001</v>
      </c>
      <c r="BJ22" s="14">
        <f t="shared" si="39"/>
        <v>5214</v>
      </c>
      <c r="BK22" s="392">
        <f>'Table 4 Level 3'!M19</f>
        <v>253253</v>
      </c>
      <c r="BL22" s="14">
        <f t="shared" si="40"/>
        <v>135.35702832709782</v>
      </c>
      <c r="BM22" s="392">
        <f t="shared" si="65"/>
        <v>10009271.316544</v>
      </c>
      <c r="BN22" s="14">
        <f t="shared" si="41"/>
        <v>5349.6907090026725</v>
      </c>
      <c r="BO22" s="518">
        <f>'Table 4 Level 3'!P19</f>
        <v>1767753.6039999998</v>
      </c>
      <c r="BP22" s="519">
        <f t="shared" si="42"/>
        <v>944.81753287012282</v>
      </c>
      <c r="BQ22" s="392">
        <f t="shared" si="66"/>
        <v>11523771.920544</v>
      </c>
      <c r="BR22" s="14">
        <f t="shared" si="43"/>
        <v>6159.1512135456978</v>
      </c>
      <c r="BS22" s="1594">
        <f>'[13]Table 3 Levels 1&amp;2'!CE22</f>
        <v>21832.423631999642</v>
      </c>
      <c r="BT22" s="1594">
        <f t="shared" si="67"/>
        <v>11.668852823089065</v>
      </c>
      <c r="BU22" s="1594">
        <f t="shared" si="68"/>
        <v>-19649.181268799679</v>
      </c>
      <c r="BV22" s="1594">
        <f t="shared" si="44"/>
        <v>-10.501967540780159</v>
      </c>
      <c r="BW22" s="1600">
        <f t="shared" si="69"/>
        <v>11504122.7392752</v>
      </c>
      <c r="BX22" s="1602">
        <f t="shared" si="45"/>
        <v>6148.6492460049176</v>
      </c>
      <c r="BY22" s="16">
        <f t="shared" si="70"/>
        <v>0.60312159782546981</v>
      </c>
      <c r="BZ22" s="393">
        <f t="shared" si="71"/>
        <v>42</v>
      </c>
      <c r="CA22" s="14">
        <f t="shared" si="72"/>
        <v>7570178</v>
      </c>
      <c r="CB22" s="14">
        <f t="shared" si="46"/>
        <v>4046.06</v>
      </c>
      <c r="CC22" s="393">
        <f t="shared" si="73"/>
        <v>18</v>
      </c>
      <c r="CD22" s="16">
        <f t="shared" si="74"/>
        <v>0.39687840217453008</v>
      </c>
      <c r="CE22" s="393">
        <f t="shared" si="75"/>
        <v>19074300.739275202</v>
      </c>
      <c r="CF22" s="394">
        <f t="shared" si="47"/>
        <v>10194.709107041797</v>
      </c>
      <c r="CG22" s="393">
        <f t="shared" si="76"/>
        <v>4</v>
      </c>
      <c r="CH22" s="1340">
        <v>11919638.323311999</v>
      </c>
      <c r="CI22" s="279">
        <f t="shared" si="77"/>
        <v>-415515.58403679915</v>
      </c>
      <c r="CJ22" s="1747"/>
      <c r="CK22" s="350"/>
      <c r="CL22" s="350"/>
      <c r="CM22" s="350"/>
      <c r="CN22" s="350"/>
      <c r="CO22" s="350"/>
      <c r="CP22" s="350"/>
      <c r="CQ22" s="350"/>
      <c r="CR22" s="350"/>
      <c r="CS22" s="350"/>
      <c r="CT22" s="169"/>
      <c r="CU22" s="169"/>
      <c r="CV22" s="1749"/>
      <c r="CW22" s="169"/>
      <c r="CX22" s="169"/>
      <c r="CY22" s="1749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</row>
    <row r="23" spans="1:183" s="21" customFormat="1">
      <c r="A23" s="102">
        <v>15</v>
      </c>
      <c r="B23" s="82" t="s">
        <v>109</v>
      </c>
      <c r="C23" s="792">
        <f>'[2]ALL-Reformatted'!AC20</f>
        <v>3628</v>
      </c>
      <c r="D23" s="792">
        <f>'[3]All-Reformatted'!AC20</f>
        <v>2783</v>
      </c>
      <c r="E23" s="792">
        <f t="shared" si="17"/>
        <v>612</v>
      </c>
      <c r="F23" s="792">
        <f>'[4]MS5627_CTE -Reformatted'!AC21</f>
        <v>1246.5</v>
      </c>
      <c r="G23" s="792">
        <f t="shared" si="18"/>
        <v>75</v>
      </c>
      <c r="H23" s="792">
        <f>'[5]Rollup_Level1 Formatted 2'!Y20</f>
        <v>54</v>
      </c>
      <c r="I23" s="792">
        <f t="shared" si="19"/>
        <v>22</v>
      </c>
      <c r="J23" s="792">
        <f>'[5]Rollup_Level2 Formatted 2'!AB20</f>
        <v>263</v>
      </c>
      <c r="K23" s="792">
        <f t="shared" si="20"/>
        <v>145</v>
      </c>
      <c r="L23" s="792">
        <f>'[5]Rollup_Level3 Formatted 2'!T20</f>
        <v>39</v>
      </c>
      <c r="M23" s="792">
        <f t="shared" si="21"/>
        <v>31</v>
      </c>
      <c r="N23" s="792">
        <f>'[6]Rollup_Level1-REFORMATTED (2)'!P19</f>
        <v>6</v>
      </c>
      <c r="O23" s="792">
        <f t="shared" si="22"/>
        <v>2</v>
      </c>
      <c r="P23" s="792">
        <f>'[6]Rollup_Level2_REFORMATTED (2)'!V19</f>
        <v>150</v>
      </c>
      <c r="Q23" s="792">
        <f t="shared" si="23"/>
        <v>83</v>
      </c>
      <c r="R23" s="792">
        <f>'[6]Rollup_Level3 FORMATTED (2)'!Y19</f>
        <v>123</v>
      </c>
      <c r="S23" s="792">
        <f t="shared" si="24"/>
        <v>86</v>
      </c>
      <c r="T23" s="792">
        <f>[7]Exceeds!AJ20</f>
        <v>28</v>
      </c>
      <c r="U23" s="792">
        <f t="shared" si="25"/>
        <v>38</v>
      </c>
      <c r="V23" s="792">
        <f>'[8]Significantly Exceeds'!V20</f>
        <v>42</v>
      </c>
      <c r="W23" s="792">
        <f t="shared" si="26"/>
        <v>74</v>
      </c>
      <c r="X23" s="792">
        <f>'[9]Roll up'!J20</f>
        <v>9</v>
      </c>
      <c r="Y23" s="792">
        <f t="shared" si="27"/>
        <v>14</v>
      </c>
      <c r="Z23" s="792">
        <f>[10]BeginSchYr2011_ByExcept!P17</f>
        <v>2</v>
      </c>
      <c r="AA23" s="792">
        <f t="shared" si="28"/>
        <v>3</v>
      </c>
      <c r="AB23" s="761">
        <v>-2.5843095976925079E-2</v>
      </c>
      <c r="AC23" s="792">
        <f t="shared" si="48"/>
        <v>356</v>
      </c>
      <c r="AD23" s="792">
        <f t="shared" si="49"/>
        <v>43</v>
      </c>
      <c r="AE23" s="792">
        <f t="shared" si="50"/>
        <v>0</v>
      </c>
      <c r="AF23" s="792">
        <f t="shared" si="51"/>
        <v>0</v>
      </c>
      <c r="AG23" s="792">
        <f t="shared" si="29"/>
        <v>541</v>
      </c>
      <c r="AH23" s="792">
        <f>'[11]Rollup_PS-8th'!R19</f>
        <v>35</v>
      </c>
      <c r="AI23" s="19">
        <f t="shared" si="30"/>
        <v>21</v>
      </c>
      <c r="AJ23" s="19">
        <f>'[11]Rollup_9th-12th'!M19</f>
        <v>48</v>
      </c>
      <c r="AK23" s="19">
        <f t="shared" si="31"/>
        <v>14.399999999999999</v>
      </c>
      <c r="AL23" s="19">
        <f>[12]Reformatted!Y20</f>
        <v>29</v>
      </c>
      <c r="AM23" s="19">
        <f t="shared" si="52"/>
        <v>8.6999999999999993</v>
      </c>
      <c r="AN23" s="19">
        <f t="shared" si="32"/>
        <v>3872</v>
      </c>
      <c r="AO23" s="66">
        <f t="shared" si="33"/>
        <v>0.10324999999999999</v>
      </c>
      <c r="AP23" s="19">
        <f t="shared" si="34"/>
        <v>375</v>
      </c>
      <c r="AQ23" s="19">
        <f t="shared" si="35"/>
        <v>1647.1000000000001</v>
      </c>
      <c r="AR23" s="13">
        <f t="shared" si="36"/>
        <v>5275.1</v>
      </c>
      <c r="AS23" s="395">
        <f t="shared" si="53"/>
        <v>3855</v>
      </c>
      <c r="AT23" s="395">
        <f t="shared" si="37"/>
        <v>20335511</v>
      </c>
      <c r="AU23" s="395">
        <f>'Table 6 (Local Deduct Calc.)'!J23</f>
        <v>4451258</v>
      </c>
      <c r="AV23" s="395">
        <f t="shared" si="54"/>
        <v>4451258</v>
      </c>
      <c r="AW23" s="396">
        <f t="shared" si="55"/>
        <v>15884253</v>
      </c>
      <c r="AX23" s="397">
        <f t="shared" si="78"/>
        <v>0.78110000000000002</v>
      </c>
      <c r="AY23" s="398">
        <f t="shared" si="56"/>
        <v>0.21890000000000001</v>
      </c>
      <c r="AZ23" s="399">
        <f t="shared" si="38"/>
        <v>1226.9178610804852</v>
      </c>
      <c r="BA23" s="395">
        <f>'Table 7 Local Revenue'!AQ22</f>
        <v>10198332</v>
      </c>
      <c r="BB23" s="395">
        <f t="shared" si="57"/>
        <v>5747074</v>
      </c>
      <c r="BC23" s="280">
        <f t="shared" si="58"/>
        <v>0</v>
      </c>
      <c r="BD23" s="20">
        <f t="shared" si="59"/>
        <v>6914073.7400000002</v>
      </c>
      <c r="BE23" s="20">
        <f t="shared" si="60"/>
        <v>5747074</v>
      </c>
      <c r="BF23" s="395">
        <f t="shared" si="61"/>
        <v>2163819.3375920001</v>
      </c>
      <c r="BG23" s="400">
        <f t="shared" si="62"/>
        <v>3583254.6624079999</v>
      </c>
      <c r="BH23" s="273">
        <f t="shared" si="63"/>
        <v>0.62350000000000005</v>
      </c>
      <c r="BI23" s="400">
        <f t="shared" si="64"/>
        <v>19467507.662408002</v>
      </c>
      <c r="BJ23" s="20">
        <f t="shared" si="39"/>
        <v>5366</v>
      </c>
      <c r="BK23" s="400">
        <f>'Table 4 Level 3'!M20</f>
        <v>430125</v>
      </c>
      <c r="BL23" s="20">
        <f t="shared" si="40"/>
        <v>118.55705622932746</v>
      </c>
      <c r="BM23" s="400">
        <f t="shared" si="65"/>
        <v>19897632.662408002</v>
      </c>
      <c r="BN23" s="20">
        <f t="shared" si="41"/>
        <v>5484.4632476317538</v>
      </c>
      <c r="BO23" s="520">
        <f>'Table 4 Level 3'!P20</f>
        <v>2438923.7399999998</v>
      </c>
      <c r="BP23" s="521">
        <f t="shared" si="42"/>
        <v>672.25020396912896</v>
      </c>
      <c r="BQ23" s="400">
        <f t="shared" si="66"/>
        <v>21906431.402408</v>
      </c>
      <c r="BR23" s="20">
        <f t="shared" si="43"/>
        <v>6038.1563953715549</v>
      </c>
      <c r="BS23" s="20">
        <f>'[13]Table 3 Levels 1&amp;2'!CE23</f>
        <v>-32715.262656003237</v>
      </c>
      <c r="BT23" s="20">
        <f t="shared" si="67"/>
        <v>-9.0174373362743214</v>
      </c>
      <c r="BU23" s="20">
        <f t="shared" si="68"/>
        <v>29443.736390402915</v>
      </c>
      <c r="BV23" s="20">
        <f t="shared" si="44"/>
        <v>8.1156936026468891</v>
      </c>
      <c r="BW23" s="760">
        <f t="shared" si="69"/>
        <v>21935875.138798404</v>
      </c>
      <c r="BX23" s="78">
        <f t="shared" si="45"/>
        <v>6046.2720889742022</v>
      </c>
      <c r="BY23" s="273">
        <f t="shared" si="70"/>
        <v>0.68263315301510352</v>
      </c>
      <c r="BZ23" s="401">
        <f t="shared" si="71"/>
        <v>23</v>
      </c>
      <c r="CA23" s="20">
        <f t="shared" si="72"/>
        <v>10198332</v>
      </c>
      <c r="CB23" s="20">
        <f t="shared" si="46"/>
        <v>2811.01</v>
      </c>
      <c r="CC23" s="401">
        <f t="shared" si="73"/>
        <v>50</v>
      </c>
      <c r="CD23" s="273">
        <f t="shared" si="74"/>
        <v>0.31736684698489642</v>
      </c>
      <c r="CE23" s="401">
        <f t="shared" si="75"/>
        <v>32134207.138798404</v>
      </c>
      <c r="CF23" s="402">
        <f t="shared" si="47"/>
        <v>8857.278704189197</v>
      </c>
      <c r="CG23" s="401">
        <f t="shared" si="76"/>
        <v>30</v>
      </c>
      <c r="CH23" s="1341">
        <v>21711191.832992002</v>
      </c>
      <c r="CI23" s="280">
        <f t="shared" si="77"/>
        <v>224683.30580640212</v>
      </c>
      <c r="CJ23" s="1747"/>
      <c r="CK23" s="350"/>
      <c r="CL23" s="350"/>
      <c r="CM23" s="350"/>
      <c r="CN23" s="350"/>
      <c r="CO23" s="350"/>
      <c r="CP23" s="350"/>
      <c r="CQ23" s="350"/>
      <c r="CR23" s="350"/>
      <c r="CS23" s="350"/>
      <c r="CT23" s="169"/>
      <c r="CU23" s="169"/>
      <c r="CV23" s="1749"/>
      <c r="CW23" s="169"/>
      <c r="CX23" s="169"/>
      <c r="CY23" s="1749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</row>
    <row r="24" spans="1:183" s="5" customFormat="1">
      <c r="A24" s="101">
        <v>16</v>
      </c>
      <c r="B24" s="81" t="s">
        <v>110</v>
      </c>
      <c r="C24" s="607">
        <f>'[2]ALL-Reformatted'!AC21</f>
        <v>4959</v>
      </c>
      <c r="D24" s="607">
        <f>'[3]All-Reformatted'!AC21</f>
        <v>3188</v>
      </c>
      <c r="E24" s="607">
        <f t="shared" si="17"/>
        <v>701</v>
      </c>
      <c r="F24" s="607">
        <f>'[4]MS5627_CTE -Reformatted'!AC22</f>
        <v>1918</v>
      </c>
      <c r="G24" s="607">
        <f t="shared" si="18"/>
        <v>115</v>
      </c>
      <c r="H24" s="607">
        <f>'[5]Rollup_Level1 Formatted 2'!Y21</f>
        <v>158</v>
      </c>
      <c r="I24" s="607">
        <f t="shared" si="19"/>
        <v>63</v>
      </c>
      <c r="J24" s="607">
        <f>'[5]Rollup_Level2 Formatted 2'!AB21</f>
        <v>347</v>
      </c>
      <c r="K24" s="607">
        <f t="shared" si="20"/>
        <v>191</v>
      </c>
      <c r="L24" s="607">
        <f>'[5]Rollup_Level3 Formatted 2'!T21</f>
        <v>60</v>
      </c>
      <c r="M24" s="607">
        <f t="shared" si="21"/>
        <v>48</v>
      </c>
      <c r="N24" s="607">
        <f>'[6]Rollup_Level1-REFORMATTED (2)'!P20</f>
        <v>69</v>
      </c>
      <c r="O24" s="607">
        <f t="shared" si="22"/>
        <v>24</v>
      </c>
      <c r="P24" s="607">
        <f>'[6]Rollup_Level2_REFORMATTED (2)'!V20</f>
        <v>105</v>
      </c>
      <c r="Q24" s="607">
        <f t="shared" si="23"/>
        <v>58</v>
      </c>
      <c r="R24" s="607">
        <f>'[6]Rollup_Level3 FORMATTED (2)'!Y20</f>
        <v>213</v>
      </c>
      <c r="S24" s="607">
        <f t="shared" si="24"/>
        <v>149</v>
      </c>
      <c r="T24" s="607">
        <f>[7]Exceeds!AJ21</f>
        <v>33</v>
      </c>
      <c r="U24" s="607">
        <f t="shared" si="25"/>
        <v>45</v>
      </c>
      <c r="V24" s="607">
        <f>'[8]Significantly Exceeds'!V21</f>
        <v>100</v>
      </c>
      <c r="W24" s="607">
        <f t="shared" si="26"/>
        <v>175</v>
      </c>
      <c r="X24" s="607">
        <f>'[9]Roll up'!J21</f>
        <v>12</v>
      </c>
      <c r="Y24" s="607">
        <f t="shared" si="27"/>
        <v>18</v>
      </c>
      <c r="Z24" s="607">
        <f>[10]BeginSchYr2011_ByExcept!P18</f>
        <v>1</v>
      </c>
      <c r="AA24" s="607">
        <f t="shared" si="28"/>
        <v>2</v>
      </c>
      <c r="AB24" s="590">
        <v>-1.6417135243773015E-2</v>
      </c>
      <c r="AC24" s="607">
        <f t="shared" si="48"/>
        <v>565</v>
      </c>
      <c r="AD24" s="607">
        <f t="shared" si="49"/>
        <v>0</v>
      </c>
      <c r="AE24" s="607">
        <f t="shared" si="50"/>
        <v>34</v>
      </c>
      <c r="AF24" s="607">
        <f t="shared" si="51"/>
        <v>0</v>
      </c>
      <c r="AG24" s="607">
        <f t="shared" si="29"/>
        <v>807</v>
      </c>
      <c r="AH24" s="607">
        <f>'[11]Rollup_PS-8th'!R20</f>
        <v>170</v>
      </c>
      <c r="AI24" s="13">
        <f t="shared" si="30"/>
        <v>102</v>
      </c>
      <c r="AJ24" s="13">
        <f>'[11]Rollup_9th-12th'!M20</f>
        <v>40</v>
      </c>
      <c r="AK24" s="13">
        <f t="shared" si="31"/>
        <v>12</v>
      </c>
      <c r="AL24" s="13">
        <f>[12]Reformatted!Y21</f>
        <v>73</v>
      </c>
      <c r="AM24" s="13">
        <f t="shared" si="52"/>
        <v>21.9</v>
      </c>
      <c r="AN24" s="13">
        <f t="shared" si="32"/>
        <v>2541</v>
      </c>
      <c r="AO24" s="65">
        <f t="shared" si="33"/>
        <v>6.7760000000000001E-2</v>
      </c>
      <c r="AP24" s="13">
        <f t="shared" si="34"/>
        <v>336</v>
      </c>
      <c r="AQ24" s="13">
        <f t="shared" si="35"/>
        <v>2094.9</v>
      </c>
      <c r="AR24" s="36">
        <f t="shared" si="36"/>
        <v>7053.9</v>
      </c>
      <c r="AS24" s="388">
        <f t="shared" si="53"/>
        <v>3855</v>
      </c>
      <c r="AT24" s="388">
        <f t="shared" si="37"/>
        <v>27192785</v>
      </c>
      <c r="AU24" s="388">
        <f>'Table 6 (Local Deduct Calc.)'!J24</f>
        <v>24817204.5</v>
      </c>
      <c r="AV24" s="388">
        <f t="shared" si="54"/>
        <v>20394588.75</v>
      </c>
      <c r="AW24" s="389">
        <f t="shared" si="55"/>
        <v>6798196.25</v>
      </c>
      <c r="AX24" s="390">
        <f t="shared" si="78"/>
        <v>0.25</v>
      </c>
      <c r="AY24" s="390">
        <f t="shared" si="56"/>
        <v>0.75</v>
      </c>
      <c r="AZ24" s="391">
        <f t="shared" si="38"/>
        <v>4112.6414095583787</v>
      </c>
      <c r="BA24" s="388">
        <f>'Table 7 Local Revenue'!AQ23</f>
        <v>76151542.5</v>
      </c>
      <c r="BB24" s="388">
        <f t="shared" si="57"/>
        <v>55756953.75</v>
      </c>
      <c r="BC24" s="279">
        <f t="shared" si="58"/>
        <v>0</v>
      </c>
      <c r="BD24" s="14">
        <f t="shared" si="59"/>
        <v>9245546.9000000004</v>
      </c>
      <c r="BE24" s="14">
        <f t="shared" si="60"/>
        <v>9245546.9000000004</v>
      </c>
      <c r="BF24" s="388">
        <f t="shared" si="61"/>
        <v>11926755.501</v>
      </c>
      <c r="BG24" s="392">
        <f t="shared" si="62"/>
        <v>0</v>
      </c>
      <c r="BH24" s="16">
        <f t="shared" si="63"/>
        <v>0</v>
      </c>
      <c r="BI24" s="392">
        <f t="shared" si="64"/>
        <v>6798196.25</v>
      </c>
      <c r="BJ24" s="14">
        <f t="shared" si="39"/>
        <v>1371</v>
      </c>
      <c r="BK24" s="392">
        <f>'Table 4 Level 3'!M21</f>
        <v>671237</v>
      </c>
      <c r="BL24" s="14">
        <f t="shared" si="40"/>
        <v>135.35733010687639</v>
      </c>
      <c r="BM24" s="392">
        <f t="shared" si="65"/>
        <v>7469433.25</v>
      </c>
      <c r="BN24" s="14">
        <f t="shared" si="41"/>
        <v>1506.2377999596692</v>
      </c>
      <c r="BO24" s="518">
        <f>'Table 4 Level 3'!P21</f>
        <v>4075563.6290000002</v>
      </c>
      <c r="BP24" s="519">
        <f t="shared" si="42"/>
        <v>821.8519114740875</v>
      </c>
      <c r="BQ24" s="392">
        <f t="shared" si="66"/>
        <v>10873759.879000001</v>
      </c>
      <c r="BR24" s="14">
        <f t="shared" si="43"/>
        <v>2192.7323813268804</v>
      </c>
      <c r="BS24" s="1594">
        <f>'[13]Table 3 Levels 1&amp;2'!CE24</f>
        <v>674.75</v>
      </c>
      <c r="BT24" s="1594">
        <f t="shared" si="67"/>
        <v>0.13606573906029443</v>
      </c>
      <c r="BU24" s="1594">
        <f t="shared" si="68"/>
        <v>-607.27499999999998</v>
      </c>
      <c r="BV24" s="1594">
        <f t="shared" si="44"/>
        <v>-0.12245916515426497</v>
      </c>
      <c r="BW24" s="1600">
        <f t="shared" si="69"/>
        <v>10873152.604</v>
      </c>
      <c r="BX24" s="1602">
        <f t="shared" si="45"/>
        <v>2192.609922161726</v>
      </c>
      <c r="BY24" s="16">
        <f t="shared" si="70"/>
        <v>0.26838484538283464</v>
      </c>
      <c r="BZ24" s="393">
        <f t="shared" si="71"/>
        <v>69</v>
      </c>
      <c r="CA24" s="14">
        <f t="shared" si="72"/>
        <v>29640135.649999999</v>
      </c>
      <c r="CB24" s="14">
        <f t="shared" si="46"/>
        <v>5977.04</v>
      </c>
      <c r="CC24" s="393">
        <f t="shared" si="73"/>
        <v>5</v>
      </c>
      <c r="CD24" s="16">
        <f t="shared" si="74"/>
        <v>0.73161515461716531</v>
      </c>
      <c r="CE24" s="393">
        <f t="shared" si="75"/>
        <v>40513288.254000001</v>
      </c>
      <c r="CF24" s="394">
        <f t="shared" si="47"/>
        <v>8169.648770719903</v>
      </c>
      <c r="CG24" s="393">
        <f t="shared" si="76"/>
        <v>59</v>
      </c>
      <c r="CH24" s="1340">
        <v>10472884.838</v>
      </c>
      <c r="CI24" s="279">
        <f t="shared" si="77"/>
        <v>400267.76600000076</v>
      </c>
      <c r="CJ24" s="1750"/>
      <c r="CK24" s="350"/>
      <c r="CL24" s="350"/>
      <c r="CM24" s="350"/>
      <c r="CN24" s="350"/>
      <c r="CO24" s="350"/>
      <c r="CP24" s="350"/>
      <c r="CQ24" s="350"/>
      <c r="CR24" s="350"/>
      <c r="CS24" s="350"/>
      <c r="CT24" s="169"/>
      <c r="CU24" s="169"/>
      <c r="CV24" s="1749"/>
      <c r="CW24" s="169"/>
      <c r="CX24" s="169"/>
      <c r="CY24" s="1749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</row>
    <row r="25" spans="1:183" s="1378" customFormat="1">
      <c r="A25" s="1369">
        <v>17</v>
      </c>
      <c r="B25" s="607" t="s">
        <v>111</v>
      </c>
      <c r="C25" s="607">
        <f>'[2]ALL-Reformatted'!AC22</f>
        <v>43751</v>
      </c>
      <c r="D25" s="607">
        <f>'[3]All-Reformatted'!AC22</f>
        <v>36857</v>
      </c>
      <c r="E25" s="607">
        <f t="shared" si="17"/>
        <v>8109</v>
      </c>
      <c r="F25" s="607">
        <f>'[4]MS5627_CTE -Reformatted'!AC23</f>
        <v>15616.5</v>
      </c>
      <c r="G25" s="607">
        <f t="shared" si="18"/>
        <v>937</v>
      </c>
      <c r="H25" s="607">
        <f>'[5]Rollup_Level1 Formatted 2'!Y22</f>
        <v>704</v>
      </c>
      <c r="I25" s="607">
        <f t="shared" si="19"/>
        <v>282</v>
      </c>
      <c r="J25" s="607">
        <f>'[5]Rollup_Level2 Formatted 2'!AB22</f>
        <v>3335</v>
      </c>
      <c r="K25" s="607">
        <f t="shared" si="20"/>
        <v>1834</v>
      </c>
      <c r="L25" s="607">
        <f>'[5]Rollup_Level3 Formatted 2'!T22</f>
        <v>598</v>
      </c>
      <c r="M25" s="607">
        <f t="shared" si="21"/>
        <v>478</v>
      </c>
      <c r="N25" s="607">
        <f>'[6]Rollup_Level1-REFORMATTED (2)'!P21</f>
        <v>903</v>
      </c>
      <c r="O25" s="607">
        <f t="shared" si="22"/>
        <v>316</v>
      </c>
      <c r="P25" s="607">
        <f>'[6]Rollup_Level2_REFORMATTED (2)'!V21</f>
        <v>692</v>
      </c>
      <c r="Q25" s="607">
        <f t="shared" si="23"/>
        <v>381</v>
      </c>
      <c r="R25" s="607">
        <f>'[6]Rollup_Level3 FORMATTED (2)'!Y21</f>
        <v>1547</v>
      </c>
      <c r="S25" s="607">
        <f t="shared" si="24"/>
        <v>1083</v>
      </c>
      <c r="T25" s="607">
        <f>[7]Exceeds!AJ22</f>
        <v>330</v>
      </c>
      <c r="U25" s="607">
        <f t="shared" si="25"/>
        <v>446</v>
      </c>
      <c r="V25" s="607">
        <f>'[8]Significantly Exceeds'!V22</f>
        <v>840</v>
      </c>
      <c r="W25" s="607">
        <f t="shared" si="26"/>
        <v>1470</v>
      </c>
      <c r="X25" s="607">
        <f>'[9]Roll up'!J22</f>
        <v>57</v>
      </c>
      <c r="Y25" s="607">
        <f t="shared" si="27"/>
        <v>86</v>
      </c>
      <c r="Z25" s="607">
        <f>[10]BeginSchYr2011_ByExcept!P19</f>
        <v>38</v>
      </c>
      <c r="AA25" s="607">
        <f t="shared" si="28"/>
        <v>57</v>
      </c>
      <c r="AB25" s="1365">
        <v>4.2579281268102162E-2</v>
      </c>
      <c r="AC25" s="607">
        <f t="shared" si="48"/>
        <v>4637</v>
      </c>
      <c r="AD25" s="607">
        <f t="shared" si="49"/>
        <v>0</v>
      </c>
      <c r="AE25" s="607">
        <f t="shared" si="50"/>
        <v>0</v>
      </c>
      <c r="AF25" s="607">
        <f t="shared" si="51"/>
        <v>0</v>
      </c>
      <c r="AG25" s="607">
        <f t="shared" si="29"/>
        <v>6433</v>
      </c>
      <c r="AH25" s="607">
        <f>'[11]Rollup_PS-8th'!R21</f>
        <v>1399</v>
      </c>
      <c r="AI25" s="607">
        <f t="shared" si="30"/>
        <v>839</v>
      </c>
      <c r="AJ25" s="607">
        <f>'[11]Rollup_9th-12th'!M21</f>
        <v>574</v>
      </c>
      <c r="AK25" s="607">
        <f t="shared" si="31"/>
        <v>172.2</v>
      </c>
      <c r="AL25" s="607">
        <f>[12]Reformatted!Y22</f>
        <v>621</v>
      </c>
      <c r="AM25" s="607">
        <f t="shared" si="52"/>
        <v>186.29999999999998</v>
      </c>
      <c r="AN25" s="607">
        <f t="shared" si="32"/>
        <v>0</v>
      </c>
      <c r="AO25" s="1370">
        <f t="shared" si="33"/>
        <v>0</v>
      </c>
      <c r="AP25" s="607">
        <f t="shared" si="34"/>
        <v>0</v>
      </c>
      <c r="AQ25" s="607">
        <f t="shared" si="35"/>
        <v>16676.5</v>
      </c>
      <c r="AR25" s="607">
        <f t="shared" si="36"/>
        <v>60427.5</v>
      </c>
      <c r="AS25" s="1371">
        <f t="shared" si="53"/>
        <v>3855</v>
      </c>
      <c r="AT25" s="1371">
        <f t="shared" si="37"/>
        <v>232948013</v>
      </c>
      <c r="AU25" s="1371">
        <f>'Table 6 (Local Deduct Calc.)'!J25</f>
        <v>120969805.5</v>
      </c>
      <c r="AV25" s="1371">
        <f t="shared" si="54"/>
        <v>120969805.5</v>
      </c>
      <c r="AW25" s="1590">
        <f t="shared" si="55"/>
        <v>111978207.5</v>
      </c>
      <c r="AX25" s="1372">
        <f t="shared" si="78"/>
        <v>0.48070000000000002</v>
      </c>
      <c r="AY25" s="1372">
        <f t="shared" si="56"/>
        <v>0.51929999999999998</v>
      </c>
      <c r="AZ25" s="1373">
        <f t="shared" si="38"/>
        <v>2764.9609266073917</v>
      </c>
      <c r="BA25" s="1371">
        <f>'Table 7 Local Revenue'!AQ24</f>
        <v>293576525.5</v>
      </c>
      <c r="BB25" s="1371">
        <f t="shared" si="57"/>
        <v>172606720</v>
      </c>
      <c r="BC25" s="1374">
        <f t="shared" si="58"/>
        <v>0</v>
      </c>
      <c r="BD25" s="600">
        <f t="shared" si="59"/>
        <v>79202324.420000002</v>
      </c>
      <c r="BE25" s="600">
        <f t="shared" si="60"/>
        <v>79202324.420000002</v>
      </c>
      <c r="BF25" s="1371">
        <f t="shared" si="61"/>
        <v>70743199.362646326</v>
      </c>
      <c r="BG25" s="602">
        <f t="shared" si="62"/>
        <v>8459125.0573536754</v>
      </c>
      <c r="BH25" s="590">
        <f t="shared" si="63"/>
        <v>0.10680000000000001</v>
      </c>
      <c r="BI25" s="602">
        <f t="shared" si="64"/>
        <v>120437332.55735368</v>
      </c>
      <c r="BJ25" s="600">
        <f t="shared" si="39"/>
        <v>2753</v>
      </c>
      <c r="BK25" s="602">
        <f>'Table 4 Level 3'!M22</f>
        <v>21560239</v>
      </c>
      <c r="BL25" s="600">
        <f t="shared" si="40"/>
        <v>492.79419898973737</v>
      </c>
      <c r="BM25" s="602">
        <f t="shared" si="65"/>
        <v>141997571.55735368</v>
      </c>
      <c r="BN25" s="600">
        <f t="shared" si="41"/>
        <v>3245.5845936630858</v>
      </c>
      <c r="BO25" s="1591">
        <f>'Table 4 Level 3'!P22</f>
        <v>56614065.1094267</v>
      </c>
      <c r="BP25" s="1375">
        <f t="shared" si="42"/>
        <v>1294.0061966452583</v>
      </c>
      <c r="BQ25" s="602">
        <f t="shared" si="66"/>
        <v>177051397.66678038</v>
      </c>
      <c r="BR25" s="600">
        <f t="shared" si="43"/>
        <v>4046.7965913186072</v>
      </c>
      <c r="BS25" s="1595">
        <f>'[13]Table 3 Levels 1&amp;2'!CE25</f>
        <v>-3209682.8509128094</v>
      </c>
      <c r="BT25" s="1595">
        <f t="shared" si="67"/>
        <v>-73.36250259223354</v>
      </c>
      <c r="BU25" s="1595">
        <f t="shared" si="68"/>
        <v>2888714.5658215284</v>
      </c>
      <c r="BV25" s="1595">
        <f t="shared" si="44"/>
        <v>66.026252333010177</v>
      </c>
      <c r="BW25" s="1600">
        <f t="shared" si="69"/>
        <v>179940112.23260191</v>
      </c>
      <c r="BX25" s="1602">
        <f t="shared" si="45"/>
        <v>4112.8228436516174</v>
      </c>
      <c r="BY25" s="590">
        <f t="shared" si="70"/>
        <v>0.47338678494959441</v>
      </c>
      <c r="BZ25" s="1376">
        <f t="shared" si="71"/>
        <v>59</v>
      </c>
      <c r="CA25" s="600">
        <f t="shared" si="72"/>
        <v>200172129.91999999</v>
      </c>
      <c r="CB25" s="600">
        <f t="shared" si="46"/>
        <v>4575.26</v>
      </c>
      <c r="CC25" s="1376">
        <f t="shared" si="73"/>
        <v>12</v>
      </c>
      <c r="CD25" s="590">
        <f t="shared" si="74"/>
        <v>0.52661321505040559</v>
      </c>
      <c r="CE25" s="1376">
        <f t="shared" si="75"/>
        <v>380112242.1526019</v>
      </c>
      <c r="CF25" s="1377">
        <f t="shared" si="47"/>
        <v>8688.0812359169358</v>
      </c>
      <c r="CG25" s="1376">
        <f t="shared" si="76"/>
        <v>39</v>
      </c>
      <c r="CH25" s="1592">
        <v>183217780.48914701</v>
      </c>
      <c r="CI25" s="1374">
        <f t="shared" si="77"/>
        <v>-3277668.2565450966</v>
      </c>
      <c r="CJ25" s="1753"/>
      <c r="CK25" s="1754"/>
      <c r="CL25" s="1754"/>
      <c r="CM25" s="1754"/>
      <c r="CN25" s="1754"/>
      <c r="CO25" s="1754"/>
      <c r="CP25" s="1754"/>
      <c r="CQ25" s="1754"/>
      <c r="CR25" s="1754"/>
      <c r="CS25" s="1754"/>
      <c r="CT25" s="1755"/>
      <c r="CU25" s="1755"/>
      <c r="CV25" s="1756"/>
      <c r="CW25" s="1755"/>
      <c r="CX25" s="1755"/>
      <c r="CY25" s="1756"/>
      <c r="CZ25" s="724"/>
      <c r="DA25" s="724"/>
      <c r="DB25" s="724"/>
      <c r="DC25" s="724"/>
      <c r="DD25" s="724"/>
      <c r="DE25" s="724"/>
      <c r="DF25" s="724"/>
      <c r="DG25" s="724"/>
      <c r="DH25" s="724"/>
      <c r="DI25" s="724"/>
      <c r="DJ25" s="724"/>
      <c r="DK25" s="724"/>
      <c r="DL25" s="724"/>
      <c r="DM25" s="724"/>
      <c r="DN25" s="724"/>
      <c r="DO25" s="724"/>
      <c r="DP25" s="724"/>
      <c r="DQ25" s="724"/>
      <c r="DR25" s="724"/>
      <c r="DS25" s="724"/>
      <c r="DT25" s="724"/>
      <c r="DU25" s="724"/>
      <c r="DV25" s="724"/>
      <c r="DW25" s="724"/>
      <c r="DX25" s="724"/>
      <c r="DY25" s="724"/>
      <c r="DZ25" s="724"/>
      <c r="EA25" s="724"/>
      <c r="EB25" s="724"/>
      <c r="EC25" s="724"/>
      <c r="ED25" s="724"/>
      <c r="EE25" s="724"/>
      <c r="EF25" s="724"/>
      <c r="EG25" s="724"/>
      <c r="EH25" s="724"/>
      <c r="EI25" s="724"/>
      <c r="EJ25" s="724"/>
      <c r="EK25" s="724"/>
      <c r="EL25" s="724"/>
      <c r="EM25" s="724"/>
      <c r="EN25" s="724"/>
      <c r="EO25" s="724"/>
      <c r="EP25" s="724"/>
      <c r="EQ25" s="724"/>
      <c r="ER25" s="724"/>
      <c r="ES25" s="724"/>
      <c r="ET25" s="724"/>
      <c r="EU25" s="724"/>
      <c r="EV25" s="724"/>
      <c r="EW25" s="724"/>
      <c r="EX25" s="724"/>
      <c r="EY25" s="724"/>
      <c r="EZ25" s="724"/>
      <c r="FA25" s="724"/>
      <c r="FB25" s="724"/>
      <c r="FC25" s="724"/>
      <c r="FD25" s="724"/>
      <c r="FE25" s="724"/>
      <c r="FF25" s="724"/>
      <c r="FG25" s="724"/>
      <c r="FH25" s="724"/>
      <c r="FI25" s="724"/>
      <c r="FJ25" s="724"/>
      <c r="FK25" s="724"/>
      <c r="FL25" s="724"/>
      <c r="FM25" s="724"/>
      <c r="FN25" s="724"/>
      <c r="FO25" s="724"/>
      <c r="FP25" s="724"/>
      <c r="FQ25" s="724"/>
      <c r="FR25" s="724"/>
      <c r="FS25" s="724"/>
      <c r="FT25" s="724"/>
      <c r="FU25" s="724"/>
      <c r="FV25" s="724"/>
      <c r="FW25" s="724"/>
      <c r="FX25" s="724"/>
      <c r="FY25" s="724"/>
      <c r="FZ25" s="724"/>
      <c r="GA25" s="724"/>
    </row>
    <row r="26" spans="1:183" s="5" customFormat="1">
      <c r="A26" s="101">
        <v>18</v>
      </c>
      <c r="B26" s="81" t="s">
        <v>112</v>
      </c>
      <c r="C26" s="607">
        <f>'[2]ALL-Reformatted'!AC23</f>
        <v>1122</v>
      </c>
      <c r="D26" s="607">
        <f>'[3]All-Reformatted'!AC23</f>
        <v>1046</v>
      </c>
      <c r="E26" s="607">
        <f t="shared" si="17"/>
        <v>230</v>
      </c>
      <c r="F26" s="607">
        <f>'[4]MS5627_CTE -Reformatted'!AC24</f>
        <v>420.5</v>
      </c>
      <c r="G26" s="607">
        <f t="shared" si="18"/>
        <v>25</v>
      </c>
      <c r="H26" s="607">
        <f>'[5]Rollup_Level1 Formatted 2'!Y23</f>
        <v>16</v>
      </c>
      <c r="I26" s="607">
        <f t="shared" si="19"/>
        <v>6</v>
      </c>
      <c r="J26" s="607">
        <f>'[5]Rollup_Level2 Formatted 2'!AB23</f>
        <v>91</v>
      </c>
      <c r="K26" s="607">
        <f t="shared" si="20"/>
        <v>50</v>
      </c>
      <c r="L26" s="607">
        <f>'[5]Rollup_Level3 Formatted 2'!T23</f>
        <v>15</v>
      </c>
      <c r="M26" s="607">
        <f t="shared" si="21"/>
        <v>12</v>
      </c>
      <c r="N26" s="607">
        <f>'[6]Rollup_Level1-REFORMATTED (2)'!P22</f>
        <v>1</v>
      </c>
      <c r="O26" s="607">
        <f t="shared" si="22"/>
        <v>0</v>
      </c>
      <c r="P26" s="607">
        <f>'[6]Rollup_Level2_REFORMATTED (2)'!V22</f>
        <v>22</v>
      </c>
      <c r="Q26" s="607">
        <f t="shared" si="23"/>
        <v>12</v>
      </c>
      <c r="R26" s="607">
        <f>'[6]Rollup_Level3 FORMATTED (2)'!Y22</f>
        <v>79</v>
      </c>
      <c r="S26" s="607">
        <f t="shared" si="24"/>
        <v>55</v>
      </c>
      <c r="T26" s="607">
        <f>[7]Exceeds!AJ23</f>
        <v>14</v>
      </c>
      <c r="U26" s="607">
        <f t="shared" si="25"/>
        <v>19</v>
      </c>
      <c r="V26" s="607">
        <f>'[8]Significantly Exceeds'!V23</f>
        <v>16</v>
      </c>
      <c r="W26" s="607">
        <f t="shared" si="26"/>
        <v>28</v>
      </c>
      <c r="X26" s="607">
        <f>'[9]Roll up'!J23</f>
        <v>9</v>
      </c>
      <c r="Y26" s="607">
        <f t="shared" si="27"/>
        <v>14</v>
      </c>
      <c r="Z26" s="607">
        <v>0</v>
      </c>
      <c r="AA26" s="607">
        <f t="shared" si="28"/>
        <v>0</v>
      </c>
      <c r="AB26" s="590">
        <v>-1.2411347517730487E-2</v>
      </c>
      <c r="AC26" s="607">
        <f t="shared" si="48"/>
        <v>122</v>
      </c>
      <c r="AD26" s="607">
        <f t="shared" si="49"/>
        <v>0</v>
      </c>
      <c r="AE26" s="607">
        <f t="shared" si="50"/>
        <v>7</v>
      </c>
      <c r="AF26" s="607">
        <f t="shared" si="51"/>
        <v>0</v>
      </c>
      <c r="AG26" s="607">
        <f t="shared" si="29"/>
        <v>203</v>
      </c>
      <c r="AH26" s="607">
        <f>'[11]Rollup_PS-8th'!R22</f>
        <v>1</v>
      </c>
      <c r="AI26" s="13">
        <f t="shared" si="30"/>
        <v>1</v>
      </c>
      <c r="AJ26" s="13">
        <f>'[11]Rollup_9th-12th'!M22</f>
        <v>0</v>
      </c>
      <c r="AK26" s="13">
        <f t="shared" si="31"/>
        <v>0</v>
      </c>
      <c r="AL26" s="13">
        <f>[12]Reformatted!Y23</f>
        <v>0</v>
      </c>
      <c r="AM26" s="13">
        <f t="shared" si="52"/>
        <v>0</v>
      </c>
      <c r="AN26" s="13">
        <f t="shared" si="32"/>
        <v>6378</v>
      </c>
      <c r="AO26" s="65">
        <f t="shared" si="33"/>
        <v>0.17008000000000001</v>
      </c>
      <c r="AP26" s="13">
        <f t="shared" si="34"/>
        <v>191</v>
      </c>
      <c r="AQ26" s="13">
        <f t="shared" si="35"/>
        <v>650</v>
      </c>
      <c r="AR26" s="13">
        <f t="shared" si="36"/>
        <v>1772</v>
      </c>
      <c r="AS26" s="388">
        <f t="shared" si="53"/>
        <v>3855</v>
      </c>
      <c r="AT26" s="388">
        <f t="shared" si="37"/>
        <v>6831060</v>
      </c>
      <c r="AU26" s="388">
        <f>'Table 6 (Local Deduct Calc.)'!J26</f>
        <v>1192159.5</v>
      </c>
      <c r="AV26" s="388">
        <f t="shared" si="54"/>
        <v>1192159.5</v>
      </c>
      <c r="AW26" s="389">
        <f t="shared" si="55"/>
        <v>5638900.5</v>
      </c>
      <c r="AX26" s="390">
        <f t="shared" si="78"/>
        <v>0.82550000000000001</v>
      </c>
      <c r="AY26" s="390">
        <f t="shared" si="56"/>
        <v>0.17449999999999999</v>
      </c>
      <c r="AZ26" s="391">
        <f t="shared" si="38"/>
        <v>1062.5307486631016</v>
      </c>
      <c r="BA26" s="388">
        <f>'Table 7 Local Revenue'!AQ25</f>
        <v>2546748.5</v>
      </c>
      <c r="BB26" s="388">
        <f t="shared" si="57"/>
        <v>1354589</v>
      </c>
      <c r="BC26" s="279">
        <f t="shared" si="58"/>
        <v>0</v>
      </c>
      <c r="BD26" s="14">
        <f t="shared" si="59"/>
        <v>2322560.4000000004</v>
      </c>
      <c r="BE26" s="14">
        <f t="shared" si="60"/>
        <v>1354589</v>
      </c>
      <c r="BF26" s="388">
        <f t="shared" si="61"/>
        <v>406566.34245999996</v>
      </c>
      <c r="BG26" s="392">
        <f t="shared" si="62"/>
        <v>948022.65754000004</v>
      </c>
      <c r="BH26" s="16">
        <f t="shared" si="63"/>
        <v>0.69989999999999997</v>
      </c>
      <c r="BI26" s="392">
        <f t="shared" si="64"/>
        <v>6586923.15754</v>
      </c>
      <c r="BJ26" s="14">
        <f t="shared" si="39"/>
        <v>5871</v>
      </c>
      <c r="BK26" s="392">
        <f>'Table 4 Level 3'!M23</f>
        <v>151871</v>
      </c>
      <c r="BL26" s="14">
        <f t="shared" si="40"/>
        <v>135.35739750445632</v>
      </c>
      <c r="BM26" s="392">
        <f t="shared" si="65"/>
        <v>6738794.15754</v>
      </c>
      <c r="BN26" s="14">
        <f t="shared" si="41"/>
        <v>6006.0553988770052</v>
      </c>
      <c r="BO26" s="518">
        <f>'Table 4 Level 3'!P23</f>
        <v>1098709.8198089907</v>
      </c>
      <c r="BP26" s="519">
        <f t="shared" si="42"/>
        <v>979.24226364437675</v>
      </c>
      <c r="BQ26" s="392">
        <f t="shared" si="66"/>
        <v>7685632.9773489907</v>
      </c>
      <c r="BR26" s="14">
        <f t="shared" si="43"/>
        <v>6849.9402650169259</v>
      </c>
      <c r="BS26" s="1594">
        <f>'[13]Table 3 Levels 1&amp;2'!CE26</f>
        <v>51993.952080000192</v>
      </c>
      <c r="BT26" s="1594">
        <f t="shared" si="67"/>
        <v>46.34042074866327</v>
      </c>
      <c r="BU26" s="1594">
        <f t="shared" si="68"/>
        <v>-46794.556872000176</v>
      </c>
      <c r="BV26" s="1594">
        <f t="shared" si="44"/>
        <v>-41.706378673796948</v>
      </c>
      <c r="BW26" s="1600">
        <f t="shared" si="69"/>
        <v>7638838.4204769908</v>
      </c>
      <c r="BX26" s="1602">
        <f t="shared" si="45"/>
        <v>6808.2338863431287</v>
      </c>
      <c r="BY26" s="16">
        <f t="shared" si="70"/>
        <v>0.74996546395573471</v>
      </c>
      <c r="BZ26" s="393">
        <f t="shared" si="71"/>
        <v>7</v>
      </c>
      <c r="CA26" s="14">
        <f t="shared" si="72"/>
        <v>2546748.5</v>
      </c>
      <c r="CB26" s="14">
        <f t="shared" si="46"/>
        <v>2269.83</v>
      </c>
      <c r="CC26" s="393">
        <f t="shared" si="73"/>
        <v>59</v>
      </c>
      <c r="CD26" s="16">
        <f t="shared" si="74"/>
        <v>0.25003453604426512</v>
      </c>
      <c r="CE26" s="393">
        <f t="shared" si="75"/>
        <v>10185586.920476992</v>
      </c>
      <c r="CF26" s="394">
        <f t="shared" si="47"/>
        <v>9078.0632089812752</v>
      </c>
      <c r="CG26" s="393">
        <f t="shared" si="76"/>
        <v>22</v>
      </c>
      <c r="CH26" s="1340">
        <v>7604117.3686814159</v>
      </c>
      <c r="CI26" s="279">
        <f t="shared" si="77"/>
        <v>34721.051795574836</v>
      </c>
      <c r="CJ26" s="1750"/>
      <c r="CK26" s="350"/>
      <c r="CL26" s="350"/>
      <c r="CM26" s="350"/>
      <c r="CN26" s="350"/>
      <c r="CO26" s="350"/>
      <c r="CP26" s="350"/>
      <c r="CQ26" s="350"/>
      <c r="CR26" s="350"/>
      <c r="CS26" s="350"/>
      <c r="CT26" s="169"/>
      <c r="CU26" s="169"/>
      <c r="CV26" s="1749"/>
      <c r="CW26" s="169"/>
      <c r="CX26" s="169"/>
      <c r="CY26" s="1749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</row>
    <row r="27" spans="1:183" s="5" customFormat="1">
      <c r="A27" s="101">
        <v>19</v>
      </c>
      <c r="B27" s="81" t="s">
        <v>113</v>
      </c>
      <c r="C27" s="607">
        <f>'[2]ALL-Reformatted'!AC24</f>
        <v>1922</v>
      </c>
      <c r="D27" s="607">
        <f>'[3]All-Reformatted'!AC24</f>
        <v>1598</v>
      </c>
      <c r="E27" s="607">
        <f t="shared" si="17"/>
        <v>352</v>
      </c>
      <c r="F27" s="607">
        <f>'[4]MS5627_CTE -Reformatted'!AC25</f>
        <v>683</v>
      </c>
      <c r="G27" s="607">
        <f t="shared" si="18"/>
        <v>41</v>
      </c>
      <c r="H27" s="607">
        <f>'[5]Rollup_Level1 Formatted 2'!Y24</f>
        <v>54</v>
      </c>
      <c r="I27" s="607">
        <f t="shared" si="19"/>
        <v>22</v>
      </c>
      <c r="J27" s="607">
        <f>'[5]Rollup_Level2 Formatted 2'!AB24</f>
        <v>201</v>
      </c>
      <c r="K27" s="607">
        <f t="shared" si="20"/>
        <v>111</v>
      </c>
      <c r="L27" s="607">
        <f>'[5]Rollup_Level3 Formatted 2'!T24</f>
        <v>25</v>
      </c>
      <c r="M27" s="607">
        <f t="shared" si="21"/>
        <v>20</v>
      </c>
      <c r="N27" s="607">
        <f>'[6]Rollup_Level1-REFORMATTED (2)'!P23</f>
        <v>37</v>
      </c>
      <c r="O27" s="607">
        <f t="shared" si="22"/>
        <v>13</v>
      </c>
      <c r="P27" s="607">
        <f>'[6]Rollup_Level2_REFORMATTED (2)'!V23</f>
        <v>71</v>
      </c>
      <c r="Q27" s="607">
        <f t="shared" si="23"/>
        <v>39</v>
      </c>
      <c r="R27" s="607">
        <f>'[6]Rollup_Level3 FORMATTED (2)'!Y23</f>
        <v>72</v>
      </c>
      <c r="S27" s="607">
        <f t="shared" si="24"/>
        <v>50</v>
      </c>
      <c r="T27" s="607">
        <f>[7]Exceeds!AJ24</f>
        <v>16</v>
      </c>
      <c r="U27" s="607">
        <f t="shared" si="25"/>
        <v>22</v>
      </c>
      <c r="V27" s="607">
        <f>'[8]Significantly Exceeds'!V24</f>
        <v>23</v>
      </c>
      <c r="W27" s="607">
        <f t="shared" si="26"/>
        <v>40</v>
      </c>
      <c r="X27" s="607">
        <f>'[9]Roll up'!J24</f>
        <v>3</v>
      </c>
      <c r="Y27" s="607">
        <f t="shared" si="27"/>
        <v>5</v>
      </c>
      <c r="Z27" s="607">
        <f>[10]BeginSchYr2011_ByExcept!P20</f>
        <v>1</v>
      </c>
      <c r="AA27" s="607">
        <f t="shared" si="28"/>
        <v>2</v>
      </c>
      <c r="AB27" s="1365">
        <v>1.8015212313589268E-2</v>
      </c>
      <c r="AC27" s="607">
        <f t="shared" si="48"/>
        <v>280</v>
      </c>
      <c r="AD27" s="607">
        <f t="shared" si="49"/>
        <v>0</v>
      </c>
      <c r="AE27" s="607">
        <f t="shared" si="50"/>
        <v>0</v>
      </c>
      <c r="AF27" s="607">
        <f t="shared" si="51"/>
        <v>0</v>
      </c>
      <c r="AG27" s="607">
        <f t="shared" si="29"/>
        <v>324</v>
      </c>
      <c r="AH27" s="607">
        <f>'[11]Rollup_PS-8th'!R23</f>
        <v>12</v>
      </c>
      <c r="AI27" s="13">
        <f t="shared" si="30"/>
        <v>7</v>
      </c>
      <c r="AJ27" s="13">
        <f>'[11]Rollup_9th-12th'!M23</f>
        <v>7</v>
      </c>
      <c r="AK27" s="13">
        <f t="shared" si="31"/>
        <v>2.1</v>
      </c>
      <c r="AL27" s="13">
        <f>[12]Reformatted!Y24</f>
        <v>1</v>
      </c>
      <c r="AM27" s="13">
        <f t="shared" si="52"/>
        <v>0.3</v>
      </c>
      <c r="AN27" s="13">
        <f t="shared" si="32"/>
        <v>5578</v>
      </c>
      <c r="AO27" s="65">
        <f t="shared" si="33"/>
        <v>0.14874999999999999</v>
      </c>
      <c r="AP27" s="13">
        <f t="shared" si="34"/>
        <v>286</v>
      </c>
      <c r="AQ27" s="13">
        <f t="shared" si="35"/>
        <v>1012.4</v>
      </c>
      <c r="AR27" s="13">
        <f t="shared" si="36"/>
        <v>2934.4</v>
      </c>
      <c r="AS27" s="388">
        <f t="shared" si="53"/>
        <v>3855</v>
      </c>
      <c r="AT27" s="388">
        <f t="shared" si="37"/>
        <v>11312112</v>
      </c>
      <c r="AU27" s="388">
        <f>'Table 6 (Local Deduct Calc.)'!J27</f>
        <v>3026572.5</v>
      </c>
      <c r="AV27" s="388">
        <f t="shared" si="54"/>
        <v>3026572.5</v>
      </c>
      <c r="AW27" s="389">
        <f t="shared" si="55"/>
        <v>8285539.5</v>
      </c>
      <c r="AX27" s="390">
        <f t="shared" si="78"/>
        <v>0.73240000000000005</v>
      </c>
      <c r="AY27" s="390">
        <f t="shared" si="56"/>
        <v>0.2676</v>
      </c>
      <c r="AZ27" s="391">
        <f t="shared" si="38"/>
        <v>1574.6995317377732</v>
      </c>
      <c r="BA27" s="388">
        <f>'Table 7 Local Revenue'!AQ26</f>
        <v>5297638.5</v>
      </c>
      <c r="BB27" s="388">
        <f t="shared" si="57"/>
        <v>2271066</v>
      </c>
      <c r="BC27" s="279">
        <f t="shared" si="58"/>
        <v>0</v>
      </c>
      <c r="BD27" s="14">
        <f t="shared" si="59"/>
        <v>3846118.08</v>
      </c>
      <c r="BE27" s="14">
        <f t="shared" si="60"/>
        <v>2271066</v>
      </c>
      <c r="BF27" s="388">
        <f t="shared" si="61"/>
        <v>1045308.0899520001</v>
      </c>
      <c r="BG27" s="392">
        <f t="shared" si="62"/>
        <v>1225757.910048</v>
      </c>
      <c r="BH27" s="16">
        <f t="shared" si="63"/>
        <v>0.53969999999999996</v>
      </c>
      <c r="BI27" s="392">
        <f t="shared" si="64"/>
        <v>9511297.4100480005</v>
      </c>
      <c r="BJ27" s="14">
        <f t="shared" si="39"/>
        <v>4949</v>
      </c>
      <c r="BK27" s="392">
        <f>'Table 4 Level 3'!M24</f>
        <v>260157</v>
      </c>
      <c r="BL27" s="14">
        <f t="shared" si="40"/>
        <v>135.35744016649323</v>
      </c>
      <c r="BM27" s="392">
        <f t="shared" si="65"/>
        <v>9771454.4100480005</v>
      </c>
      <c r="BN27" s="14">
        <f t="shared" si="41"/>
        <v>5084.0033350926124</v>
      </c>
      <c r="BO27" s="518">
        <f>'Table 4 Level 3'!P24</f>
        <v>1999397.487</v>
      </c>
      <c r="BP27" s="519">
        <f t="shared" si="42"/>
        <v>1040.2692440166493</v>
      </c>
      <c r="BQ27" s="392">
        <f t="shared" si="66"/>
        <v>11510694.897048</v>
      </c>
      <c r="BR27" s="14">
        <f t="shared" si="43"/>
        <v>5988.915138942768</v>
      </c>
      <c r="BS27" s="1594">
        <f>'[13]Table 3 Levels 1&amp;2'!CE27</f>
        <v>-425200.81556800008</v>
      </c>
      <c r="BT27" s="1594">
        <f t="shared" si="67"/>
        <v>-221.22831195005207</v>
      </c>
      <c r="BU27" s="1594">
        <f t="shared" si="68"/>
        <v>382680.73401120008</v>
      </c>
      <c r="BV27" s="1594">
        <f t="shared" si="44"/>
        <v>199.10548075504687</v>
      </c>
      <c r="BW27" s="1600">
        <f t="shared" si="69"/>
        <v>11893375.6310592</v>
      </c>
      <c r="BX27" s="1602">
        <f t="shared" si="45"/>
        <v>6188.0206196978143</v>
      </c>
      <c r="BY27" s="16">
        <f t="shared" si="70"/>
        <v>0.69183676660304194</v>
      </c>
      <c r="BZ27" s="393">
        <f t="shared" si="71"/>
        <v>20</v>
      </c>
      <c r="CA27" s="14">
        <f t="shared" si="72"/>
        <v>5297638.5</v>
      </c>
      <c r="CB27" s="14">
        <f t="shared" si="46"/>
        <v>2756.32</v>
      </c>
      <c r="CC27" s="393">
        <f t="shared" si="73"/>
        <v>52</v>
      </c>
      <c r="CD27" s="16">
        <f t="shared" si="74"/>
        <v>0.30816323339695806</v>
      </c>
      <c r="CE27" s="393">
        <f t="shared" si="75"/>
        <v>17191014.1310592</v>
      </c>
      <c r="CF27" s="394">
        <f t="shared" si="47"/>
        <v>8944.3361764095735</v>
      </c>
      <c r="CG27" s="393">
        <f t="shared" si="76"/>
        <v>25</v>
      </c>
      <c r="CH27" s="1340">
        <v>11978768.294307999</v>
      </c>
      <c r="CI27" s="279">
        <f t="shared" si="77"/>
        <v>-85392.663248799741</v>
      </c>
      <c r="CJ27" s="1747"/>
      <c r="CK27" s="350"/>
      <c r="CL27" s="350"/>
      <c r="CM27" s="350"/>
      <c r="CN27" s="350"/>
      <c r="CO27" s="350"/>
      <c r="CP27" s="350"/>
      <c r="CQ27" s="350"/>
      <c r="CR27" s="350"/>
      <c r="CS27" s="350"/>
      <c r="CT27" s="169"/>
      <c r="CU27" s="169"/>
      <c r="CV27" s="1749"/>
      <c r="CW27" s="169"/>
      <c r="CX27" s="169"/>
      <c r="CY27" s="1749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</row>
    <row r="28" spans="1:183" s="21" customFormat="1">
      <c r="A28" s="102">
        <v>20</v>
      </c>
      <c r="B28" s="82" t="s">
        <v>114</v>
      </c>
      <c r="C28" s="82">
        <f>'[2]ALL-Reformatted'!AC25</f>
        <v>5902</v>
      </c>
      <c r="D28" s="82">
        <f>'[3]All-Reformatted'!AC25</f>
        <v>4519</v>
      </c>
      <c r="E28" s="82">
        <f t="shared" si="17"/>
        <v>994</v>
      </c>
      <c r="F28" s="82">
        <f>'[4]MS5627_CTE -Reformatted'!AC26</f>
        <v>1815</v>
      </c>
      <c r="G28" s="82">
        <f t="shared" si="18"/>
        <v>109</v>
      </c>
      <c r="H28" s="82">
        <f>'[5]Rollup_Level1 Formatted 2'!Y25</f>
        <v>65</v>
      </c>
      <c r="I28" s="82">
        <f t="shared" si="19"/>
        <v>26</v>
      </c>
      <c r="J28" s="82">
        <f>'[5]Rollup_Level2 Formatted 2'!AB25</f>
        <v>648</v>
      </c>
      <c r="K28" s="82">
        <f t="shared" si="20"/>
        <v>356</v>
      </c>
      <c r="L28" s="82">
        <f>'[5]Rollup_Level3 Formatted 2'!T25</f>
        <v>114</v>
      </c>
      <c r="M28" s="82">
        <f t="shared" si="21"/>
        <v>91</v>
      </c>
      <c r="N28" s="82">
        <f>'[6]Rollup_Level1-REFORMATTED (2)'!P24</f>
        <v>174</v>
      </c>
      <c r="O28" s="82">
        <f t="shared" si="22"/>
        <v>61</v>
      </c>
      <c r="P28" s="82">
        <f>'[6]Rollup_Level2_REFORMATTED (2)'!V24</f>
        <v>249</v>
      </c>
      <c r="Q28" s="82">
        <f t="shared" si="23"/>
        <v>137</v>
      </c>
      <c r="R28" s="82">
        <f>'[6]Rollup_Level3 FORMATTED (2)'!Y24</f>
        <v>295</v>
      </c>
      <c r="S28" s="82">
        <f t="shared" si="24"/>
        <v>207</v>
      </c>
      <c r="T28" s="82">
        <f>[7]Exceeds!AJ25</f>
        <v>51</v>
      </c>
      <c r="U28" s="82">
        <f t="shared" si="25"/>
        <v>69</v>
      </c>
      <c r="V28" s="82">
        <f>'[8]Significantly Exceeds'!V25</f>
        <v>105</v>
      </c>
      <c r="W28" s="82">
        <f t="shared" si="26"/>
        <v>184</v>
      </c>
      <c r="X28" s="82">
        <f>'[9]Roll up'!J25</f>
        <v>20</v>
      </c>
      <c r="Y28" s="82">
        <f t="shared" si="27"/>
        <v>30</v>
      </c>
      <c r="Z28" s="82">
        <f>[10]BeginSchYr2011_ByExcept!P21</f>
        <v>3</v>
      </c>
      <c r="AA28" s="82">
        <f t="shared" si="28"/>
        <v>5</v>
      </c>
      <c r="AB28" s="130">
        <v>-1.6150284900284889E-2</v>
      </c>
      <c r="AC28" s="82">
        <f t="shared" si="48"/>
        <v>827</v>
      </c>
      <c r="AD28" s="82">
        <f t="shared" si="49"/>
        <v>0</v>
      </c>
      <c r="AE28" s="82">
        <f t="shared" si="50"/>
        <v>50</v>
      </c>
      <c r="AF28" s="82">
        <f t="shared" si="51"/>
        <v>0</v>
      </c>
      <c r="AG28" s="82">
        <f t="shared" si="29"/>
        <v>1216</v>
      </c>
      <c r="AH28" s="82">
        <f>'[11]Rollup_PS-8th'!R24</f>
        <v>42</v>
      </c>
      <c r="AI28" s="19">
        <f t="shared" si="30"/>
        <v>25</v>
      </c>
      <c r="AJ28" s="19">
        <f>'[11]Rollup_9th-12th'!M24</f>
        <v>29</v>
      </c>
      <c r="AK28" s="19">
        <f t="shared" si="31"/>
        <v>8.6999999999999993</v>
      </c>
      <c r="AL28" s="19">
        <f>[12]Reformatted!Y25</f>
        <v>11</v>
      </c>
      <c r="AM28" s="19">
        <f t="shared" si="52"/>
        <v>3.3</v>
      </c>
      <c r="AN28" s="19">
        <f t="shared" si="32"/>
        <v>1598</v>
      </c>
      <c r="AO28" s="66">
        <f t="shared" si="33"/>
        <v>4.2610000000000002E-2</v>
      </c>
      <c r="AP28" s="19">
        <f t="shared" si="34"/>
        <v>251</v>
      </c>
      <c r="AQ28" s="19">
        <f t="shared" si="35"/>
        <v>2607</v>
      </c>
      <c r="AR28" s="13">
        <f t="shared" si="36"/>
        <v>8509</v>
      </c>
      <c r="AS28" s="395">
        <f t="shared" si="53"/>
        <v>3855</v>
      </c>
      <c r="AT28" s="395">
        <f t="shared" si="37"/>
        <v>32802195</v>
      </c>
      <c r="AU28" s="395">
        <f>'Table 6 (Local Deduct Calc.)'!J28</f>
        <v>6716932</v>
      </c>
      <c r="AV28" s="395">
        <f t="shared" si="54"/>
        <v>6716932</v>
      </c>
      <c r="AW28" s="396">
        <f t="shared" si="55"/>
        <v>26085263</v>
      </c>
      <c r="AX28" s="397">
        <f t="shared" si="78"/>
        <v>0.79520000000000002</v>
      </c>
      <c r="AY28" s="398">
        <f t="shared" si="56"/>
        <v>0.20480000000000001</v>
      </c>
      <c r="AZ28" s="399">
        <f t="shared" si="38"/>
        <v>1138.0772619451034</v>
      </c>
      <c r="BA28" s="395">
        <f>'Table 7 Local Revenue'!AQ27</f>
        <v>14395441</v>
      </c>
      <c r="BB28" s="395">
        <f t="shared" si="57"/>
        <v>7678509</v>
      </c>
      <c r="BC28" s="280">
        <f t="shared" si="58"/>
        <v>0</v>
      </c>
      <c r="BD28" s="20">
        <f t="shared" si="59"/>
        <v>11152746.300000001</v>
      </c>
      <c r="BE28" s="20">
        <f t="shared" si="60"/>
        <v>7678509</v>
      </c>
      <c r="BF28" s="395">
        <f t="shared" si="61"/>
        <v>2704800.8663039999</v>
      </c>
      <c r="BG28" s="400">
        <f t="shared" si="62"/>
        <v>4973708.1336960001</v>
      </c>
      <c r="BH28" s="273">
        <f t="shared" si="63"/>
        <v>0.64770000000000005</v>
      </c>
      <c r="BI28" s="400">
        <f t="shared" si="64"/>
        <v>31058971.133696001</v>
      </c>
      <c r="BJ28" s="20">
        <f t="shared" si="39"/>
        <v>5262</v>
      </c>
      <c r="BK28" s="400">
        <f>'Table 4 Level 3'!M25</f>
        <v>642886</v>
      </c>
      <c r="BL28" s="20">
        <f t="shared" si="40"/>
        <v>108.92680447305997</v>
      </c>
      <c r="BM28" s="400">
        <f t="shared" si="65"/>
        <v>31701857.133696001</v>
      </c>
      <c r="BN28" s="20">
        <f t="shared" si="41"/>
        <v>5371.3753191623182</v>
      </c>
      <c r="BO28" s="520">
        <f>'Table 4 Level 3'!P25</f>
        <v>4101875.1699999995</v>
      </c>
      <c r="BP28" s="521">
        <f t="shared" si="42"/>
        <v>694.99748729244311</v>
      </c>
      <c r="BQ28" s="400">
        <f t="shared" si="66"/>
        <v>35160846.303695999</v>
      </c>
      <c r="BR28" s="20">
        <f t="shared" si="43"/>
        <v>5957.4460019817006</v>
      </c>
      <c r="BS28" s="20">
        <f>'[13]Table 3 Levels 1&amp;2'!CE28</f>
        <v>-119544.29074399918</v>
      </c>
      <c r="BT28" s="20">
        <f t="shared" si="67"/>
        <v>-20.254878133513923</v>
      </c>
      <c r="BU28" s="20">
        <f t="shared" si="68"/>
        <v>107589.86166959927</v>
      </c>
      <c r="BV28" s="20">
        <f t="shared" si="44"/>
        <v>18.229390320162533</v>
      </c>
      <c r="BW28" s="760">
        <f t="shared" si="69"/>
        <v>35268436.165365599</v>
      </c>
      <c r="BX28" s="78">
        <f t="shared" si="45"/>
        <v>5975.6753923018632</v>
      </c>
      <c r="BY28" s="273">
        <f t="shared" si="70"/>
        <v>0.71014262635863967</v>
      </c>
      <c r="BZ28" s="401">
        <f t="shared" si="71"/>
        <v>15</v>
      </c>
      <c r="CA28" s="20">
        <f t="shared" si="72"/>
        <v>14395441</v>
      </c>
      <c r="CB28" s="20">
        <f t="shared" si="46"/>
        <v>2439.08</v>
      </c>
      <c r="CC28" s="401">
        <f t="shared" si="73"/>
        <v>57</v>
      </c>
      <c r="CD28" s="273">
        <f t="shared" si="74"/>
        <v>0.28985737364136033</v>
      </c>
      <c r="CE28" s="401">
        <f t="shared" si="75"/>
        <v>49663877.165365599</v>
      </c>
      <c r="CF28" s="402">
        <f t="shared" si="47"/>
        <v>8414.7538402855971</v>
      </c>
      <c r="CG28" s="401">
        <f t="shared" si="76"/>
        <v>51</v>
      </c>
      <c r="CH28" s="1341">
        <v>35076113.406792</v>
      </c>
      <c r="CI28" s="280">
        <f t="shared" si="77"/>
        <v>192322.75857359916</v>
      </c>
      <c r="CJ28" s="1747"/>
      <c r="CK28" s="350"/>
      <c r="CL28" s="350"/>
      <c r="CM28" s="350"/>
      <c r="CN28" s="350"/>
      <c r="CO28" s="350"/>
      <c r="CP28" s="350"/>
      <c r="CQ28" s="350"/>
      <c r="CR28" s="350"/>
      <c r="CS28" s="350"/>
      <c r="CT28" s="169"/>
      <c r="CU28" s="169"/>
      <c r="CV28" s="1749"/>
      <c r="CW28" s="169"/>
      <c r="CX28" s="169"/>
      <c r="CY28" s="1749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</row>
    <row r="29" spans="1:183" s="5" customFormat="1">
      <c r="A29" s="101">
        <v>21</v>
      </c>
      <c r="B29" s="81" t="s">
        <v>115</v>
      </c>
      <c r="C29" s="81">
        <f>'[2]ALL-Reformatted'!AC26</f>
        <v>3076</v>
      </c>
      <c r="D29" s="81">
        <f>'[3]All-Reformatted'!AC26</f>
        <v>2516</v>
      </c>
      <c r="E29" s="81">
        <f t="shared" si="17"/>
        <v>554</v>
      </c>
      <c r="F29" s="81">
        <f>'[4]MS5627_CTE -Reformatted'!AC27</f>
        <v>1198.5</v>
      </c>
      <c r="G29" s="81">
        <f t="shared" si="18"/>
        <v>72</v>
      </c>
      <c r="H29" s="81">
        <f>'[5]Rollup_Level1 Formatted 2'!Y26</f>
        <v>30</v>
      </c>
      <c r="I29" s="81">
        <f t="shared" si="19"/>
        <v>12</v>
      </c>
      <c r="J29" s="81">
        <f>'[5]Rollup_Level2 Formatted 2'!AB26</f>
        <v>342</v>
      </c>
      <c r="K29" s="81">
        <f t="shared" si="20"/>
        <v>188</v>
      </c>
      <c r="L29" s="81">
        <f>'[5]Rollup_Level3 Formatted 2'!T26</f>
        <v>36</v>
      </c>
      <c r="M29" s="81">
        <f t="shared" si="21"/>
        <v>29</v>
      </c>
      <c r="N29" s="81">
        <f>'[6]Rollup_Level1-REFORMATTED (2)'!P25</f>
        <v>37</v>
      </c>
      <c r="O29" s="81">
        <f t="shared" si="22"/>
        <v>13</v>
      </c>
      <c r="P29" s="81">
        <f>'[6]Rollup_Level2_REFORMATTED (2)'!V25</f>
        <v>53</v>
      </c>
      <c r="Q29" s="81">
        <f t="shared" si="23"/>
        <v>29</v>
      </c>
      <c r="R29" s="81">
        <f>'[6]Rollup_Level3 FORMATTED (2)'!Y25</f>
        <v>249</v>
      </c>
      <c r="S29" s="81">
        <f t="shared" si="24"/>
        <v>174</v>
      </c>
      <c r="T29" s="81">
        <f>[7]Exceeds!AJ26</f>
        <v>30</v>
      </c>
      <c r="U29" s="81">
        <f t="shared" si="25"/>
        <v>41</v>
      </c>
      <c r="V29" s="81">
        <f>'[8]Significantly Exceeds'!V26</f>
        <v>43</v>
      </c>
      <c r="W29" s="81">
        <f t="shared" si="26"/>
        <v>75</v>
      </c>
      <c r="X29" s="81">
        <f>'[9]Roll up'!J26</f>
        <v>6</v>
      </c>
      <c r="Y29" s="81">
        <f t="shared" si="27"/>
        <v>9</v>
      </c>
      <c r="Z29" s="81">
        <f>[10]BeginSchYr2011_ByExcept!P22</f>
        <v>6</v>
      </c>
      <c r="AA29" s="81">
        <f t="shared" si="28"/>
        <v>9</v>
      </c>
      <c r="AB29" s="129">
        <v>-6.3657739290015336E-3</v>
      </c>
      <c r="AC29" s="81">
        <f t="shared" si="48"/>
        <v>408</v>
      </c>
      <c r="AD29" s="81">
        <f t="shared" si="49"/>
        <v>0</v>
      </c>
      <c r="AE29" s="81">
        <f t="shared" si="50"/>
        <v>24</v>
      </c>
      <c r="AF29" s="81">
        <f t="shared" si="51"/>
        <v>0</v>
      </c>
      <c r="AG29" s="81">
        <f t="shared" si="29"/>
        <v>603</v>
      </c>
      <c r="AH29" s="81">
        <f>'[11]Rollup_PS-8th'!R25</f>
        <v>27</v>
      </c>
      <c r="AI29" s="13">
        <f t="shared" si="30"/>
        <v>16</v>
      </c>
      <c r="AJ29" s="13">
        <f>'[11]Rollup_9th-12th'!M25</f>
        <v>0</v>
      </c>
      <c r="AK29" s="13">
        <f t="shared" si="31"/>
        <v>0</v>
      </c>
      <c r="AL29" s="13">
        <f>[12]Reformatted!Y26</f>
        <v>0</v>
      </c>
      <c r="AM29" s="13">
        <f t="shared" si="52"/>
        <v>0</v>
      </c>
      <c r="AN29" s="13">
        <f t="shared" si="32"/>
        <v>4424</v>
      </c>
      <c r="AO29" s="65">
        <f t="shared" si="33"/>
        <v>0.11797000000000001</v>
      </c>
      <c r="AP29" s="13">
        <f t="shared" si="34"/>
        <v>363</v>
      </c>
      <c r="AQ29" s="13">
        <f t="shared" si="35"/>
        <v>1608</v>
      </c>
      <c r="AR29" s="36">
        <f t="shared" si="36"/>
        <v>4684</v>
      </c>
      <c r="AS29" s="388">
        <f t="shared" si="53"/>
        <v>3855</v>
      </c>
      <c r="AT29" s="388">
        <f t="shared" si="37"/>
        <v>18056820</v>
      </c>
      <c r="AU29" s="388">
        <f>'Table 6 (Local Deduct Calc.)'!J29</f>
        <v>3397246.5</v>
      </c>
      <c r="AV29" s="388">
        <f t="shared" si="54"/>
        <v>3397246.5</v>
      </c>
      <c r="AW29" s="389">
        <f t="shared" si="55"/>
        <v>14659573.5</v>
      </c>
      <c r="AX29" s="390">
        <f t="shared" si="78"/>
        <v>0.81189999999999996</v>
      </c>
      <c r="AY29" s="390">
        <f t="shared" si="56"/>
        <v>0.18809999999999999</v>
      </c>
      <c r="AZ29" s="391">
        <f t="shared" si="38"/>
        <v>1104.4364434330298</v>
      </c>
      <c r="BA29" s="388">
        <f>'Table 7 Local Revenue'!AQ28</f>
        <v>6749798.5</v>
      </c>
      <c r="BB29" s="388">
        <f t="shared" si="57"/>
        <v>3352552</v>
      </c>
      <c r="BC29" s="279">
        <f t="shared" si="58"/>
        <v>0</v>
      </c>
      <c r="BD29" s="14">
        <f t="shared" si="59"/>
        <v>6139318.8000000007</v>
      </c>
      <c r="BE29" s="14">
        <f t="shared" si="60"/>
        <v>3352552</v>
      </c>
      <c r="BF29" s="388">
        <f t="shared" si="61"/>
        <v>1084657.8536640001</v>
      </c>
      <c r="BG29" s="392">
        <f t="shared" si="62"/>
        <v>2267894.1463359999</v>
      </c>
      <c r="BH29" s="16">
        <f t="shared" si="63"/>
        <v>0.67649999999999999</v>
      </c>
      <c r="BI29" s="392">
        <f t="shared" si="64"/>
        <v>16927467.646336</v>
      </c>
      <c r="BJ29" s="14">
        <f t="shared" si="39"/>
        <v>5503</v>
      </c>
      <c r="BK29" s="392">
        <f>'Table 4 Level 3'!M26</f>
        <v>416359</v>
      </c>
      <c r="BL29" s="14">
        <f t="shared" si="40"/>
        <v>135.35728218465539</v>
      </c>
      <c r="BM29" s="392">
        <f t="shared" si="65"/>
        <v>17343826.646336</v>
      </c>
      <c r="BN29" s="14">
        <f t="shared" si="41"/>
        <v>5638.4351906163847</v>
      </c>
      <c r="BO29" s="518">
        <f>'Table 4 Level 3'!P26</f>
        <v>2287252.6195457662</v>
      </c>
      <c r="BP29" s="519">
        <f t="shared" si="42"/>
        <v>743.58017540499554</v>
      </c>
      <c r="BQ29" s="392">
        <f t="shared" si="66"/>
        <v>19214720.265881766</v>
      </c>
      <c r="BR29" s="14">
        <f t="shared" si="43"/>
        <v>6246.6580838367245</v>
      </c>
      <c r="BS29" s="1594">
        <f>'[13]Table 3 Levels 1&amp;2'!CE29</f>
        <v>-73098.714911997318</v>
      </c>
      <c r="BT29" s="1594">
        <f t="shared" si="67"/>
        <v>-23.764211609882093</v>
      </c>
      <c r="BU29" s="1594">
        <f t="shared" si="68"/>
        <v>65788.843420797595</v>
      </c>
      <c r="BV29" s="1594">
        <f t="shared" si="44"/>
        <v>21.387790448893888</v>
      </c>
      <c r="BW29" s="1600">
        <f t="shared" si="69"/>
        <v>19280509.109302562</v>
      </c>
      <c r="BX29" s="1602">
        <f t="shared" si="45"/>
        <v>6268.0458742856181</v>
      </c>
      <c r="BY29" s="16">
        <f t="shared" si="70"/>
        <v>0.74069463176117845</v>
      </c>
      <c r="BZ29" s="393">
        <f t="shared" si="71"/>
        <v>8</v>
      </c>
      <c r="CA29" s="14">
        <f t="shared" si="72"/>
        <v>6749798.5</v>
      </c>
      <c r="CB29" s="14">
        <f t="shared" si="46"/>
        <v>2194.34</v>
      </c>
      <c r="CC29" s="393">
        <f t="shared" si="73"/>
        <v>60</v>
      </c>
      <c r="CD29" s="16">
        <f t="shared" si="74"/>
        <v>0.25930536823882155</v>
      </c>
      <c r="CE29" s="393">
        <f t="shared" si="75"/>
        <v>26030307.609302562</v>
      </c>
      <c r="CF29" s="394">
        <f t="shared" si="47"/>
        <v>8462.3886896302211</v>
      </c>
      <c r="CG29" s="393">
        <f t="shared" si="76"/>
        <v>47</v>
      </c>
      <c r="CH29" s="1340">
        <v>19219915.395076312</v>
      </c>
      <c r="CI29" s="279">
        <f t="shared" si="77"/>
        <v>60593.714226249605</v>
      </c>
      <c r="CJ29" s="1747"/>
      <c r="CK29" s="350"/>
      <c r="CL29" s="350"/>
      <c r="CM29" s="350"/>
      <c r="CN29" s="350"/>
      <c r="CO29" s="350"/>
      <c r="CP29" s="350"/>
      <c r="CQ29" s="350"/>
      <c r="CR29" s="350"/>
      <c r="CS29" s="350"/>
      <c r="CT29" s="169"/>
      <c r="CU29" s="169"/>
      <c r="CV29" s="1749"/>
      <c r="CW29" s="169"/>
      <c r="CX29" s="169"/>
      <c r="CY29" s="174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</row>
    <row r="30" spans="1:183" s="5" customFormat="1">
      <c r="A30" s="101">
        <v>22</v>
      </c>
      <c r="B30" s="81" t="s">
        <v>116</v>
      </c>
      <c r="C30" s="81">
        <f>'[2]ALL-Reformatted'!AC27</f>
        <v>3214</v>
      </c>
      <c r="D30" s="81">
        <f>'[3]All-Reformatted'!AC27</f>
        <v>2123</v>
      </c>
      <c r="E30" s="81">
        <f t="shared" si="17"/>
        <v>467</v>
      </c>
      <c r="F30" s="81">
        <f>'[4]MS5627_CTE -Reformatted'!AC28</f>
        <v>920</v>
      </c>
      <c r="G30" s="81">
        <f t="shared" si="18"/>
        <v>55</v>
      </c>
      <c r="H30" s="81">
        <f>'[5]Rollup_Level1 Formatted 2'!Y27</f>
        <v>53</v>
      </c>
      <c r="I30" s="81">
        <f t="shared" si="19"/>
        <v>21</v>
      </c>
      <c r="J30" s="81">
        <f>'[5]Rollup_Level2 Formatted 2'!AB27</f>
        <v>414</v>
      </c>
      <c r="K30" s="81">
        <f t="shared" si="20"/>
        <v>228</v>
      </c>
      <c r="L30" s="81">
        <f>'[5]Rollup_Level3 Formatted 2'!T27</f>
        <v>35</v>
      </c>
      <c r="M30" s="81">
        <f t="shared" si="21"/>
        <v>28</v>
      </c>
      <c r="N30" s="81">
        <f>'[6]Rollup_Level1-REFORMATTED (2)'!P26</f>
        <v>15</v>
      </c>
      <c r="O30" s="81">
        <f t="shared" si="22"/>
        <v>5</v>
      </c>
      <c r="P30" s="81">
        <f>'[6]Rollup_Level2_REFORMATTED (2)'!V26</f>
        <v>95</v>
      </c>
      <c r="Q30" s="81">
        <f t="shared" si="23"/>
        <v>52</v>
      </c>
      <c r="R30" s="81">
        <f>'[6]Rollup_Level3 FORMATTED (2)'!Y26</f>
        <v>309</v>
      </c>
      <c r="S30" s="81">
        <f t="shared" si="24"/>
        <v>216</v>
      </c>
      <c r="T30" s="81">
        <f>[7]Exceeds!AJ27</f>
        <v>30</v>
      </c>
      <c r="U30" s="81">
        <f t="shared" si="25"/>
        <v>41</v>
      </c>
      <c r="V30" s="81">
        <f>'[8]Significantly Exceeds'!V27</f>
        <v>81</v>
      </c>
      <c r="W30" s="81">
        <f t="shared" si="26"/>
        <v>142</v>
      </c>
      <c r="X30" s="81">
        <f>'[9]Roll up'!J27</f>
        <v>15</v>
      </c>
      <c r="Y30" s="81">
        <f t="shared" si="27"/>
        <v>23</v>
      </c>
      <c r="Z30" s="81">
        <f>[10]BeginSchYr2011_ByExcept!P23</f>
        <v>1</v>
      </c>
      <c r="AA30" s="81">
        <f t="shared" si="28"/>
        <v>2</v>
      </c>
      <c r="AB30" s="129">
        <v>-1.7490607447085527E-2</v>
      </c>
      <c r="AC30" s="81">
        <f t="shared" si="48"/>
        <v>502</v>
      </c>
      <c r="AD30" s="81">
        <f t="shared" si="49"/>
        <v>0</v>
      </c>
      <c r="AE30" s="81">
        <f t="shared" si="50"/>
        <v>30</v>
      </c>
      <c r="AF30" s="81">
        <f t="shared" si="51"/>
        <v>0</v>
      </c>
      <c r="AG30" s="81">
        <f t="shared" si="29"/>
        <v>788</v>
      </c>
      <c r="AH30" s="81">
        <f>'[11]Rollup_PS-8th'!R26</f>
        <v>18</v>
      </c>
      <c r="AI30" s="13">
        <f t="shared" si="30"/>
        <v>11</v>
      </c>
      <c r="AJ30" s="13">
        <f>'[11]Rollup_9th-12th'!M26</f>
        <v>10</v>
      </c>
      <c r="AK30" s="13">
        <f t="shared" si="31"/>
        <v>3</v>
      </c>
      <c r="AL30" s="13">
        <f>[12]Reformatted!Y27</f>
        <v>14</v>
      </c>
      <c r="AM30" s="13">
        <f t="shared" si="52"/>
        <v>4.2</v>
      </c>
      <c r="AN30" s="13">
        <f t="shared" si="32"/>
        <v>4286</v>
      </c>
      <c r="AO30" s="65">
        <f t="shared" si="33"/>
        <v>0.11429</v>
      </c>
      <c r="AP30" s="13">
        <f t="shared" si="34"/>
        <v>367</v>
      </c>
      <c r="AQ30" s="13">
        <f t="shared" si="35"/>
        <v>1695.2</v>
      </c>
      <c r="AR30" s="13">
        <f t="shared" si="36"/>
        <v>4909.2</v>
      </c>
      <c r="AS30" s="388">
        <f t="shared" si="53"/>
        <v>3855</v>
      </c>
      <c r="AT30" s="388">
        <f t="shared" si="37"/>
        <v>18924966</v>
      </c>
      <c r="AU30" s="388">
        <f>'Table 6 (Local Deduct Calc.)'!J30</f>
        <v>1980814</v>
      </c>
      <c r="AV30" s="388">
        <f t="shared" si="54"/>
        <v>1980814</v>
      </c>
      <c r="AW30" s="389">
        <f t="shared" si="55"/>
        <v>16944152</v>
      </c>
      <c r="AX30" s="390">
        <f t="shared" si="78"/>
        <v>0.89529999999999998</v>
      </c>
      <c r="AY30" s="390">
        <f t="shared" si="56"/>
        <v>0.1047</v>
      </c>
      <c r="AZ30" s="391">
        <f t="shared" si="38"/>
        <v>616.30802738021157</v>
      </c>
      <c r="BA30" s="388">
        <f>'Table 7 Local Revenue'!AQ29</f>
        <v>5180689</v>
      </c>
      <c r="BB30" s="388">
        <f t="shared" si="57"/>
        <v>3199875</v>
      </c>
      <c r="BC30" s="279">
        <f t="shared" si="58"/>
        <v>0</v>
      </c>
      <c r="BD30" s="14">
        <f t="shared" si="59"/>
        <v>6434488.4400000004</v>
      </c>
      <c r="BE30" s="14">
        <f t="shared" si="60"/>
        <v>3199875</v>
      </c>
      <c r="BF30" s="388">
        <f t="shared" si="61"/>
        <v>576246.28949999996</v>
      </c>
      <c r="BG30" s="392">
        <f t="shared" si="62"/>
        <v>2623628.7105</v>
      </c>
      <c r="BH30" s="16">
        <f t="shared" si="63"/>
        <v>0.81989999999999996</v>
      </c>
      <c r="BI30" s="392">
        <f t="shared" si="64"/>
        <v>19567780.710500002</v>
      </c>
      <c r="BJ30" s="14">
        <f t="shared" si="39"/>
        <v>6088</v>
      </c>
      <c r="BK30" s="392">
        <f>'Table 4 Level 3'!M27</f>
        <v>435038</v>
      </c>
      <c r="BL30" s="14">
        <f t="shared" si="40"/>
        <v>135.35718730553828</v>
      </c>
      <c r="BM30" s="392">
        <f t="shared" si="65"/>
        <v>20002818.710500002</v>
      </c>
      <c r="BN30" s="14">
        <f t="shared" si="41"/>
        <v>6223.6523679215934</v>
      </c>
      <c r="BO30" s="518">
        <f>'Table 4 Level 3'!P27</f>
        <v>2029991.5880000002</v>
      </c>
      <c r="BP30" s="519">
        <f t="shared" si="42"/>
        <v>631.60908151835724</v>
      </c>
      <c r="BQ30" s="392">
        <f t="shared" si="66"/>
        <v>21597772.298500001</v>
      </c>
      <c r="BR30" s="14">
        <f t="shared" si="43"/>
        <v>6719.9042621344124</v>
      </c>
      <c r="BS30" s="1594">
        <f>'[13]Table 3 Levels 1&amp;2'!CE30</f>
        <v>115891.8583920002</v>
      </c>
      <c r="BT30" s="1594">
        <f t="shared" si="67"/>
        <v>36.058450028624826</v>
      </c>
      <c r="BU30" s="1594">
        <f t="shared" si="68"/>
        <v>-104302.67255280018</v>
      </c>
      <c r="BV30" s="1594">
        <f t="shared" si="44"/>
        <v>-32.452605025762345</v>
      </c>
      <c r="BW30" s="1600">
        <f t="shared" si="69"/>
        <v>21493469.6259472</v>
      </c>
      <c r="BX30" s="1602">
        <f t="shared" si="45"/>
        <v>6687.4516571086497</v>
      </c>
      <c r="BY30" s="16">
        <f t="shared" si="70"/>
        <v>0.80577872866960831</v>
      </c>
      <c r="BZ30" s="393">
        <f t="shared" si="71"/>
        <v>2</v>
      </c>
      <c r="CA30" s="14">
        <f t="shared" si="72"/>
        <v>5180689</v>
      </c>
      <c r="CB30" s="14">
        <f t="shared" si="46"/>
        <v>1611.91</v>
      </c>
      <c r="CC30" s="393">
        <f t="shared" si="73"/>
        <v>67</v>
      </c>
      <c r="CD30" s="16">
        <f t="shared" si="74"/>
        <v>0.19422127133039171</v>
      </c>
      <c r="CE30" s="393">
        <f t="shared" si="75"/>
        <v>26674158.6259472</v>
      </c>
      <c r="CF30" s="394">
        <f t="shared" si="47"/>
        <v>8299.3648493924084</v>
      </c>
      <c r="CG30" s="393">
        <f t="shared" si="76"/>
        <v>54</v>
      </c>
      <c r="CH30" s="1340">
        <v>21966422.041484002</v>
      </c>
      <c r="CI30" s="279">
        <f t="shared" si="77"/>
        <v>-472952.41553680226</v>
      </c>
      <c r="CJ30" s="1750"/>
      <c r="CK30" s="350"/>
      <c r="CL30" s="350"/>
      <c r="CM30" s="350"/>
      <c r="CN30" s="350"/>
      <c r="CO30" s="350"/>
      <c r="CP30" s="350"/>
      <c r="CQ30" s="350"/>
      <c r="CR30" s="350"/>
      <c r="CS30" s="350"/>
      <c r="CT30" s="169"/>
      <c r="CU30" s="169"/>
      <c r="CV30" s="1749"/>
      <c r="CW30" s="169"/>
      <c r="CX30" s="169"/>
      <c r="CY30" s="1749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</row>
    <row r="31" spans="1:183" s="5" customFormat="1">
      <c r="A31" s="101">
        <v>23</v>
      </c>
      <c r="B31" s="81" t="s">
        <v>117</v>
      </c>
      <c r="C31" s="81">
        <f>'[2]ALL-Reformatted'!AC28</f>
        <v>13516</v>
      </c>
      <c r="D31" s="81">
        <f>'[3]All-Reformatted'!AC28</f>
        <v>9593</v>
      </c>
      <c r="E31" s="81">
        <f t="shared" si="17"/>
        <v>2110</v>
      </c>
      <c r="F31" s="81">
        <f>'[4]MS5627_CTE -Reformatted'!AC29</f>
        <v>5491</v>
      </c>
      <c r="G31" s="81">
        <f t="shared" si="18"/>
        <v>329</v>
      </c>
      <c r="H31" s="81">
        <f>'[5]Rollup_Level1 Formatted 2'!Y28</f>
        <v>307</v>
      </c>
      <c r="I31" s="81">
        <f t="shared" si="19"/>
        <v>123</v>
      </c>
      <c r="J31" s="81">
        <f>'[5]Rollup_Level2 Formatted 2'!AB28</f>
        <v>983</v>
      </c>
      <c r="K31" s="81">
        <f t="shared" si="20"/>
        <v>541</v>
      </c>
      <c r="L31" s="81">
        <f>'[5]Rollup_Level3 Formatted 2'!T28</f>
        <v>290</v>
      </c>
      <c r="M31" s="81">
        <f t="shared" si="21"/>
        <v>232</v>
      </c>
      <c r="N31" s="81">
        <f>'[6]Rollup_Level1-REFORMATTED (2)'!P27</f>
        <v>178</v>
      </c>
      <c r="O31" s="81">
        <f t="shared" si="22"/>
        <v>62</v>
      </c>
      <c r="P31" s="81">
        <f>'[6]Rollup_Level2_REFORMATTED (2)'!V27</f>
        <v>201</v>
      </c>
      <c r="Q31" s="81">
        <f t="shared" si="23"/>
        <v>111</v>
      </c>
      <c r="R31" s="81">
        <f>'[6]Rollup_Level3 FORMATTED (2)'!Y27</f>
        <v>671</v>
      </c>
      <c r="S31" s="81">
        <f t="shared" si="24"/>
        <v>470</v>
      </c>
      <c r="T31" s="81">
        <f>[7]Exceeds!AJ28</f>
        <v>131</v>
      </c>
      <c r="U31" s="81">
        <f t="shared" si="25"/>
        <v>177</v>
      </c>
      <c r="V31" s="81">
        <f>'[8]Significantly Exceeds'!V28</f>
        <v>260</v>
      </c>
      <c r="W31" s="81">
        <f t="shared" si="26"/>
        <v>455</v>
      </c>
      <c r="X31" s="81">
        <f>'[9]Roll up'!J28</f>
        <v>22</v>
      </c>
      <c r="Y31" s="81">
        <f t="shared" si="27"/>
        <v>33</v>
      </c>
      <c r="Z31" s="81">
        <f>[10]BeginSchYr2011_ByExcept!P24</f>
        <v>20</v>
      </c>
      <c r="AA31" s="81">
        <f t="shared" si="28"/>
        <v>30</v>
      </c>
      <c r="AB31" s="1363">
        <v>1.7093383252933969E-2</v>
      </c>
      <c r="AC31" s="81">
        <f t="shared" si="48"/>
        <v>1580</v>
      </c>
      <c r="AD31" s="81">
        <f t="shared" si="49"/>
        <v>0</v>
      </c>
      <c r="AE31" s="81">
        <f t="shared" si="50"/>
        <v>0</v>
      </c>
      <c r="AF31" s="81">
        <f t="shared" si="51"/>
        <v>0</v>
      </c>
      <c r="AG31" s="81">
        <f t="shared" si="29"/>
        <v>2234</v>
      </c>
      <c r="AH31" s="81">
        <f>'[11]Rollup_PS-8th'!R27</f>
        <v>216</v>
      </c>
      <c r="AI31" s="13">
        <f t="shared" si="30"/>
        <v>130</v>
      </c>
      <c r="AJ31" s="13">
        <f>'[11]Rollup_9th-12th'!M27</f>
        <v>191</v>
      </c>
      <c r="AK31" s="13">
        <f t="shared" si="31"/>
        <v>57.3</v>
      </c>
      <c r="AL31" s="13">
        <f>[12]Reformatted!Y28</f>
        <v>32</v>
      </c>
      <c r="AM31" s="13">
        <f t="shared" si="52"/>
        <v>9.6</v>
      </c>
      <c r="AN31" s="13">
        <f t="shared" si="32"/>
        <v>0</v>
      </c>
      <c r="AO31" s="65">
        <f t="shared" si="33"/>
        <v>0</v>
      </c>
      <c r="AP31" s="13">
        <f t="shared" si="34"/>
        <v>0</v>
      </c>
      <c r="AQ31" s="13">
        <f t="shared" si="35"/>
        <v>4869.9000000000005</v>
      </c>
      <c r="AR31" s="13">
        <f t="shared" si="36"/>
        <v>18385.900000000001</v>
      </c>
      <c r="AS31" s="388">
        <f t="shared" si="53"/>
        <v>3855</v>
      </c>
      <c r="AT31" s="388">
        <f t="shared" si="37"/>
        <v>70877645</v>
      </c>
      <c r="AU31" s="388">
        <f>'Table 6 (Local Deduct Calc.)'!J31</f>
        <v>20749460</v>
      </c>
      <c r="AV31" s="388">
        <f t="shared" si="54"/>
        <v>20749460</v>
      </c>
      <c r="AW31" s="389">
        <f t="shared" si="55"/>
        <v>50128185</v>
      </c>
      <c r="AX31" s="390">
        <f t="shared" si="78"/>
        <v>0.70720000000000005</v>
      </c>
      <c r="AY31" s="390">
        <f t="shared" si="56"/>
        <v>0.2928</v>
      </c>
      <c r="AZ31" s="391">
        <f t="shared" si="38"/>
        <v>1535.1775673276118</v>
      </c>
      <c r="BA31" s="388">
        <f>'Table 7 Local Revenue'!AQ30</f>
        <v>45029869</v>
      </c>
      <c r="BB31" s="388">
        <f t="shared" si="57"/>
        <v>24280409</v>
      </c>
      <c r="BC31" s="279">
        <f t="shared" si="58"/>
        <v>0</v>
      </c>
      <c r="BD31" s="14">
        <f t="shared" si="59"/>
        <v>24098399.300000001</v>
      </c>
      <c r="BE31" s="14">
        <f t="shared" si="60"/>
        <v>24098399.300000001</v>
      </c>
      <c r="BF31" s="388">
        <f t="shared" si="61"/>
        <v>12136339.461868798</v>
      </c>
      <c r="BG31" s="392">
        <f t="shared" si="62"/>
        <v>11962059.838131202</v>
      </c>
      <c r="BH31" s="16">
        <f t="shared" si="63"/>
        <v>0.49640000000000001</v>
      </c>
      <c r="BI31" s="392">
        <f t="shared" si="64"/>
        <v>62090244.838131204</v>
      </c>
      <c r="BJ31" s="14">
        <f t="shared" si="39"/>
        <v>4594</v>
      </c>
      <c r="BK31" s="392">
        <f>'Table 4 Level 3'!M28</f>
        <v>1829489</v>
      </c>
      <c r="BL31" s="14">
        <f t="shared" si="40"/>
        <v>135.35728026043208</v>
      </c>
      <c r="BM31" s="392">
        <f t="shared" si="65"/>
        <v>63919733.838131204</v>
      </c>
      <c r="BN31" s="14">
        <f t="shared" si="41"/>
        <v>4729.1901330372302</v>
      </c>
      <c r="BO31" s="518">
        <f>'Table 4 Level 3'!P28</f>
        <v>11127597.488946017</v>
      </c>
      <c r="BP31" s="519">
        <f t="shared" si="42"/>
        <v>823.29072868792662</v>
      </c>
      <c r="BQ31" s="392">
        <f t="shared" si="66"/>
        <v>73217842.327077225</v>
      </c>
      <c r="BR31" s="14">
        <f t="shared" si="43"/>
        <v>5417.1235814647252</v>
      </c>
      <c r="BS31" s="1594">
        <f>'[13]Table 3 Levels 1&amp;2'!CE31</f>
        <v>-887520.16747198999</v>
      </c>
      <c r="BT31" s="1594">
        <f t="shared" si="67"/>
        <v>-65.664410141461232</v>
      </c>
      <c r="BU31" s="1594">
        <f t="shared" si="68"/>
        <v>798768.15072479099</v>
      </c>
      <c r="BV31" s="1594">
        <f t="shared" si="44"/>
        <v>59.09796912731511</v>
      </c>
      <c r="BW31" s="1600">
        <f t="shared" si="69"/>
        <v>74016610.477802008</v>
      </c>
      <c r="BX31" s="1602">
        <f t="shared" si="45"/>
        <v>5476.2215505920394</v>
      </c>
      <c r="BY31" s="16">
        <f t="shared" si="70"/>
        <v>0.62269751941992546</v>
      </c>
      <c r="BZ31" s="393">
        <f t="shared" si="71"/>
        <v>37</v>
      </c>
      <c r="CA31" s="14">
        <f t="shared" si="72"/>
        <v>44847859.299999997</v>
      </c>
      <c r="CB31" s="14">
        <f t="shared" si="46"/>
        <v>3318.13</v>
      </c>
      <c r="CC31" s="393">
        <f t="shared" si="73"/>
        <v>34</v>
      </c>
      <c r="CD31" s="16">
        <f t="shared" si="74"/>
        <v>0.37730248058007454</v>
      </c>
      <c r="CE31" s="393">
        <f t="shared" si="75"/>
        <v>118864469.77780201</v>
      </c>
      <c r="CF31" s="394">
        <f t="shared" si="47"/>
        <v>8794.3526026784548</v>
      </c>
      <c r="CG31" s="393">
        <f t="shared" si="76"/>
        <v>35</v>
      </c>
      <c r="CH31" s="1340">
        <v>73478072.15730764</v>
      </c>
      <c r="CI31" s="279">
        <f t="shared" si="77"/>
        <v>538538.32049436867</v>
      </c>
      <c r="CJ31" s="1747"/>
      <c r="CK31" s="350"/>
      <c r="CL31" s="350"/>
      <c r="CM31" s="350"/>
      <c r="CN31" s="350"/>
      <c r="CO31" s="350"/>
      <c r="CP31" s="350"/>
      <c r="CQ31" s="350"/>
      <c r="CR31" s="350"/>
      <c r="CS31" s="350"/>
      <c r="CT31" s="169"/>
      <c r="CU31" s="169"/>
      <c r="CV31" s="1749"/>
      <c r="CW31" s="169"/>
      <c r="CX31" s="169"/>
      <c r="CY31" s="1749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</row>
    <row r="32" spans="1:183" s="5" customFormat="1">
      <c r="A32" s="101">
        <v>24</v>
      </c>
      <c r="B32" s="81" t="s">
        <v>118</v>
      </c>
      <c r="C32" s="81">
        <f>'[2]ALL-Reformatted'!AC29</f>
        <v>4550</v>
      </c>
      <c r="D32" s="81">
        <f>'[3]All-Reformatted'!AC29</f>
        <v>3763</v>
      </c>
      <c r="E32" s="81">
        <f t="shared" si="17"/>
        <v>828</v>
      </c>
      <c r="F32" s="81">
        <f>'[4]MS5627_CTE -Reformatted'!AC30</f>
        <v>1158</v>
      </c>
      <c r="G32" s="81">
        <f t="shared" si="18"/>
        <v>69</v>
      </c>
      <c r="H32" s="81">
        <f>'[5]Rollup_Level1 Formatted 2'!Y29</f>
        <v>66</v>
      </c>
      <c r="I32" s="81">
        <f t="shared" si="19"/>
        <v>26</v>
      </c>
      <c r="J32" s="81">
        <f>'[5]Rollup_Level2 Formatted 2'!AB29</f>
        <v>303</v>
      </c>
      <c r="K32" s="81">
        <f t="shared" si="20"/>
        <v>167</v>
      </c>
      <c r="L32" s="81">
        <f>'[5]Rollup_Level3 Formatted 2'!T29</f>
        <v>73</v>
      </c>
      <c r="M32" s="81">
        <f t="shared" si="21"/>
        <v>58</v>
      </c>
      <c r="N32" s="81">
        <f>'[6]Rollup_Level1-REFORMATTED (2)'!P28</f>
        <v>34</v>
      </c>
      <c r="O32" s="81">
        <f t="shared" si="22"/>
        <v>12</v>
      </c>
      <c r="P32" s="81">
        <f>'[6]Rollup_Level2_REFORMATTED (2)'!V28</f>
        <v>94</v>
      </c>
      <c r="Q32" s="81">
        <f t="shared" si="23"/>
        <v>52</v>
      </c>
      <c r="R32" s="81">
        <f>'[6]Rollup_Level3 FORMATTED (2)'!Y28</f>
        <v>202</v>
      </c>
      <c r="S32" s="81">
        <f t="shared" si="24"/>
        <v>141</v>
      </c>
      <c r="T32" s="81">
        <f>[7]Exceeds!AJ29</f>
        <v>26</v>
      </c>
      <c r="U32" s="81">
        <f t="shared" si="25"/>
        <v>35</v>
      </c>
      <c r="V32" s="81">
        <f>'[8]Significantly Exceeds'!V29</f>
        <v>71</v>
      </c>
      <c r="W32" s="81">
        <f t="shared" si="26"/>
        <v>124</v>
      </c>
      <c r="X32" s="81">
        <f>'[9]Roll up'!J29</f>
        <v>12</v>
      </c>
      <c r="Y32" s="81">
        <f t="shared" si="27"/>
        <v>18</v>
      </c>
      <c r="Z32" s="81">
        <f>[10]BeginSchYr2011_ByExcept!P25</f>
        <v>3</v>
      </c>
      <c r="AA32" s="81">
        <f t="shared" si="28"/>
        <v>5</v>
      </c>
      <c r="AB32" s="1363">
        <v>1.0943031863533945E-2</v>
      </c>
      <c r="AC32" s="81">
        <f t="shared" si="48"/>
        <v>442</v>
      </c>
      <c r="AD32" s="81">
        <f t="shared" si="49"/>
        <v>0</v>
      </c>
      <c r="AE32" s="81">
        <f t="shared" si="50"/>
        <v>0</v>
      </c>
      <c r="AF32" s="81">
        <f t="shared" si="51"/>
        <v>0</v>
      </c>
      <c r="AG32" s="81">
        <f t="shared" si="29"/>
        <v>638</v>
      </c>
      <c r="AH32" s="81">
        <f>'[11]Rollup_PS-8th'!R28</f>
        <v>69</v>
      </c>
      <c r="AI32" s="13">
        <f t="shared" si="30"/>
        <v>41</v>
      </c>
      <c r="AJ32" s="13">
        <f>'[11]Rollup_9th-12th'!M28</f>
        <v>47</v>
      </c>
      <c r="AK32" s="13">
        <f t="shared" si="31"/>
        <v>14.1</v>
      </c>
      <c r="AL32" s="13">
        <f>[12]Reformatted!Y29</f>
        <v>9</v>
      </c>
      <c r="AM32" s="13">
        <f t="shared" si="52"/>
        <v>2.6999999999999997</v>
      </c>
      <c r="AN32" s="13">
        <f t="shared" si="32"/>
        <v>2950</v>
      </c>
      <c r="AO32" s="65">
        <f t="shared" si="33"/>
        <v>7.8670000000000004E-2</v>
      </c>
      <c r="AP32" s="13">
        <f t="shared" si="34"/>
        <v>358</v>
      </c>
      <c r="AQ32" s="13">
        <f t="shared" si="35"/>
        <v>1950.8</v>
      </c>
      <c r="AR32" s="13">
        <f t="shared" si="36"/>
        <v>6500.8</v>
      </c>
      <c r="AS32" s="388">
        <f t="shared" si="53"/>
        <v>3855</v>
      </c>
      <c r="AT32" s="388">
        <f t="shared" si="37"/>
        <v>25060584</v>
      </c>
      <c r="AU32" s="388">
        <f>'Table 6 (Local Deduct Calc.)'!J32</f>
        <v>15031788</v>
      </c>
      <c r="AV32" s="388">
        <f t="shared" si="54"/>
        <v>15031788</v>
      </c>
      <c r="AW32" s="389">
        <f t="shared" si="55"/>
        <v>10028796</v>
      </c>
      <c r="AX32" s="390">
        <f t="shared" si="78"/>
        <v>0.4002</v>
      </c>
      <c r="AY32" s="390">
        <f t="shared" si="56"/>
        <v>0.5998</v>
      </c>
      <c r="AZ32" s="391">
        <f t="shared" si="38"/>
        <v>3303.6896703296702</v>
      </c>
      <c r="BA32" s="388">
        <f>'Table 7 Local Revenue'!AQ31</f>
        <v>42587087</v>
      </c>
      <c r="BB32" s="388">
        <f t="shared" si="57"/>
        <v>27555299</v>
      </c>
      <c r="BC32" s="279">
        <f t="shared" si="58"/>
        <v>0</v>
      </c>
      <c r="BD32" s="14">
        <f t="shared" si="59"/>
        <v>8520598.5600000005</v>
      </c>
      <c r="BE32" s="14">
        <f t="shared" si="60"/>
        <v>8520598.5600000005</v>
      </c>
      <c r="BF32" s="388">
        <f t="shared" si="61"/>
        <v>8790326.6280153599</v>
      </c>
      <c r="BG32" s="392">
        <f t="shared" si="62"/>
        <v>0</v>
      </c>
      <c r="BH32" s="16">
        <f t="shared" si="63"/>
        <v>0</v>
      </c>
      <c r="BI32" s="392">
        <f t="shared" si="64"/>
        <v>10028796</v>
      </c>
      <c r="BJ32" s="14">
        <f t="shared" si="39"/>
        <v>2204</v>
      </c>
      <c r="BK32" s="392">
        <f>'Table 4 Level 3'!M29</f>
        <v>2339895</v>
      </c>
      <c r="BL32" s="14">
        <f t="shared" si="40"/>
        <v>514.26263736263741</v>
      </c>
      <c r="BM32" s="392">
        <f t="shared" si="65"/>
        <v>12368691</v>
      </c>
      <c r="BN32" s="14">
        <f t="shared" si="41"/>
        <v>2718.3936263736264</v>
      </c>
      <c r="BO32" s="518">
        <f>'Table 4 Level 3'!P29</f>
        <v>6225792.8249999993</v>
      </c>
      <c r="BP32" s="519">
        <f t="shared" si="42"/>
        <v>1368.3061153846152</v>
      </c>
      <c r="BQ32" s="392">
        <f t="shared" si="66"/>
        <v>16254588.824999999</v>
      </c>
      <c r="BR32" s="14">
        <f t="shared" si="43"/>
        <v>3572.4371043956044</v>
      </c>
      <c r="BS32" s="1594">
        <f>'[13]Table 3 Levels 1&amp;2'!CE32</f>
        <v>-126058</v>
      </c>
      <c r="BT32" s="1594">
        <f t="shared" si="67"/>
        <v>-27.705054945054947</v>
      </c>
      <c r="BU32" s="1594">
        <f t="shared" si="68"/>
        <v>113452.2</v>
      </c>
      <c r="BV32" s="1594">
        <f t="shared" si="44"/>
        <v>24.934549450549451</v>
      </c>
      <c r="BW32" s="1600">
        <f t="shared" si="69"/>
        <v>16368041.024999999</v>
      </c>
      <c r="BX32" s="1602">
        <f t="shared" si="45"/>
        <v>3597.3716538461535</v>
      </c>
      <c r="BY32" s="16">
        <f t="shared" si="70"/>
        <v>0.41001667605259445</v>
      </c>
      <c r="BZ32" s="393">
        <f t="shared" si="71"/>
        <v>62</v>
      </c>
      <c r="CA32" s="14">
        <f t="shared" si="72"/>
        <v>23552386.559999999</v>
      </c>
      <c r="CB32" s="14">
        <f t="shared" si="46"/>
        <v>5176.3500000000004</v>
      </c>
      <c r="CC32" s="393">
        <f t="shared" si="73"/>
        <v>8</v>
      </c>
      <c r="CD32" s="16">
        <f t="shared" si="74"/>
        <v>0.5899833239474056</v>
      </c>
      <c r="CE32" s="393">
        <f t="shared" si="75"/>
        <v>39920427.584999993</v>
      </c>
      <c r="CF32" s="394">
        <f t="shared" si="47"/>
        <v>8773.7203483516478</v>
      </c>
      <c r="CG32" s="393">
        <f t="shared" si="76"/>
        <v>36</v>
      </c>
      <c r="CH32" s="1340">
        <v>15693690.5</v>
      </c>
      <c r="CI32" s="279">
        <f t="shared" si="77"/>
        <v>674350.52499999851</v>
      </c>
      <c r="CJ32" s="1747"/>
      <c r="CK32" s="350"/>
      <c r="CL32" s="350"/>
      <c r="CM32" s="350"/>
      <c r="CN32" s="350"/>
      <c r="CO32" s="350"/>
      <c r="CP32" s="350"/>
      <c r="CQ32" s="350"/>
      <c r="CR32" s="350"/>
      <c r="CS32" s="350"/>
      <c r="CT32" s="169"/>
      <c r="CU32" s="169"/>
      <c r="CV32" s="1749"/>
      <c r="CW32" s="169"/>
      <c r="CX32" s="169"/>
      <c r="CY32" s="1749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</row>
    <row r="33" spans="1:183" s="21" customFormat="1">
      <c r="A33" s="102">
        <v>25</v>
      </c>
      <c r="B33" s="82" t="s">
        <v>119</v>
      </c>
      <c r="C33" s="82">
        <f>'[2]ALL-Reformatted'!AC30</f>
        <v>2230</v>
      </c>
      <c r="D33" s="82">
        <f>'[3]All-Reformatted'!AC30</f>
        <v>1408</v>
      </c>
      <c r="E33" s="82">
        <f t="shared" si="17"/>
        <v>310</v>
      </c>
      <c r="F33" s="82">
        <f>'[4]MS5627_CTE -Reformatted'!AC31</f>
        <v>1241.5</v>
      </c>
      <c r="G33" s="82">
        <f t="shared" si="18"/>
        <v>74</v>
      </c>
      <c r="H33" s="82">
        <f>'[5]Rollup_Level1 Formatted 2'!Y30</f>
        <v>25</v>
      </c>
      <c r="I33" s="82">
        <f t="shared" si="19"/>
        <v>10</v>
      </c>
      <c r="J33" s="82">
        <f>'[5]Rollup_Level2 Formatted 2'!AB30</f>
        <v>168</v>
      </c>
      <c r="K33" s="82">
        <f t="shared" si="20"/>
        <v>92</v>
      </c>
      <c r="L33" s="82">
        <f>'[5]Rollup_Level3 Formatted 2'!T30</f>
        <v>22</v>
      </c>
      <c r="M33" s="82">
        <f t="shared" si="21"/>
        <v>18</v>
      </c>
      <c r="N33" s="82">
        <f>'[6]Rollup_Level1-REFORMATTED (2)'!P29</f>
        <v>15</v>
      </c>
      <c r="O33" s="82">
        <f t="shared" si="22"/>
        <v>5</v>
      </c>
      <c r="P33" s="82">
        <f>'[6]Rollup_Level2_REFORMATTED (2)'!V29</f>
        <v>39</v>
      </c>
      <c r="Q33" s="82">
        <f t="shared" si="23"/>
        <v>21</v>
      </c>
      <c r="R33" s="82">
        <f>'[6]Rollup_Level3 FORMATTED (2)'!Y29</f>
        <v>123</v>
      </c>
      <c r="S33" s="82">
        <f t="shared" si="24"/>
        <v>86</v>
      </c>
      <c r="T33" s="82">
        <f>[7]Exceeds!AJ30</f>
        <v>14</v>
      </c>
      <c r="U33" s="82">
        <f t="shared" si="25"/>
        <v>19</v>
      </c>
      <c r="V33" s="82">
        <f>'[8]Significantly Exceeds'!V30</f>
        <v>45</v>
      </c>
      <c r="W33" s="82">
        <f t="shared" si="26"/>
        <v>79</v>
      </c>
      <c r="X33" s="82">
        <f>'[9]Roll up'!J30</f>
        <v>4</v>
      </c>
      <c r="Y33" s="82">
        <f t="shared" si="27"/>
        <v>6</v>
      </c>
      <c r="Z33" s="82">
        <f>[10]BeginSchYr2011_ByExcept!P26</f>
        <v>1</v>
      </c>
      <c r="AA33" s="82">
        <f t="shared" si="28"/>
        <v>2</v>
      </c>
      <c r="AB33" s="130">
        <v>-8.0350980972098973E-3</v>
      </c>
      <c r="AC33" s="82">
        <f t="shared" si="48"/>
        <v>215</v>
      </c>
      <c r="AD33" s="82">
        <f t="shared" si="49"/>
        <v>0</v>
      </c>
      <c r="AE33" s="82">
        <f t="shared" si="50"/>
        <v>13</v>
      </c>
      <c r="AF33" s="82">
        <f t="shared" si="51"/>
        <v>0</v>
      </c>
      <c r="AG33" s="82">
        <f t="shared" si="29"/>
        <v>351</v>
      </c>
      <c r="AH33" s="82">
        <f>'[11]Rollup_PS-8th'!R29</f>
        <v>47</v>
      </c>
      <c r="AI33" s="19">
        <f t="shared" si="30"/>
        <v>28</v>
      </c>
      <c r="AJ33" s="19">
        <f>'[11]Rollup_9th-12th'!M29</f>
        <v>39</v>
      </c>
      <c r="AK33" s="19">
        <f t="shared" si="31"/>
        <v>11.7</v>
      </c>
      <c r="AL33" s="19">
        <f>[12]Reformatted!Y30</f>
        <v>10</v>
      </c>
      <c r="AM33" s="19">
        <f t="shared" si="52"/>
        <v>3</v>
      </c>
      <c r="AN33" s="19">
        <f t="shared" si="32"/>
        <v>5270</v>
      </c>
      <c r="AO33" s="66">
        <f t="shared" si="33"/>
        <v>0.14052999999999999</v>
      </c>
      <c r="AP33" s="19">
        <f t="shared" si="34"/>
        <v>313</v>
      </c>
      <c r="AQ33" s="19">
        <f t="shared" si="35"/>
        <v>1090.7</v>
      </c>
      <c r="AR33" s="13">
        <f t="shared" si="36"/>
        <v>3320.7</v>
      </c>
      <c r="AS33" s="395">
        <f t="shared" si="53"/>
        <v>3855</v>
      </c>
      <c r="AT33" s="395">
        <f t="shared" si="37"/>
        <v>12801299</v>
      </c>
      <c r="AU33" s="395">
        <f>'Table 6 (Local Deduct Calc.)'!J33</f>
        <v>5592147</v>
      </c>
      <c r="AV33" s="395">
        <f t="shared" si="54"/>
        <v>5592147</v>
      </c>
      <c r="AW33" s="396">
        <f t="shared" si="55"/>
        <v>7209152</v>
      </c>
      <c r="AX33" s="397">
        <f t="shared" si="78"/>
        <v>0.56320000000000003</v>
      </c>
      <c r="AY33" s="398">
        <f t="shared" si="56"/>
        <v>0.43680000000000002</v>
      </c>
      <c r="AZ33" s="399">
        <f t="shared" si="38"/>
        <v>2507.6892376681612</v>
      </c>
      <c r="BA33" s="395">
        <f>'Table 7 Local Revenue'!AQ32</f>
        <v>12036124</v>
      </c>
      <c r="BB33" s="395">
        <f t="shared" si="57"/>
        <v>6443977</v>
      </c>
      <c r="BC33" s="280">
        <f t="shared" si="58"/>
        <v>0</v>
      </c>
      <c r="BD33" s="20">
        <f t="shared" si="59"/>
        <v>4352441.66</v>
      </c>
      <c r="BE33" s="20">
        <f t="shared" si="60"/>
        <v>4352441.66</v>
      </c>
      <c r="BF33" s="395">
        <f t="shared" si="61"/>
        <v>3269972.0093913605</v>
      </c>
      <c r="BG33" s="400">
        <f t="shared" si="62"/>
        <v>1082469.6506086397</v>
      </c>
      <c r="BH33" s="273">
        <f t="shared" si="63"/>
        <v>0.2487</v>
      </c>
      <c r="BI33" s="400">
        <f t="shared" si="64"/>
        <v>8291621.6506086402</v>
      </c>
      <c r="BJ33" s="20">
        <f t="shared" si="39"/>
        <v>3718</v>
      </c>
      <c r="BK33" s="400">
        <f>'Table 4 Level 3'!M30</f>
        <v>301847</v>
      </c>
      <c r="BL33" s="20">
        <f t="shared" si="40"/>
        <v>135.35739910313902</v>
      </c>
      <c r="BM33" s="400">
        <f t="shared" si="65"/>
        <v>8593468.6506086402</v>
      </c>
      <c r="BN33" s="20">
        <f t="shared" si="41"/>
        <v>3853.5733859231568</v>
      </c>
      <c r="BO33" s="520">
        <f>'Table 4 Level 3'!P30</f>
        <v>1759338.0350000001</v>
      </c>
      <c r="BP33" s="521">
        <f t="shared" si="42"/>
        <v>788.94082286995524</v>
      </c>
      <c r="BQ33" s="400">
        <f t="shared" si="66"/>
        <v>10050959.68560864</v>
      </c>
      <c r="BR33" s="20">
        <f t="shared" si="43"/>
        <v>4507.1568096899737</v>
      </c>
      <c r="BS33" s="20">
        <f>'[13]Table 3 Levels 1&amp;2'!CE33</f>
        <v>134256.79958879948</v>
      </c>
      <c r="BT33" s="20">
        <f t="shared" si="67"/>
        <v>60.204842864932502</v>
      </c>
      <c r="BU33" s="20">
        <f t="shared" si="68"/>
        <v>-120831.11962991953</v>
      </c>
      <c r="BV33" s="20">
        <f t="shared" si="44"/>
        <v>-54.184358578439252</v>
      </c>
      <c r="BW33" s="760">
        <f t="shared" si="69"/>
        <v>9930128.5659787208</v>
      </c>
      <c r="BX33" s="78">
        <f t="shared" si="45"/>
        <v>4452.9724511115337</v>
      </c>
      <c r="BY33" s="273">
        <f t="shared" si="70"/>
        <v>0.49963621887403814</v>
      </c>
      <c r="BZ33" s="401">
        <f t="shared" si="71"/>
        <v>56</v>
      </c>
      <c r="CA33" s="20">
        <f t="shared" si="72"/>
        <v>9944588.6600000001</v>
      </c>
      <c r="CB33" s="20">
        <f t="shared" si="46"/>
        <v>4459.46</v>
      </c>
      <c r="CC33" s="401">
        <f t="shared" si="73"/>
        <v>13</v>
      </c>
      <c r="CD33" s="273">
        <f t="shared" si="74"/>
        <v>0.5003637811259618</v>
      </c>
      <c r="CE33" s="401">
        <f t="shared" si="75"/>
        <v>19874717.225978721</v>
      </c>
      <c r="CF33" s="402">
        <f t="shared" si="47"/>
        <v>8912.4292493178127</v>
      </c>
      <c r="CG33" s="401">
        <f t="shared" si="76"/>
        <v>28</v>
      </c>
      <c r="CH33" s="1341">
        <v>10021593.643958</v>
      </c>
      <c r="CI33" s="280">
        <f t="shared" si="77"/>
        <v>-91465.077979279682</v>
      </c>
      <c r="CJ33" s="1750"/>
      <c r="CK33" s="350"/>
      <c r="CL33" s="350"/>
      <c r="CM33" s="350"/>
      <c r="CN33" s="350"/>
      <c r="CO33" s="350"/>
      <c r="CP33" s="350"/>
      <c r="CQ33" s="350"/>
      <c r="CR33" s="350"/>
      <c r="CS33" s="350"/>
      <c r="CT33" s="169"/>
      <c r="CU33" s="169"/>
      <c r="CV33" s="1749"/>
      <c r="CW33" s="169"/>
      <c r="CX33" s="169"/>
      <c r="CY33" s="1749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</row>
    <row r="34" spans="1:183" s="5" customFormat="1">
      <c r="A34" s="101">
        <v>26</v>
      </c>
      <c r="B34" s="81" t="s">
        <v>120</v>
      </c>
      <c r="C34" s="81">
        <f>'[2]ALL-Reformatted'!AC31</f>
        <v>45091</v>
      </c>
      <c r="D34" s="81">
        <f>'[3]All-Reformatted'!AC31</f>
        <v>35250</v>
      </c>
      <c r="E34" s="81">
        <f t="shared" si="17"/>
        <v>7755</v>
      </c>
      <c r="F34" s="81">
        <f>'[4]MS5627_CTE -Reformatted'!AC32</f>
        <v>12638</v>
      </c>
      <c r="G34" s="81">
        <f t="shared" si="18"/>
        <v>758</v>
      </c>
      <c r="H34" s="81">
        <f>'[5]Rollup_Level1 Formatted 2'!Y31</f>
        <v>1145</v>
      </c>
      <c r="I34" s="81">
        <f t="shared" si="19"/>
        <v>458</v>
      </c>
      <c r="J34" s="81">
        <f>'[5]Rollup_Level2 Formatted 2'!AB31</f>
        <v>3220</v>
      </c>
      <c r="K34" s="81">
        <f t="shared" si="20"/>
        <v>1771</v>
      </c>
      <c r="L34" s="81">
        <f>'[5]Rollup_Level3 Formatted 2'!T31</f>
        <v>1045</v>
      </c>
      <c r="M34" s="81">
        <f t="shared" si="21"/>
        <v>836</v>
      </c>
      <c r="N34" s="81">
        <f>'[6]Rollup_Level1-REFORMATTED (2)'!P30</f>
        <v>1078</v>
      </c>
      <c r="O34" s="81">
        <f t="shared" si="22"/>
        <v>377</v>
      </c>
      <c r="P34" s="81">
        <f>'[6]Rollup_Level2_REFORMATTED (2)'!V30</f>
        <v>1283</v>
      </c>
      <c r="Q34" s="81">
        <f t="shared" si="23"/>
        <v>706</v>
      </c>
      <c r="R34" s="81">
        <f>'[6]Rollup_Level3 FORMATTED (2)'!Y30</f>
        <v>1298</v>
      </c>
      <c r="S34" s="81">
        <f t="shared" si="24"/>
        <v>909</v>
      </c>
      <c r="T34" s="81">
        <f>[7]Exceeds!AJ31</f>
        <v>452</v>
      </c>
      <c r="U34" s="81">
        <f t="shared" si="25"/>
        <v>610</v>
      </c>
      <c r="V34" s="81">
        <f>'[8]Significantly Exceeds'!V31</f>
        <v>1529</v>
      </c>
      <c r="W34" s="81">
        <f t="shared" si="26"/>
        <v>2676</v>
      </c>
      <c r="X34" s="81">
        <f>'[9]Roll up'!J31</f>
        <v>110</v>
      </c>
      <c r="Y34" s="81">
        <f t="shared" si="27"/>
        <v>165</v>
      </c>
      <c r="Z34" s="81">
        <f>[10]BeginSchYr2011_ByExcept!$P$28</f>
        <v>57</v>
      </c>
      <c r="AA34" s="81">
        <f t="shared" si="28"/>
        <v>86</v>
      </c>
      <c r="AB34" s="129">
        <v>-6.8064226321247756E-3</v>
      </c>
      <c r="AC34" s="81">
        <f t="shared" si="48"/>
        <v>5410</v>
      </c>
      <c r="AD34" s="81">
        <f t="shared" si="49"/>
        <v>0</v>
      </c>
      <c r="AE34" s="81">
        <f t="shared" si="50"/>
        <v>325</v>
      </c>
      <c r="AF34" s="81">
        <f t="shared" si="51"/>
        <v>0</v>
      </c>
      <c r="AG34" s="81">
        <f t="shared" si="29"/>
        <v>8919</v>
      </c>
      <c r="AH34" s="81">
        <f>'[11]Rollup_PS-8th'!R30</f>
        <v>2224</v>
      </c>
      <c r="AI34" s="13">
        <f t="shared" si="30"/>
        <v>1334</v>
      </c>
      <c r="AJ34" s="13">
        <f>'[11]Rollup_9th-12th'!M30</f>
        <v>1243</v>
      </c>
      <c r="AK34" s="13">
        <f t="shared" si="31"/>
        <v>372.9</v>
      </c>
      <c r="AL34" s="13">
        <f>[12]Reformatted!Y31</f>
        <v>899</v>
      </c>
      <c r="AM34" s="13">
        <f t="shared" si="52"/>
        <v>269.7</v>
      </c>
      <c r="AN34" s="13">
        <f t="shared" si="32"/>
        <v>0</v>
      </c>
      <c r="AO34" s="65">
        <f t="shared" si="33"/>
        <v>0</v>
      </c>
      <c r="AP34" s="13">
        <f t="shared" si="34"/>
        <v>0</v>
      </c>
      <c r="AQ34" s="13">
        <f t="shared" si="35"/>
        <v>19408.600000000002</v>
      </c>
      <c r="AR34" s="36">
        <f t="shared" si="36"/>
        <v>64499.600000000006</v>
      </c>
      <c r="AS34" s="388">
        <f t="shared" si="53"/>
        <v>3855</v>
      </c>
      <c r="AT34" s="388">
        <f t="shared" si="37"/>
        <v>248645958</v>
      </c>
      <c r="AU34" s="388">
        <f>'Table 6 (Local Deduct Calc.)'!J34</f>
        <v>127672140</v>
      </c>
      <c r="AV34" s="388">
        <f t="shared" si="54"/>
        <v>127672140</v>
      </c>
      <c r="AW34" s="389">
        <f t="shared" si="55"/>
        <v>120973818</v>
      </c>
      <c r="AX34" s="390">
        <f t="shared" si="78"/>
        <v>0.48649999999999999</v>
      </c>
      <c r="AY34" s="390">
        <f t="shared" si="56"/>
        <v>0.51349999999999996</v>
      </c>
      <c r="AZ34" s="391">
        <f t="shared" si="38"/>
        <v>2831.4328801756446</v>
      </c>
      <c r="BA34" s="388">
        <f>'Table 7 Local Revenue'!AQ33</f>
        <v>247091005</v>
      </c>
      <c r="BB34" s="388">
        <f t="shared" si="57"/>
        <v>119418865</v>
      </c>
      <c r="BC34" s="279">
        <f t="shared" si="58"/>
        <v>0</v>
      </c>
      <c r="BD34" s="14">
        <f t="shared" si="59"/>
        <v>84539625.719999999</v>
      </c>
      <c r="BE34" s="14">
        <f t="shared" si="60"/>
        <v>84539625.719999999</v>
      </c>
      <c r="BF34" s="388">
        <f t="shared" si="61"/>
        <v>74667088.228418395</v>
      </c>
      <c r="BG34" s="392">
        <f t="shared" si="62"/>
        <v>9872537.4915816039</v>
      </c>
      <c r="BH34" s="16">
        <f t="shared" si="63"/>
        <v>0.1168</v>
      </c>
      <c r="BI34" s="392">
        <f t="shared" si="64"/>
        <v>130846355.4915816</v>
      </c>
      <c r="BJ34" s="14">
        <f t="shared" si="39"/>
        <v>2902</v>
      </c>
      <c r="BK34" s="392">
        <f>'Table 4 Level 3'!M31</f>
        <v>21953620</v>
      </c>
      <c r="BL34" s="14">
        <f t="shared" si="40"/>
        <v>486.87365549666231</v>
      </c>
      <c r="BM34" s="392">
        <f t="shared" si="65"/>
        <v>152799975.49158162</v>
      </c>
      <c r="BN34" s="14">
        <f t="shared" si="41"/>
        <v>3388.7023018247901</v>
      </c>
      <c r="BO34" s="518">
        <f>'Table 4 Level 3'!P31</f>
        <v>59614717.2879292</v>
      </c>
      <c r="BP34" s="519">
        <f t="shared" si="42"/>
        <v>1322.0979194945598</v>
      </c>
      <c r="BQ34" s="392">
        <f t="shared" si="66"/>
        <v>190461072.7795108</v>
      </c>
      <c r="BR34" s="14">
        <f t="shared" si="43"/>
        <v>4223.9265658226877</v>
      </c>
      <c r="BS34" s="1594">
        <f>'[13]Table 3 Levels 1&amp;2'!CE34</f>
        <v>3402771.8608464003</v>
      </c>
      <c r="BT34" s="1594">
        <f t="shared" si="67"/>
        <v>75.464546380572628</v>
      </c>
      <c r="BU34" s="1594">
        <f t="shared" si="68"/>
        <v>-3062494.6747617605</v>
      </c>
      <c r="BV34" s="1594">
        <f t="shared" si="44"/>
        <v>-67.918091742515372</v>
      </c>
      <c r="BW34" s="1600">
        <f t="shared" si="69"/>
        <v>187398578.10474902</v>
      </c>
      <c r="BX34" s="1602">
        <f t="shared" si="45"/>
        <v>4156.0084740801722</v>
      </c>
      <c r="BY34" s="16">
        <f t="shared" si="70"/>
        <v>0.46895327160733746</v>
      </c>
      <c r="BZ34" s="393">
        <f t="shared" si="71"/>
        <v>60</v>
      </c>
      <c r="CA34" s="14">
        <f t="shared" si="72"/>
        <v>212211765.72</v>
      </c>
      <c r="CB34" s="14">
        <f t="shared" si="46"/>
        <v>4706.3</v>
      </c>
      <c r="CC34" s="393">
        <f t="shared" si="73"/>
        <v>11</v>
      </c>
      <c r="CD34" s="16">
        <f t="shared" si="74"/>
        <v>0.53104672839266265</v>
      </c>
      <c r="CE34" s="393">
        <f t="shared" si="75"/>
        <v>399610343.82474899</v>
      </c>
      <c r="CF34" s="394">
        <f t="shared" si="47"/>
        <v>8862.3083059756718</v>
      </c>
      <c r="CG34" s="393">
        <f t="shared" si="76"/>
        <v>29</v>
      </c>
      <c r="CH34" s="1340">
        <v>176566962.57102656</v>
      </c>
      <c r="CI34" s="279">
        <f t="shared" si="77"/>
        <v>10831615.53372246</v>
      </c>
      <c r="CJ34" s="1750"/>
      <c r="CK34" s="350"/>
      <c r="CL34" s="350"/>
      <c r="CM34" s="350"/>
      <c r="CN34" s="350"/>
      <c r="CO34" s="350"/>
      <c r="CP34" s="350"/>
      <c r="CQ34" s="350"/>
      <c r="CR34" s="350"/>
      <c r="CS34" s="350"/>
      <c r="CT34" s="169"/>
      <c r="CU34" s="169"/>
      <c r="CV34" s="1749"/>
      <c r="CW34" s="169"/>
      <c r="CX34" s="169"/>
      <c r="CY34" s="1749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</row>
    <row r="35" spans="1:183" s="5" customFormat="1">
      <c r="A35" s="101">
        <v>27</v>
      </c>
      <c r="B35" s="81" t="s">
        <v>121</v>
      </c>
      <c r="C35" s="81">
        <f>'[2]ALL-Reformatted'!AC32</f>
        <v>5618</v>
      </c>
      <c r="D35" s="81">
        <f>'[3]All-Reformatted'!AC32</f>
        <v>3358</v>
      </c>
      <c r="E35" s="81">
        <f t="shared" si="17"/>
        <v>739</v>
      </c>
      <c r="F35" s="81">
        <f>'[4]MS5627_CTE -Reformatted'!AC33</f>
        <v>2317.5</v>
      </c>
      <c r="G35" s="81">
        <f t="shared" si="18"/>
        <v>139</v>
      </c>
      <c r="H35" s="81">
        <f>'[5]Rollup_Level1 Formatted 2'!Y32</f>
        <v>156</v>
      </c>
      <c r="I35" s="81">
        <f t="shared" si="19"/>
        <v>62</v>
      </c>
      <c r="J35" s="81">
        <f>'[5]Rollup_Level2 Formatted 2'!AB32</f>
        <v>571</v>
      </c>
      <c r="K35" s="81">
        <f t="shared" si="20"/>
        <v>314</v>
      </c>
      <c r="L35" s="81">
        <f>'[5]Rollup_Level3 Formatted 2'!T32</f>
        <v>79</v>
      </c>
      <c r="M35" s="81">
        <f t="shared" si="21"/>
        <v>63</v>
      </c>
      <c r="N35" s="81">
        <f>'[6]Rollup_Level1-REFORMATTED (2)'!P31</f>
        <v>38</v>
      </c>
      <c r="O35" s="81">
        <f t="shared" si="22"/>
        <v>13</v>
      </c>
      <c r="P35" s="81">
        <f>'[6]Rollup_Level2_REFORMATTED (2)'!V31</f>
        <v>201</v>
      </c>
      <c r="Q35" s="81">
        <f t="shared" si="23"/>
        <v>111</v>
      </c>
      <c r="R35" s="81">
        <f>'[6]Rollup_Level3 FORMATTED (2)'!Y31</f>
        <v>384</v>
      </c>
      <c r="S35" s="81">
        <f t="shared" si="24"/>
        <v>269</v>
      </c>
      <c r="T35" s="81">
        <f>[7]Exceeds!AJ32</f>
        <v>55</v>
      </c>
      <c r="U35" s="81">
        <f t="shared" si="25"/>
        <v>74</v>
      </c>
      <c r="V35" s="81">
        <f>'[8]Significantly Exceeds'!V32</f>
        <v>97</v>
      </c>
      <c r="W35" s="81">
        <f t="shared" si="26"/>
        <v>170</v>
      </c>
      <c r="X35" s="81">
        <f>'[9]Roll up'!J32</f>
        <v>8</v>
      </c>
      <c r="Y35" s="81">
        <f t="shared" si="27"/>
        <v>12</v>
      </c>
      <c r="Z35" s="81">
        <f>[10]BeginSchYr2011_ByExcept!$P$27</f>
        <v>2</v>
      </c>
      <c r="AA35" s="81">
        <f t="shared" si="28"/>
        <v>3</v>
      </c>
      <c r="AB35" s="129">
        <v>-1.20568792956737E-2</v>
      </c>
      <c r="AC35" s="81">
        <f t="shared" si="48"/>
        <v>806</v>
      </c>
      <c r="AD35" s="81">
        <f t="shared" si="49"/>
        <v>0</v>
      </c>
      <c r="AE35" s="81">
        <f t="shared" si="50"/>
        <v>48</v>
      </c>
      <c r="AF35" s="81">
        <f t="shared" si="51"/>
        <v>0</v>
      </c>
      <c r="AG35" s="81">
        <f t="shared" si="29"/>
        <v>1139</v>
      </c>
      <c r="AH35" s="81">
        <f>'[11]Rollup_PS-8th'!R31</f>
        <v>143</v>
      </c>
      <c r="AI35" s="13">
        <f t="shared" si="30"/>
        <v>86</v>
      </c>
      <c r="AJ35" s="13">
        <f>'[11]Rollup_9th-12th'!M31</f>
        <v>0</v>
      </c>
      <c r="AK35" s="13">
        <f t="shared" si="31"/>
        <v>0</v>
      </c>
      <c r="AL35" s="13">
        <f>[12]Reformatted!Y32</f>
        <v>2</v>
      </c>
      <c r="AM35" s="13">
        <f t="shared" si="52"/>
        <v>0.6</v>
      </c>
      <c r="AN35" s="13">
        <f t="shared" si="32"/>
        <v>1882</v>
      </c>
      <c r="AO35" s="65">
        <f t="shared" si="33"/>
        <v>5.0189999999999999E-2</v>
      </c>
      <c r="AP35" s="13">
        <f t="shared" si="34"/>
        <v>282</v>
      </c>
      <c r="AQ35" s="13">
        <f t="shared" si="35"/>
        <v>2385.6</v>
      </c>
      <c r="AR35" s="13">
        <f t="shared" si="36"/>
        <v>8003.6</v>
      </c>
      <c r="AS35" s="388">
        <f t="shared" si="53"/>
        <v>3855</v>
      </c>
      <c r="AT35" s="388">
        <f t="shared" si="37"/>
        <v>30853878</v>
      </c>
      <c r="AU35" s="388">
        <f>'Table 6 (Local Deduct Calc.)'!J35</f>
        <v>6778965.5</v>
      </c>
      <c r="AV35" s="388">
        <f t="shared" si="54"/>
        <v>6778965.5</v>
      </c>
      <c r="AW35" s="389">
        <f t="shared" si="55"/>
        <v>24074912.5</v>
      </c>
      <c r="AX35" s="390">
        <f t="shared" si="78"/>
        <v>0.78029999999999999</v>
      </c>
      <c r="AY35" s="390">
        <f t="shared" si="56"/>
        <v>0.21970000000000001</v>
      </c>
      <c r="AZ35" s="391">
        <f t="shared" si="38"/>
        <v>1206.6510323958705</v>
      </c>
      <c r="BA35" s="388">
        <f>'Table 7 Local Revenue'!AQ34</f>
        <v>17888658.5</v>
      </c>
      <c r="BB35" s="388">
        <f t="shared" si="57"/>
        <v>11109693</v>
      </c>
      <c r="BC35" s="279">
        <f t="shared" si="58"/>
        <v>0</v>
      </c>
      <c r="BD35" s="14">
        <f t="shared" si="59"/>
        <v>10490318.520000001</v>
      </c>
      <c r="BE35" s="14">
        <f t="shared" si="60"/>
        <v>10490318.520000001</v>
      </c>
      <c r="BF35" s="388">
        <f t="shared" si="61"/>
        <v>3964123.5236116806</v>
      </c>
      <c r="BG35" s="392">
        <f t="shared" si="62"/>
        <v>6526194.9963883208</v>
      </c>
      <c r="BH35" s="16">
        <f t="shared" si="63"/>
        <v>0.62209999999999999</v>
      </c>
      <c r="BI35" s="392">
        <f t="shared" si="64"/>
        <v>30601107.49638832</v>
      </c>
      <c r="BJ35" s="14">
        <f t="shared" si="39"/>
        <v>5447</v>
      </c>
      <c r="BK35" s="392">
        <f>'Table 4 Level 3'!M32</f>
        <v>760437</v>
      </c>
      <c r="BL35" s="14">
        <f t="shared" si="40"/>
        <v>135.35724457102171</v>
      </c>
      <c r="BM35" s="392">
        <f t="shared" si="65"/>
        <v>31361544.49638832</v>
      </c>
      <c r="BN35" s="14">
        <f t="shared" si="41"/>
        <v>5582.3325910267567</v>
      </c>
      <c r="BO35" s="518">
        <f>'Table 4 Level 3'!P32</f>
        <v>4653355.0199999996</v>
      </c>
      <c r="BP35" s="519">
        <f t="shared" si="42"/>
        <v>828.29388038447837</v>
      </c>
      <c r="BQ35" s="392">
        <f t="shared" si="66"/>
        <v>35254462.516388319</v>
      </c>
      <c r="BR35" s="14">
        <f t="shared" si="43"/>
        <v>6275.2692268402134</v>
      </c>
      <c r="BS35" s="1594">
        <f>'[13]Table 3 Levels 1&amp;2'!CE35</f>
        <v>-338698.95011200011</v>
      </c>
      <c r="BT35" s="1594">
        <f t="shared" si="67"/>
        <v>-60.288171967248147</v>
      </c>
      <c r="BU35" s="1594">
        <f t="shared" si="68"/>
        <v>304829.05510080012</v>
      </c>
      <c r="BV35" s="1594">
        <f t="shared" si="44"/>
        <v>54.259354770523338</v>
      </c>
      <c r="BW35" s="1600">
        <f t="shared" si="69"/>
        <v>35559291.571489118</v>
      </c>
      <c r="BX35" s="1602">
        <f t="shared" si="45"/>
        <v>6329.5285816107362</v>
      </c>
      <c r="BY35" s="16">
        <f t="shared" si="70"/>
        <v>0.6731071427414721</v>
      </c>
      <c r="BZ35" s="393">
        <f t="shared" si="71"/>
        <v>27</v>
      </c>
      <c r="CA35" s="14">
        <f t="shared" si="72"/>
        <v>17269284.02</v>
      </c>
      <c r="CB35" s="14">
        <f t="shared" si="46"/>
        <v>3073.92</v>
      </c>
      <c r="CC35" s="393">
        <f t="shared" si="73"/>
        <v>40</v>
      </c>
      <c r="CD35" s="16">
        <f t="shared" si="74"/>
        <v>0.32689285725852779</v>
      </c>
      <c r="CE35" s="393">
        <f t="shared" si="75"/>
        <v>52828575.591489121</v>
      </c>
      <c r="CF35" s="394">
        <f t="shared" si="47"/>
        <v>9403.4488414896969</v>
      </c>
      <c r="CG35" s="393">
        <f t="shared" si="76"/>
        <v>11</v>
      </c>
      <c r="CH35" s="1340">
        <v>35629107.845807999</v>
      </c>
      <c r="CI35" s="279">
        <f t="shared" si="77"/>
        <v>-69816.274318881333</v>
      </c>
      <c r="CJ35" s="1747"/>
      <c r="CK35" s="350"/>
      <c r="CL35" s="350"/>
      <c r="CM35" s="350"/>
      <c r="CN35" s="350"/>
      <c r="CO35" s="350"/>
      <c r="CP35" s="350"/>
      <c r="CQ35" s="350"/>
      <c r="CR35" s="350"/>
      <c r="CS35" s="350"/>
      <c r="CT35" s="169"/>
      <c r="CU35" s="169"/>
      <c r="CV35" s="1749"/>
      <c r="CW35" s="169"/>
      <c r="CX35" s="169"/>
      <c r="CY35" s="1749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</row>
    <row r="36" spans="1:183" s="5" customFormat="1">
      <c r="A36" s="101">
        <v>28</v>
      </c>
      <c r="B36" s="81" t="s">
        <v>122</v>
      </c>
      <c r="C36" s="81">
        <f>'[2]ALL-Reformatted'!AC33</f>
        <v>30170</v>
      </c>
      <c r="D36" s="81">
        <f>'[3]All-Reformatted'!AC33</f>
        <v>18491</v>
      </c>
      <c r="E36" s="81">
        <f t="shared" si="17"/>
        <v>4068</v>
      </c>
      <c r="F36" s="81">
        <f>'[4]MS5627_CTE -Reformatted'!AC34</f>
        <v>6269</v>
      </c>
      <c r="G36" s="81">
        <f t="shared" si="18"/>
        <v>376</v>
      </c>
      <c r="H36" s="81">
        <f>'[5]Rollup_Level1 Formatted 2'!Y33</f>
        <v>423</v>
      </c>
      <c r="I36" s="81">
        <f t="shared" si="19"/>
        <v>169</v>
      </c>
      <c r="J36" s="81">
        <f>'[5]Rollup_Level2 Formatted 2'!AB33</f>
        <v>1863</v>
      </c>
      <c r="K36" s="81">
        <f t="shared" si="20"/>
        <v>1025</v>
      </c>
      <c r="L36" s="81">
        <f>'[5]Rollup_Level3 Formatted 2'!T33</f>
        <v>467</v>
      </c>
      <c r="M36" s="81">
        <f t="shared" si="21"/>
        <v>374</v>
      </c>
      <c r="N36" s="81">
        <f>'[6]Rollup_Level1-REFORMATTED (2)'!P32</f>
        <v>469</v>
      </c>
      <c r="O36" s="81">
        <f t="shared" si="22"/>
        <v>164</v>
      </c>
      <c r="P36" s="81">
        <f>'[6]Rollup_Level2_REFORMATTED (2)'!V32</f>
        <v>720</v>
      </c>
      <c r="Q36" s="81">
        <f t="shared" si="23"/>
        <v>396</v>
      </c>
      <c r="R36" s="81">
        <f>'[6]Rollup_Level3 FORMATTED (2)'!Y32</f>
        <v>633</v>
      </c>
      <c r="S36" s="81">
        <f t="shared" si="24"/>
        <v>443</v>
      </c>
      <c r="T36" s="81">
        <f>[7]Exceeds!AJ33</f>
        <v>172</v>
      </c>
      <c r="U36" s="81">
        <f t="shared" si="25"/>
        <v>232</v>
      </c>
      <c r="V36" s="81">
        <f>'[8]Significantly Exceeds'!V33</f>
        <v>637</v>
      </c>
      <c r="W36" s="81">
        <f t="shared" si="26"/>
        <v>1115</v>
      </c>
      <c r="X36" s="81">
        <f>'[9]Roll up'!J33</f>
        <v>43</v>
      </c>
      <c r="Y36" s="81">
        <f t="shared" si="27"/>
        <v>65</v>
      </c>
      <c r="Z36" s="81">
        <f>[10]BeginSchYr2011_ByExcept!P29</f>
        <v>73</v>
      </c>
      <c r="AA36" s="81">
        <f t="shared" si="28"/>
        <v>110</v>
      </c>
      <c r="AB36" s="1363">
        <v>2.5648643295702114E-2</v>
      </c>
      <c r="AC36" s="81">
        <f t="shared" si="48"/>
        <v>2753</v>
      </c>
      <c r="AD36" s="81">
        <f t="shared" si="49"/>
        <v>0</v>
      </c>
      <c r="AE36" s="81">
        <f t="shared" si="50"/>
        <v>0</v>
      </c>
      <c r="AF36" s="81">
        <f t="shared" si="51"/>
        <v>0</v>
      </c>
      <c r="AG36" s="81">
        <f t="shared" si="29"/>
        <v>4093</v>
      </c>
      <c r="AH36" s="81">
        <f>'[11]Rollup_PS-8th'!R32</f>
        <v>844</v>
      </c>
      <c r="AI36" s="13">
        <f t="shared" si="30"/>
        <v>506</v>
      </c>
      <c r="AJ36" s="13">
        <f>'[11]Rollup_9th-12th'!M32</f>
        <v>492</v>
      </c>
      <c r="AK36" s="13">
        <f t="shared" si="31"/>
        <v>147.6</v>
      </c>
      <c r="AL36" s="13">
        <f>[12]Reformatted!Y33</f>
        <v>477</v>
      </c>
      <c r="AM36" s="13">
        <f t="shared" si="52"/>
        <v>143.1</v>
      </c>
      <c r="AN36" s="13">
        <f t="shared" si="32"/>
        <v>0</v>
      </c>
      <c r="AO36" s="65">
        <f t="shared" si="33"/>
        <v>0</v>
      </c>
      <c r="AP36" s="13">
        <f t="shared" si="34"/>
        <v>0</v>
      </c>
      <c r="AQ36" s="13">
        <f t="shared" si="35"/>
        <v>9333.7000000000007</v>
      </c>
      <c r="AR36" s="13">
        <f t="shared" si="36"/>
        <v>39503.699999999997</v>
      </c>
      <c r="AS36" s="388">
        <f t="shared" si="53"/>
        <v>3855</v>
      </c>
      <c r="AT36" s="388">
        <f t="shared" si="37"/>
        <v>152286764</v>
      </c>
      <c r="AU36" s="388">
        <f>'Table 6 (Local Deduct Calc.)'!J36</f>
        <v>73991257.5</v>
      </c>
      <c r="AV36" s="388">
        <f t="shared" si="54"/>
        <v>73991257.5</v>
      </c>
      <c r="AW36" s="389">
        <f t="shared" si="55"/>
        <v>78295506.5</v>
      </c>
      <c r="AX36" s="390">
        <f t="shared" si="78"/>
        <v>0.5141</v>
      </c>
      <c r="AY36" s="390">
        <f t="shared" si="56"/>
        <v>0.4859</v>
      </c>
      <c r="AZ36" s="391">
        <f t="shared" si="38"/>
        <v>2452.477875372887</v>
      </c>
      <c r="BA36" s="388">
        <f>'Table 7 Local Revenue'!AQ35</f>
        <v>161907661.5</v>
      </c>
      <c r="BB36" s="388">
        <f t="shared" si="57"/>
        <v>87916404</v>
      </c>
      <c r="BC36" s="279">
        <f t="shared" si="58"/>
        <v>0</v>
      </c>
      <c r="BD36" s="14">
        <f t="shared" si="59"/>
        <v>51777499.760000005</v>
      </c>
      <c r="BE36" s="14">
        <f t="shared" si="60"/>
        <v>51777499.760000005</v>
      </c>
      <c r="BF36" s="388">
        <f t="shared" si="61"/>
        <v>43272941.869420484</v>
      </c>
      <c r="BG36" s="392">
        <f t="shared" si="62"/>
        <v>8504557.8905795217</v>
      </c>
      <c r="BH36" s="16">
        <f t="shared" si="63"/>
        <v>0.1643</v>
      </c>
      <c r="BI36" s="392">
        <f t="shared" si="64"/>
        <v>86800064.390579522</v>
      </c>
      <c r="BJ36" s="14">
        <f t="shared" si="39"/>
        <v>2877</v>
      </c>
      <c r="BK36" s="392">
        <f>'Table 4 Level 3'!M33</f>
        <v>6080105</v>
      </c>
      <c r="BL36" s="14">
        <f t="shared" si="40"/>
        <v>201.52817368246602</v>
      </c>
      <c r="BM36" s="392">
        <f t="shared" si="65"/>
        <v>92880169.390579522</v>
      </c>
      <c r="BN36" s="14">
        <f t="shared" si="41"/>
        <v>3078.560470353978</v>
      </c>
      <c r="BO36" s="518">
        <f>'Table 4 Level 3'!P33</f>
        <v>27024250.599999998</v>
      </c>
      <c r="BP36" s="519">
        <f t="shared" si="42"/>
        <v>895.73253563142191</v>
      </c>
      <c r="BQ36" s="392">
        <f t="shared" si="66"/>
        <v>113824314.99057952</v>
      </c>
      <c r="BR36" s="14">
        <f t="shared" si="43"/>
        <v>3772.7648323029339</v>
      </c>
      <c r="BS36" s="1594">
        <f>'[13]Table 3 Levels 1&amp;2'!CE36</f>
        <v>-946841.26425559819</v>
      </c>
      <c r="BT36" s="1594">
        <f t="shared" si="67"/>
        <v>-31.383535441020822</v>
      </c>
      <c r="BU36" s="1594">
        <f t="shared" si="68"/>
        <v>852157.13783003844</v>
      </c>
      <c r="BV36" s="1594">
        <f t="shared" si="44"/>
        <v>28.245181896918741</v>
      </c>
      <c r="BW36" s="1600">
        <f t="shared" si="69"/>
        <v>114676472.12840955</v>
      </c>
      <c r="BX36" s="1602">
        <f t="shared" si="45"/>
        <v>3801.0100141998523</v>
      </c>
      <c r="BY36" s="16">
        <f t="shared" si="70"/>
        <v>0.47693386315086284</v>
      </c>
      <c r="BZ36" s="393">
        <f t="shared" si="71"/>
        <v>58</v>
      </c>
      <c r="CA36" s="14">
        <f t="shared" si="72"/>
        <v>125768757.26000001</v>
      </c>
      <c r="CB36" s="14">
        <f t="shared" si="46"/>
        <v>4168.67</v>
      </c>
      <c r="CC36" s="393">
        <f t="shared" si="73"/>
        <v>15</v>
      </c>
      <c r="CD36" s="16">
        <f t="shared" si="74"/>
        <v>0.52306613684913716</v>
      </c>
      <c r="CE36" s="393">
        <f t="shared" si="75"/>
        <v>240445229.38840955</v>
      </c>
      <c r="CF36" s="394">
        <f t="shared" si="47"/>
        <v>7969.6794626585861</v>
      </c>
      <c r="CG36" s="393">
        <f t="shared" si="76"/>
        <v>64</v>
      </c>
      <c r="CH36" s="1340">
        <v>115475573.66581</v>
      </c>
      <c r="CI36" s="279">
        <f t="shared" si="77"/>
        <v>-799101.53740045428</v>
      </c>
      <c r="CJ36" s="1747"/>
      <c r="CK36" s="350"/>
      <c r="CL36" s="350"/>
      <c r="CM36" s="350"/>
      <c r="CN36" s="350"/>
      <c r="CO36" s="350"/>
      <c r="CP36" s="350"/>
      <c r="CQ36" s="350"/>
      <c r="CR36" s="350"/>
      <c r="CS36" s="350"/>
      <c r="CT36" s="169"/>
      <c r="CU36" s="169"/>
      <c r="CV36" s="1749"/>
      <c r="CW36" s="169"/>
      <c r="CX36" s="169"/>
      <c r="CY36" s="1749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</row>
    <row r="37" spans="1:183" s="5" customFormat="1">
      <c r="A37" s="101">
        <v>29</v>
      </c>
      <c r="B37" s="81" t="s">
        <v>123</v>
      </c>
      <c r="C37" s="81">
        <f>'[2]ALL-Reformatted'!AC34</f>
        <v>13787</v>
      </c>
      <c r="D37" s="81">
        <f>'[3]All-Reformatted'!AC34</f>
        <v>8335</v>
      </c>
      <c r="E37" s="81">
        <f t="shared" si="17"/>
        <v>1834</v>
      </c>
      <c r="F37" s="81">
        <f>'[4]MS5627_CTE -Reformatted'!AC35</f>
        <v>5750.5</v>
      </c>
      <c r="G37" s="81">
        <f t="shared" si="18"/>
        <v>345</v>
      </c>
      <c r="H37" s="81">
        <f>'[5]Rollup_Level1 Formatted 2'!Y34</f>
        <v>158</v>
      </c>
      <c r="I37" s="81">
        <f t="shared" si="19"/>
        <v>63</v>
      </c>
      <c r="J37" s="81">
        <f>'[5]Rollup_Level2 Formatted 2'!AB34</f>
        <v>701</v>
      </c>
      <c r="K37" s="81">
        <f t="shared" si="20"/>
        <v>386</v>
      </c>
      <c r="L37" s="81">
        <f>'[5]Rollup_Level3 Formatted 2'!T34</f>
        <v>272</v>
      </c>
      <c r="M37" s="81">
        <f t="shared" si="21"/>
        <v>218</v>
      </c>
      <c r="N37" s="81">
        <f>'[6]Rollup_Level1-REFORMATTED (2)'!P33</f>
        <v>123</v>
      </c>
      <c r="O37" s="81">
        <f t="shared" si="22"/>
        <v>43</v>
      </c>
      <c r="P37" s="81">
        <f>'[6]Rollup_Level2_REFORMATTED (2)'!V33</f>
        <v>155</v>
      </c>
      <c r="Q37" s="81">
        <f t="shared" si="23"/>
        <v>85</v>
      </c>
      <c r="R37" s="81">
        <f>'[6]Rollup_Level3 FORMATTED (2)'!Y33</f>
        <v>555</v>
      </c>
      <c r="S37" s="81">
        <f t="shared" si="24"/>
        <v>389</v>
      </c>
      <c r="T37" s="81">
        <f>[7]Exceeds!AJ34</f>
        <v>56</v>
      </c>
      <c r="U37" s="81">
        <f t="shared" si="25"/>
        <v>76</v>
      </c>
      <c r="V37" s="81">
        <f>'[8]Significantly Exceeds'!V34</f>
        <v>189</v>
      </c>
      <c r="W37" s="81">
        <f t="shared" si="26"/>
        <v>331</v>
      </c>
      <c r="X37" s="81">
        <f>'[9]Roll up'!J34</f>
        <v>32</v>
      </c>
      <c r="Y37" s="81">
        <f t="shared" si="27"/>
        <v>48</v>
      </c>
      <c r="Z37" s="81">
        <f>[10]BeginSchYr2011_ByExcept!P30</f>
        <v>25</v>
      </c>
      <c r="AA37" s="81">
        <f t="shared" si="28"/>
        <v>38</v>
      </c>
      <c r="AB37" s="129">
        <v>-3.6808224826100217E-3</v>
      </c>
      <c r="AC37" s="81">
        <f t="shared" si="48"/>
        <v>1131</v>
      </c>
      <c r="AD37" s="81">
        <f t="shared" si="49"/>
        <v>0</v>
      </c>
      <c r="AE37" s="81">
        <f t="shared" si="50"/>
        <v>68</v>
      </c>
      <c r="AF37" s="81">
        <f t="shared" si="51"/>
        <v>0</v>
      </c>
      <c r="AG37" s="81">
        <f t="shared" si="29"/>
        <v>1745</v>
      </c>
      <c r="AH37" s="81">
        <f>'[11]Rollup_PS-8th'!R33</f>
        <v>122</v>
      </c>
      <c r="AI37" s="13">
        <f t="shared" si="30"/>
        <v>73</v>
      </c>
      <c r="AJ37" s="13">
        <f>'[11]Rollup_9th-12th'!M33</f>
        <v>95</v>
      </c>
      <c r="AK37" s="13">
        <f t="shared" si="31"/>
        <v>28.5</v>
      </c>
      <c r="AL37" s="13">
        <f>[12]Reformatted!Y34</f>
        <v>99</v>
      </c>
      <c r="AM37" s="13">
        <f t="shared" si="52"/>
        <v>29.7</v>
      </c>
      <c r="AN37" s="13">
        <f t="shared" si="32"/>
        <v>0</v>
      </c>
      <c r="AO37" s="65">
        <f t="shared" si="33"/>
        <v>0</v>
      </c>
      <c r="AP37" s="13">
        <f t="shared" si="34"/>
        <v>0</v>
      </c>
      <c r="AQ37" s="13">
        <f t="shared" si="35"/>
        <v>4055.2</v>
      </c>
      <c r="AR37" s="13">
        <f t="shared" si="36"/>
        <v>17842.2</v>
      </c>
      <c r="AS37" s="388">
        <f t="shared" si="53"/>
        <v>3855</v>
      </c>
      <c r="AT37" s="388">
        <f t="shared" si="37"/>
        <v>68781681</v>
      </c>
      <c r="AU37" s="388">
        <f>'Table 6 (Local Deduct Calc.)'!J37</f>
        <v>25371978</v>
      </c>
      <c r="AV37" s="388">
        <f t="shared" si="54"/>
        <v>25371978</v>
      </c>
      <c r="AW37" s="389">
        <f t="shared" si="55"/>
        <v>43409703</v>
      </c>
      <c r="AX37" s="390">
        <f t="shared" si="78"/>
        <v>0.63109999999999999</v>
      </c>
      <c r="AY37" s="390">
        <f t="shared" si="56"/>
        <v>0.36890000000000001</v>
      </c>
      <c r="AZ37" s="391">
        <f t="shared" si="38"/>
        <v>1840.2827301080729</v>
      </c>
      <c r="BA37" s="388">
        <f>'Table 7 Local Revenue'!AQ36</f>
        <v>61121447</v>
      </c>
      <c r="BB37" s="388">
        <f t="shared" si="57"/>
        <v>35749469</v>
      </c>
      <c r="BC37" s="279">
        <f t="shared" si="58"/>
        <v>0</v>
      </c>
      <c r="BD37" s="14">
        <f t="shared" si="59"/>
        <v>23385771.540000003</v>
      </c>
      <c r="BE37" s="14">
        <f t="shared" si="60"/>
        <v>23385771.540000003</v>
      </c>
      <c r="BF37" s="388">
        <f t="shared" si="61"/>
        <v>14838459.128302321</v>
      </c>
      <c r="BG37" s="392">
        <f t="shared" si="62"/>
        <v>8547312.411697682</v>
      </c>
      <c r="BH37" s="16">
        <f t="shared" si="63"/>
        <v>0.36549999999999999</v>
      </c>
      <c r="BI37" s="392">
        <f t="shared" si="64"/>
        <v>51957015.411697686</v>
      </c>
      <c r="BJ37" s="14">
        <f t="shared" si="39"/>
        <v>3769</v>
      </c>
      <c r="BK37" s="392">
        <f>'Table 4 Level 3'!M34</f>
        <v>1866170</v>
      </c>
      <c r="BL37" s="14">
        <f t="shared" si="40"/>
        <v>135.35722057010227</v>
      </c>
      <c r="BM37" s="392">
        <f t="shared" si="65"/>
        <v>53823185.411697686</v>
      </c>
      <c r="BN37" s="14">
        <f t="shared" si="41"/>
        <v>3903.9084218247394</v>
      </c>
      <c r="BO37" s="518">
        <f>'Table 4 Level 3'!P34</f>
        <v>12267507.196789112</v>
      </c>
      <c r="BP37" s="519">
        <f t="shared" si="42"/>
        <v>889.78800295851977</v>
      </c>
      <c r="BQ37" s="392">
        <f t="shared" si="66"/>
        <v>64224522.608486801</v>
      </c>
      <c r="BR37" s="14">
        <f t="shared" si="43"/>
        <v>4658.3392042131572</v>
      </c>
      <c r="BS37" s="1594">
        <f>'[13]Table 3 Levels 1&amp;2'!CE37</f>
        <v>-126783.34920239449</v>
      </c>
      <c r="BT37" s="1594">
        <f t="shared" si="67"/>
        <v>-9.1958619861024502</v>
      </c>
      <c r="BU37" s="1594">
        <f t="shared" si="68"/>
        <v>114105.01428215504</v>
      </c>
      <c r="BV37" s="1594">
        <f t="shared" si="44"/>
        <v>8.2762757874922048</v>
      </c>
      <c r="BW37" s="1600">
        <f t="shared" si="69"/>
        <v>64338627.622768953</v>
      </c>
      <c r="BX37" s="1602">
        <f t="shared" si="45"/>
        <v>4666.6154800006498</v>
      </c>
      <c r="BY37" s="16">
        <f t="shared" si="70"/>
        <v>0.56888318827553974</v>
      </c>
      <c r="BZ37" s="393">
        <f t="shared" si="71"/>
        <v>50</v>
      </c>
      <c r="CA37" s="14">
        <f t="shared" si="72"/>
        <v>48757749.539999999</v>
      </c>
      <c r="CB37" s="14">
        <f t="shared" si="46"/>
        <v>3536.5</v>
      </c>
      <c r="CC37" s="393">
        <f t="shared" si="73"/>
        <v>27</v>
      </c>
      <c r="CD37" s="16">
        <f t="shared" si="74"/>
        <v>0.43111681172446015</v>
      </c>
      <c r="CE37" s="393">
        <f t="shared" si="75"/>
        <v>113096377.16276896</v>
      </c>
      <c r="CF37" s="394">
        <f t="shared" si="47"/>
        <v>8203.117223672225</v>
      </c>
      <c r="CG37" s="393">
        <f t="shared" si="76"/>
        <v>58</v>
      </c>
      <c r="CH37" s="1340">
        <v>63847348.751467213</v>
      </c>
      <c r="CI37" s="279">
        <f t="shared" si="77"/>
        <v>491278.87130174041</v>
      </c>
      <c r="CJ37" s="1747"/>
      <c r="CK37" s="350"/>
      <c r="CL37" s="350"/>
      <c r="CM37" s="350"/>
      <c r="CN37" s="350"/>
      <c r="CO37" s="350"/>
      <c r="CP37" s="350"/>
      <c r="CQ37" s="350"/>
      <c r="CR37" s="350"/>
      <c r="CS37" s="350"/>
      <c r="CT37" s="169"/>
      <c r="CU37" s="169"/>
      <c r="CV37" s="1749"/>
      <c r="CW37" s="169"/>
      <c r="CX37" s="169"/>
      <c r="CY37" s="1749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</row>
    <row r="38" spans="1:183" s="21" customFormat="1">
      <c r="A38" s="102">
        <v>30</v>
      </c>
      <c r="B38" s="82" t="s">
        <v>124</v>
      </c>
      <c r="C38" s="82">
        <f>'[2]ALL-Reformatted'!AC35</f>
        <v>2477</v>
      </c>
      <c r="D38" s="82">
        <f>'[3]All-Reformatted'!AC35</f>
        <v>1351</v>
      </c>
      <c r="E38" s="82">
        <f t="shared" si="17"/>
        <v>297</v>
      </c>
      <c r="F38" s="82">
        <f>'[4]MS5627_CTE -Reformatted'!AC36</f>
        <v>906.5</v>
      </c>
      <c r="G38" s="82">
        <f t="shared" si="18"/>
        <v>54</v>
      </c>
      <c r="H38" s="82">
        <f>'[5]Rollup_Level1 Formatted 2'!Y35</f>
        <v>38</v>
      </c>
      <c r="I38" s="82">
        <f t="shared" si="19"/>
        <v>15</v>
      </c>
      <c r="J38" s="82">
        <f>'[5]Rollup_Level2 Formatted 2'!AB35</f>
        <v>173</v>
      </c>
      <c r="K38" s="82">
        <f t="shared" si="20"/>
        <v>95</v>
      </c>
      <c r="L38" s="82">
        <f>'[5]Rollup_Level3 Formatted 2'!T35</f>
        <v>20</v>
      </c>
      <c r="M38" s="82">
        <f t="shared" si="21"/>
        <v>16</v>
      </c>
      <c r="N38" s="82">
        <f>'[6]Rollup_Level1-REFORMATTED (2)'!P34</f>
        <v>13</v>
      </c>
      <c r="O38" s="82">
        <f t="shared" si="22"/>
        <v>5</v>
      </c>
      <c r="P38" s="82">
        <f>'[6]Rollup_Level2_REFORMATTED (2)'!V34</f>
        <v>53</v>
      </c>
      <c r="Q38" s="82">
        <f t="shared" si="23"/>
        <v>29</v>
      </c>
      <c r="R38" s="82">
        <f>'[6]Rollup_Level3 FORMATTED (2)'!Y34</f>
        <v>119</v>
      </c>
      <c r="S38" s="82">
        <f t="shared" si="24"/>
        <v>83</v>
      </c>
      <c r="T38" s="82">
        <f>[7]Exceeds!AJ35</f>
        <v>16</v>
      </c>
      <c r="U38" s="82">
        <f t="shared" si="25"/>
        <v>22</v>
      </c>
      <c r="V38" s="82">
        <f>'[8]Significantly Exceeds'!V35</f>
        <v>41</v>
      </c>
      <c r="W38" s="82">
        <f t="shared" si="26"/>
        <v>72</v>
      </c>
      <c r="X38" s="82">
        <f>'[9]Roll up'!J35</f>
        <v>6</v>
      </c>
      <c r="Y38" s="82">
        <f t="shared" si="27"/>
        <v>9</v>
      </c>
      <c r="Z38" s="82">
        <f>[10]BeginSchYr2011_ByExcept!P31</f>
        <v>3</v>
      </c>
      <c r="AA38" s="82">
        <f t="shared" si="28"/>
        <v>5</v>
      </c>
      <c r="AB38" s="1366">
        <v>7.5244200244200254E-2</v>
      </c>
      <c r="AC38" s="82">
        <f t="shared" si="48"/>
        <v>231</v>
      </c>
      <c r="AD38" s="82">
        <f t="shared" si="49"/>
        <v>0</v>
      </c>
      <c r="AE38" s="82">
        <f t="shared" si="50"/>
        <v>0</v>
      </c>
      <c r="AF38" s="82">
        <f t="shared" si="51"/>
        <v>0</v>
      </c>
      <c r="AG38" s="82">
        <f t="shared" si="29"/>
        <v>351</v>
      </c>
      <c r="AH38" s="82">
        <f>'[11]Rollup_PS-8th'!R34</f>
        <v>27</v>
      </c>
      <c r="AI38" s="19">
        <f t="shared" si="30"/>
        <v>16</v>
      </c>
      <c r="AJ38" s="19">
        <f>'[11]Rollup_9th-12th'!M34</f>
        <v>10</v>
      </c>
      <c r="AK38" s="19">
        <f t="shared" si="31"/>
        <v>3</v>
      </c>
      <c r="AL38" s="19">
        <f>[12]Reformatted!Y35</f>
        <v>9</v>
      </c>
      <c r="AM38" s="19">
        <f t="shared" si="52"/>
        <v>2.6999999999999997</v>
      </c>
      <c r="AN38" s="19">
        <f t="shared" si="32"/>
        <v>5023</v>
      </c>
      <c r="AO38" s="66">
        <f t="shared" si="33"/>
        <v>0.13395000000000001</v>
      </c>
      <c r="AP38" s="19">
        <f t="shared" si="34"/>
        <v>332</v>
      </c>
      <c r="AQ38" s="19">
        <f t="shared" si="35"/>
        <v>1055.7</v>
      </c>
      <c r="AR38" s="13">
        <f t="shared" si="36"/>
        <v>3532.7</v>
      </c>
      <c r="AS38" s="395">
        <f t="shared" si="53"/>
        <v>3855</v>
      </c>
      <c r="AT38" s="395">
        <f t="shared" si="37"/>
        <v>13618559</v>
      </c>
      <c r="AU38" s="395">
        <f>'Table 6 (Local Deduct Calc.)'!J38</f>
        <v>2939997.5</v>
      </c>
      <c r="AV38" s="395">
        <f t="shared" si="54"/>
        <v>2939997.5</v>
      </c>
      <c r="AW38" s="396">
        <f t="shared" si="55"/>
        <v>10678561.5</v>
      </c>
      <c r="AX38" s="397">
        <f t="shared" si="78"/>
        <v>0.78410000000000002</v>
      </c>
      <c r="AY38" s="398">
        <f t="shared" si="56"/>
        <v>0.21590000000000001</v>
      </c>
      <c r="AZ38" s="399">
        <f t="shared" si="38"/>
        <v>1186.918651594671</v>
      </c>
      <c r="BA38" s="395">
        <f>'Table 7 Local Revenue'!AQ37</f>
        <v>9436765.5</v>
      </c>
      <c r="BB38" s="395">
        <f t="shared" si="57"/>
        <v>6496768</v>
      </c>
      <c r="BC38" s="280">
        <f t="shared" si="58"/>
        <v>0</v>
      </c>
      <c r="BD38" s="20">
        <f t="shared" si="59"/>
        <v>4630310.0600000005</v>
      </c>
      <c r="BE38" s="20">
        <f t="shared" si="60"/>
        <v>4630310.0600000005</v>
      </c>
      <c r="BF38" s="395">
        <f t="shared" si="61"/>
        <v>1719456.3801608803</v>
      </c>
      <c r="BG38" s="400">
        <f t="shared" si="62"/>
        <v>2910853.6798391202</v>
      </c>
      <c r="BH38" s="273">
        <f t="shared" si="63"/>
        <v>0.62870000000000004</v>
      </c>
      <c r="BI38" s="400">
        <f t="shared" si="64"/>
        <v>13589415.179839119</v>
      </c>
      <c r="BJ38" s="20">
        <f t="shared" si="39"/>
        <v>5486</v>
      </c>
      <c r="BK38" s="400">
        <f>'Table 4 Level 3'!M35</f>
        <v>335280</v>
      </c>
      <c r="BL38" s="20">
        <f t="shared" si="40"/>
        <v>135.35728704077513</v>
      </c>
      <c r="BM38" s="400">
        <f t="shared" si="65"/>
        <v>13924695.179839119</v>
      </c>
      <c r="BN38" s="20">
        <f t="shared" si="41"/>
        <v>5621.5967621474038</v>
      </c>
      <c r="BO38" s="520">
        <f>'Table 4 Level 3'!P35</f>
        <v>2136043.7879999997</v>
      </c>
      <c r="BP38" s="521">
        <f t="shared" si="42"/>
        <v>862.35114574081535</v>
      </c>
      <c r="BQ38" s="400">
        <f t="shared" si="66"/>
        <v>15725458.967839118</v>
      </c>
      <c r="BR38" s="20">
        <f t="shared" si="43"/>
        <v>6348.5906208474435</v>
      </c>
      <c r="BS38" s="20">
        <f>'[13]Table 3 Levels 1&amp;2'!CE38</f>
        <v>75927.200510721654</v>
      </c>
      <c r="BT38" s="20">
        <f t="shared" si="67"/>
        <v>30.652886762503694</v>
      </c>
      <c r="BU38" s="20">
        <f t="shared" si="68"/>
        <v>-68334.480459649494</v>
      </c>
      <c r="BV38" s="20">
        <f t="shared" si="44"/>
        <v>-27.58759808625333</v>
      </c>
      <c r="BW38" s="760">
        <f t="shared" si="69"/>
        <v>15657124.487379469</v>
      </c>
      <c r="BX38" s="78">
        <f t="shared" si="45"/>
        <v>6321.0030227611906</v>
      </c>
      <c r="BY38" s="273">
        <f t="shared" si="70"/>
        <v>0.67407901379033053</v>
      </c>
      <c r="BZ38" s="401">
        <f t="shared" si="71"/>
        <v>26</v>
      </c>
      <c r="CA38" s="20">
        <f t="shared" si="72"/>
        <v>7570307.5599999996</v>
      </c>
      <c r="CB38" s="20">
        <f t="shared" si="46"/>
        <v>3056.24</v>
      </c>
      <c r="CC38" s="401">
        <f t="shared" si="73"/>
        <v>41</v>
      </c>
      <c r="CD38" s="273">
        <f t="shared" si="74"/>
        <v>0.32592098620966953</v>
      </c>
      <c r="CE38" s="401">
        <f t="shared" si="75"/>
        <v>23227432.047379468</v>
      </c>
      <c r="CF38" s="402">
        <f t="shared" si="47"/>
        <v>9377.2434587724947</v>
      </c>
      <c r="CG38" s="401">
        <f t="shared" si="76"/>
        <v>13</v>
      </c>
      <c r="CH38" s="1341">
        <v>15400251.3522336</v>
      </c>
      <c r="CI38" s="280">
        <f t="shared" si="77"/>
        <v>256873.13514586911</v>
      </c>
      <c r="CJ38" s="1750"/>
      <c r="CK38" s="350"/>
      <c r="CL38" s="350"/>
      <c r="CM38" s="350"/>
      <c r="CN38" s="350"/>
      <c r="CO38" s="350"/>
      <c r="CP38" s="350"/>
      <c r="CQ38" s="350"/>
      <c r="CR38" s="350"/>
      <c r="CS38" s="350"/>
      <c r="CT38" s="169"/>
      <c r="CU38" s="169"/>
      <c r="CV38" s="1749"/>
      <c r="CW38" s="169"/>
      <c r="CX38" s="169"/>
      <c r="CY38" s="1749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</row>
    <row r="39" spans="1:183" s="5" customFormat="1">
      <c r="A39" s="101">
        <v>31</v>
      </c>
      <c r="B39" s="81" t="s">
        <v>125</v>
      </c>
      <c r="C39" s="81">
        <f>'[2]ALL-Reformatted'!AC36</f>
        <v>6488</v>
      </c>
      <c r="D39" s="81">
        <f>'[3]All-Reformatted'!AC36</f>
        <v>3957</v>
      </c>
      <c r="E39" s="81">
        <f t="shared" si="17"/>
        <v>871</v>
      </c>
      <c r="F39" s="81">
        <f>'[4]MS5627_CTE -Reformatted'!AC37</f>
        <v>2323</v>
      </c>
      <c r="G39" s="81">
        <f t="shared" si="18"/>
        <v>139</v>
      </c>
      <c r="H39" s="81">
        <f>'[5]Rollup_Level1 Formatted 2'!Y36</f>
        <v>88</v>
      </c>
      <c r="I39" s="81">
        <f t="shared" si="19"/>
        <v>35</v>
      </c>
      <c r="J39" s="81">
        <f>'[5]Rollup_Level2 Formatted 2'!AB36</f>
        <v>568</v>
      </c>
      <c r="K39" s="81">
        <f t="shared" si="20"/>
        <v>312</v>
      </c>
      <c r="L39" s="81">
        <f>'[5]Rollup_Level3 Formatted 2'!T36</f>
        <v>93</v>
      </c>
      <c r="M39" s="81">
        <f t="shared" si="21"/>
        <v>74</v>
      </c>
      <c r="N39" s="81">
        <f>'[6]Rollup_Level1-REFORMATTED (2)'!P35</f>
        <v>102</v>
      </c>
      <c r="O39" s="81">
        <f t="shared" si="22"/>
        <v>36</v>
      </c>
      <c r="P39" s="81">
        <f>'[6]Rollup_Level2_REFORMATTED (2)'!V35</f>
        <v>112</v>
      </c>
      <c r="Q39" s="81">
        <f t="shared" si="23"/>
        <v>62</v>
      </c>
      <c r="R39" s="81">
        <f>'[6]Rollup_Level3 FORMATTED (2)'!Y35</f>
        <v>417</v>
      </c>
      <c r="S39" s="81">
        <f t="shared" si="24"/>
        <v>292</v>
      </c>
      <c r="T39" s="81">
        <f>[7]Exceeds!AJ36</f>
        <v>50</v>
      </c>
      <c r="U39" s="81">
        <f t="shared" si="25"/>
        <v>68</v>
      </c>
      <c r="V39" s="81">
        <f>'[8]Significantly Exceeds'!V36</f>
        <v>216</v>
      </c>
      <c r="W39" s="81">
        <f t="shared" si="26"/>
        <v>378</v>
      </c>
      <c r="X39" s="81">
        <f>'[9]Roll up'!J36</f>
        <v>14</v>
      </c>
      <c r="Y39" s="81">
        <f t="shared" si="27"/>
        <v>21</v>
      </c>
      <c r="Z39" s="81">
        <f>[10]BeginSchYr2011_ByExcept!P32</f>
        <v>6</v>
      </c>
      <c r="AA39" s="81">
        <f t="shared" si="28"/>
        <v>9</v>
      </c>
      <c r="AB39" s="1363">
        <v>4.1439379490113809E-2</v>
      </c>
      <c r="AC39" s="81">
        <f t="shared" si="48"/>
        <v>749</v>
      </c>
      <c r="AD39" s="81">
        <f t="shared" si="49"/>
        <v>0</v>
      </c>
      <c r="AE39" s="81">
        <f t="shared" si="50"/>
        <v>0</v>
      </c>
      <c r="AF39" s="81">
        <f t="shared" si="51"/>
        <v>0</v>
      </c>
      <c r="AG39" s="81">
        <f t="shared" si="29"/>
        <v>1287</v>
      </c>
      <c r="AH39" s="81">
        <f>'[11]Rollup_PS-8th'!R35</f>
        <v>252</v>
      </c>
      <c r="AI39" s="13">
        <f t="shared" si="30"/>
        <v>151</v>
      </c>
      <c r="AJ39" s="13">
        <f>'[11]Rollup_9th-12th'!M35</f>
        <v>95</v>
      </c>
      <c r="AK39" s="13">
        <f t="shared" si="31"/>
        <v>28.5</v>
      </c>
      <c r="AL39" s="13">
        <f>[12]Reformatted!Y36</f>
        <v>90</v>
      </c>
      <c r="AM39" s="13">
        <f t="shared" si="52"/>
        <v>27</v>
      </c>
      <c r="AN39" s="13">
        <f t="shared" si="32"/>
        <v>1012</v>
      </c>
      <c r="AO39" s="65">
        <f t="shared" si="33"/>
        <v>2.699E-2</v>
      </c>
      <c r="AP39" s="13">
        <f t="shared" si="34"/>
        <v>175</v>
      </c>
      <c r="AQ39" s="13">
        <f t="shared" si="35"/>
        <v>2678.5</v>
      </c>
      <c r="AR39" s="36">
        <f t="shared" si="36"/>
        <v>9166.5</v>
      </c>
      <c r="AS39" s="388">
        <f t="shared" si="53"/>
        <v>3855</v>
      </c>
      <c r="AT39" s="388">
        <f t="shared" si="37"/>
        <v>35336858</v>
      </c>
      <c r="AU39" s="388">
        <f>'Table 6 (Local Deduct Calc.)'!J39</f>
        <v>12232518</v>
      </c>
      <c r="AV39" s="388">
        <f t="shared" si="54"/>
        <v>12232518</v>
      </c>
      <c r="AW39" s="389">
        <f t="shared" si="55"/>
        <v>23104340</v>
      </c>
      <c r="AX39" s="390">
        <f t="shared" si="78"/>
        <v>0.65380000000000005</v>
      </c>
      <c r="AY39" s="390">
        <f t="shared" si="56"/>
        <v>0.34620000000000001</v>
      </c>
      <c r="AZ39" s="391">
        <f t="shared" si="38"/>
        <v>1885.4065967940815</v>
      </c>
      <c r="BA39" s="388">
        <f>'Table 7 Local Revenue'!AQ38</f>
        <v>30943994</v>
      </c>
      <c r="BB39" s="388">
        <f t="shared" si="57"/>
        <v>18711476</v>
      </c>
      <c r="BC39" s="279">
        <f t="shared" si="58"/>
        <v>0</v>
      </c>
      <c r="BD39" s="14">
        <f t="shared" si="59"/>
        <v>12014531.720000001</v>
      </c>
      <c r="BE39" s="14">
        <f t="shared" si="60"/>
        <v>12014531.720000001</v>
      </c>
      <c r="BF39" s="388">
        <f t="shared" si="61"/>
        <v>7154221.11611808</v>
      </c>
      <c r="BG39" s="392">
        <f t="shared" si="62"/>
        <v>4860310.6038819207</v>
      </c>
      <c r="BH39" s="16">
        <f t="shared" si="63"/>
        <v>0.40450000000000003</v>
      </c>
      <c r="BI39" s="392">
        <f t="shared" si="64"/>
        <v>27964650.603881922</v>
      </c>
      <c r="BJ39" s="14">
        <f t="shared" si="39"/>
        <v>4310</v>
      </c>
      <c r="BK39" s="392">
        <f>'Table 4 Level 3'!M36</f>
        <v>878198</v>
      </c>
      <c r="BL39" s="14">
        <f t="shared" si="40"/>
        <v>135.35727496917386</v>
      </c>
      <c r="BM39" s="392">
        <f t="shared" si="65"/>
        <v>28842848.603881922</v>
      </c>
      <c r="BN39" s="14">
        <f t="shared" si="41"/>
        <v>4445.5685271088041</v>
      </c>
      <c r="BO39" s="518">
        <f>'Table 4 Level 3'!P36</f>
        <v>4905770.5420000004</v>
      </c>
      <c r="BP39" s="519">
        <f t="shared" si="42"/>
        <v>756.12986159062893</v>
      </c>
      <c r="BQ39" s="392">
        <f t="shared" si="66"/>
        <v>32870421.145881921</v>
      </c>
      <c r="BR39" s="14">
        <f t="shared" si="43"/>
        <v>5066.3411137302592</v>
      </c>
      <c r="BS39" s="1594">
        <f>'[13]Table 3 Levels 1&amp;2'!CE39</f>
        <v>904386.38469000161</v>
      </c>
      <c r="BT39" s="1594">
        <f t="shared" si="67"/>
        <v>139.39370910758348</v>
      </c>
      <c r="BU39" s="1594">
        <f t="shared" si="68"/>
        <v>-813947.74622100149</v>
      </c>
      <c r="BV39" s="1594">
        <f t="shared" si="44"/>
        <v>-125.45433819682513</v>
      </c>
      <c r="BW39" s="1600">
        <f t="shared" si="69"/>
        <v>32056473.399660919</v>
      </c>
      <c r="BX39" s="1602">
        <f t="shared" si="45"/>
        <v>4940.886775533434</v>
      </c>
      <c r="BY39" s="16">
        <f t="shared" si="70"/>
        <v>0.56935111025879936</v>
      </c>
      <c r="BZ39" s="393">
        <f t="shared" si="71"/>
        <v>49</v>
      </c>
      <c r="CA39" s="14">
        <f t="shared" si="72"/>
        <v>24247049.719999999</v>
      </c>
      <c r="CB39" s="14">
        <f t="shared" si="46"/>
        <v>3737.21</v>
      </c>
      <c r="CC39" s="393">
        <f t="shared" si="73"/>
        <v>23</v>
      </c>
      <c r="CD39" s="16">
        <f t="shared" si="74"/>
        <v>0.43064888974120075</v>
      </c>
      <c r="CE39" s="393">
        <f t="shared" si="75"/>
        <v>56303523.119660914</v>
      </c>
      <c r="CF39" s="394">
        <f t="shared" si="47"/>
        <v>8678.1015905765889</v>
      </c>
      <c r="CG39" s="393">
        <f t="shared" si="76"/>
        <v>40</v>
      </c>
      <c r="CH39" s="1340">
        <v>30900414.246679999</v>
      </c>
      <c r="CI39" s="279">
        <f t="shared" si="77"/>
        <v>1156059.1529809199</v>
      </c>
      <c r="CJ39" s="1750"/>
      <c r="CK39" s="350"/>
      <c r="CL39" s="350"/>
      <c r="CM39" s="350"/>
      <c r="CN39" s="350"/>
      <c r="CO39" s="350"/>
      <c r="CP39" s="350"/>
      <c r="CQ39" s="350"/>
      <c r="CR39" s="350"/>
      <c r="CS39" s="350"/>
      <c r="CT39" s="169"/>
      <c r="CU39" s="169"/>
      <c r="CV39" s="1749"/>
      <c r="CW39" s="169"/>
      <c r="CX39" s="169"/>
      <c r="CY39" s="174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</row>
    <row r="40" spans="1:183" s="5" customFormat="1">
      <c r="A40" s="101">
        <v>32</v>
      </c>
      <c r="B40" s="81" t="s">
        <v>126</v>
      </c>
      <c r="C40" s="81">
        <f>'[2]ALL-Reformatted'!AC37</f>
        <v>24854</v>
      </c>
      <c r="D40" s="81">
        <f>'[3]All-Reformatted'!AC37</f>
        <v>12786</v>
      </c>
      <c r="E40" s="81">
        <f t="shared" si="17"/>
        <v>2813</v>
      </c>
      <c r="F40" s="81">
        <f>'[4]MS5627_CTE -Reformatted'!AC38</f>
        <v>10601.5</v>
      </c>
      <c r="G40" s="81">
        <f t="shared" si="18"/>
        <v>636</v>
      </c>
      <c r="H40" s="81">
        <f>'[5]Rollup_Level1 Formatted 2'!Y37</f>
        <v>570</v>
      </c>
      <c r="I40" s="81">
        <f t="shared" si="19"/>
        <v>228</v>
      </c>
      <c r="J40" s="81">
        <f>'[5]Rollup_Level2 Formatted 2'!AB37</f>
        <v>2277</v>
      </c>
      <c r="K40" s="81">
        <f t="shared" si="20"/>
        <v>1252</v>
      </c>
      <c r="L40" s="81">
        <f>'[5]Rollup_Level3 Formatted 2'!T37</f>
        <v>376</v>
      </c>
      <c r="M40" s="81">
        <f t="shared" si="21"/>
        <v>301</v>
      </c>
      <c r="N40" s="81">
        <f>'[6]Rollup_Level1-REFORMATTED (2)'!P36</f>
        <v>281</v>
      </c>
      <c r="O40" s="81">
        <f t="shared" si="22"/>
        <v>98</v>
      </c>
      <c r="P40" s="81">
        <f>'[6]Rollup_Level2_REFORMATTED (2)'!V36</f>
        <v>870</v>
      </c>
      <c r="Q40" s="81">
        <f t="shared" si="23"/>
        <v>479</v>
      </c>
      <c r="R40" s="81">
        <f>'[6]Rollup_Level3 FORMATTED (2)'!Y36</f>
        <v>1221</v>
      </c>
      <c r="S40" s="81">
        <f t="shared" si="24"/>
        <v>855</v>
      </c>
      <c r="T40" s="81">
        <f>[7]Exceeds!AJ37</f>
        <v>211</v>
      </c>
      <c r="U40" s="81">
        <f t="shared" si="25"/>
        <v>285</v>
      </c>
      <c r="V40" s="81">
        <f>'[8]Significantly Exceeds'!V37</f>
        <v>756</v>
      </c>
      <c r="W40" s="81">
        <f t="shared" si="26"/>
        <v>1323</v>
      </c>
      <c r="X40" s="81">
        <f>'[9]Roll up'!J37</f>
        <v>62</v>
      </c>
      <c r="Y40" s="81">
        <f t="shared" si="27"/>
        <v>93</v>
      </c>
      <c r="Z40" s="81">
        <f>[10]BeginSchYr2011_ByExcept!P33</f>
        <v>24</v>
      </c>
      <c r="AA40" s="81">
        <f t="shared" si="28"/>
        <v>36</v>
      </c>
      <c r="AB40" s="129">
        <v>-4.7772719342177444E-3</v>
      </c>
      <c r="AC40" s="81">
        <f t="shared" si="48"/>
        <v>3223</v>
      </c>
      <c r="AD40" s="81">
        <f t="shared" si="49"/>
        <v>0</v>
      </c>
      <c r="AE40" s="81">
        <f t="shared" si="50"/>
        <v>193</v>
      </c>
      <c r="AF40" s="81">
        <f t="shared" si="51"/>
        <v>0</v>
      </c>
      <c r="AG40" s="81">
        <f t="shared" si="29"/>
        <v>5143</v>
      </c>
      <c r="AH40" s="81">
        <f>'[11]Rollup_PS-8th'!R36</f>
        <v>785</v>
      </c>
      <c r="AI40" s="13">
        <f t="shared" si="30"/>
        <v>471</v>
      </c>
      <c r="AJ40" s="13">
        <f>'[11]Rollup_9th-12th'!M36</f>
        <v>373</v>
      </c>
      <c r="AK40" s="13">
        <f t="shared" si="31"/>
        <v>111.89999999999999</v>
      </c>
      <c r="AL40" s="13">
        <f>[12]Reformatted!Y37</f>
        <v>219</v>
      </c>
      <c r="AM40" s="13">
        <f t="shared" si="52"/>
        <v>65.7</v>
      </c>
      <c r="AN40" s="13">
        <f t="shared" si="32"/>
        <v>0</v>
      </c>
      <c r="AO40" s="65">
        <f t="shared" si="33"/>
        <v>0</v>
      </c>
      <c r="AP40" s="13">
        <f t="shared" si="34"/>
        <v>0</v>
      </c>
      <c r="AQ40" s="13">
        <f t="shared" si="35"/>
        <v>9240.6</v>
      </c>
      <c r="AR40" s="13">
        <f t="shared" si="36"/>
        <v>34094.6</v>
      </c>
      <c r="AS40" s="388">
        <f t="shared" si="53"/>
        <v>3855</v>
      </c>
      <c r="AT40" s="388">
        <f t="shared" si="37"/>
        <v>131434683</v>
      </c>
      <c r="AU40" s="388">
        <f>'Table 6 (Local Deduct Calc.)'!J40</f>
        <v>19564024.5</v>
      </c>
      <c r="AV40" s="388">
        <f t="shared" si="54"/>
        <v>19564024.5</v>
      </c>
      <c r="AW40" s="389">
        <f t="shared" si="55"/>
        <v>111870658.5</v>
      </c>
      <c r="AX40" s="390">
        <f t="shared" si="78"/>
        <v>0.85119999999999996</v>
      </c>
      <c r="AY40" s="390">
        <f t="shared" si="56"/>
        <v>0.14879999999999999</v>
      </c>
      <c r="AZ40" s="391">
        <f t="shared" si="38"/>
        <v>787.15798261849204</v>
      </c>
      <c r="BA40" s="388">
        <f>'Table 7 Local Revenue'!AQ39</f>
        <v>50525265.5</v>
      </c>
      <c r="BB40" s="498">
        <f>IF(BA40-AV40&gt;0,BA40-AV40,0)-704594</f>
        <v>30256647</v>
      </c>
      <c r="BC40" s="279">
        <f t="shared" si="58"/>
        <v>0</v>
      </c>
      <c r="BD40" s="14">
        <f t="shared" si="59"/>
        <v>44687792.220000006</v>
      </c>
      <c r="BE40" s="14">
        <f t="shared" si="60"/>
        <v>30256647</v>
      </c>
      <c r="BF40" s="388">
        <f t="shared" si="61"/>
        <v>7743765.2065920001</v>
      </c>
      <c r="BG40" s="392">
        <f t="shared" si="62"/>
        <v>22512881.793407999</v>
      </c>
      <c r="BH40" s="16">
        <f t="shared" si="63"/>
        <v>0.74409999999999998</v>
      </c>
      <c r="BI40" s="392">
        <f t="shared" si="64"/>
        <v>134383540.29340801</v>
      </c>
      <c r="BJ40" s="14">
        <f t="shared" si="39"/>
        <v>5407</v>
      </c>
      <c r="BK40" s="392">
        <f>'Table 4 Level 3'!M37</f>
        <v>3364169</v>
      </c>
      <c r="BL40" s="14">
        <f t="shared" si="40"/>
        <v>135.35724631850005</v>
      </c>
      <c r="BM40" s="392">
        <f t="shared" si="65"/>
        <v>137747709.29340801</v>
      </c>
      <c r="BN40" s="14">
        <f t="shared" si="41"/>
        <v>5542.2752592503421</v>
      </c>
      <c r="BO40" s="518">
        <f>'Table 4 Level 3'!P37</f>
        <v>17270746.505809985</v>
      </c>
      <c r="BP40" s="519">
        <f t="shared" si="42"/>
        <v>694.88800618854043</v>
      </c>
      <c r="BQ40" s="392">
        <f t="shared" si="66"/>
        <v>151654286.799218</v>
      </c>
      <c r="BR40" s="14">
        <f t="shared" si="43"/>
        <v>6101.8060191203831</v>
      </c>
      <c r="BS40" s="1594">
        <f>'[13]Table 3 Levels 1&amp;2'!CE40</f>
        <v>1044622.9627559781</v>
      </c>
      <c r="BT40" s="1594">
        <f t="shared" si="67"/>
        <v>42.030375905527407</v>
      </c>
      <c r="BU40" s="1594">
        <f t="shared" si="68"/>
        <v>-940160.66648038034</v>
      </c>
      <c r="BV40" s="1594">
        <f t="shared" si="44"/>
        <v>-37.827338314974668</v>
      </c>
      <c r="BW40" s="1600">
        <f t="shared" si="69"/>
        <v>150714126.13273761</v>
      </c>
      <c r="BX40" s="1602">
        <f t="shared" si="45"/>
        <v>6063.9786808054077</v>
      </c>
      <c r="BY40" s="16">
        <f t="shared" si="70"/>
        <v>0.7515609655375507</v>
      </c>
      <c r="BZ40" s="393">
        <f t="shared" si="71"/>
        <v>6</v>
      </c>
      <c r="CA40" s="14">
        <f t="shared" si="72"/>
        <v>49820671.5</v>
      </c>
      <c r="CB40" s="14">
        <f t="shared" si="46"/>
        <v>2004.53</v>
      </c>
      <c r="CC40" s="393">
        <f t="shared" si="73"/>
        <v>63</v>
      </c>
      <c r="CD40" s="16">
        <f t="shared" si="74"/>
        <v>0.24843903446244933</v>
      </c>
      <c r="CE40" s="393">
        <f t="shared" si="75"/>
        <v>200534797.63273761</v>
      </c>
      <c r="CF40" s="394">
        <f t="shared" si="47"/>
        <v>8068.5120154799069</v>
      </c>
      <c r="CG40" s="393">
        <f t="shared" si="76"/>
        <v>61</v>
      </c>
      <c r="CH40" s="1340">
        <v>147567769.45206401</v>
      </c>
      <c r="CI40" s="279">
        <f t="shared" si="77"/>
        <v>3146356.6806735992</v>
      </c>
      <c r="CJ40" s="1750"/>
      <c r="CK40" s="350"/>
      <c r="CL40" s="350"/>
      <c r="CM40" s="350"/>
      <c r="CN40" s="350"/>
      <c r="CO40" s="350"/>
      <c r="CP40" s="350"/>
      <c r="CQ40" s="350"/>
      <c r="CR40" s="350"/>
      <c r="CS40" s="350"/>
      <c r="CT40" s="169"/>
      <c r="CU40" s="169"/>
      <c r="CV40" s="1749"/>
      <c r="CW40" s="169"/>
      <c r="CX40" s="169"/>
      <c r="CY40" s="1749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</row>
    <row r="41" spans="1:183" s="5" customFormat="1">
      <c r="A41" s="101">
        <v>33</v>
      </c>
      <c r="B41" s="81" t="s">
        <v>127</v>
      </c>
      <c r="C41" s="81">
        <f>'[2]ALL-Reformatted'!AC38</f>
        <v>1935</v>
      </c>
      <c r="D41" s="81">
        <f>'[3]All-Reformatted'!AC38</f>
        <v>1743</v>
      </c>
      <c r="E41" s="81">
        <f t="shared" ref="E41:E72" si="79">ROUND($D$5*D41,0)</f>
        <v>383</v>
      </c>
      <c r="F41" s="81">
        <f>'[4]MS5627_CTE -Reformatted'!AC39</f>
        <v>636.5</v>
      </c>
      <c r="G41" s="81">
        <f t="shared" ref="G41:G72" si="80">ROUND($F$5*F41,0)</f>
        <v>38</v>
      </c>
      <c r="H41" s="81">
        <f>'[5]Rollup_Level1 Formatted 2'!Y38</f>
        <v>16</v>
      </c>
      <c r="I41" s="81">
        <f t="shared" ref="I41:I72" si="81">ROUND($H$5*H41,0)</f>
        <v>6</v>
      </c>
      <c r="J41" s="81">
        <f>'[5]Rollup_Level2 Formatted 2'!AB38</f>
        <v>156</v>
      </c>
      <c r="K41" s="81">
        <f t="shared" ref="K41:K72" si="82">ROUND($J$5*J41,0)</f>
        <v>86</v>
      </c>
      <c r="L41" s="81">
        <f>'[5]Rollup_Level3 Formatted 2'!T38</f>
        <v>35</v>
      </c>
      <c r="M41" s="81">
        <f t="shared" ref="M41:M72" si="83">ROUND($L$5*L41,0)</f>
        <v>28</v>
      </c>
      <c r="N41" s="81">
        <f>'[6]Rollup_Level1-REFORMATTED (2)'!P37</f>
        <v>38</v>
      </c>
      <c r="O41" s="81">
        <f t="shared" ref="O41:O72" si="84">ROUND(N41*$N$5,0)</f>
        <v>13</v>
      </c>
      <c r="P41" s="81">
        <f>'[6]Rollup_Level2_REFORMATTED (2)'!V37</f>
        <v>59</v>
      </c>
      <c r="Q41" s="81">
        <f t="shared" ref="Q41:Q72" si="85">ROUND(P41*$P$5,0)</f>
        <v>32</v>
      </c>
      <c r="R41" s="81">
        <f>'[6]Rollup_Level3 FORMATTED (2)'!Y37</f>
        <v>90</v>
      </c>
      <c r="S41" s="81">
        <f t="shared" ref="S41:S72" si="86">ROUND(R41*$R$5,0)</f>
        <v>63</v>
      </c>
      <c r="T41" s="81">
        <f>[7]Exceeds!AJ38</f>
        <v>6</v>
      </c>
      <c r="U41" s="81">
        <f t="shared" ref="U41:U72" si="87">ROUND(T41*$T$5,0)</f>
        <v>8</v>
      </c>
      <c r="V41" s="81">
        <f>'[8]Significantly Exceeds'!V38</f>
        <v>12</v>
      </c>
      <c r="W41" s="81">
        <f t="shared" ref="W41:W72" si="88">ROUND(V41*$V$5,0)</f>
        <v>21</v>
      </c>
      <c r="X41" s="81">
        <f>'[9]Roll up'!J38</f>
        <v>5</v>
      </c>
      <c r="Y41" s="81">
        <f t="shared" ref="Y41:Y72" si="89">ROUND(X41*$X$5,0)</f>
        <v>8</v>
      </c>
      <c r="Z41" s="81">
        <v>0</v>
      </c>
      <c r="AA41" s="81">
        <f t="shared" ref="AA41:AA72" si="90">ROUND(Z41*$Z$5,0)</f>
        <v>0</v>
      </c>
      <c r="AB41" s="1363">
        <v>2.934163197672069E-2</v>
      </c>
      <c r="AC41" s="81">
        <f t="shared" si="48"/>
        <v>207</v>
      </c>
      <c r="AD41" s="81">
        <f t="shared" si="49"/>
        <v>0</v>
      </c>
      <c r="AE41" s="81">
        <f t="shared" si="50"/>
        <v>0</v>
      </c>
      <c r="AF41" s="81">
        <f t="shared" si="51"/>
        <v>0</v>
      </c>
      <c r="AG41" s="81">
        <f t="shared" ref="AG41:AG72" si="91">I41+K41+M41+O41+Q41+S41+U41+W41+AD41+AE41+AF41+AA41+Y41</f>
        <v>265</v>
      </c>
      <c r="AH41" s="81">
        <f>'[11]Rollup_PS-8th'!R37</f>
        <v>9</v>
      </c>
      <c r="AI41" s="13">
        <f t="shared" ref="AI41:AI72" si="92">ROUND($AH$5*AH41,0)</f>
        <v>5</v>
      </c>
      <c r="AJ41" s="13">
        <f>'[11]Rollup_9th-12th'!M37</f>
        <v>3</v>
      </c>
      <c r="AK41" s="13">
        <f t="shared" ref="AK41:AK72" si="93">$AJ$5*AJ41</f>
        <v>0.89999999999999991</v>
      </c>
      <c r="AL41" s="13">
        <f>[12]Reformatted!Y38</f>
        <v>1</v>
      </c>
      <c r="AM41" s="13">
        <f t="shared" si="52"/>
        <v>0.3</v>
      </c>
      <c r="AN41" s="13">
        <f t="shared" ref="AN41:AN77" si="94">IF(C41&lt;$AN$5,$AN$5-C41,0)</f>
        <v>5565</v>
      </c>
      <c r="AO41" s="65">
        <f t="shared" ref="AO41:AO72" si="95">ROUND(AN41/$AO$5,5)</f>
        <v>0.1484</v>
      </c>
      <c r="AP41" s="13">
        <f t="shared" ref="AP41:AP72" si="96" xml:space="preserve"> ROUND(C41*AO41,0)</f>
        <v>287</v>
      </c>
      <c r="AQ41" s="13">
        <f t="shared" ref="AQ41:AQ72" si="97">E41+G41+AG41+AI41+AK41+AM41+AP41</f>
        <v>979.19999999999993</v>
      </c>
      <c r="AR41" s="13">
        <f t="shared" ref="AR41:AR72" si="98">AQ41+C41</f>
        <v>2914.2</v>
      </c>
      <c r="AS41" s="388">
        <f t="shared" si="53"/>
        <v>3855</v>
      </c>
      <c r="AT41" s="388">
        <f t="shared" ref="AT41:AT72" si="99">ROUND(AR41*AS41,0)</f>
        <v>11234241</v>
      </c>
      <c r="AU41" s="388">
        <f>'Table 6 (Local Deduct Calc.)'!J41</f>
        <v>2810590</v>
      </c>
      <c r="AV41" s="388">
        <f t="shared" si="54"/>
        <v>2810590</v>
      </c>
      <c r="AW41" s="389">
        <f t="shared" si="55"/>
        <v>8423651</v>
      </c>
      <c r="AX41" s="390">
        <f t="shared" si="78"/>
        <v>0.74980000000000002</v>
      </c>
      <c r="AY41" s="390">
        <f t="shared" si="56"/>
        <v>0.25019999999999998</v>
      </c>
      <c r="AZ41" s="391">
        <f t="shared" ref="AZ41:AZ72" si="100">AV41/C41</f>
        <v>1452.5012919896642</v>
      </c>
      <c r="BA41" s="388">
        <f>'Table 7 Local Revenue'!AQ40</f>
        <v>5320306</v>
      </c>
      <c r="BB41" s="388">
        <f t="shared" si="57"/>
        <v>2509716</v>
      </c>
      <c r="BC41" s="279">
        <f t="shared" si="58"/>
        <v>0</v>
      </c>
      <c r="BD41" s="14">
        <f t="shared" si="59"/>
        <v>3819641.9400000004</v>
      </c>
      <c r="BE41" s="14">
        <f t="shared" si="60"/>
        <v>2509716</v>
      </c>
      <c r="BF41" s="388">
        <f t="shared" si="61"/>
        <v>1080041.2223039998</v>
      </c>
      <c r="BG41" s="392">
        <f t="shared" si="62"/>
        <v>1429674.7776960002</v>
      </c>
      <c r="BH41" s="16">
        <f t="shared" si="63"/>
        <v>0.56969999999999998</v>
      </c>
      <c r="BI41" s="392">
        <f t="shared" si="64"/>
        <v>9853325.7776960004</v>
      </c>
      <c r="BJ41" s="14">
        <f t="shared" ref="BJ41:BJ72" si="101">ROUND(BI41/C41,0)</f>
        <v>5092</v>
      </c>
      <c r="BK41" s="392">
        <f>'Table 4 Level 3'!M38</f>
        <v>261916</v>
      </c>
      <c r="BL41" s="14">
        <f t="shared" ref="BL41:BL72" si="102">BK41/C41</f>
        <v>135.35710594315245</v>
      </c>
      <c r="BM41" s="392">
        <f t="shared" si="65"/>
        <v>10115241.777696</v>
      </c>
      <c r="BN41" s="14">
        <f t="shared" ref="BN41:BN72" si="103">BM41/C41</f>
        <v>5227.5151305922482</v>
      </c>
      <c r="BO41" s="518">
        <f>'Table 4 Level 3'!P38</f>
        <v>1511587.5601798145</v>
      </c>
      <c r="BP41" s="519">
        <f t="shared" ref="BP41:BP72" si="104">BO41/C41</f>
        <v>781.18220164331501</v>
      </c>
      <c r="BQ41" s="392">
        <f t="shared" si="66"/>
        <v>11364913.337875815</v>
      </c>
      <c r="BR41" s="14">
        <f t="shared" ref="BR41:BR72" si="105">BQ41/C41</f>
        <v>5873.340226292411</v>
      </c>
      <c r="BS41" s="1594">
        <f>'[13]Table 3 Levels 1&amp;2'!CE41</f>
        <v>-203298.82823199965</v>
      </c>
      <c r="BT41" s="1594">
        <f t="shared" si="67"/>
        <v>-105.06399391834607</v>
      </c>
      <c r="BU41" s="1594">
        <f t="shared" si="68"/>
        <v>182968.94540879969</v>
      </c>
      <c r="BV41" s="1594">
        <f t="shared" ref="BV41:BV72" si="106">BU41/C41</f>
        <v>94.557594526511465</v>
      </c>
      <c r="BW41" s="1600">
        <f t="shared" si="69"/>
        <v>11547882.283284616</v>
      </c>
      <c r="BX41" s="1602">
        <f t="shared" ref="BX41:BX72" si="107">BW41/C41</f>
        <v>5967.8978208189228</v>
      </c>
      <c r="BY41" s="16">
        <f t="shared" si="70"/>
        <v>0.68459529199871982</v>
      </c>
      <c r="BZ41" s="393">
        <f t="shared" si="71"/>
        <v>22</v>
      </c>
      <c r="CA41" s="14">
        <f t="shared" si="72"/>
        <v>5320306</v>
      </c>
      <c r="CB41" s="14">
        <f t="shared" ref="CB41:CB72" si="108">ROUND(CA41/C41,2)</f>
        <v>2749.51</v>
      </c>
      <c r="CC41" s="393">
        <f t="shared" si="73"/>
        <v>53</v>
      </c>
      <c r="CD41" s="16">
        <f t="shared" si="74"/>
        <v>0.31540470800128018</v>
      </c>
      <c r="CE41" s="393">
        <f t="shared" si="75"/>
        <v>16868188.283284616</v>
      </c>
      <c r="CF41" s="394">
        <f t="shared" ref="CF41:CF72" si="109">CE41/C41</f>
        <v>8717.4099655217651</v>
      </c>
      <c r="CG41" s="393">
        <f t="shared" si="76"/>
        <v>37</v>
      </c>
      <c r="CH41" s="1340">
        <v>12082954.485386116</v>
      </c>
      <c r="CI41" s="279">
        <f t="shared" si="77"/>
        <v>-535072.2021015007</v>
      </c>
      <c r="CJ41" s="1747"/>
      <c r="CK41" s="350"/>
      <c r="CL41" s="350"/>
      <c r="CM41" s="350"/>
      <c r="CN41" s="350"/>
      <c r="CO41" s="350"/>
      <c r="CP41" s="350"/>
      <c r="CQ41" s="350"/>
      <c r="CR41" s="350"/>
      <c r="CS41" s="350"/>
      <c r="CT41" s="169"/>
      <c r="CU41" s="169"/>
      <c r="CV41" s="1749"/>
      <c r="CW41" s="169"/>
      <c r="CX41" s="169"/>
      <c r="CY41" s="1749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</row>
    <row r="42" spans="1:183" s="5" customFormat="1">
      <c r="A42" s="101">
        <v>34</v>
      </c>
      <c r="B42" s="81" t="s">
        <v>128</v>
      </c>
      <c r="C42" s="607">
        <f>'[2]ALL-Reformatted'!AC39</f>
        <v>4289</v>
      </c>
      <c r="D42" s="607">
        <f>'[3]All-Reformatted'!AC39</f>
        <v>3652</v>
      </c>
      <c r="E42" s="607">
        <f t="shared" si="79"/>
        <v>803</v>
      </c>
      <c r="F42" s="607">
        <f>'[4]MS5627_CTE -Reformatted'!AC40</f>
        <v>1792</v>
      </c>
      <c r="G42" s="607">
        <f t="shared" si="80"/>
        <v>108</v>
      </c>
      <c r="H42" s="607">
        <f>'[5]Rollup_Level1 Formatted 2'!Y39</f>
        <v>61</v>
      </c>
      <c r="I42" s="607">
        <f t="shared" si="81"/>
        <v>24</v>
      </c>
      <c r="J42" s="607">
        <f>'[5]Rollup_Level2 Formatted 2'!AB39</f>
        <v>582</v>
      </c>
      <c r="K42" s="607">
        <f t="shared" si="82"/>
        <v>320</v>
      </c>
      <c r="L42" s="607">
        <f>'[5]Rollup_Level3 Formatted 2'!T39</f>
        <v>63</v>
      </c>
      <c r="M42" s="607">
        <f t="shared" si="83"/>
        <v>50</v>
      </c>
      <c r="N42" s="607">
        <f>'[6]Rollup_Level1-REFORMATTED (2)'!P38</f>
        <v>61</v>
      </c>
      <c r="O42" s="607">
        <f t="shared" si="84"/>
        <v>21</v>
      </c>
      <c r="P42" s="607">
        <f>'[6]Rollup_Level2_REFORMATTED (2)'!V38</f>
        <v>128</v>
      </c>
      <c r="Q42" s="607">
        <f t="shared" si="85"/>
        <v>70</v>
      </c>
      <c r="R42" s="607">
        <f>'[6]Rollup_Level3 FORMATTED (2)'!Y38</f>
        <v>437</v>
      </c>
      <c r="S42" s="607">
        <f t="shared" si="86"/>
        <v>306</v>
      </c>
      <c r="T42" s="607">
        <f>[7]Exceeds!AJ39</f>
        <v>48</v>
      </c>
      <c r="U42" s="607">
        <f t="shared" si="87"/>
        <v>65</v>
      </c>
      <c r="V42" s="607">
        <f>'[8]Significantly Exceeds'!V39</f>
        <v>68</v>
      </c>
      <c r="W42" s="607">
        <f t="shared" si="88"/>
        <v>119</v>
      </c>
      <c r="X42" s="607">
        <f>'[9]Roll up'!J39</f>
        <v>13</v>
      </c>
      <c r="Y42" s="607">
        <f t="shared" si="89"/>
        <v>20</v>
      </c>
      <c r="Z42" s="607">
        <f>[10]BeginSchYr2011_ByExcept!P34</f>
        <v>6</v>
      </c>
      <c r="AA42" s="607">
        <f t="shared" si="90"/>
        <v>9</v>
      </c>
      <c r="AB42" s="1365">
        <v>5.020139502898123E-2</v>
      </c>
      <c r="AC42" s="607">
        <f t="shared" si="48"/>
        <v>706</v>
      </c>
      <c r="AD42" s="607">
        <f t="shared" si="49"/>
        <v>0</v>
      </c>
      <c r="AE42" s="607">
        <f t="shared" si="50"/>
        <v>0</v>
      </c>
      <c r="AF42" s="607">
        <f t="shared" si="51"/>
        <v>0</v>
      </c>
      <c r="AG42" s="607">
        <f t="shared" si="91"/>
        <v>1004</v>
      </c>
      <c r="AH42" s="607">
        <f>'[11]Rollup_PS-8th'!R38</f>
        <v>44</v>
      </c>
      <c r="AI42" s="607">
        <f t="shared" si="92"/>
        <v>26</v>
      </c>
      <c r="AJ42" s="607">
        <f>'[11]Rollup_9th-12th'!M38</f>
        <v>5</v>
      </c>
      <c r="AK42" s="607">
        <f t="shared" si="93"/>
        <v>1.5</v>
      </c>
      <c r="AL42" s="607">
        <f>[12]Reformatted!Y39</f>
        <v>16</v>
      </c>
      <c r="AM42" s="607">
        <f t="shared" si="52"/>
        <v>4.8</v>
      </c>
      <c r="AN42" s="13">
        <f t="shared" si="94"/>
        <v>3211</v>
      </c>
      <c r="AO42" s="65">
        <f t="shared" si="95"/>
        <v>8.5629999999999998E-2</v>
      </c>
      <c r="AP42" s="13">
        <f t="shared" si="96"/>
        <v>367</v>
      </c>
      <c r="AQ42" s="13">
        <f t="shared" si="97"/>
        <v>2314.3000000000002</v>
      </c>
      <c r="AR42" s="13">
        <f t="shared" si="98"/>
        <v>6603.3</v>
      </c>
      <c r="AS42" s="388">
        <f t="shared" si="53"/>
        <v>3855</v>
      </c>
      <c r="AT42" s="388">
        <f t="shared" si="99"/>
        <v>25455722</v>
      </c>
      <c r="AU42" s="388">
        <f>'Table 6 (Local Deduct Calc.)'!J42</f>
        <v>5263487.5</v>
      </c>
      <c r="AV42" s="388">
        <f t="shared" si="54"/>
        <v>5263487.5</v>
      </c>
      <c r="AW42" s="389">
        <f t="shared" si="55"/>
        <v>20192234.5</v>
      </c>
      <c r="AX42" s="390">
        <f t="shared" si="78"/>
        <v>0.79320000000000002</v>
      </c>
      <c r="AY42" s="390">
        <f t="shared" si="56"/>
        <v>0.20680000000000001</v>
      </c>
      <c r="AZ42" s="391">
        <f t="shared" si="100"/>
        <v>1227.2062252273256</v>
      </c>
      <c r="BA42" s="388">
        <f>'Table 7 Local Revenue'!AQ41</f>
        <v>12309200.5</v>
      </c>
      <c r="BB42" s="388">
        <f t="shared" si="57"/>
        <v>7045713</v>
      </c>
      <c r="BC42" s="279">
        <f t="shared" si="58"/>
        <v>0</v>
      </c>
      <c r="BD42" s="14">
        <f t="shared" si="59"/>
        <v>8654945.4800000004</v>
      </c>
      <c r="BE42" s="14">
        <f t="shared" si="60"/>
        <v>7045713</v>
      </c>
      <c r="BF42" s="388">
        <f t="shared" si="61"/>
        <v>2506131.9312479999</v>
      </c>
      <c r="BG42" s="392">
        <f t="shared" si="62"/>
        <v>4539581.0687520001</v>
      </c>
      <c r="BH42" s="16">
        <f t="shared" si="63"/>
        <v>0.64429999999999998</v>
      </c>
      <c r="BI42" s="392">
        <f t="shared" si="64"/>
        <v>24731815.568751998</v>
      </c>
      <c r="BJ42" s="14">
        <f t="shared" si="101"/>
        <v>5766</v>
      </c>
      <c r="BK42" s="392">
        <f>'Table 4 Level 3'!M39</f>
        <v>580547</v>
      </c>
      <c r="BL42" s="14">
        <f t="shared" si="102"/>
        <v>135.35719281883888</v>
      </c>
      <c r="BM42" s="392">
        <f t="shared" si="65"/>
        <v>25312362.568751998</v>
      </c>
      <c r="BN42" s="14">
        <f t="shared" si="103"/>
        <v>5901.6933011778965</v>
      </c>
      <c r="BO42" s="518">
        <f>'Table 4 Level 3'!P39</f>
        <v>3342061.0592633677</v>
      </c>
      <c r="BP42" s="519">
        <f t="shared" si="104"/>
        <v>779.21684757830906</v>
      </c>
      <c r="BQ42" s="392">
        <f>BI42+BO42</f>
        <v>28073876.628015365</v>
      </c>
      <c r="BR42" s="14">
        <f t="shared" si="105"/>
        <v>6545.5529559373663</v>
      </c>
      <c r="BS42" s="1594">
        <f>'[13]Table 3 Levels 1&amp;2'!CE42</f>
        <v>-273397.72794000059</v>
      </c>
      <c r="BT42" s="1594">
        <f t="shared" si="67"/>
        <v>-63.743932837491393</v>
      </c>
      <c r="BU42" s="1594">
        <f t="shared" si="68"/>
        <v>246057.95514600055</v>
      </c>
      <c r="BV42" s="1594">
        <f t="shared" si="106"/>
        <v>57.369539553742257</v>
      </c>
      <c r="BW42" s="1600">
        <f t="shared" si="69"/>
        <v>28319934.583161365</v>
      </c>
      <c r="BX42" s="1602">
        <f t="shared" si="107"/>
        <v>6602.9224954911087</v>
      </c>
      <c r="BY42" s="16">
        <f t="shared" si="70"/>
        <v>0.69703513316724486</v>
      </c>
      <c r="BZ42" s="393">
        <f t="shared" si="71"/>
        <v>17</v>
      </c>
      <c r="CA42" s="14">
        <f t="shared" si="72"/>
        <v>12309200.5</v>
      </c>
      <c r="CB42" s="14">
        <f t="shared" si="108"/>
        <v>2869.95</v>
      </c>
      <c r="CC42" s="393">
        <f t="shared" si="73"/>
        <v>45</v>
      </c>
      <c r="CD42" s="16">
        <f t="shared" si="74"/>
        <v>0.30296486683275503</v>
      </c>
      <c r="CE42" s="393">
        <f t="shared" si="75"/>
        <v>40629135.083161369</v>
      </c>
      <c r="CF42" s="394">
        <f t="shared" si="109"/>
        <v>9472.8689865146589</v>
      </c>
      <c r="CG42" s="393">
        <f t="shared" si="76"/>
        <v>9</v>
      </c>
      <c r="CH42" s="1340">
        <v>28118989.404115085</v>
      </c>
      <c r="CI42" s="279">
        <f t="shared" si="77"/>
        <v>200945.17904628068</v>
      </c>
      <c r="CJ42" s="1747"/>
      <c r="CK42" s="350"/>
      <c r="CL42" s="350"/>
      <c r="CM42" s="350"/>
      <c r="CN42" s="350"/>
      <c r="CO42" s="350"/>
      <c r="CP42" s="350"/>
      <c r="CQ42" s="350"/>
      <c r="CR42" s="350"/>
      <c r="CS42" s="350"/>
      <c r="CT42" s="169"/>
      <c r="CU42" s="169"/>
      <c r="CV42" s="1749"/>
      <c r="CW42" s="169"/>
      <c r="CX42" s="169"/>
      <c r="CY42" s="1749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</row>
    <row r="43" spans="1:183" s="21" customFormat="1">
      <c r="A43" s="102">
        <v>35</v>
      </c>
      <c r="B43" s="82" t="s">
        <v>129</v>
      </c>
      <c r="C43" s="792">
        <f>'[2]ALL-Reformatted'!AC40</f>
        <v>6514</v>
      </c>
      <c r="D43" s="792">
        <f>'[3]All-Reformatted'!AC40</f>
        <v>4868</v>
      </c>
      <c r="E43" s="792">
        <f t="shared" si="79"/>
        <v>1071</v>
      </c>
      <c r="F43" s="792">
        <f>'[4]MS5627_CTE -Reformatted'!AC41</f>
        <v>1877</v>
      </c>
      <c r="G43" s="792">
        <f t="shared" si="80"/>
        <v>113</v>
      </c>
      <c r="H43" s="792">
        <f>'[5]Rollup_Level1 Formatted 2'!Y40</f>
        <v>55</v>
      </c>
      <c r="I43" s="792">
        <f t="shared" si="81"/>
        <v>22</v>
      </c>
      <c r="J43" s="792">
        <f>'[5]Rollup_Level2 Formatted 2'!AB40</f>
        <v>598</v>
      </c>
      <c r="K43" s="792">
        <f t="shared" si="82"/>
        <v>329</v>
      </c>
      <c r="L43" s="792">
        <f>'[5]Rollup_Level3 Formatted 2'!T40</f>
        <v>89</v>
      </c>
      <c r="M43" s="792">
        <f t="shared" si="83"/>
        <v>71</v>
      </c>
      <c r="N43" s="792">
        <f>'[6]Rollup_Level1-REFORMATTED (2)'!P39</f>
        <v>97</v>
      </c>
      <c r="O43" s="792">
        <f t="shared" si="84"/>
        <v>34</v>
      </c>
      <c r="P43" s="792">
        <f>'[6]Rollup_Level2_REFORMATTED (2)'!V39</f>
        <v>383</v>
      </c>
      <c r="Q43" s="792">
        <f t="shared" si="85"/>
        <v>211</v>
      </c>
      <c r="R43" s="792">
        <f>'[6]Rollup_Level3 FORMATTED (2)'!Y39</f>
        <v>155</v>
      </c>
      <c r="S43" s="792">
        <f t="shared" si="86"/>
        <v>109</v>
      </c>
      <c r="T43" s="792">
        <f>[7]Exceeds!AJ40</f>
        <v>49</v>
      </c>
      <c r="U43" s="792">
        <f t="shared" si="87"/>
        <v>66</v>
      </c>
      <c r="V43" s="792">
        <f>'[8]Significantly Exceeds'!V40</f>
        <v>149</v>
      </c>
      <c r="W43" s="792">
        <f t="shared" si="88"/>
        <v>261</v>
      </c>
      <c r="X43" s="792">
        <f>'[9]Roll up'!J40</f>
        <v>10</v>
      </c>
      <c r="Y43" s="792">
        <f t="shared" si="89"/>
        <v>15</v>
      </c>
      <c r="Z43" s="792">
        <f>[10]BeginSchYr2011_ByExcept!P35</f>
        <v>5</v>
      </c>
      <c r="AA43" s="792">
        <f t="shared" si="90"/>
        <v>8</v>
      </c>
      <c r="AB43" s="1364">
        <v>2.3790192329518164E-2</v>
      </c>
      <c r="AC43" s="792">
        <f t="shared" si="48"/>
        <v>742</v>
      </c>
      <c r="AD43" s="792">
        <f t="shared" si="49"/>
        <v>0</v>
      </c>
      <c r="AE43" s="792">
        <f t="shared" si="50"/>
        <v>0</v>
      </c>
      <c r="AF43" s="792">
        <f t="shared" si="51"/>
        <v>0</v>
      </c>
      <c r="AG43" s="792">
        <f t="shared" si="91"/>
        <v>1126</v>
      </c>
      <c r="AH43" s="792">
        <f>'[11]Rollup_PS-8th'!R39</f>
        <v>110</v>
      </c>
      <c r="AI43" s="792">
        <f t="shared" si="92"/>
        <v>66</v>
      </c>
      <c r="AJ43" s="792">
        <f>'[11]Rollup_9th-12th'!M39</f>
        <v>114</v>
      </c>
      <c r="AK43" s="792">
        <f t="shared" si="93"/>
        <v>34.199999999999996</v>
      </c>
      <c r="AL43" s="792">
        <f>[12]Reformatted!Y40</f>
        <v>24</v>
      </c>
      <c r="AM43" s="792">
        <f t="shared" si="52"/>
        <v>7.1999999999999993</v>
      </c>
      <c r="AN43" s="19">
        <f t="shared" si="94"/>
        <v>986</v>
      </c>
      <c r="AO43" s="66">
        <f t="shared" si="95"/>
        <v>2.6290000000000001E-2</v>
      </c>
      <c r="AP43" s="19">
        <f t="shared" si="96"/>
        <v>171</v>
      </c>
      <c r="AQ43" s="19">
        <f t="shared" si="97"/>
        <v>2588.3999999999996</v>
      </c>
      <c r="AR43" s="13">
        <f t="shared" si="98"/>
        <v>9102.4</v>
      </c>
      <c r="AS43" s="395">
        <f t="shared" si="53"/>
        <v>3855</v>
      </c>
      <c r="AT43" s="395">
        <f t="shared" si="99"/>
        <v>35089752</v>
      </c>
      <c r="AU43" s="395">
        <f>'Table 6 (Local Deduct Calc.)'!J43</f>
        <v>11514602</v>
      </c>
      <c r="AV43" s="395">
        <f t="shared" si="54"/>
        <v>11514602</v>
      </c>
      <c r="AW43" s="396">
        <f t="shared" si="55"/>
        <v>23575150</v>
      </c>
      <c r="AX43" s="397">
        <f t="shared" si="78"/>
        <v>0.67190000000000005</v>
      </c>
      <c r="AY43" s="398">
        <f t="shared" si="56"/>
        <v>0.3281</v>
      </c>
      <c r="AZ43" s="399">
        <f t="shared" si="100"/>
        <v>1767.6699416641081</v>
      </c>
      <c r="BA43" s="395">
        <f>'Table 7 Local Revenue'!AQ42</f>
        <v>23572281</v>
      </c>
      <c r="BB43" s="395">
        <f t="shared" si="57"/>
        <v>12057679</v>
      </c>
      <c r="BC43" s="280">
        <f t="shared" si="58"/>
        <v>0</v>
      </c>
      <c r="BD43" s="20">
        <f t="shared" si="59"/>
        <v>11930515.680000002</v>
      </c>
      <c r="BE43" s="20">
        <f t="shared" si="60"/>
        <v>11930515.680000002</v>
      </c>
      <c r="BF43" s="395">
        <f t="shared" si="61"/>
        <v>6732771.7747257603</v>
      </c>
      <c r="BG43" s="400">
        <f t="shared" si="62"/>
        <v>5197743.9052742412</v>
      </c>
      <c r="BH43" s="273">
        <f t="shared" si="63"/>
        <v>0.43569999999999998</v>
      </c>
      <c r="BI43" s="400">
        <f t="shared" si="64"/>
        <v>28772893.905274242</v>
      </c>
      <c r="BJ43" s="20">
        <f t="shared" si="101"/>
        <v>4417</v>
      </c>
      <c r="BK43" s="400">
        <f>'Table 4 Level 3'!M40</f>
        <v>881717</v>
      </c>
      <c r="BL43" s="20">
        <f t="shared" si="102"/>
        <v>135.35723058028861</v>
      </c>
      <c r="BM43" s="400">
        <f t="shared" si="65"/>
        <v>29654610.905274242</v>
      </c>
      <c r="BN43" s="20">
        <f t="shared" si="103"/>
        <v>4552.4425706592328</v>
      </c>
      <c r="BO43" s="520">
        <f>'Table 4 Level 3'!P40</f>
        <v>4384213.1720000003</v>
      </c>
      <c r="BP43" s="521">
        <f t="shared" si="104"/>
        <v>673.04469941664115</v>
      </c>
      <c r="BQ43" s="400">
        <f t="shared" si="66"/>
        <v>33157107.077274241</v>
      </c>
      <c r="BR43" s="20">
        <f t="shared" si="105"/>
        <v>5090.1300394955852</v>
      </c>
      <c r="BS43" s="20">
        <f>'[13]Table 3 Levels 1&amp;2'!CE43</f>
        <v>-141173.15108000487</v>
      </c>
      <c r="BT43" s="20">
        <f t="shared" si="67"/>
        <v>-21.672267589807319</v>
      </c>
      <c r="BU43" s="20">
        <f t="shared" si="68"/>
        <v>127055.83597200438</v>
      </c>
      <c r="BV43" s="20">
        <f t="shared" si="106"/>
        <v>19.505040830826587</v>
      </c>
      <c r="BW43" s="760">
        <f t="shared" si="69"/>
        <v>33284162.913246244</v>
      </c>
      <c r="BX43" s="78">
        <f t="shared" si="107"/>
        <v>5109.6350803264113</v>
      </c>
      <c r="BY43" s="273">
        <f t="shared" si="70"/>
        <v>0.58671928438325383</v>
      </c>
      <c r="BZ43" s="401">
        <f t="shared" si="71"/>
        <v>45</v>
      </c>
      <c r="CA43" s="20">
        <f t="shared" si="72"/>
        <v>23445117.68</v>
      </c>
      <c r="CB43" s="20">
        <f t="shared" si="108"/>
        <v>3599.19</v>
      </c>
      <c r="CC43" s="401">
        <f t="shared" si="73"/>
        <v>25</v>
      </c>
      <c r="CD43" s="273">
        <f t="shared" si="74"/>
        <v>0.41328071561674617</v>
      </c>
      <c r="CE43" s="401">
        <f t="shared" si="75"/>
        <v>56729280.593246244</v>
      </c>
      <c r="CF43" s="402">
        <f t="shared" si="109"/>
        <v>8708.824162303692</v>
      </c>
      <c r="CG43" s="401">
        <f t="shared" si="76"/>
        <v>38</v>
      </c>
      <c r="CH43" s="1341">
        <v>34692852.915260002</v>
      </c>
      <c r="CI43" s="280">
        <f t="shared" si="77"/>
        <v>-1408690.0020137578</v>
      </c>
      <c r="CJ43" s="1747"/>
      <c r="CK43" s="350"/>
      <c r="CL43" s="350"/>
      <c r="CM43" s="350"/>
      <c r="CN43" s="350"/>
      <c r="CO43" s="350"/>
      <c r="CP43" s="350"/>
      <c r="CQ43" s="350"/>
      <c r="CR43" s="350"/>
      <c r="CS43" s="350"/>
      <c r="CT43" s="169"/>
      <c r="CU43" s="169"/>
      <c r="CV43" s="1749"/>
      <c r="CW43" s="169"/>
      <c r="CX43" s="169"/>
      <c r="CY43" s="1749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</row>
    <row r="44" spans="1:183" s="5" customFormat="1">
      <c r="A44" s="101">
        <v>36</v>
      </c>
      <c r="B44" s="81" t="s">
        <v>130</v>
      </c>
      <c r="C44" s="607">
        <f>'[2]ALL-Reformatted'!AC41</f>
        <v>44187</v>
      </c>
      <c r="D44" s="607">
        <f>'[3]All-Reformatted'!AC41</f>
        <v>37185</v>
      </c>
      <c r="E44" s="607">
        <f t="shared" si="79"/>
        <v>8181</v>
      </c>
      <c r="F44" s="607">
        <f>'[4]MS5627_CTE -Reformatted'!AC42</f>
        <v>4952.5</v>
      </c>
      <c r="G44" s="607">
        <f t="shared" si="80"/>
        <v>297</v>
      </c>
      <c r="H44" s="607">
        <f>'[5]Rollup_Level1 Formatted 2'!Y41</f>
        <v>764</v>
      </c>
      <c r="I44" s="607">
        <f t="shared" si="81"/>
        <v>306</v>
      </c>
      <c r="J44" s="607">
        <f>'[5]Rollup_Level2 Formatted 2'!AB41</f>
        <v>3168</v>
      </c>
      <c r="K44" s="607">
        <f t="shared" si="82"/>
        <v>1742</v>
      </c>
      <c r="L44" s="607">
        <f>'[5]Rollup_Level3 Formatted 2'!T41</f>
        <v>861</v>
      </c>
      <c r="M44" s="607">
        <f t="shared" si="83"/>
        <v>689</v>
      </c>
      <c r="N44" s="607">
        <f>'[6]Rollup_Level1-REFORMATTED (2)'!P40</f>
        <v>359</v>
      </c>
      <c r="O44" s="607">
        <f t="shared" si="84"/>
        <v>126</v>
      </c>
      <c r="P44" s="607">
        <f>'[6]Rollup_Level2_REFORMATTED (2)'!V40</f>
        <v>582</v>
      </c>
      <c r="Q44" s="607">
        <f t="shared" si="85"/>
        <v>320</v>
      </c>
      <c r="R44" s="607">
        <f>'[6]Rollup_Level3 FORMATTED (2)'!Y40</f>
        <v>2391</v>
      </c>
      <c r="S44" s="607">
        <f t="shared" si="86"/>
        <v>1674</v>
      </c>
      <c r="T44" s="607">
        <f>[7]Exceeds!AJ41</f>
        <v>364</v>
      </c>
      <c r="U44" s="607">
        <f t="shared" si="87"/>
        <v>491</v>
      </c>
      <c r="V44" s="607">
        <f>'[8]Significantly Exceeds'!V41</f>
        <v>1127</v>
      </c>
      <c r="W44" s="607">
        <f t="shared" si="88"/>
        <v>1972</v>
      </c>
      <c r="X44" s="607">
        <f>'[9]Roll up'!J41</f>
        <v>86</v>
      </c>
      <c r="Y44" s="607">
        <f t="shared" si="89"/>
        <v>129</v>
      </c>
      <c r="Z44" s="607">
        <f>[10]BeginSchYr2011_ByExcept!P36</f>
        <v>15</v>
      </c>
      <c r="AA44" s="607">
        <f t="shared" si="90"/>
        <v>23</v>
      </c>
      <c r="AB44" s="590">
        <v>-1.5282328909038356E-2</v>
      </c>
      <c r="AC44" s="607">
        <f t="shared" si="48"/>
        <v>4793</v>
      </c>
      <c r="AD44" s="607">
        <f t="shared" si="49"/>
        <v>0</v>
      </c>
      <c r="AE44" s="607">
        <f t="shared" si="50"/>
        <v>288</v>
      </c>
      <c r="AF44" s="607">
        <f t="shared" si="51"/>
        <v>0</v>
      </c>
      <c r="AG44" s="607">
        <f t="shared" si="91"/>
        <v>7760</v>
      </c>
      <c r="AH44" s="607">
        <f>'[11]Rollup_PS-8th'!R40</f>
        <v>1668</v>
      </c>
      <c r="AI44" s="607">
        <f t="shared" si="92"/>
        <v>1001</v>
      </c>
      <c r="AJ44" s="607">
        <f>'[11]Rollup_9th-12th'!M40</f>
        <v>1095</v>
      </c>
      <c r="AK44" s="607">
        <f t="shared" si="93"/>
        <v>328.5</v>
      </c>
      <c r="AL44" s="607">
        <f>[12]Reformatted!Y41</f>
        <v>702</v>
      </c>
      <c r="AM44" s="607">
        <f t="shared" si="52"/>
        <v>210.6</v>
      </c>
      <c r="AN44" s="13">
        <f t="shared" si="94"/>
        <v>0</v>
      </c>
      <c r="AO44" s="65">
        <f t="shared" si="95"/>
        <v>0</v>
      </c>
      <c r="AP44" s="13">
        <f t="shared" si="96"/>
        <v>0</v>
      </c>
      <c r="AQ44" s="13">
        <f t="shared" si="97"/>
        <v>17778.099999999999</v>
      </c>
      <c r="AR44" s="36">
        <f t="shared" si="98"/>
        <v>61965.1</v>
      </c>
      <c r="AS44" s="388">
        <f t="shared" si="53"/>
        <v>3855</v>
      </c>
      <c r="AT44" s="388">
        <f t="shared" si="99"/>
        <v>238875461</v>
      </c>
      <c r="AU44" s="388">
        <f>'Table 6 (Local Deduct Calc.)'!J44</f>
        <v>102155410</v>
      </c>
      <c r="AV44" s="388">
        <f t="shared" si="54"/>
        <v>102155410</v>
      </c>
      <c r="AW44" s="389">
        <f t="shared" si="55"/>
        <v>136720051</v>
      </c>
      <c r="AX44" s="390">
        <f t="shared" si="78"/>
        <v>0.57230000000000003</v>
      </c>
      <c r="AY44" s="390">
        <f t="shared" si="56"/>
        <v>0.42770000000000002</v>
      </c>
      <c r="AZ44" s="391">
        <f t="shared" si="100"/>
        <v>2311.8883381990177</v>
      </c>
      <c r="BA44" s="388">
        <f>'Table 7 Local Revenue'!AQ43</f>
        <v>213521739</v>
      </c>
      <c r="BB44" s="388">
        <f t="shared" si="57"/>
        <v>111366329</v>
      </c>
      <c r="BC44" s="279">
        <f t="shared" si="58"/>
        <v>0</v>
      </c>
      <c r="BD44" s="14">
        <f t="shared" si="59"/>
        <v>81217656.74000001</v>
      </c>
      <c r="BE44" s="14">
        <f t="shared" si="60"/>
        <v>81217656.74000001</v>
      </c>
      <c r="BF44" s="388">
        <f t="shared" si="61"/>
        <v>59747281.874840572</v>
      </c>
      <c r="BG44" s="392">
        <f t="shared" si="62"/>
        <v>21470374.865159437</v>
      </c>
      <c r="BH44" s="16">
        <f t="shared" si="63"/>
        <v>0.26440000000000002</v>
      </c>
      <c r="BI44" s="392">
        <f t="shared" si="64"/>
        <v>158190425.86515945</v>
      </c>
      <c r="BJ44" s="14">
        <f t="shared" si="101"/>
        <v>3580</v>
      </c>
      <c r="BK44" s="392">
        <f>'Table 4 Level 3'!M41</f>
        <v>5981031</v>
      </c>
      <c r="BL44" s="14">
        <f t="shared" si="102"/>
        <v>135.35725439608936</v>
      </c>
      <c r="BM44" s="392">
        <f t="shared" si="65"/>
        <v>164171456.86515945</v>
      </c>
      <c r="BN44" s="14">
        <f t="shared" si="103"/>
        <v>3715.3791129780129</v>
      </c>
      <c r="BO44" s="518">
        <f>'Table 4 Level 3'!P41</f>
        <v>38425860.430718318</v>
      </c>
      <c r="BP44" s="519">
        <f t="shared" si="104"/>
        <v>869.61912849295766</v>
      </c>
      <c r="BQ44" s="392">
        <f>BI44+BO44</f>
        <v>196616286.29587775</v>
      </c>
      <c r="BR44" s="14">
        <f t="shared" si="105"/>
        <v>4449.6409870748803</v>
      </c>
      <c r="BS44" s="1594">
        <f>'[13]Table 3 Levels 1&amp;2'!CE44</f>
        <v>2404043.4063667953</v>
      </c>
      <c r="BT44" s="1594">
        <f t="shared" si="67"/>
        <v>54.406124117201784</v>
      </c>
      <c r="BU44" s="1594">
        <f t="shared" si="68"/>
        <v>-2163639.0657301159</v>
      </c>
      <c r="BV44" s="1594">
        <f t="shared" si="106"/>
        <v>-48.96551170548161</v>
      </c>
      <c r="BW44" s="1600">
        <f t="shared" si="69"/>
        <v>194452647.23014763</v>
      </c>
      <c r="BX44" s="1602">
        <f t="shared" si="107"/>
        <v>4400.6754753693986</v>
      </c>
      <c r="BY44" s="16">
        <f t="shared" si="70"/>
        <v>0.51466229015188614</v>
      </c>
      <c r="BZ44" s="393">
        <f t="shared" si="71"/>
        <v>54</v>
      </c>
      <c r="CA44" s="14">
        <f t="shared" si="72"/>
        <v>183373066.74000001</v>
      </c>
      <c r="CB44" s="14">
        <f t="shared" si="108"/>
        <v>4149.93</v>
      </c>
      <c r="CC44" s="393">
        <f t="shared" si="73"/>
        <v>16</v>
      </c>
      <c r="CD44" s="16">
        <f t="shared" si="74"/>
        <v>0.48533770984811397</v>
      </c>
      <c r="CE44" s="393">
        <f t="shared" si="75"/>
        <v>377825713.97014761</v>
      </c>
      <c r="CF44" s="394">
        <f t="shared" si="109"/>
        <v>8550.6079609420776</v>
      </c>
      <c r="CG44" s="393">
        <f t="shared" si="76"/>
        <v>45</v>
      </c>
      <c r="CH44" s="1340">
        <v>180755107.14403456</v>
      </c>
      <c r="CI44" s="279">
        <f t="shared" si="77"/>
        <v>13697540.086113065</v>
      </c>
      <c r="CJ44" s="1750"/>
      <c r="CK44" s="350"/>
      <c r="CL44" s="350"/>
      <c r="CM44" s="350"/>
      <c r="CN44" s="350"/>
      <c r="CO44" s="350"/>
      <c r="CP44" s="350"/>
      <c r="CQ44" s="350"/>
      <c r="CR44" s="350"/>
      <c r="CS44" s="350"/>
      <c r="CT44" s="1757"/>
      <c r="CU44" s="1757"/>
      <c r="CV44" s="1758"/>
      <c r="CW44" s="1757"/>
      <c r="CX44" s="1757"/>
      <c r="CY44" s="1758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</row>
    <row r="45" spans="1:183" s="5" customFormat="1">
      <c r="A45" s="101">
        <v>37</v>
      </c>
      <c r="B45" s="81" t="s">
        <v>131</v>
      </c>
      <c r="C45" s="607">
        <f>'[2]ALL-Reformatted'!AC42</f>
        <v>19811</v>
      </c>
      <c r="D45" s="607">
        <f>'[3]All-Reformatted'!AC42</f>
        <v>11745</v>
      </c>
      <c r="E45" s="607">
        <f t="shared" si="79"/>
        <v>2584</v>
      </c>
      <c r="F45" s="607">
        <f>'[4]MS5627_CTE -Reformatted'!AC43</f>
        <v>3845</v>
      </c>
      <c r="G45" s="607">
        <f t="shared" si="80"/>
        <v>231</v>
      </c>
      <c r="H45" s="607">
        <f>'[5]Rollup_Level1 Formatted 2'!Y42</f>
        <v>391</v>
      </c>
      <c r="I45" s="607">
        <f t="shared" si="81"/>
        <v>156</v>
      </c>
      <c r="J45" s="607">
        <f>'[5]Rollup_Level2 Formatted 2'!AB42</f>
        <v>1844</v>
      </c>
      <c r="K45" s="607">
        <f t="shared" si="82"/>
        <v>1014</v>
      </c>
      <c r="L45" s="607">
        <f>'[5]Rollup_Level3 Formatted 2'!T42</f>
        <v>283</v>
      </c>
      <c r="M45" s="607">
        <f t="shared" si="83"/>
        <v>226</v>
      </c>
      <c r="N45" s="607">
        <f>'[6]Rollup_Level1-REFORMATTED (2)'!P41</f>
        <v>162</v>
      </c>
      <c r="O45" s="607">
        <f t="shared" si="84"/>
        <v>57</v>
      </c>
      <c r="P45" s="607">
        <f>'[6]Rollup_Level2_REFORMATTED (2)'!V41</f>
        <v>661</v>
      </c>
      <c r="Q45" s="607">
        <f t="shared" si="85"/>
        <v>364</v>
      </c>
      <c r="R45" s="607">
        <f>'[6]Rollup_Level3 FORMATTED (2)'!Y41</f>
        <v>1116</v>
      </c>
      <c r="S45" s="607">
        <f t="shared" si="86"/>
        <v>781</v>
      </c>
      <c r="T45" s="607">
        <f>[7]Exceeds!AJ42</f>
        <v>179</v>
      </c>
      <c r="U45" s="607">
        <f t="shared" si="87"/>
        <v>242</v>
      </c>
      <c r="V45" s="607">
        <f>'[8]Significantly Exceeds'!V42</f>
        <v>513</v>
      </c>
      <c r="W45" s="607">
        <f t="shared" si="88"/>
        <v>898</v>
      </c>
      <c r="X45" s="607">
        <f>'[9]Roll up'!J42</f>
        <v>60</v>
      </c>
      <c r="Y45" s="607">
        <f t="shared" si="89"/>
        <v>90</v>
      </c>
      <c r="Z45" s="607">
        <f>[10]BeginSchYr2011_ByExcept!P37</f>
        <v>5</v>
      </c>
      <c r="AA45" s="607">
        <f t="shared" si="90"/>
        <v>8</v>
      </c>
      <c r="AB45" s="590">
        <v>2.5858167948797361E-5</v>
      </c>
      <c r="AC45" s="607">
        <f t="shared" si="48"/>
        <v>2518</v>
      </c>
      <c r="AD45" s="607">
        <f t="shared" si="49"/>
        <v>0</v>
      </c>
      <c r="AE45" s="607">
        <f t="shared" si="50"/>
        <v>0</v>
      </c>
      <c r="AF45" s="607">
        <f t="shared" si="51"/>
        <v>76</v>
      </c>
      <c r="AG45" s="607">
        <f t="shared" si="91"/>
        <v>3912</v>
      </c>
      <c r="AH45" s="607">
        <f>'[11]Rollup_PS-8th'!R41</f>
        <v>588</v>
      </c>
      <c r="AI45" s="607">
        <f t="shared" si="92"/>
        <v>353</v>
      </c>
      <c r="AJ45" s="607">
        <f>'[11]Rollup_9th-12th'!M41</f>
        <v>379</v>
      </c>
      <c r="AK45" s="607">
        <f t="shared" si="93"/>
        <v>113.7</v>
      </c>
      <c r="AL45" s="607">
        <f>[12]Reformatted!Y42</f>
        <v>239</v>
      </c>
      <c r="AM45" s="607">
        <f t="shared" si="52"/>
        <v>71.7</v>
      </c>
      <c r="AN45" s="13">
        <f t="shared" si="94"/>
        <v>0</v>
      </c>
      <c r="AO45" s="65">
        <f t="shared" si="95"/>
        <v>0</v>
      </c>
      <c r="AP45" s="13">
        <f t="shared" si="96"/>
        <v>0</v>
      </c>
      <c r="AQ45" s="13">
        <f t="shared" si="97"/>
        <v>7265.4</v>
      </c>
      <c r="AR45" s="13">
        <f t="shared" si="98"/>
        <v>27076.400000000001</v>
      </c>
      <c r="AS45" s="388">
        <f t="shared" si="53"/>
        <v>3855</v>
      </c>
      <c r="AT45" s="388">
        <f t="shared" si="99"/>
        <v>104379522</v>
      </c>
      <c r="AU45" s="388">
        <f>'Table 6 (Local Deduct Calc.)'!J45</f>
        <v>21110496.5</v>
      </c>
      <c r="AV45" s="388">
        <f t="shared" si="54"/>
        <v>21110496.5</v>
      </c>
      <c r="AW45" s="389">
        <f t="shared" si="55"/>
        <v>83269025.5</v>
      </c>
      <c r="AX45" s="390">
        <f t="shared" si="78"/>
        <v>0.79779999999999995</v>
      </c>
      <c r="AY45" s="390">
        <f t="shared" si="56"/>
        <v>0.20219999999999999</v>
      </c>
      <c r="AZ45" s="391">
        <f t="shared" si="100"/>
        <v>1065.5946948664882</v>
      </c>
      <c r="BA45" s="388">
        <f>'Table 7 Local Revenue'!AQ44</f>
        <v>62626999.5</v>
      </c>
      <c r="BB45" s="388">
        <f t="shared" si="57"/>
        <v>41516503</v>
      </c>
      <c r="BC45" s="279">
        <f t="shared" si="58"/>
        <v>0</v>
      </c>
      <c r="BD45" s="14">
        <f t="shared" si="59"/>
        <v>35489037.480000004</v>
      </c>
      <c r="BE45" s="14">
        <f t="shared" si="60"/>
        <v>35489037.480000004</v>
      </c>
      <c r="BF45" s="388">
        <f t="shared" si="61"/>
        <v>12342519.41094432</v>
      </c>
      <c r="BG45" s="392">
        <f t="shared" si="62"/>
        <v>23146518.069055684</v>
      </c>
      <c r="BH45" s="16">
        <f t="shared" si="63"/>
        <v>0.6522</v>
      </c>
      <c r="BI45" s="392">
        <f t="shared" si="64"/>
        <v>106415543.56905568</v>
      </c>
      <c r="BJ45" s="14">
        <f t="shared" si="101"/>
        <v>5372</v>
      </c>
      <c r="BK45" s="392">
        <f>'Table 4 Level 3'!M42</f>
        <v>2681562</v>
      </c>
      <c r="BL45" s="14">
        <f t="shared" si="102"/>
        <v>135.35722578365554</v>
      </c>
      <c r="BM45" s="392">
        <f t="shared" si="65"/>
        <v>109097105.56905568</v>
      </c>
      <c r="BN45" s="14">
        <f t="shared" si="103"/>
        <v>5506.8954403642256</v>
      </c>
      <c r="BO45" s="518">
        <f>'Table 4 Level 3'!P42</f>
        <v>15633968.090302456</v>
      </c>
      <c r="BP45" s="519">
        <f t="shared" si="104"/>
        <v>789.1559280350541</v>
      </c>
      <c r="BQ45" s="392">
        <f t="shared" si="66"/>
        <v>122049511.65935813</v>
      </c>
      <c r="BR45" s="14">
        <f t="shared" si="105"/>
        <v>6160.6941426156245</v>
      </c>
      <c r="BS45" s="1594">
        <f>'[13]Table 3 Levels 1&amp;2'!CE45</f>
        <v>486173.74158674479</v>
      </c>
      <c r="BT45" s="1594">
        <f t="shared" si="67"/>
        <v>24.540595708785261</v>
      </c>
      <c r="BU45" s="1594">
        <f t="shared" si="68"/>
        <v>-437556.36742807034</v>
      </c>
      <c r="BV45" s="1594">
        <f t="shared" si="106"/>
        <v>-22.086536137906737</v>
      </c>
      <c r="BW45" s="1600">
        <f t="shared" si="69"/>
        <v>121611955.29193006</v>
      </c>
      <c r="BX45" s="1602">
        <f t="shared" si="107"/>
        <v>6138.607606477718</v>
      </c>
      <c r="BY45" s="16">
        <f t="shared" si="70"/>
        <v>0.68240244099169345</v>
      </c>
      <c r="BZ45" s="393">
        <f t="shared" si="71"/>
        <v>25</v>
      </c>
      <c r="CA45" s="14">
        <f t="shared" si="72"/>
        <v>56599533.979999997</v>
      </c>
      <c r="CB45" s="14">
        <f t="shared" si="108"/>
        <v>2856.98</v>
      </c>
      <c r="CC45" s="393">
        <f t="shared" si="73"/>
        <v>46</v>
      </c>
      <c r="CD45" s="16">
        <f t="shared" si="74"/>
        <v>0.31759755900830655</v>
      </c>
      <c r="CE45" s="393">
        <f t="shared" si="75"/>
        <v>178211489.27193007</v>
      </c>
      <c r="CF45" s="394">
        <f t="shared" si="109"/>
        <v>8995.5827203033696</v>
      </c>
      <c r="CG45" s="393">
        <f t="shared" si="76"/>
        <v>23</v>
      </c>
      <c r="CH45" s="1340">
        <v>119155841.31940985</v>
      </c>
      <c r="CI45" s="279">
        <f t="shared" si="77"/>
        <v>2456113.9725202173</v>
      </c>
      <c r="CJ45" s="1750"/>
      <c r="CK45" s="350"/>
      <c r="CL45" s="350"/>
      <c r="CM45" s="350"/>
      <c r="CN45" s="350"/>
      <c r="CO45" s="350"/>
      <c r="CP45" s="350"/>
      <c r="CQ45" s="350"/>
      <c r="CR45" s="350"/>
      <c r="CS45" s="350"/>
      <c r="CT45" s="169"/>
      <c r="CU45" s="169"/>
      <c r="CV45" s="1749"/>
      <c r="CW45" s="169"/>
      <c r="CX45" s="169"/>
      <c r="CY45" s="1749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</row>
    <row r="46" spans="1:183" s="5" customFormat="1">
      <c r="A46" s="101">
        <v>38</v>
      </c>
      <c r="B46" s="81" t="s">
        <v>132</v>
      </c>
      <c r="C46" s="607">
        <f>'[2]ALL-Reformatted'!AC43</f>
        <v>4299</v>
      </c>
      <c r="D46" s="607">
        <f>'[3]All-Reformatted'!AC43</f>
        <v>2621</v>
      </c>
      <c r="E46" s="607">
        <f t="shared" si="79"/>
        <v>577</v>
      </c>
      <c r="F46" s="607">
        <f>'[4]MS5627_CTE -Reformatted'!AC44</f>
        <v>1287.5</v>
      </c>
      <c r="G46" s="607">
        <f t="shared" si="80"/>
        <v>77</v>
      </c>
      <c r="H46" s="607">
        <f>'[5]Rollup_Level1 Formatted 2'!Y43</f>
        <v>67</v>
      </c>
      <c r="I46" s="607">
        <f t="shared" si="81"/>
        <v>27</v>
      </c>
      <c r="J46" s="607">
        <f>'[5]Rollup_Level2 Formatted 2'!AB43</f>
        <v>365</v>
      </c>
      <c r="K46" s="607">
        <f t="shared" si="82"/>
        <v>201</v>
      </c>
      <c r="L46" s="607">
        <f>'[5]Rollup_Level3 Formatted 2'!T43</f>
        <v>79</v>
      </c>
      <c r="M46" s="607">
        <f t="shared" si="83"/>
        <v>63</v>
      </c>
      <c r="N46" s="607">
        <f>'[6]Rollup_Level1-REFORMATTED (2)'!P42</f>
        <v>59</v>
      </c>
      <c r="O46" s="607">
        <f t="shared" si="84"/>
        <v>21</v>
      </c>
      <c r="P46" s="607">
        <f>'[6]Rollup_Level2_REFORMATTED (2)'!V42</f>
        <v>148</v>
      </c>
      <c r="Q46" s="607">
        <f t="shared" si="85"/>
        <v>81</v>
      </c>
      <c r="R46" s="607">
        <f>'[6]Rollup_Level3 FORMATTED (2)'!Y42</f>
        <v>180</v>
      </c>
      <c r="S46" s="607">
        <f t="shared" si="86"/>
        <v>126</v>
      </c>
      <c r="T46" s="607">
        <f>[7]Exceeds!AJ43</f>
        <v>43</v>
      </c>
      <c r="U46" s="607">
        <f t="shared" si="87"/>
        <v>58</v>
      </c>
      <c r="V46" s="607">
        <f>'[8]Significantly Exceeds'!V43</f>
        <v>103</v>
      </c>
      <c r="W46" s="607">
        <f t="shared" si="88"/>
        <v>180</v>
      </c>
      <c r="X46" s="607">
        <f>'[9]Roll up'!J43</f>
        <v>5</v>
      </c>
      <c r="Y46" s="607">
        <f t="shared" si="89"/>
        <v>8</v>
      </c>
      <c r="Z46" s="607">
        <f>[10]BeginSchYr2011_ByExcept!P38</f>
        <v>5</v>
      </c>
      <c r="AA46" s="607">
        <f t="shared" si="90"/>
        <v>8</v>
      </c>
      <c r="AB46" s="590">
        <v>2.0243718493232199E-3</v>
      </c>
      <c r="AC46" s="607">
        <f t="shared" si="48"/>
        <v>511</v>
      </c>
      <c r="AD46" s="607">
        <f t="shared" si="49"/>
        <v>0</v>
      </c>
      <c r="AE46" s="607">
        <f t="shared" si="50"/>
        <v>0</v>
      </c>
      <c r="AF46" s="607">
        <f t="shared" si="51"/>
        <v>15</v>
      </c>
      <c r="AG46" s="607">
        <f t="shared" si="91"/>
        <v>788</v>
      </c>
      <c r="AH46" s="607">
        <f>'[11]Rollup_PS-8th'!R42</f>
        <v>161</v>
      </c>
      <c r="AI46" s="607">
        <f t="shared" si="92"/>
        <v>97</v>
      </c>
      <c r="AJ46" s="607">
        <f>'[11]Rollup_9th-12th'!M42</f>
        <v>72</v>
      </c>
      <c r="AK46" s="607">
        <f t="shared" si="93"/>
        <v>21.599999999999998</v>
      </c>
      <c r="AL46" s="607">
        <f>[12]Reformatted!Y43</f>
        <v>6</v>
      </c>
      <c r="AM46" s="607">
        <f t="shared" si="52"/>
        <v>1.7999999999999998</v>
      </c>
      <c r="AN46" s="13">
        <f t="shared" si="94"/>
        <v>3201</v>
      </c>
      <c r="AO46" s="65">
        <f t="shared" si="95"/>
        <v>8.5360000000000005E-2</v>
      </c>
      <c r="AP46" s="13">
        <f t="shared" si="96"/>
        <v>367</v>
      </c>
      <c r="AQ46" s="13">
        <f t="shared" si="97"/>
        <v>1929.3999999999999</v>
      </c>
      <c r="AR46" s="13">
        <f t="shared" si="98"/>
        <v>6228.4</v>
      </c>
      <c r="AS46" s="388">
        <f t="shared" si="53"/>
        <v>3855</v>
      </c>
      <c r="AT46" s="388">
        <f t="shared" si="99"/>
        <v>24010482</v>
      </c>
      <c r="AU46" s="388">
        <f>'Table 6 (Local Deduct Calc.)'!J46</f>
        <v>24469942.5</v>
      </c>
      <c r="AV46" s="388">
        <f t="shared" si="54"/>
        <v>18007861.5</v>
      </c>
      <c r="AW46" s="389">
        <f t="shared" si="55"/>
        <v>6002620.5</v>
      </c>
      <c r="AX46" s="390">
        <f t="shared" si="78"/>
        <v>0.25</v>
      </c>
      <c r="AY46" s="390">
        <f t="shared" si="56"/>
        <v>0.75</v>
      </c>
      <c r="AZ46" s="391">
        <f t="shared" si="100"/>
        <v>4188.8489183531055</v>
      </c>
      <c r="BA46" s="388">
        <f>'Table 7 Local Revenue'!AQ45</f>
        <v>42088042.5</v>
      </c>
      <c r="BB46" s="388">
        <f t="shared" si="57"/>
        <v>24080181</v>
      </c>
      <c r="BC46" s="279">
        <f t="shared" si="58"/>
        <v>0</v>
      </c>
      <c r="BD46" s="14">
        <f t="shared" si="59"/>
        <v>8163563.8800000008</v>
      </c>
      <c r="BE46" s="14">
        <f t="shared" si="60"/>
        <v>8163563.8800000008</v>
      </c>
      <c r="BF46" s="388">
        <f t="shared" si="61"/>
        <v>10530997.405200001</v>
      </c>
      <c r="BG46" s="392">
        <f t="shared" si="62"/>
        <v>0</v>
      </c>
      <c r="BH46" s="16">
        <f t="shared" si="63"/>
        <v>0</v>
      </c>
      <c r="BI46" s="392">
        <f t="shared" si="64"/>
        <v>6002620.5</v>
      </c>
      <c r="BJ46" s="14">
        <f t="shared" si="101"/>
        <v>1396</v>
      </c>
      <c r="BK46" s="392">
        <f>'Table 4 Level 3'!M43</f>
        <v>2926827</v>
      </c>
      <c r="BL46" s="14">
        <f t="shared" si="102"/>
        <v>680.81577110956039</v>
      </c>
      <c r="BM46" s="392">
        <f t="shared" si="65"/>
        <v>8929447.5</v>
      </c>
      <c r="BN46" s="14">
        <f t="shared" si="103"/>
        <v>2077.0987438939287</v>
      </c>
      <c r="BO46" s="518">
        <f>'Table 4 Level 3'!P43</f>
        <v>6474021.5255141836</v>
      </c>
      <c r="BP46" s="519">
        <f t="shared" si="104"/>
        <v>1505.9366191007639</v>
      </c>
      <c r="BQ46" s="392">
        <f t="shared" si="66"/>
        <v>12476642.025514184</v>
      </c>
      <c r="BR46" s="14">
        <f t="shared" si="105"/>
        <v>2902.2195918851321</v>
      </c>
      <c r="BS46" s="1594">
        <f>'[13]Table 3 Levels 1&amp;2'!CE46</f>
        <v>-7131.75</v>
      </c>
      <c r="BT46" s="1594">
        <f t="shared" si="67"/>
        <v>-1.6589323098394975</v>
      </c>
      <c r="BU46" s="1594">
        <f t="shared" si="68"/>
        <v>6418.5749999999998</v>
      </c>
      <c r="BV46" s="1594">
        <f t="shared" si="106"/>
        <v>1.4930390788555477</v>
      </c>
      <c r="BW46" s="1600">
        <f t="shared" si="69"/>
        <v>12483060.600514183</v>
      </c>
      <c r="BX46" s="1602">
        <f t="shared" si="107"/>
        <v>2903.7126309639875</v>
      </c>
      <c r="BY46" s="16">
        <f t="shared" si="70"/>
        <v>0.32293950582622993</v>
      </c>
      <c r="BZ46" s="393">
        <f t="shared" si="71"/>
        <v>65</v>
      </c>
      <c r="CA46" s="14">
        <f t="shared" si="72"/>
        <v>26171425.379999999</v>
      </c>
      <c r="CB46" s="14">
        <f t="shared" si="108"/>
        <v>6087.79</v>
      </c>
      <c r="CC46" s="393">
        <f t="shared" si="73"/>
        <v>3</v>
      </c>
      <c r="CD46" s="16">
        <f t="shared" si="74"/>
        <v>0.67706049417377001</v>
      </c>
      <c r="CE46" s="393">
        <f t="shared" si="75"/>
        <v>38654485.980514184</v>
      </c>
      <c r="CF46" s="394">
        <f t="shared" si="109"/>
        <v>8991.5063923038342</v>
      </c>
      <c r="CG46" s="393">
        <f t="shared" si="76"/>
        <v>24</v>
      </c>
      <c r="CH46" s="1340">
        <v>12744019.095111018</v>
      </c>
      <c r="CI46" s="279">
        <f t="shared" si="77"/>
        <v>-260958.49459683523</v>
      </c>
      <c r="CJ46" s="1750"/>
      <c r="CK46" s="350"/>
      <c r="CL46" s="350"/>
      <c r="CM46" s="350"/>
      <c r="CN46" s="350"/>
      <c r="CO46" s="350"/>
      <c r="CP46" s="350"/>
      <c r="CQ46" s="350"/>
      <c r="CR46" s="350"/>
      <c r="CS46" s="350"/>
      <c r="CT46" s="169"/>
      <c r="CU46" s="169"/>
      <c r="CV46" s="1749"/>
      <c r="CW46" s="169"/>
      <c r="CX46" s="169"/>
      <c r="CY46" s="1749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</row>
    <row r="47" spans="1:183" s="5" customFormat="1">
      <c r="A47" s="101">
        <v>39</v>
      </c>
      <c r="B47" s="81" t="s">
        <v>133</v>
      </c>
      <c r="C47" s="607">
        <f>'[2]ALL-Reformatted'!AC44</f>
        <v>2882</v>
      </c>
      <c r="D47" s="607">
        <f>'[3]All-Reformatted'!AC44</f>
        <v>2439</v>
      </c>
      <c r="E47" s="607">
        <f t="shared" si="79"/>
        <v>537</v>
      </c>
      <c r="F47" s="607">
        <f>'[4]MS5627_CTE -Reformatted'!AC45</f>
        <v>891.5</v>
      </c>
      <c r="G47" s="607">
        <f t="shared" si="80"/>
        <v>53</v>
      </c>
      <c r="H47" s="607">
        <f>'[5]Rollup_Level1 Formatted 2'!Y44</f>
        <v>109</v>
      </c>
      <c r="I47" s="607">
        <f t="shared" si="81"/>
        <v>44</v>
      </c>
      <c r="J47" s="607">
        <f>'[5]Rollup_Level2 Formatted 2'!AB44</f>
        <v>319</v>
      </c>
      <c r="K47" s="607">
        <f t="shared" si="82"/>
        <v>175</v>
      </c>
      <c r="L47" s="607">
        <f>'[5]Rollup_Level3 Formatted 2'!T44</f>
        <v>44</v>
      </c>
      <c r="M47" s="607">
        <f t="shared" si="83"/>
        <v>35</v>
      </c>
      <c r="N47" s="607">
        <f>'[6]Rollup_Level1-REFORMATTED (2)'!P43</f>
        <v>39</v>
      </c>
      <c r="O47" s="607">
        <f t="shared" si="84"/>
        <v>14</v>
      </c>
      <c r="P47" s="607">
        <f>'[6]Rollup_Level2_REFORMATTED (2)'!V43</f>
        <v>69</v>
      </c>
      <c r="Q47" s="607">
        <f t="shared" si="85"/>
        <v>38</v>
      </c>
      <c r="R47" s="607">
        <f>'[6]Rollup_Level3 FORMATTED (2)'!Y43</f>
        <v>173</v>
      </c>
      <c r="S47" s="607">
        <f t="shared" si="86"/>
        <v>121</v>
      </c>
      <c r="T47" s="607">
        <f>[7]Exceeds!AJ44</f>
        <v>29</v>
      </c>
      <c r="U47" s="607">
        <f t="shared" si="87"/>
        <v>39</v>
      </c>
      <c r="V47" s="607">
        <f>'[8]Significantly Exceeds'!V44</f>
        <v>40</v>
      </c>
      <c r="W47" s="607">
        <f t="shared" si="88"/>
        <v>70</v>
      </c>
      <c r="X47" s="607">
        <f>'[9]Roll up'!J44</f>
        <v>5</v>
      </c>
      <c r="Y47" s="607">
        <f t="shared" si="89"/>
        <v>8</v>
      </c>
      <c r="Z47" s="607">
        <f>[10]BeginSchYr2011_ByExcept!P39</f>
        <v>9</v>
      </c>
      <c r="AA47" s="607">
        <f t="shared" si="90"/>
        <v>14</v>
      </c>
      <c r="AB47" s="590">
        <v>-4.0329278065127115E-2</v>
      </c>
      <c r="AC47" s="607">
        <f t="shared" si="48"/>
        <v>472</v>
      </c>
      <c r="AD47" s="607">
        <f t="shared" si="49"/>
        <v>57</v>
      </c>
      <c r="AE47" s="607">
        <f t="shared" si="50"/>
        <v>0</v>
      </c>
      <c r="AF47" s="607">
        <f t="shared" si="51"/>
        <v>0</v>
      </c>
      <c r="AG47" s="607">
        <f t="shared" si="91"/>
        <v>615</v>
      </c>
      <c r="AH47" s="607">
        <f>'[11]Rollup_PS-8th'!R43</f>
        <v>20</v>
      </c>
      <c r="AI47" s="607">
        <f t="shared" si="92"/>
        <v>12</v>
      </c>
      <c r="AJ47" s="607">
        <f>'[11]Rollup_9th-12th'!M43</f>
        <v>13</v>
      </c>
      <c r="AK47" s="607">
        <f t="shared" si="93"/>
        <v>3.9</v>
      </c>
      <c r="AL47" s="607">
        <f>[12]Reformatted!Y44</f>
        <v>0</v>
      </c>
      <c r="AM47" s="607">
        <f t="shared" si="52"/>
        <v>0</v>
      </c>
      <c r="AN47" s="13">
        <f t="shared" si="94"/>
        <v>4618</v>
      </c>
      <c r="AO47" s="65">
        <f t="shared" si="95"/>
        <v>0.12315</v>
      </c>
      <c r="AP47" s="13">
        <f t="shared" si="96"/>
        <v>355</v>
      </c>
      <c r="AQ47" s="13">
        <f t="shared" si="97"/>
        <v>1575.9</v>
      </c>
      <c r="AR47" s="13">
        <f t="shared" si="98"/>
        <v>4457.8999999999996</v>
      </c>
      <c r="AS47" s="388">
        <f t="shared" si="53"/>
        <v>3855</v>
      </c>
      <c r="AT47" s="388">
        <f t="shared" si="99"/>
        <v>17185205</v>
      </c>
      <c r="AU47" s="388">
        <f>'Table 6 (Local Deduct Calc.)'!J47</f>
        <v>8564421</v>
      </c>
      <c r="AV47" s="388">
        <f t="shared" si="54"/>
        <v>8564421</v>
      </c>
      <c r="AW47" s="389">
        <f t="shared" si="55"/>
        <v>8620784</v>
      </c>
      <c r="AX47" s="390">
        <f t="shared" si="78"/>
        <v>0.50160000000000005</v>
      </c>
      <c r="AY47" s="390">
        <f t="shared" si="56"/>
        <v>0.49840000000000001</v>
      </c>
      <c r="AZ47" s="391">
        <f t="shared" si="100"/>
        <v>2971.6936155447606</v>
      </c>
      <c r="BA47" s="388">
        <f>'Table 7 Local Revenue'!AQ46</f>
        <v>12739289</v>
      </c>
      <c r="BB47" s="388">
        <f t="shared" si="57"/>
        <v>4174868</v>
      </c>
      <c r="BC47" s="279">
        <f t="shared" si="58"/>
        <v>0</v>
      </c>
      <c r="BD47" s="14">
        <f t="shared" si="59"/>
        <v>5842969.7000000002</v>
      </c>
      <c r="BE47" s="14">
        <f t="shared" si="60"/>
        <v>4174868</v>
      </c>
      <c r="BF47" s="388">
        <f t="shared" si="61"/>
        <v>3578897.2432639999</v>
      </c>
      <c r="BG47" s="392">
        <f t="shared" si="62"/>
        <v>595970.75673600007</v>
      </c>
      <c r="BH47" s="16">
        <f t="shared" si="63"/>
        <v>0.14280000000000001</v>
      </c>
      <c r="BI47" s="392">
        <f t="shared" si="64"/>
        <v>9216754.7567359991</v>
      </c>
      <c r="BJ47" s="14">
        <f t="shared" si="101"/>
        <v>3198</v>
      </c>
      <c r="BK47" s="392">
        <f>'Table 4 Level 3'!M44</f>
        <v>714788</v>
      </c>
      <c r="BL47" s="14">
        <f t="shared" si="102"/>
        <v>248.0180430256766</v>
      </c>
      <c r="BM47" s="392">
        <f t="shared" si="65"/>
        <v>9931542.7567359991</v>
      </c>
      <c r="BN47" s="14">
        <f t="shared" si="103"/>
        <v>3446.0592493879249</v>
      </c>
      <c r="BO47" s="518">
        <f>'Table 4 Level 3'!P44</f>
        <v>2960888.5589134907</v>
      </c>
      <c r="BP47" s="519">
        <f t="shared" si="104"/>
        <v>1027.3728518089836</v>
      </c>
      <c r="BQ47" s="392">
        <f t="shared" si="66"/>
        <v>12177643.315649491</v>
      </c>
      <c r="BR47" s="14">
        <f t="shared" si="105"/>
        <v>4225.4140581712318</v>
      </c>
      <c r="BS47" s="1594">
        <f>'[13]Table 3 Levels 1&amp;2'!CE47</f>
        <v>-564963.74532000162</v>
      </c>
      <c r="BT47" s="1594">
        <f t="shared" si="67"/>
        <v>-196.03183390700957</v>
      </c>
      <c r="BU47" s="1594">
        <f t="shared" si="68"/>
        <v>508467.37078800146</v>
      </c>
      <c r="BV47" s="1594">
        <f t="shared" si="106"/>
        <v>176.42865051630864</v>
      </c>
      <c r="BW47" s="1600">
        <f t="shared" si="69"/>
        <v>12686110.686437491</v>
      </c>
      <c r="BX47" s="1602">
        <f t="shared" si="107"/>
        <v>4401.8427086875399</v>
      </c>
      <c r="BY47" s="16">
        <f t="shared" si="70"/>
        <v>0.49895422856241517</v>
      </c>
      <c r="BZ47" s="393">
        <f t="shared" si="71"/>
        <v>57</v>
      </c>
      <c r="CA47" s="14">
        <f t="shared" si="72"/>
        <v>12739289</v>
      </c>
      <c r="CB47" s="14">
        <f t="shared" si="108"/>
        <v>4420.29</v>
      </c>
      <c r="CC47" s="393">
        <f t="shared" si="73"/>
        <v>14</v>
      </c>
      <c r="CD47" s="16">
        <f t="shared" si="74"/>
        <v>0.50104577143758477</v>
      </c>
      <c r="CE47" s="393">
        <f t="shared" si="75"/>
        <v>25425399.686437491</v>
      </c>
      <c r="CF47" s="394">
        <f t="shared" si="109"/>
        <v>8822.1372957798376</v>
      </c>
      <c r="CG47" s="393">
        <f t="shared" si="76"/>
        <v>33</v>
      </c>
      <c r="CH47" s="1340">
        <v>12869063.031965293</v>
      </c>
      <c r="CI47" s="279">
        <f t="shared" si="77"/>
        <v>-182952.34552780166</v>
      </c>
      <c r="CJ47" s="1747"/>
      <c r="CK47" s="350"/>
      <c r="CL47" s="350"/>
      <c r="CM47" s="350"/>
      <c r="CN47" s="350"/>
      <c r="CO47" s="350"/>
      <c r="CP47" s="350"/>
      <c r="CQ47" s="350"/>
      <c r="CR47" s="350"/>
      <c r="CS47" s="350"/>
      <c r="CT47" s="1751"/>
      <c r="CU47" s="1751"/>
      <c r="CV47" s="1752"/>
      <c r="CW47" s="1751"/>
      <c r="CX47" s="1751"/>
      <c r="CY47" s="1752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</row>
    <row r="48" spans="1:183" s="21" customFormat="1">
      <c r="A48" s="102">
        <v>40</v>
      </c>
      <c r="B48" s="82" t="s">
        <v>134</v>
      </c>
      <c r="C48" s="792">
        <f>'[2]ALL-Reformatted'!AC45</f>
        <v>23095</v>
      </c>
      <c r="D48" s="792">
        <f>'[3]All-Reformatted'!AC45</f>
        <v>16007</v>
      </c>
      <c r="E48" s="792">
        <f t="shared" si="79"/>
        <v>3522</v>
      </c>
      <c r="F48" s="792">
        <f>'[4]MS5627_CTE -Reformatted'!AC46</f>
        <v>10142</v>
      </c>
      <c r="G48" s="792">
        <f t="shared" si="80"/>
        <v>609</v>
      </c>
      <c r="H48" s="792">
        <f>'[5]Rollup_Level1 Formatted 2'!Y45</f>
        <v>323</v>
      </c>
      <c r="I48" s="792">
        <f t="shared" si="81"/>
        <v>129</v>
      </c>
      <c r="J48" s="792">
        <f>'[5]Rollup_Level2 Formatted 2'!AB45</f>
        <v>1932</v>
      </c>
      <c r="K48" s="792">
        <f t="shared" si="82"/>
        <v>1063</v>
      </c>
      <c r="L48" s="792">
        <f>'[5]Rollup_Level3 Formatted 2'!T45</f>
        <v>312</v>
      </c>
      <c r="M48" s="792">
        <f t="shared" si="83"/>
        <v>250</v>
      </c>
      <c r="N48" s="792">
        <f>'[6]Rollup_Level1-REFORMATTED (2)'!P44</f>
        <v>379</v>
      </c>
      <c r="O48" s="792">
        <f t="shared" si="84"/>
        <v>133</v>
      </c>
      <c r="P48" s="792">
        <f>'[6]Rollup_Level2_REFORMATTED (2)'!V44</f>
        <v>866</v>
      </c>
      <c r="Q48" s="792">
        <f t="shared" si="85"/>
        <v>476</v>
      </c>
      <c r="R48" s="792">
        <f>'[6]Rollup_Level3 FORMATTED (2)'!Y44</f>
        <v>931</v>
      </c>
      <c r="S48" s="792">
        <f t="shared" si="86"/>
        <v>652</v>
      </c>
      <c r="T48" s="792">
        <f>[7]Exceeds!AJ45</f>
        <v>151</v>
      </c>
      <c r="U48" s="792">
        <f t="shared" si="87"/>
        <v>204</v>
      </c>
      <c r="V48" s="792">
        <f>'[8]Significantly Exceeds'!V45</f>
        <v>440</v>
      </c>
      <c r="W48" s="792">
        <f t="shared" si="88"/>
        <v>770</v>
      </c>
      <c r="X48" s="792">
        <f>'[9]Roll up'!J45</f>
        <v>48</v>
      </c>
      <c r="Y48" s="792">
        <f t="shared" si="89"/>
        <v>72</v>
      </c>
      <c r="Z48" s="792">
        <f>[10]BeginSchYr2011_ByExcept!P40</f>
        <v>16</v>
      </c>
      <c r="AA48" s="792">
        <f t="shared" si="90"/>
        <v>24</v>
      </c>
      <c r="AB48" s="1364">
        <v>2.5360022813326777E-2</v>
      </c>
      <c r="AC48" s="792">
        <f t="shared" si="48"/>
        <v>2567</v>
      </c>
      <c r="AD48" s="792">
        <f t="shared" si="49"/>
        <v>0</v>
      </c>
      <c r="AE48" s="792">
        <f t="shared" si="50"/>
        <v>0</v>
      </c>
      <c r="AF48" s="792">
        <f t="shared" si="51"/>
        <v>0</v>
      </c>
      <c r="AG48" s="792">
        <f t="shared" si="91"/>
        <v>3773</v>
      </c>
      <c r="AH48" s="792">
        <f>'[11]Rollup_PS-8th'!R44</f>
        <v>343</v>
      </c>
      <c r="AI48" s="792">
        <f t="shared" si="92"/>
        <v>206</v>
      </c>
      <c r="AJ48" s="792">
        <f>'[11]Rollup_9th-12th'!M44</f>
        <v>227</v>
      </c>
      <c r="AK48" s="792">
        <f t="shared" si="93"/>
        <v>68.099999999999994</v>
      </c>
      <c r="AL48" s="792">
        <f>[12]Reformatted!Y45</f>
        <v>234</v>
      </c>
      <c r="AM48" s="792">
        <f t="shared" si="52"/>
        <v>70.2</v>
      </c>
      <c r="AN48" s="19">
        <f t="shared" si="94"/>
        <v>0</v>
      </c>
      <c r="AO48" s="66">
        <f t="shared" si="95"/>
        <v>0</v>
      </c>
      <c r="AP48" s="19">
        <f t="shared" si="96"/>
        <v>0</v>
      </c>
      <c r="AQ48" s="19">
        <f t="shared" si="97"/>
        <v>8248.3000000000011</v>
      </c>
      <c r="AR48" s="13">
        <f t="shared" si="98"/>
        <v>31343.300000000003</v>
      </c>
      <c r="AS48" s="395">
        <f t="shared" si="53"/>
        <v>3855</v>
      </c>
      <c r="AT48" s="395">
        <f t="shared" si="99"/>
        <v>120828422</v>
      </c>
      <c r="AU48" s="395">
        <f>'Table 6 (Local Deduct Calc.)'!J48</f>
        <v>31907214</v>
      </c>
      <c r="AV48" s="395">
        <f t="shared" si="54"/>
        <v>31907214</v>
      </c>
      <c r="AW48" s="396">
        <f t="shared" si="55"/>
        <v>88921208</v>
      </c>
      <c r="AX48" s="397">
        <f t="shared" si="78"/>
        <v>0.7359</v>
      </c>
      <c r="AY48" s="398">
        <f t="shared" si="56"/>
        <v>0.2641</v>
      </c>
      <c r="AZ48" s="399">
        <f t="shared" si="100"/>
        <v>1381.5637150898463</v>
      </c>
      <c r="BA48" s="395">
        <f>'Table 7 Local Revenue'!AQ47</f>
        <v>69278485</v>
      </c>
      <c r="BB48" s="395">
        <f t="shared" si="57"/>
        <v>37371271</v>
      </c>
      <c r="BC48" s="280">
        <f t="shared" si="58"/>
        <v>0</v>
      </c>
      <c r="BD48" s="20">
        <f t="shared" si="59"/>
        <v>41081663.480000004</v>
      </c>
      <c r="BE48" s="20">
        <f t="shared" si="60"/>
        <v>37371271</v>
      </c>
      <c r="BF48" s="395">
        <f t="shared" si="61"/>
        <v>16975974.594292</v>
      </c>
      <c r="BG48" s="400">
        <f t="shared" si="62"/>
        <v>20395296.405708</v>
      </c>
      <c r="BH48" s="273">
        <f t="shared" si="63"/>
        <v>0.54569999999999996</v>
      </c>
      <c r="BI48" s="400">
        <f t="shared" si="64"/>
        <v>109316504.405708</v>
      </c>
      <c r="BJ48" s="20">
        <f t="shared" si="101"/>
        <v>4733</v>
      </c>
      <c r="BK48" s="400">
        <f>'Table 4 Level 3'!M45</f>
        <v>3126076</v>
      </c>
      <c r="BL48" s="20">
        <f t="shared" si="102"/>
        <v>135.35726347694307</v>
      </c>
      <c r="BM48" s="400">
        <f t="shared" si="65"/>
        <v>112442580.405708</v>
      </c>
      <c r="BN48" s="20">
        <f t="shared" si="103"/>
        <v>4868.6980041441002</v>
      </c>
      <c r="BO48" s="520">
        <f>'Table 4 Level 3'!P45</f>
        <v>19294023.473541778</v>
      </c>
      <c r="BP48" s="521">
        <f t="shared" si="104"/>
        <v>835.41993823519283</v>
      </c>
      <c r="BQ48" s="400">
        <f t="shared" si="66"/>
        <v>128610527.87924978</v>
      </c>
      <c r="BR48" s="20">
        <f t="shared" si="105"/>
        <v>5568.7606789023503</v>
      </c>
      <c r="BS48" s="20">
        <f>'[13]Table 3 Levels 1&amp;2'!CE48</f>
        <v>-434717.95929601789</v>
      </c>
      <c r="BT48" s="20">
        <f t="shared" si="67"/>
        <v>-18.823033526564966</v>
      </c>
      <c r="BU48" s="20">
        <f t="shared" si="68"/>
        <v>391246.16336641612</v>
      </c>
      <c r="BV48" s="20">
        <f t="shared" si="106"/>
        <v>16.94073017390847</v>
      </c>
      <c r="BW48" s="760">
        <f t="shared" si="69"/>
        <v>129001774.0426162</v>
      </c>
      <c r="BX48" s="78">
        <f t="shared" si="107"/>
        <v>5585.7014090762586</v>
      </c>
      <c r="BY48" s="273">
        <f t="shared" si="70"/>
        <v>0.65060321519395425</v>
      </c>
      <c r="BZ48" s="401">
        <f t="shared" si="71"/>
        <v>34</v>
      </c>
      <c r="CA48" s="20">
        <f t="shared" si="72"/>
        <v>69278485</v>
      </c>
      <c r="CB48" s="20">
        <f t="shared" si="108"/>
        <v>2999.72</v>
      </c>
      <c r="CC48" s="401">
        <f t="shared" si="73"/>
        <v>42</v>
      </c>
      <c r="CD48" s="273">
        <f t="shared" si="74"/>
        <v>0.34939678480604586</v>
      </c>
      <c r="CE48" s="401">
        <f t="shared" si="75"/>
        <v>198280259.04261619</v>
      </c>
      <c r="CF48" s="402">
        <f t="shared" si="109"/>
        <v>8585.4193133845511</v>
      </c>
      <c r="CG48" s="401">
        <f t="shared" si="76"/>
        <v>43</v>
      </c>
      <c r="CH48" s="1341">
        <v>128436293.24095778</v>
      </c>
      <c r="CI48" s="280">
        <f t="shared" si="77"/>
        <v>565480.80165842175</v>
      </c>
      <c r="CJ48" s="1747"/>
      <c r="CK48" s="350"/>
      <c r="CL48" s="350"/>
      <c r="CM48" s="350"/>
      <c r="CN48" s="350"/>
      <c r="CO48" s="350"/>
      <c r="CP48" s="350"/>
      <c r="CQ48" s="350"/>
      <c r="CR48" s="350"/>
      <c r="CS48" s="350"/>
      <c r="CT48" s="169"/>
      <c r="CU48" s="169"/>
      <c r="CV48" s="1749"/>
      <c r="CW48" s="169"/>
      <c r="CX48" s="169"/>
      <c r="CY48" s="1749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</row>
    <row r="49" spans="1:183" s="5" customFormat="1">
      <c r="A49" s="101">
        <v>41</v>
      </c>
      <c r="B49" s="81" t="s">
        <v>135</v>
      </c>
      <c r="C49" s="607">
        <f>'[2]ALL-Reformatted'!AC46</f>
        <v>1411</v>
      </c>
      <c r="D49" s="607">
        <f>'[3]All-Reformatted'!AC46</f>
        <v>1224</v>
      </c>
      <c r="E49" s="607">
        <f t="shared" si="79"/>
        <v>269</v>
      </c>
      <c r="F49" s="607">
        <f>'[4]MS5627_CTE -Reformatted'!AC47</f>
        <v>841.5</v>
      </c>
      <c r="G49" s="607">
        <f t="shared" si="80"/>
        <v>50</v>
      </c>
      <c r="H49" s="607">
        <f>'[5]Rollup_Level1 Formatted 2'!Y46</f>
        <v>10</v>
      </c>
      <c r="I49" s="607">
        <f t="shared" si="81"/>
        <v>4</v>
      </c>
      <c r="J49" s="607">
        <f>'[5]Rollup_Level2 Formatted 2'!AB46</f>
        <v>86</v>
      </c>
      <c r="K49" s="607">
        <f t="shared" si="82"/>
        <v>47</v>
      </c>
      <c r="L49" s="607">
        <f>'[5]Rollup_Level3 Formatted 2'!T46</f>
        <v>28</v>
      </c>
      <c r="M49" s="607">
        <f t="shared" si="83"/>
        <v>22</v>
      </c>
      <c r="N49" s="607">
        <f>'[6]Rollup_Level1-REFORMATTED (2)'!P45</f>
        <v>10</v>
      </c>
      <c r="O49" s="607">
        <f t="shared" si="84"/>
        <v>4</v>
      </c>
      <c r="P49" s="607">
        <f>'[6]Rollup_Level2_REFORMATTED (2)'!V45</f>
        <v>31</v>
      </c>
      <c r="Q49" s="607">
        <f t="shared" si="85"/>
        <v>17</v>
      </c>
      <c r="R49" s="607">
        <f>'[6]Rollup_Level3 FORMATTED (2)'!Y45</f>
        <v>61</v>
      </c>
      <c r="S49" s="607">
        <f t="shared" si="86"/>
        <v>43</v>
      </c>
      <c r="T49" s="607">
        <f>[7]Exceeds!AJ46</f>
        <v>6</v>
      </c>
      <c r="U49" s="607">
        <f t="shared" si="87"/>
        <v>8</v>
      </c>
      <c r="V49" s="607">
        <f>'[8]Significantly Exceeds'!V46</f>
        <v>7</v>
      </c>
      <c r="W49" s="607">
        <f t="shared" si="88"/>
        <v>12</v>
      </c>
      <c r="X49" s="607">
        <f>'[9]Roll up'!J46</f>
        <v>6</v>
      </c>
      <c r="Y49" s="607">
        <f t="shared" si="89"/>
        <v>9</v>
      </c>
      <c r="Z49" s="607">
        <v>0</v>
      </c>
      <c r="AA49" s="607">
        <f t="shared" si="90"/>
        <v>0</v>
      </c>
      <c r="AB49" s="1365">
        <v>5.3333333333333337E-2</v>
      </c>
      <c r="AC49" s="607">
        <f t="shared" si="48"/>
        <v>124</v>
      </c>
      <c r="AD49" s="607">
        <f t="shared" si="49"/>
        <v>0</v>
      </c>
      <c r="AE49" s="607">
        <f t="shared" si="50"/>
        <v>0</v>
      </c>
      <c r="AF49" s="607">
        <f t="shared" si="51"/>
        <v>0</v>
      </c>
      <c r="AG49" s="607">
        <f t="shared" si="91"/>
        <v>166</v>
      </c>
      <c r="AH49" s="607">
        <f>'[11]Rollup_PS-8th'!R45</f>
        <v>1</v>
      </c>
      <c r="AI49" s="607">
        <f t="shared" si="92"/>
        <v>1</v>
      </c>
      <c r="AJ49" s="607">
        <f>'[11]Rollup_9th-12th'!M45</f>
        <v>2</v>
      </c>
      <c r="AK49" s="607">
        <f t="shared" si="93"/>
        <v>0.6</v>
      </c>
      <c r="AL49" s="607">
        <f>[12]Reformatted!Y46</f>
        <v>10</v>
      </c>
      <c r="AM49" s="607">
        <f t="shared" si="52"/>
        <v>3</v>
      </c>
      <c r="AN49" s="13">
        <f t="shared" si="94"/>
        <v>6089</v>
      </c>
      <c r="AO49" s="65">
        <f t="shared" si="95"/>
        <v>0.16236999999999999</v>
      </c>
      <c r="AP49" s="13">
        <f t="shared" si="96"/>
        <v>229</v>
      </c>
      <c r="AQ49" s="13">
        <f t="shared" si="97"/>
        <v>718.6</v>
      </c>
      <c r="AR49" s="36">
        <f t="shared" si="98"/>
        <v>2129.6</v>
      </c>
      <c r="AS49" s="388">
        <f t="shared" si="53"/>
        <v>3855</v>
      </c>
      <c r="AT49" s="388">
        <f t="shared" si="99"/>
        <v>8209608</v>
      </c>
      <c r="AU49" s="388">
        <f>'Table 6 (Local Deduct Calc.)'!J49</f>
        <v>6346536.5</v>
      </c>
      <c r="AV49" s="388">
        <f t="shared" si="54"/>
        <v>6157206</v>
      </c>
      <c r="AW49" s="389">
        <f t="shared" si="55"/>
        <v>2052402</v>
      </c>
      <c r="AX49" s="390">
        <f t="shared" si="78"/>
        <v>0.25</v>
      </c>
      <c r="AY49" s="390">
        <f t="shared" si="56"/>
        <v>0.75</v>
      </c>
      <c r="AZ49" s="391">
        <f t="shared" si="100"/>
        <v>4363.7179305457121</v>
      </c>
      <c r="BA49" s="388">
        <f>'Table 7 Local Revenue'!AQ48</f>
        <v>16622789.5</v>
      </c>
      <c r="BB49" s="388">
        <f t="shared" si="57"/>
        <v>10465583.5</v>
      </c>
      <c r="BC49" s="279">
        <f t="shared" si="58"/>
        <v>0</v>
      </c>
      <c r="BD49" s="14">
        <f t="shared" si="59"/>
        <v>2791266.72</v>
      </c>
      <c r="BE49" s="14">
        <f t="shared" si="60"/>
        <v>2791266.72</v>
      </c>
      <c r="BF49" s="388">
        <f t="shared" si="61"/>
        <v>3600734.0688000005</v>
      </c>
      <c r="BG49" s="392">
        <f t="shared" si="62"/>
        <v>0</v>
      </c>
      <c r="BH49" s="16">
        <f t="shared" si="63"/>
        <v>0</v>
      </c>
      <c r="BI49" s="392">
        <f t="shared" si="64"/>
        <v>2052402</v>
      </c>
      <c r="BJ49" s="14">
        <f t="shared" si="101"/>
        <v>1455</v>
      </c>
      <c r="BK49" s="392">
        <f>'Table 4 Level 3'!M46</f>
        <v>190989</v>
      </c>
      <c r="BL49" s="14">
        <f t="shared" si="102"/>
        <v>135.35719347980157</v>
      </c>
      <c r="BM49" s="392">
        <f t="shared" si="65"/>
        <v>2243391</v>
      </c>
      <c r="BN49" s="14">
        <f t="shared" si="103"/>
        <v>1589.9298369950391</v>
      </c>
      <c r="BO49" s="518">
        <f>'Table 4 Level 3'!P46</f>
        <v>1441268.176</v>
      </c>
      <c r="BP49" s="519">
        <f t="shared" si="104"/>
        <v>1021.4515776045358</v>
      </c>
      <c r="BQ49" s="392">
        <f t="shared" si="66"/>
        <v>3493670.176</v>
      </c>
      <c r="BR49" s="14">
        <f t="shared" si="105"/>
        <v>2476.0242211197733</v>
      </c>
      <c r="BS49" s="1594">
        <f>'[13]Table 3 Levels 1&amp;2'!CE49</f>
        <v>-18985.75</v>
      </c>
      <c r="BT49" s="1594">
        <f t="shared" si="67"/>
        <v>-13.455527994330263</v>
      </c>
      <c r="BU49" s="1594">
        <f t="shared" si="68"/>
        <v>17087.174999999999</v>
      </c>
      <c r="BV49" s="1594">
        <f t="shared" si="106"/>
        <v>12.109975194897235</v>
      </c>
      <c r="BW49" s="1600">
        <f t="shared" si="69"/>
        <v>3510757.3509999998</v>
      </c>
      <c r="BX49" s="1602">
        <f t="shared" si="107"/>
        <v>2488.1341963146701</v>
      </c>
      <c r="BY49" s="16">
        <f t="shared" si="70"/>
        <v>0.28177963894989061</v>
      </c>
      <c r="BZ49" s="393">
        <f t="shared" si="71"/>
        <v>68</v>
      </c>
      <c r="CA49" s="14">
        <f t="shared" si="72"/>
        <v>8948472.7200000007</v>
      </c>
      <c r="CB49" s="14">
        <f t="shared" si="108"/>
        <v>6341.94</v>
      </c>
      <c r="CC49" s="393">
        <f t="shared" si="73"/>
        <v>2</v>
      </c>
      <c r="CD49" s="16">
        <f t="shared" si="74"/>
        <v>0.71822036105010945</v>
      </c>
      <c r="CE49" s="393">
        <f t="shared" si="75"/>
        <v>12459230.071</v>
      </c>
      <c r="CF49" s="394">
        <f t="shared" si="109"/>
        <v>8830.0709220411063</v>
      </c>
      <c r="CG49" s="393">
        <f t="shared" si="76"/>
        <v>32</v>
      </c>
      <c r="CH49" s="1340">
        <v>3509707.1739999996</v>
      </c>
      <c r="CI49" s="279">
        <f t="shared" si="77"/>
        <v>1050.1770000001416</v>
      </c>
      <c r="CJ49" s="1747"/>
      <c r="CK49" s="350"/>
      <c r="CL49" s="350"/>
      <c r="CM49" s="350"/>
      <c r="CN49" s="350"/>
      <c r="CO49" s="350"/>
      <c r="CP49" s="350"/>
      <c r="CQ49" s="350"/>
      <c r="CR49" s="350"/>
      <c r="CS49" s="350"/>
      <c r="CT49" s="169"/>
      <c r="CU49" s="169"/>
      <c r="CV49" s="1749"/>
      <c r="CW49" s="169"/>
      <c r="CX49" s="169"/>
      <c r="CY49" s="17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</row>
    <row r="50" spans="1:183" s="5" customFormat="1">
      <c r="A50" s="101">
        <v>42</v>
      </c>
      <c r="B50" s="81" t="s">
        <v>136</v>
      </c>
      <c r="C50" s="607">
        <f>'[2]ALL-Reformatted'!AC47</f>
        <v>3869</v>
      </c>
      <c r="D50" s="607">
        <f>'[3]All-Reformatted'!AC47</f>
        <v>3119</v>
      </c>
      <c r="E50" s="607">
        <f t="shared" si="79"/>
        <v>686</v>
      </c>
      <c r="F50" s="607">
        <f>'[4]MS5627_CTE -Reformatted'!AC48</f>
        <v>955.5</v>
      </c>
      <c r="G50" s="607">
        <f t="shared" si="80"/>
        <v>57</v>
      </c>
      <c r="H50" s="607">
        <f>'[5]Rollup_Level1 Formatted 2'!Y47</f>
        <v>35</v>
      </c>
      <c r="I50" s="607">
        <f t="shared" si="81"/>
        <v>14</v>
      </c>
      <c r="J50" s="607">
        <f>'[5]Rollup_Level2 Formatted 2'!AB47</f>
        <v>317</v>
      </c>
      <c r="K50" s="607">
        <f t="shared" si="82"/>
        <v>174</v>
      </c>
      <c r="L50" s="607">
        <f>'[5]Rollup_Level3 Formatted 2'!T47</f>
        <v>51</v>
      </c>
      <c r="M50" s="607">
        <f t="shared" si="83"/>
        <v>41</v>
      </c>
      <c r="N50" s="607">
        <f>'[6]Rollup_Level1-REFORMATTED (2)'!P46</f>
        <v>25</v>
      </c>
      <c r="O50" s="607">
        <f t="shared" si="84"/>
        <v>9</v>
      </c>
      <c r="P50" s="607">
        <f>'[6]Rollup_Level2_REFORMATTED (2)'!V46</f>
        <v>121</v>
      </c>
      <c r="Q50" s="607">
        <f t="shared" si="85"/>
        <v>67</v>
      </c>
      <c r="R50" s="607">
        <f>'[6]Rollup_Level3 FORMATTED (2)'!Y46</f>
        <v>205</v>
      </c>
      <c r="S50" s="607">
        <f t="shared" si="86"/>
        <v>144</v>
      </c>
      <c r="T50" s="607">
        <f>[7]Exceeds!AJ47</f>
        <v>21</v>
      </c>
      <c r="U50" s="607">
        <f t="shared" si="87"/>
        <v>28</v>
      </c>
      <c r="V50" s="607">
        <f>'[8]Significantly Exceeds'!V47</f>
        <v>55</v>
      </c>
      <c r="W50" s="607">
        <f t="shared" si="88"/>
        <v>96</v>
      </c>
      <c r="X50" s="607">
        <f>'[9]Roll up'!J47</f>
        <v>6</v>
      </c>
      <c r="Y50" s="607">
        <f t="shared" si="89"/>
        <v>9</v>
      </c>
      <c r="Z50" s="607">
        <f>[10]BeginSchYr2011_ByExcept!P41</f>
        <v>1</v>
      </c>
      <c r="AA50" s="607">
        <f t="shared" si="90"/>
        <v>2</v>
      </c>
      <c r="AB50" s="1365">
        <v>-2.2227416010451501E-2</v>
      </c>
      <c r="AC50" s="607">
        <f t="shared" si="48"/>
        <v>403</v>
      </c>
      <c r="AD50" s="607">
        <f t="shared" si="49"/>
        <v>48</v>
      </c>
      <c r="AE50" s="607">
        <f t="shared" si="50"/>
        <v>0</v>
      </c>
      <c r="AF50" s="607">
        <f t="shared" si="51"/>
        <v>0</v>
      </c>
      <c r="AG50" s="607">
        <f t="shared" si="91"/>
        <v>632</v>
      </c>
      <c r="AH50" s="607">
        <f>'[11]Rollup_PS-8th'!R46</f>
        <v>41</v>
      </c>
      <c r="AI50" s="607">
        <f t="shared" si="92"/>
        <v>25</v>
      </c>
      <c r="AJ50" s="607">
        <f>'[11]Rollup_9th-12th'!M46</f>
        <v>18</v>
      </c>
      <c r="AK50" s="607">
        <f t="shared" si="93"/>
        <v>5.3999999999999995</v>
      </c>
      <c r="AL50" s="607">
        <f>[12]Reformatted!Y47</f>
        <v>7</v>
      </c>
      <c r="AM50" s="607">
        <f t="shared" si="52"/>
        <v>2.1</v>
      </c>
      <c r="AN50" s="13">
        <f t="shared" si="94"/>
        <v>3631</v>
      </c>
      <c r="AO50" s="65">
        <f t="shared" si="95"/>
        <v>9.6829999999999999E-2</v>
      </c>
      <c r="AP50" s="13">
        <f t="shared" si="96"/>
        <v>375</v>
      </c>
      <c r="AQ50" s="13">
        <f t="shared" si="97"/>
        <v>1782.5</v>
      </c>
      <c r="AR50" s="13">
        <f t="shared" si="98"/>
        <v>5651.5</v>
      </c>
      <c r="AS50" s="388">
        <f t="shared" si="53"/>
        <v>3855</v>
      </c>
      <c r="AT50" s="388">
        <f t="shared" si="99"/>
        <v>21786533</v>
      </c>
      <c r="AU50" s="388">
        <f>'Table 6 (Local Deduct Calc.)'!J50</f>
        <v>5347241</v>
      </c>
      <c r="AV50" s="388">
        <f t="shared" si="54"/>
        <v>5347241</v>
      </c>
      <c r="AW50" s="389">
        <f t="shared" si="55"/>
        <v>16439292</v>
      </c>
      <c r="AX50" s="390">
        <f t="shared" si="78"/>
        <v>0.75460000000000005</v>
      </c>
      <c r="AY50" s="390">
        <f t="shared" si="56"/>
        <v>0.24540000000000001</v>
      </c>
      <c r="AZ50" s="391">
        <f t="shared" si="100"/>
        <v>1382.0731455156372</v>
      </c>
      <c r="BA50" s="388">
        <f>'Table 7 Local Revenue'!AQ49</f>
        <v>10131618</v>
      </c>
      <c r="BB50" s="388">
        <f t="shared" si="57"/>
        <v>4784377</v>
      </c>
      <c r="BC50" s="279">
        <f t="shared" si="58"/>
        <v>0</v>
      </c>
      <c r="BD50" s="14">
        <f t="shared" si="59"/>
        <v>7407421.2200000007</v>
      </c>
      <c r="BE50" s="14">
        <f t="shared" si="60"/>
        <v>4784377</v>
      </c>
      <c r="BF50" s="388">
        <f t="shared" si="61"/>
        <v>2019428.1191760001</v>
      </c>
      <c r="BG50" s="392">
        <f t="shared" si="62"/>
        <v>2764948.8808239996</v>
      </c>
      <c r="BH50" s="16">
        <f t="shared" si="63"/>
        <v>0.57789999999999997</v>
      </c>
      <c r="BI50" s="392">
        <f t="shared" si="64"/>
        <v>19204240.880824</v>
      </c>
      <c r="BJ50" s="14">
        <f t="shared" si="101"/>
        <v>4964</v>
      </c>
      <c r="BK50" s="392">
        <f>'Table 4 Level 3'!M47</f>
        <v>523697</v>
      </c>
      <c r="BL50" s="14">
        <f t="shared" si="102"/>
        <v>135.35719824243992</v>
      </c>
      <c r="BM50" s="392">
        <f t="shared" si="65"/>
        <v>19727937.880824</v>
      </c>
      <c r="BN50" s="14">
        <f t="shared" si="103"/>
        <v>5098.9759319782888</v>
      </c>
      <c r="BO50" s="518">
        <f>'Table 4 Level 3'!P47</f>
        <v>2588083.8324281634</v>
      </c>
      <c r="BP50" s="519">
        <f t="shared" si="104"/>
        <v>668.92836196127257</v>
      </c>
      <c r="BQ50" s="392">
        <f t="shared" si="66"/>
        <v>21792324.713252164</v>
      </c>
      <c r="BR50" s="14">
        <f t="shared" si="105"/>
        <v>5632.5470956971221</v>
      </c>
      <c r="BS50" s="1594">
        <f>'[13]Table 3 Levels 1&amp;2'!CE50</f>
        <v>1542</v>
      </c>
      <c r="BT50" s="1594">
        <f t="shared" si="67"/>
        <v>0.39855259757043165</v>
      </c>
      <c r="BU50" s="1594">
        <f t="shared" si="68"/>
        <v>-1387.8</v>
      </c>
      <c r="BV50" s="1594">
        <f t="shared" si="106"/>
        <v>-0.35869733781338847</v>
      </c>
      <c r="BW50" s="1600">
        <f t="shared" si="69"/>
        <v>21790936.913252164</v>
      </c>
      <c r="BX50" s="1602">
        <f t="shared" si="107"/>
        <v>5632.1883983593079</v>
      </c>
      <c r="BY50" s="16">
        <f t="shared" si="70"/>
        <v>0.68261882460435486</v>
      </c>
      <c r="BZ50" s="393">
        <f t="shared" si="71"/>
        <v>24</v>
      </c>
      <c r="CA50" s="14">
        <f t="shared" si="72"/>
        <v>10131618</v>
      </c>
      <c r="CB50" s="14">
        <f t="shared" si="108"/>
        <v>2618.67</v>
      </c>
      <c r="CC50" s="393">
        <f t="shared" si="73"/>
        <v>55</v>
      </c>
      <c r="CD50" s="16">
        <f t="shared" si="74"/>
        <v>0.3173811753956452</v>
      </c>
      <c r="CE50" s="393">
        <f t="shared" si="75"/>
        <v>31922554.913252164</v>
      </c>
      <c r="CF50" s="394">
        <f t="shared" si="109"/>
        <v>8250.8542034769089</v>
      </c>
      <c r="CG50" s="393">
        <f t="shared" si="76"/>
        <v>56</v>
      </c>
      <c r="CH50" s="1340">
        <v>22201766.148655534</v>
      </c>
      <c r="CI50" s="279">
        <f t="shared" si="77"/>
        <v>-410829.23540337011</v>
      </c>
      <c r="CJ50" s="1747"/>
      <c r="CK50" s="350"/>
      <c r="CL50" s="350"/>
      <c r="CM50" s="350"/>
      <c r="CN50" s="350"/>
      <c r="CO50" s="350"/>
      <c r="CP50" s="350"/>
      <c r="CQ50" s="350"/>
      <c r="CR50" s="350"/>
      <c r="CS50" s="350"/>
      <c r="CT50" s="169"/>
      <c r="CU50" s="169"/>
      <c r="CV50" s="1749"/>
      <c r="CW50" s="169"/>
      <c r="CX50" s="169"/>
      <c r="CY50" s="1749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</row>
    <row r="51" spans="1:183" s="5" customFormat="1">
      <c r="A51" s="101">
        <v>43</v>
      </c>
      <c r="B51" s="81" t="s">
        <v>137</v>
      </c>
      <c r="C51" s="81">
        <f>'[2]ALL-Reformatted'!AC48</f>
        <v>4030</v>
      </c>
      <c r="D51" s="81">
        <f>'[3]All-Reformatted'!AC48</f>
        <v>2752</v>
      </c>
      <c r="E51" s="81">
        <f t="shared" si="79"/>
        <v>605</v>
      </c>
      <c r="F51" s="81">
        <f>'[4]MS5627_CTE -Reformatted'!AC49</f>
        <v>1513.5</v>
      </c>
      <c r="G51" s="81">
        <f t="shared" si="80"/>
        <v>91</v>
      </c>
      <c r="H51" s="81">
        <f>'[5]Rollup_Level1 Formatted 2'!Y48</f>
        <v>29</v>
      </c>
      <c r="I51" s="81">
        <f t="shared" si="81"/>
        <v>12</v>
      </c>
      <c r="J51" s="81">
        <f>'[5]Rollup_Level2 Formatted 2'!AB48</f>
        <v>468</v>
      </c>
      <c r="K51" s="81">
        <f t="shared" si="82"/>
        <v>257</v>
      </c>
      <c r="L51" s="81">
        <f>'[5]Rollup_Level3 Formatted 2'!T48</f>
        <v>40</v>
      </c>
      <c r="M51" s="81">
        <f t="shared" si="83"/>
        <v>32</v>
      </c>
      <c r="N51" s="81">
        <f>'[6]Rollup_Level1-REFORMATTED (2)'!P47</f>
        <v>68</v>
      </c>
      <c r="O51" s="81">
        <f t="shared" si="84"/>
        <v>24</v>
      </c>
      <c r="P51" s="81">
        <f>'[6]Rollup_Level2_REFORMATTED (2)'!V47</f>
        <v>106</v>
      </c>
      <c r="Q51" s="81">
        <f t="shared" si="85"/>
        <v>58</v>
      </c>
      <c r="R51" s="81">
        <f>'[6]Rollup_Level3 FORMATTED (2)'!Y47</f>
        <v>330</v>
      </c>
      <c r="S51" s="81">
        <f t="shared" si="86"/>
        <v>231</v>
      </c>
      <c r="T51" s="81">
        <f>[7]Exceeds!AJ48</f>
        <v>40</v>
      </c>
      <c r="U51" s="81">
        <f t="shared" si="87"/>
        <v>54</v>
      </c>
      <c r="V51" s="81">
        <f>'[8]Significantly Exceeds'!V48</f>
        <v>65</v>
      </c>
      <c r="W51" s="81">
        <f t="shared" si="88"/>
        <v>114</v>
      </c>
      <c r="X51" s="81">
        <f>'[9]Roll up'!J48</f>
        <v>20</v>
      </c>
      <c r="Y51" s="81">
        <f t="shared" si="89"/>
        <v>30</v>
      </c>
      <c r="Z51" s="81">
        <f>[10]BeginSchYr2011_ByExcept!P42</f>
        <v>1</v>
      </c>
      <c r="AA51" s="81">
        <f t="shared" si="90"/>
        <v>2</v>
      </c>
      <c r="AB51" s="1363">
        <v>-1.9731298249429166E-2</v>
      </c>
      <c r="AC51" s="81">
        <f t="shared" si="48"/>
        <v>537</v>
      </c>
      <c r="AD51" s="81">
        <f t="shared" si="49"/>
        <v>0</v>
      </c>
      <c r="AE51" s="81">
        <f t="shared" si="50"/>
        <v>32</v>
      </c>
      <c r="AF51" s="81">
        <f t="shared" si="51"/>
        <v>0</v>
      </c>
      <c r="AG51" s="81">
        <f t="shared" si="91"/>
        <v>846</v>
      </c>
      <c r="AH51" s="81">
        <f>'[11]Rollup_PS-8th'!R47</f>
        <v>67</v>
      </c>
      <c r="AI51" s="13">
        <f t="shared" si="92"/>
        <v>40</v>
      </c>
      <c r="AJ51" s="13">
        <f>'[11]Rollup_9th-12th'!M47</f>
        <v>41</v>
      </c>
      <c r="AK51" s="13">
        <f t="shared" si="93"/>
        <v>12.299999999999999</v>
      </c>
      <c r="AL51" s="13">
        <f>[12]Reformatted!Y48</f>
        <v>21</v>
      </c>
      <c r="AM51" s="13">
        <f t="shared" si="52"/>
        <v>6.3</v>
      </c>
      <c r="AN51" s="13">
        <f t="shared" si="94"/>
        <v>3470</v>
      </c>
      <c r="AO51" s="65">
        <f t="shared" si="95"/>
        <v>9.2530000000000001E-2</v>
      </c>
      <c r="AP51" s="13">
        <f t="shared" si="96"/>
        <v>373</v>
      </c>
      <c r="AQ51" s="13">
        <f t="shared" si="97"/>
        <v>1973.6</v>
      </c>
      <c r="AR51" s="13">
        <f t="shared" si="98"/>
        <v>6003.6</v>
      </c>
      <c r="AS51" s="388">
        <f t="shared" si="53"/>
        <v>3855</v>
      </c>
      <c r="AT51" s="388">
        <f t="shared" si="99"/>
        <v>23143878</v>
      </c>
      <c r="AU51" s="388">
        <f>'Table 6 (Local Deduct Calc.)'!J51</f>
        <v>7928641.5</v>
      </c>
      <c r="AV51" s="388">
        <f t="shared" si="54"/>
        <v>7928641.5</v>
      </c>
      <c r="AW51" s="389">
        <f t="shared" si="55"/>
        <v>15215236.5</v>
      </c>
      <c r="AX51" s="390">
        <f t="shared" si="78"/>
        <v>0.65739999999999998</v>
      </c>
      <c r="AY51" s="390">
        <f t="shared" si="56"/>
        <v>0.34260000000000002</v>
      </c>
      <c r="AZ51" s="391">
        <f t="shared" si="100"/>
        <v>1967.4048387096775</v>
      </c>
      <c r="BA51" s="388">
        <f>'Table 7 Local Revenue'!AQ50</f>
        <v>21342622.5</v>
      </c>
      <c r="BB51" s="388">
        <f t="shared" si="57"/>
        <v>13413981</v>
      </c>
      <c r="BC51" s="279">
        <f t="shared" si="58"/>
        <v>0</v>
      </c>
      <c r="BD51" s="14">
        <f t="shared" si="59"/>
        <v>7868918.5200000005</v>
      </c>
      <c r="BE51" s="14">
        <f t="shared" si="60"/>
        <v>7868918.5200000005</v>
      </c>
      <c r="BF51" s="388">
        <f t="shared" si="61"/>
        <v>4636933.3541174401</v>
      </c>
      <c r="BG51" s="392">
        <f t="shared" si="62"/>
        <v>3231985.1658825604</v>
      </c>
      <c r="BH51" s="16">
        <f t="shared" si="63"/>
        <v>0.41070000000000001</v>
      </c>
      <c r="BI51" s="392">
        <f t="shared" si="64"/>
        <v>18447221.665882561</v>
      </c>
      <c r="BJ51" s="14">
        <f t="shared" si="101"/>
        <v>4577</v>
      </c>
      <c r="BK51" s="392">
        <f>'Table 4 Level 3'!M48</f>
        <v>545490</v>
      </c>
      <c r="BL51" s="14">
        <f t="shared" si="102"/>
        <v>135.35732009925559</v>
      </c>
      <c r="BM51" s="392">
        <f t="shared" si="65"/>
        <v>18992711.665882561</v>
      </c>
      <c r="BN51" s="14">
        <f t="shared" si="103"/>
        <v>4712.8316788790471</v>
      </c>
      <c r="BO51" s="518">
        <f>'Table 4 Level 3'!P48</f>
        <v>2860478.7679999992</v>
      </c>
      <c r="BP51" s="519">
        <f t="shared" si="104"/>
        <v>709.7962203473943</v>
      </c>
      <c r="BQ51" s="392">
        <f t="shared" si="66"/>
        <v>21307700.433882561</v>
      </c>
      <c r="BR51" s="14">
        <f t="shared" si="105"/>
        <v>5287.2705791271865</v>
      </c>
      <c r="BS51" s="1594">
        <f>'[13]Table 3 Levels 1&amp;2'!CE51</f>
        <v>51473.94239519909</v>
      </c>
      <c r="BT51" s="1594">
        <f t="shared" si="67"/>
        <v>12.772690420644935</v>
      </c>
      <c r="BU51" s="1594">
        <f t="shared" si="68"/>
        <v>-46326.548155679186</v>
      </c>
      <c r="BV51" s="1594">
        <f t="shared" si="106"/>
        <v>-11.495421378580444</v>
      </c>
      <c r="BW51" s="1600">
        <f t="shared" si="69"/>
        <v>21261373.88572688</v>
      </c>
      <c r="BX51" s="1602">
        <f t="shared" si="107"/>
        <v>5275.7751577486051</v>
      </c>
      <c r="BY51" s="16">
        <f t="shared" si="70"/>
        <v>0.5737179040231718</v>
      </c>
      <c r="BZ51" s="393">
        <f t="shared" si="71"/>
        <v>48</v>
      </c>
      <c r="CA51" s="14">
        <f t="shared" si="72"/>
        <v>15797560.02</v>
      </c>
      <c r="CB51" s="14">
        <f t="shared" si="108"/>
        <v>3919.99</v>
      </c>
      <c r="CC51" s="393">
        <f t="shared" si="73"/>
        <v>20</v>
      </c>
      <c r="CD51" s="16">
        <f t="shared" si="74"/>
        <v>0.4262820959768282</v>
      </c>
      <c r="CE51" s="393">
        <f t="shared" si="75"/>
        <v>37058933.90572688</v>
      </c>
      <c r="CF51" s="394">
        <f t="shared" si="109"/>
        <v>9195.7652371530712</v>
      </c>
      <c r="CG51" s="393">
        <f t="shared" si="76"/>
        <v>16</v>
      </c>
      <c r="CH51" s="1340">
        <v>24566524.780017599</v>
      </c>
      <c r="CI51" s="279">
        <f t="shared" si="77"/>
        <v>-3305150.8942907192</v>
      </c>
      <c r="CJ51" s="1750"/>
      <c r="CK51" s="350"/>
      <c r="CL51" s="350"/>
      <c r="CM51" s="350"/>
      <c r="CN51" s="350"/>
      <c r="CO51" s="350"/>
      <c r="CP51" s="350"/>
      <c r="CQ51" s="350"/>
      <c r="CR51" s="350"/>
      <c r="CS51" s="350"/>
      <c r="CT51" s="169"/>
      <c r="CU51" s="169"/>
      <c r="CV51" s="1749"/>
      <c r="CW51" s="169"/>
      <c r="CX51" s="169"/>
      <c r="CY51" s="1749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</row>
    <row r="52" spans="1:183" s="5" customFormat="1">
      <c r="A52" s="101">
        <v>44</v>
      </c>
      <c r="B52" s="81" t="s">
        <v>138</v>
      </c>
      <c r="C52" s="81">
        <f>'[2]ALL-Reformatted'!AC49</f>
        <v>6431</v>
      </c>
      <c r="D52" s="81">
        <f>'[3]All-Reformatted'!AC49</f>
        <v>4921</v>
      </c>
      <c r="E52" s="81">
        <f t="shared" si="79"/>
        <v>1083</v>
      </c>
      <c r="F52" s="81">
        <f>'[4]MS5627_CTE -Reformatted'!AC50</f>
        <v>1801.5</v>
      </c>
      <c r="G52" s="81">
        <f t="shared" si="80"/>
        <v>108</v>
      </c>
      <c r="H52" s="81">
        <f>'[5]Rollup_Level1 Formatted 2'!Y49</f>
        <v>117</v>
      </c>
      <c r="I52" s="81">
        <f t="shared" si="81"/>
        <v>47</v>
      </c>
      <c r="J52" s="81">
        <f>'[5]Rollup_Level2 Formatted 2'!AB49</f>
        <v>455</v>
      </c>
      <c r="K52" s="81">
        <f t="shared" si="82"/>
        <v>250</v>
      </c>
      <c r="L52" s="81">
        <f>'[5]Rollup_Level3 Formatted 2'!T49</f>
        <v>132</v>
      </c>
      <c r="M52" s="81">
        <f t="shared" si="83"/>
        <v>106</v>
      </c>
      <c r="N52" s="81">
        <f>'[6]Rollup_Level1-REFORMATTED (2)'!P48</f>
        <v>73</v>
      </c>
      <c r="O52" s="81">
        <f t="shared" si="84"/>
        <v>26</v>
      </c>
      <c r="P52" s="81">
        <f>'[6]Rollup_Level2_REFORMATTED (2)'!V48</f>
        <v>170</v>
      </c>
      <c r="Q52" s="81">
        <f t="shared" si="85"/>
        <v>94</v>
      </c>
      <c r="R52" s="81">
        <f>'[6]Rollup_Level3 FORMATTED (2)'!Y48</f>
        <v>262</v>
      </c>
      <c r="S52" s="81">
        <f t="shared" si="86"/>
        <v>183</v>
      </c>
      <c r="T52" s="81">
        <f>[7]Exceeds!AJ49</f>
        <v>35</v>
      </c>
      <c r="U52" s="81">
        <f t="shared" si="87"/>
        <v>47</v>
      </c>
      <c r="V52" s="81">
        <f>'[8]Significantly Exceeds'!V49</f>
        <v>98</v>
      </c>
      <c r="W52" s="81">
        <f t="shared" si="88"/>
        <v>172</v>
      </c>
      <c r="X52" s="81">
        <f>'[9]Roll up'!J49</f>
        <v>15</v>
      </c>
      <c r="Y52" s="81">
        <f t="shared" si="89"/>
        <v>23</v>
      </c>
      <c r="Z52" s="81">
        <f>[10]BeginSchYr2011_ByExcept!P43</f>
        <v>8</v>
      </c>
      <c r="AA52" s="81">
        <f t="shared" si="90"/>
        <v>12</v>
      </c>
      <c r="AB52" s="1363">
        <v>6.7627047528157347E-3</v>
      </c>
      <c r="AC52" s="81">
        <f t="shared" si="48"/>
        <v>704</v>
      </c>
      <c r="AD52" s="81">
        <f t="shared" si="49"/>
        <v>0</v>
      </c>
      <c r="AE52" s="81">
        <f t="shared" si="50"/>
        <v>0</v>
      </c>
      <c r="AF52" s="81">
        <f t="shared" si="51"/>
        <v>21</v>
      </c>
      <c r="AG52" s="81">
        <f t="shared" si="91"/>
        <v>981</v>
      </c>
      <c r="AH52" s="81">
        <f>'[11]Rollup_PS-8th'!R48</f>
        <v>100</v>
      </c>
      <c r="AI52" s="13">
        <f t="shared" si="92"/>
        <v>60</v>
      </c>
      <c r="AJ52" s="13">
        <f>'[11]Rollup_9th-12th'!M48</f>
        <v>38</v>
      </c>
      <c r="AK52" s="13">
        <f t="shared" si="93"/>
        <v>11.4</v>
      </c>
      <c r="AL52" s="13">
        <f>[12]Reformatted!Y49</f>
        <v>61</v>
      </c>
      <c r="AM52" s="13">
        <f t="shared" si="52"/>
        <v>18.3</v>
      </c>
      <c r="AN52" s="13">
        <f t="shared" si="94"/>
        <v>1069</v>
      </c>
      <c r="AO52" s="65">
        <f t="shared" si="95"/>
        <v>2.8510000000000001E-2</v>
      </c>
      <c r="AP52" s="13">
        <f t="shared" si="96"/>
        <v>183</v>
      </c>
      <c r="AQ52" s="13">
        <f t="shared" si="97"/>
        <v>2444.7000000000003</v>
      </c>
      <c r="AR52" s="13">
        <f t="shared" si="98"/>
        <v>8875.7000000000007</v>
      </c>
      <c r="AS52" s="388">
        <f t="shared" si="53"/>
        <v>3855</v>
      </c>
      <c r="AT52" s="388">
        <f t="shared" si="99"/>
        <v>34215824</v>
      </c>
      <c r="AU52" s="388">
        <f>'Table 6 (Local Deduct Calc.)'!J52</f>
        <v>10776354</v>
      </c>
      <c r="AV52" s="388">
        <f t="shared" si="54"/>
        <v>10776354</v>
      </c>
      <c r="AW52" s="389">
        <f t="shared" si="55"/>
        <v>23439470</v>
      </c>
      <c r="AX52" s="390">
        <f t="shared" si="78"/>
        <v>0.68500000000000005</v>
      </c>
      <c r="AY52" s="390">
        <f t="shared" si="56"/>
        <v>0.315</v>
      </c>
      <c r="AZ52" s="391">
        <f t="shared" si="100"/>
        <v>1675.6886953817448</v>
      </c>
      <c r="BA52" s="388">
        <f>'Table 7 Local Revenue'!AQ51</f>
        <v>26968985</v>
      </c>
      <c r="BB52" s="388">
        <f t="shared" si="57"/>
        <v>16192631</v>
      </c>
      <c r="BC52" s="279">
        <f t="shared" si="58"/>
        <v>0</v>
      </c>
      <c r="BD52" s="14">
        <f t="shared" si="59"/>
        <v>11633380.16</v>
      </c>
      <c r="BE52" s="14">
        <f t="shared" si="60"/>
        <v>11633380.16</v>
      </c>
      <c r="BF52" s="388">
        <f t="shared" si="61"/>
        <v>6302965.3706879998</v>
      </c>
      <c r="BG52" s="392">
        <f t="shared" si="62"/>
        <v>5330414.7893120004</v>
      </c>
      <c r="BH52" s="16">
        <f t="shared" si="63"/>
        <v>0.4582</v>
      </c>
      <c r="BI52" s="392">
        <f t="shared" si="64"/>
        <v>28769884.789312001</v>
      </c>
      <c r="BJ52" s="14">
        <f t="shared" si="101"/>
        <v>4474</v>
      </c>
      <c r="BK52" s="392">
        <f>'Table 4 Level 3'!M49</f>
        <v>870482</v>
      </c>
      <c r="BL52" s="14">
        <f t="shared" si="102"/>
        <v>135.35717617788836</v>
      </c>
      <c r="BM52" s="392">
        <f t="shared" si="65"/>
        <v>29640366.789312001</v>
      </c>
      <c r="BN52" s="14">
        <f t="shared" si="103"/>
        <v>4608.9825515957082</v>
      </c>
      <c r="BO52" s="518">
        <f>'Table 4 Level 3'!P49</f>
        <v>5135611.1018494749</v>
      </c>
      <c r="BP52" s="519">
        <f t="shared" si="104"/>
        <v>798.57115562890294</v>
      </c>
      <c r="BQ52" s="392">
        <f t="shared" si="66"/>
        <v>33905495.891161479</v>
      </c>
      <c r="BR52" s="14">
        <f t="shared" si="105"/>
        <v>5272.196531046724</v>
      </c>
      <c r="BS52" s="1594">
        <f>'[13]Table 3 Levels 1&amp;2'!CE52</f>
        <v>-289919.48755895346</v>
      </c>
      <c r="BT52" s="1594">
        <f t="shared" si="67"/>
        <v>-45.081556143516323</v>
      </c>
      <c r="BU52" s="1594">
        <f t="shared" si="68"/>
        <v>260927.53880305812</v>
      </c>
      <c r="BV52" s="1594">
        <f t="shared" si="106"/>
        <v>40.573400529164694</v>
      </c>
      <c r="BW52" s="1600">
        <f t="shared" si="69"/>
        <v>34166423.429964535</v>
      </c>
      <c r="BX52" s="1602">
        <f t="shared" si="107"/>
        <v>5312.7699315758882</v>
      </c>
      <c r="BY52" s="16">
        <f t="shared" si="70"/>
        <v>0.60390144692372971</v>
      </c>
      <c r="BZ52" s="393">
        <f t="shared" si="71"/>
        <v>41</v>
      </c>
      <c r="CA52" s="14">
        <f t="shared" si="72"/>
        <v>22409734.16</v>
      </c>
      <c r="CB52" s="14">
        <f t="shared" si="108"/>
        <v>3484.64</v>
      </c>
      <c r="CC52" s="393">
        <f t="shared" si="73"/>
        <v>29</v>
      </c>
      <c r="CD52" s="16">
        <f t="shared" si="74"/>
        <v>0.39609855307627029</v>
      </c>
      <c r="CE52" s="393">
        <f t="shared" si="75"/>
        <v>56576157.589964539</v>
      </c>
      <c r="CF52" s="394">
        <f t="shared" si="109"/>
        <v>8797.4121582902408</v>
      </c>
      <c r="CG52" s="393">
        <f t="shared" si="76"/>
        <v>34</v>
      </c>
      <c r="CH52" s="1340">
        <v>28065832.11128547</v>
      </c>
      <c r="CI52" s="279">
        <f t="shared" si="77"/>
        <v>6100591.3186790645</v>
      </c>
      <c r="CJ52" s="1747"/>
      <c r="CK52" s="350"/>
      <c r="CL52" s="350"/>
      <c r="CM52" s="350"/>
      <c r="CN52" s="350"/>
      <c r="CO52" s="350"/>
      <c r="CP52" s="350"/>
      <c r="CQ52" s="350"/>
      <c r="CR52" s="350"/>
      <c r="CS52" s="350"/>
      <c r="CT52" s="169"/>
      <c r="CU52" s="169"/>
      <c r="CV52" s="1749"/>
      <c r="CW52" s="169"/>
      <c r="CX52" s="169"/>
      <c r="CY52" s="1749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</row>
    <row r="53" spans="1:183" s="21" customFormat="1">
      <c r="A53" s="102">
        <v>45</v>
      </c>
      <c r="B53" s="82" t="s">
        <v>139</v>
      </c>
      <c r="C53" s="82">
        <f>'[2]ALL-Reformatted'!AC50</f>
        <v>9519</v>
      </c>
      <c r="D53" s="82">
        <f>'[3]All-Reformatted'!AC50</f>
        <v>5032</v>
      </c>
      <c r="E53" s="82">
        <f t="shared" si="79"/>
        <v>1107</v>
      </c>
      <c r="F53" s="82">
        <f>'[4]MS5627_CTE -Reformatted'!AC51</f>
        <v>4040</v>
      </c>
      <c r="G53" s="82">
        <f t="shared" si="80"/>
        <v>242</v>
      </c>
      <c r="H53" s="82">
        <f>'[5]Rollup_Level1 Formatted 2'!Y50</f>
        <v>160</v>
      </c>
      <c r="I53" s="82">
        <f t="shared" si="81"/>
        <v>64</v>
      </c>
      <c r="J53" s="82">
        <f>'[5]Rollup_Level2 Formatted 2'!AB50</f>
        <v>572</v>
      </c>
      <c r="K53" s="82">
        <f t="shared" si="82"/>
        <v>315</v>
      </c>
      <c r="L53" s="82">
        <f>'[5]Rollup_Level3 Formatted 2'!T50</f>
        <v>197</v>
      </c>
      <c r="M53" s="82">
        <f t="shared" si="83"/>
        <v>158</v>
      </c>
      <c r="N53" s="82">
        <f>'[6]Rollup_Level1-REFORMATTED (2)'!P49</f>
        <v>156</v>
      </c>
      <c r="O53" s="82">
        <f t="shared" si="84"/>
        <v>55</v>
      </c>
      <c r="P53" s="82">
        <f>'[6]Rollup_Level2_REFORMATTED (2)'!V49</f>
        <v>390</v>
      </c>
      <c r="Q53" s="82">
        <f t="shared" si="85"/>
        <v>215</v>
      </c>
      <c r="R53" s="82">
        <f>'[6]Rollup_Level3 FORMATTED (2)'!Y49</f>
        <v>160</v>
      </c>
      <c r="S53" s="82">
        <f t="shared" si="86"/>
        <v>112</v>
      </c>
      <c r="T53" s="82">
        <f>[7]Exceeds!AJ50</f>
        <v>93</v>
      </c>
      <c r="U53" s="82">
        <f t="shared" si="87"/>
        <v>126</v>
      </c>
      <c r="V53" s="82">
        <f>'[8]Significantly Exceeds'!V50</f>
        <v>233</v>
      </c>
      <c r="W53" s="82">
        <f t="shared" si="88"/>
        <v>408</v>
      </c>
      <c r="X53" s="82">
        <f>'[9]Roll up'!J50</f>
        <v>26</v>
      </c>
      <c r="Y53" s="82">
        <f t="shared" si="89"/>
        <v>39</v>
      </c>
      <c r="Z53" s="82">
        <f>[10]BeginSchYr2011_ByExcept!P44</f>
        <v>4</v>
      </c>
      <c r="AA53" s="82">
        <f t="shared" si="90"/>
        <v>6</v>
      </c>
      <c r="AB53" s="1366">
        <v>1.8909819986457521E-2</v>
      </c>
      <c r="AC53" s="82">
        <f t="shared" si="48"/>
        <v>929</v>
      </c>
      <c r="AD53" s="82">
        <f t="shared" si="49"/>
        <v>0</v>
      </c>
      <c r="AE53" s="82">
        <f t="shared" si="50"/>
        <v>0</v>
      </c>
      <c r="AF53" s="82">
        <f t="shared" si="51"/>
        <v>0</v>
      </c>
      <c r="AG53" s="82">
        <f t="shared" si="91"/>
        <v>1498</v>
      </c>
      <c r="AH53" s="82">
        <f>'[11]Rollup_PS-8th'!R49</f>
        <v>281</v>
      </c>
      <c r="AI53" s="19">
        <f t="shared" si="92"/>
        <v>169</v>
      </c>
      <c r="AJ53" s="19">
        <f>'[11]Rollup_9th-12th'!M49</f>
        <v>211</v>
      </c>
      <c r="AK53" s="19">
        <f t="shared" si="93"/>
        <v>63.3</v>
      </c>
      <c r="AL53" s="19">
        <f>[12]Reformatted!Y50</f>
        <v>255</v>
      </c>
      <c r="AM53" s="19">
        <f t="shared" si="52"/>
        <v>76.5</v>
      </c>
      <c r="AN53" s="19">
        <f t="shared" si="94"/>
        <v>0</v>
      </c>
      <c r="AO53" s="66">
        <f t="shared" si="95"/>
        <v>0</v>
      </c>
      <c r="AP53" s="19">
        <f t="shared" si="96"/>
        <v>0</v>
      </c>
      <c r="AQ53" s="19">
        <f t="shared" si="97"/>
        <v>3155.8</v>
      </c>
      <c r="AR53" s="13">
        <f t="shared" si="98"/>
        <v>12674.8</v>
      </c>
      <c r="AS53" s="395">
        <f t="shared" si="53"/>
        <v>3855</v>
      </c>
      <c r="AT53" s="395">
        <f t="shared" si="99"/>
        <v>48861354</v>
      </c>
      <c r="AU53" s="395">
        <f>'Table 6 (Local Deduct Calc.)'!J53</f>
        <v>33341208</v>
      </c>
      <c r="AV53" s="395">
        <f t="shared" si="54"/>
        <v>33341208</v>
      </c>
      <c r="AW53" s="396">
        <f t="shared" si="55"/>
        <v>15520146</v>
      </c>
      <c r="AX53" s="397">
        <f t="shared" si="78"/>
        <v>0.31759999999999999</v>
      </c>
      <c r="AY53" s="398">
        <f t="shared" si="56"/>
        <v>0.68240000000000001</v>
      </c>
      <c r="AZ53" s="399">
        <f t="shared" si="100"/>
        <v>3502.5956508036556</v>
      </c>
      <c r="BA53" s="395">
        <f>'Table 7 Local Revenue'!AQ52</f>
        <v>118117440</v>
      </c>
      <c r="BB53" s="395">
        <f t="shared" si="57"/>
        <v>84776232</v>
      </c>
      <c r="BC53" s="280">
        <f t="shared" si="58"/>
        <v>0</v>
      </c>
      <c r="BD53" s="20">
        <f t="shared" si="59"/>
        <v>16612860.360000001</v>
      </c>
      <c r="BE53" s="20">
        <f t="shared" si="60"/>
        <v>16612860.360000001</v>
      </c>
      <c r="BF53" s="395">
        <f t="shared" si="61"/>
        <v>19498979.364622079</v>
      </c>
      <c r="BG53" s="400">
        <f t="shared" si="62"/>
        <v>0</v>
      </c>
      <c r="BH53" s="273">
        <f t="shared" si="63"/>
        <v>0</v>
      </c>
      <c r="BI53" s="400">
        <f t="shared" si="64"/>
        <v>15520146</v>
      </c>
      <c r="BJ53" s="20">
        <f t="shared" si="101"/>
        <v>1630</v>
      </c>
      <c r="BK53" s="400">
        <f>'Table 4 Level 3'!M50</f>
        <v>5448782</v>
      </c>
      <c r="BL53" s="20">
        <f t="shared" si="102"/>
        <v>572.41117764471062</v>
      </c>
      <c r="BM53" s="400">
        <f t="shared" si="65"/>
        <v>20968928</v>
      </c>
      <c r="BN53" s="20">
        <f t="shared" si="103"/>
        <v>2202.8498791889906</v>
      </c>
      <c r="BO53" s="520">
        <f>'Table 4 Level 3'!P50</f>
        <v>12623793.620827943</v>
      </c>
      <c r="BP53" s="521">
        <f t="shared" si="104"/>
        <v>1326.1680450496842</v>
      </c>
      <c r="BQ53" s="400">
        <f t="shared" si="66"/>
        <v>28143939.620827943</v>
      </c>
      <c r="BR53" s="20">
        <f t="shared" si="105"/>
        <v>2956.6067465939641</v>
      </c>
      <c r="BS53" s="20">
        <f>'[13]Table 3 Levels 1&amp;2'!CE53</f>
        <v>461058</v>
      </c>
      <c r="BT53" s="20">
        <f t="shared" si="67"/>
        <v>48.435549952726127</v>
      </c>
      <c r="BU53" s="20">
        <f t="shared" si="68"/>
        <v>-414952.2</v>
      </c>
      <c r="BV53" s="20">
        <f t="shared" si="106"/>
        <v>-43.591994957453515</v>
      </c>
      <c r="BW53" s="760">
        <f t="shared" si="69"/>
        <v>27728987.420827944</v>
      </c>
      <c r="BX53" s="78">
        <f t="shared" si="107"/>
        <v>2913.0147516365105</v>
      </c>
      <c r="BY53" s="273">
        <f t="shared" si="70"/>
        <v>0.35695026595067875</v>
      </c>
      <c r="BZ53" s="401">
        <f t="shared" si="71"/>
        <v>64</v>
      </c>
      <c r="CA53" s="20">
        <f t="shared" si="72"/>
        <v>49954068.359999999</v>
      </c>
      <c r="CB53" s="20">
        <f t="shared" si="108"/>
        <v>5247.83</v>
      </c>
      <c r="CC53" s="401">
        <f t="shared" si="73"/>
        <v>7</v>
      </c>
      <c r="CD53" s="273">
        <f t="shared" si="74"/>
        <v>0.64304973404932131</v>
      </c>
      <c r="CE53" s="401">
        <f t="shared" si="75"/>
        <v>77683055.78082794</v>
      </c>
      <c r="CF53" s="402">
        <f t="shared" si="109"/>
        <v>8160.8420822384642</v>
      </c>
      <c r="CG53" s="401">
        <f t="shared" si="76"/>
        <v>60</v>
      </c>
      <c r="CH53" s="1341">
        <v>29871209.952447914</v>
      </c>
      <c r="CI53" s="280">
        <f t="shared" si="77"/>
        <v>-2142222.5316199698</v>
      </c>
      <c r="CJ53" s="1750"/>
      <c r="CK53" s="350"/>
      <c r="CL53" s="350"/>
      <c r="CM53" s="350"/>
      <c r="CN53" s="350"/>
      <c r="CO53" s="350"/>
      <c r="CP53" s="350"/>
      <c r="CQ53" s="350"/>
      <c r="CR53" s="350"/>
      <c r="CS53" s="350"/>
      <c r="CT53" s="169"/>
      <c r="CU53" s="169"/>
      <c r="CV53" s="1749"/>
      <c r="CW53" s="169"/>
      <c r="CX53" s="169"/>
      <c r="CY53" s="1749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</row>
    <row r="54" spans="1:183" s="5" customFormat="1">
      <c r="A54" s="101">
        <v>46</v>
      </c>
      <c r="B54" s="81" t="s">
        <v>140</v>
      </c>
      <c r="C54" s="607">
        <f>'[2]ALL-Reformatted'!AC51</f>
        <v>1077</v>
      </c>
      <c r="D54" s="81">
        <f>'[3]All-Reformatted'!AC51</f>
        <v>993</v>
      </c>
      <c r="E54" s="81">
        <f t="shared" si="79"/>
        <v>218</v>
      </c>
      <c r="F54" s="81">
        <f>'[4]MS5627_CTE -Reformatted'!AC52</f>
        <v>313.5</v>
      </c>
      <c r="G54" s="81">
        <f t="shared" si="80"/>
        <v>19</v>
      </c>
      <c r="H54" s="81">
        <f>'[5]Rollup_Level1 Formatted 2'!Y51</f>
        <v>19</v>
      </c>
      <c r="I54" s="81">
        <f t="shared" si="81"/>
        <v>8</v>
      </c>
      <c r="J54" s="81">
        <f>'[5]Rollup_Level2 Formatted 2'!AB51</f>
        <v>107</v>
      </c>
      <c r="K54" s="81">
        <f t="shared" si="82"/>
        <v>59</v>
      </c>
      <c r="L54" s="81">
        <f>'[5]Rollup_Level3 Formatted 2'!T51</f>
        <v>9</v>
      </c>
      <c r="M54" s="81">
        <f t="shared" si="83"/>
        <v>7</v>
      </c>
      <c r="N54" s="81">
        <f>'[6]Rollup_Level1-REFORMATTED (2)'!P50</f>
        <v>11</v>
      </c>
      <c r="O54" s="81">
        <f t="shared" si="84"/>
        <v>4</v>
      </c>
      <c r="P54" s="81">
        <f>'[6]Rollup_Level2_REFORMATTED (2)'!V50</f>
        <v>12</v>
      </c>
      <c r="Q54" s="81">
        <f t="shared" si="85"/>
        <v>7</v>
      </c>
      <c r="R54" s="81">
        <f>'[6]Rollup_Level3 FORMATTED (2)'!Y50</f>
        <v>66</v>
      </c>
      <c r="S54" s="81">
        <f t="shared" si="86"/>
        <v>46</v>
      </c>
      <c r="T54" s="81">
        <f>[7]Exceeds!AJ51</f>
        <v>12</v>
      </c>
      <c r="U54" s="81">
        <f t="shared" si="87"/>
        <v>16</v>
      </c>
      <c r="V54" s="81">
        <f>'[8]Significantly Exceeds'!V51</f>
        <v>18</v>
      </c>
      <c r="W54" s="81">
        <f t="shared" si="88"/>
        <v>32</v>
      </c>
      <c r="X54" s="81">
        <f>'[9]Roll up'!J51</f>
        <v>7</v>
      </c>
      <c r="Y54" s="81">
        <f t="shared" si="89"/>
        <v>11</v>
      </c>
      <c r="Z54" s="81">
        <f>[10]BeginSchYr2011_ByExcept!P45</f>
        <v>1</v>
      </c>
      <c r="AA54" s="81">
        <f t="shared" si="90"/>
        <v>2</v>
      </c>
      <c r="AB54" s="129">
        <v>-2.2082324455205811E-2</v>
      </c>
      <c r="AC54" s="81">
        <f t="shared" si="48"/>
        <v>135</v>
      </c>
      <c r="AD54" s="81">
        <f t="shared" si="49"/>
        <v>16</v>
      </c>
      <c r="AE54" s="81">
        <f t="shared" si="50"/>
        <v>0</v>
      </c>
      <c r="AF54" s="81">
        <f t="shared" si="51"/>
        <v>0</v>
      </c>
      <c r="AG54" s="81">
        <f t="shared" si="91"/>
        <v>208</v>
      </c>
      <c r="AH54" s="81">
        <f>'[11]Rollup_PS-8th'!R50</f>
        <v>3</v>
      </c>
      <c r="AI54" s="13">
        <f t="shared" si="92"/>
        <v>2</v>
      </c>
      <c r="AJ54" s="13">
        <f>'[11]Rollup_9th-12th'!M50</f>
        <v>11</v>
      </c>
      <c r="AK54" s="13">
        <f t="shared" si="93"/>
        <v>3.3</v>
      </c>
      <c r="AL54" s="13">
        <f>[12]Reformatted!Y51</f>
        <v>0</v>
      </c>
      <c r="AM54" s="13">
        <f t="shared" si="52"/>
        <v>0</v>
      </c>
      <c r="AN54" s="13">
        <f t="shared" si="94"/>
        <v>6423</v>
      </c>
      <c r="AO54" s="65">
        <f t="shared" si="95"/>
        <v>0.17127999999999999</v>
      </c>
      <c r="AP54" s="13">
        <f t="shared" si="96"/>
        <v>184</v>
      </c>
      <c r="AQ54" s="13">
        <f t="shared" si="97"/>
        <v>634.29999999999995</v>
      </c>
      <c r="AR54" s="36">
        <f t="shared" si="98"/>
        <v>1711.3</v>
      </c>
      <c r="AS54" s="388">
        <f t="shared" si="53"/>
        <v>3855</v>
      </c>
      <c r="AT54" s="388">
        <f t="shared" si="99"/>
        <v>6597062</v>
      </c>
      <c r="AU54" s="388">
        <f>'Table 6 (Local Deduct Calc.)'!J54</f>
        <v>1315829</v>
      </c>
      <c r="AV54" s="388">
        <f t="shared" si="54"/>
        <v>1315829</v>
      </c>
      <c r="AW54" s="389">
        <f t="shared" si="55"/>
        <v>5281233</v>
      </c>
      <c r="AX54" s="390">
        <f t="shared" si="78"/>
        <v>0.80049999999999999</v>
      </c>
      <c r="AY54" s="390">
        <f t="shared" si="56"/>
        <v>0.19950000000000001</v>
      </c>
      <c r="AZ54" s="391">
        <f t="shared" si="100"/>
        <v>1221.7539461467038</v>
      </c>
      <c r="BA54" s="388">
        <f>'Table 7 Local Revenue'!AQ53</f>
        <v>2157106</v>
      </c>
      <c r="BB54" s="388">
        <f t="shared" si="57"/>
        <v>841277</v>
      </c>
      <c r="BC54" s="279">
        <f t="shared" si="58"/>
        <v>0</v>
      </c>
      <c r="BD54" s="14">
        <f t="shared" si="59"/>
        <v>2243001.08</v>
      </c>
      <c r="BE54" s="14">
        <f t="shared" si="60"/>
        <v>841277</v>
      </c>
      <c r="BF54" s="388">
        <f t="shared" si="61"/>
        <v>288675.78977999999</v>
      </c>
      <c r="BG54" s="392">
        <f t="shared" si="62"/>
        <v>552601.21022000001</v>
      </c>
      <c r="BH54" s="16">
        <f t="shared" si="63"/>
        <v>0.65690000000000004</v>
      </c>
      <c r="BI54" s="392">
        <f t="shared" si="64"/>
        <v>5833834.2102199998</v>
      </c>
      <c r="BJ54" s="14">
        <f t="shared" si="101"/>
        <v>5417</v>
      </c>
      <c r="BK54" s="392">
        <f>'Table 4 Level 3'!M51</f>
        <v>145780</v>
      </c>
      <c r="BL54" s="14">
        <f t="shared" si="102"/>
        <v>135.35747446610955</v>
      </c>
      <c r="BM54" s="392">
        <f t="shared" si="65"/>
        <v>5979614.2102199998</v>
      </c>
      <c r="BN54" s="14">
        <f t="shared" si="103"/>
        <v>5552.1023307520891</v>
      </c>
      <c r="BO54" s="518">
        <f>'Table 4 Level 3'!P51</f>
        <v>928881.33600000001</v>
      </c>
      <c r="BP54" s="519">
        <f t="shared" si="104"/>
        <v>862.47106406685236</v>
      </c>
      <c r="BQ54" s="392">
        <f t="shared" si="66"/>
        <v>6762715.5462199999</v>
      </c>
      <c r="BR54" s="14">
        <f t="shared" si="105"/>
        <v>6279.2159203528317</v>
      </c>
      <c r="BS54" s="1594">
        <f>'[13]Table 3 Levels 1&amp;2'!CE54</f>
        <v>-31859.434368000366</v>
      </c>
      <c r="BT54" s="1594">
        <f t="shared" si="67"/>
        <v>-29.581647509749644</v>
      </c>
      <c r="BU54" s="1594">
        <f t="shared" si="68"/>
        <v>28673.490931200329</v>
      </c>
      <c r="BV54" s="1594">
        <f t="shared" si="106"/>
        <v>26.623482758774678</v>
      </c>
      <c r="BW54" s="1600">
        <f t="shared" si="69"/>
        <v>6791389.0371512007</v>
      </c>
      <c r="BX54" s="1602">
        <f t="shared" si="107"/>
        <v>6305.8394031116068</v>
      </c>
      <c r="BY54" s="16">
        <f t="shared" si="70"/>
        <v>0.75894203538758109</v>
      </c>
      <c r="BZ54" s="393">
        <f t="shared" si="71"/>
        <v>5</v>
      </c>
      <c r="CA54" s="14">
        <f t="shared" si="72"/>
        <v>2157106</v>
      </c>
      <c r="CB54" s="14">
        <f t="shared" si="108"/>
        <v>2002.88</v>
      </c>
      <c r="CC54" s="393">
        <f t="shared" si="73"/>
        <v>64</v>
      </c>
      <c r="CD54" s="16">
        <f t="shared" si="74"/>
        <v>0.24105796461241888</v>
      </c>
      <c r="CE54" s="393">
        <f t="shared" si="75"/>
        <v>8948495.0371512007</v>
      </c>
      <c r="CF54" s="394">
        <f t="shared" si="109"/>
        <v>8308.7233399732595</v>
      </c>
      <c r="CG54" s="393">
        <f t="shared" si="76"/>
        <v>53</v>
      </c>
      <c r="CH54" s="1340">
        <v>7161370.2294239998</v>
      </c>
      <c r="CI54" s="279">
        <f t="shared" si="77"/>
        <v>-369981.19227279909</v>
      </c>
      <c r="CJ54" s="1747"/>
      <c r="CK54" s="350"/>
      <c r="CL54" s="350"/>
      <c r="CM54" s="350"/>
      <c r="CN54" s="350"/>
      <c r="CO54" s="350"/>
      <c r="CP54" s="350"/>
      <c r="CQ54" s="350"/>
      <c r="CR54" s="350"/>
      <c r="CS54" s="350"/>
      <c r="CT54" s="1751"/>
      <c r="CU54" s="1751"/>
      <c r="CV54" s="1752"/>
      <c r="CW54" s="1751"/>
      <c r="CX54" s="1751"/>
      <c r="CY54" s="1752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</row>
    <row r="55" spans="1:183" s="5" customFormat="1">
      <c r="A55" s="101">
        <v>47</v>
      </c>
      <c r="B55" s="81" t="s">
        <v>141</v>
      </c>
      <c r="C55" s="81">
        <f>'[2]ALL-Reformatted'!AC52</f>
        <v>3634</v>
      </c>
      <c r="D55" s="81">
        <f>'[3]All-Reformatted'!AC52</f>
        <v>2582</v>
      </c>
      <c r="E55" s="81">
        <f t="shared" si="79"/>
        <v>568</v>
      </c>
      <c r="F55" s="81">
        <f>'[4]MS5627_CTE -Reformatted'!AC53</f>
        <v>1640.5</v>
      </c>
      <c r="G55" s="81">
        <f t="shared" si="80"/>
        <v>98</v>
      </c>
      <c r="H55" s="81">
        <f>'[5]Rollup_Level1 Formatted 2'!Y52</f>
        <v>103</v>
      </c>
      <c r="I55" s="81">
        <f t="shared" si="81"/>
        <v>41</v>
      </c>
      <c r="J55" s="81">
        <f>'[5]Rollup_Level2 Formatted 2'!AB52</f>
        <v>367</v>
      </c>
      <c r="K55" s="81">
        <f t="shared" si="82"/>
        <v>202</v>
      </c>
      <c r="L55" s="81">
        <f>'[5]Rollup_Level3 Formatted 2'!T52</f>
        <v>35</v>
      </c>
      <c r="M55" s="81">
        <f t="shared" si="83"/>
        <v>28</v>
      </c>
      <c r="N55" s="81">
        <f>'[6]Rollup_Level1-REFORMATTED (2)'!P51</f>
        <v>26</v>
      </c>
      <c r="O55" s="81">
        <f t="shared" si="84"/>
        <v>9</v>
      </c>
      <c r="P55" s="81">
        <f>'[6]Rollup_Level2_REFORMATTED (2)'!V51</f>
        <v>107</v>
      </c>
      <c r="Q55" s="81">
        <f t="shared" si="85"/>
        <v>59</v>
      </c>
      <c r="R55" s="81">
        <f>'[6]Rollup_Level3 FORMATTED (2)'!Y51</f>
        <v>187</v>
      </c>
      <c r="S55" s="81">
        <f t="shared" si="86"/>
        <v>131</v>
      </c>
      <c r="T55" s="81">
        <f>[7]Exceeds!AJ52</f>
        <v>17</v>
      </c>
      <c r="U55" s="81">
        <f t="shared" si="87"/>
        <v>23</v>
      </c>
      <c r="V55" s="81">
        <f>'[8]Significantly Exceeds'!V52</f>
        <v>75</v>
      </c>
      <c r="W55" s="81">
        <f t="shared" si="88"/>
        <v>131</v>
      </c>
      <c r="X55" s="81">
        <f>'[9]Roll up'!J52</f>
        <v>6</v>
      </c>
      <c r="Y55" s="81">
        <f t="shared" si="89"/>
        <v>9</v>
      </c>
      <c r="Z55" s="81">
        <f>[10]BeginSchYr2011_ByExcept!P46</f>
        <v>4</v>
      </c>
      <c r="AA55" s="81">
        <f t="shared" si="90"/>
        <v>6</v>
      </c>
      <c r="AB55" s="1363">
        <v>1.9452561817649816E-2</v>
      </c>
      <c r="AC55" s="81">
        <f t="shared" si="48"/>
        <v>505</v>
      </c>
      <c r="AD55" s="81">
        <f t="shared" si="49"/>
        <v>0</v>
      </c>
      <c r="AE55" s="81">
        <f t="shared" si="50"/>
        <v>0</v>
      </c>
      <c r="AF55" s="81">
        <f t="shared" si="51"/>
        <v>0</v>
      </c>
      <c r="AG55" s="81">
        <f t="shared" si="91"/>
        <v>639</v>
      </c>
      <c r="AH55" s="81">
        <f>'[11]Rollup_PS-8th'!R51</f>
        <v>35</v>
      </c>
      <c r="AI55" s="13">
        <f t="shared" si="92"/>
        <v>21</v>
      </c>
      <c r="AJ55" s="13">
        <f>'[11]Rollup_9th-12th'!M51</f>
        <v>39</v>
      </c>
      <c r="AK55" s="13">
        <f t="shared" si="93"/>
        <v>11.7</v>
      </c>
      <c r="AL55" s="13">
        <f>[12]Reformatted!Y52</f>
        <v>36</v>
      </c>
      <c r="AM55" s="13">
        <f t="shared" si="52"/>
        <v>10.799999999999999</v>
      </c>
      <c r="AN55" s="13">
        <f t="shared" si="94"/>
        <v>3866</v>
      </c>
      <c r="AO55" s="65">
        <f t="shared" si="95"/>
        <v>0.10309</v>
      </c>
      <c r="AP55" s="13">
        <f t="shared" si="96"/>
        <v>375</v>
      </c>
      <c r="AQ55" s="13">
        <f t="shared" si="97"/>
        <v>1723.5</v>
      </c>
      <c r="AR55" s="13">
        <f t="shared" si="98"/>
        <v>5357.5</v>
      </c>
      <c r="AS55" s="388">
        <f t="shared" si="53"/>
        <v>3855</v>
      </c>
      <c r="AT55" s="388">
        <f t="shared" si="99"/>
        <v>20653163</v>
      </c>
      <c r="AU55" s="388">
        <f>'Table 6 (Local Deduct Calc.)'!J55</f>
        <v>12997220</v>
      </c>
      <c r="AV55" s="388">
        <f t="shared" si="54"/>
        <v>12997220</v>
      </c>
      <c r="AW55" s="389">
        <f t="shared" si="55"/>
        <v>7655943</v>
      </c>
      <c r="AX55" s="390">
        <f t="shared" si="78"/>
        <v>0.37069999999999997</v>
      </c>
      <c r="AY55" s="390">
        <f t="shared" si="56"/>
        <v>0.62929999999999997</v>
      </c>
      <c r="AZ55" s="391">
        <f t="shared" si="100"/>
        <v>3576.5602641717114</v>
      </c>
      <c r="BA55" s="388">
        <f>'Table 7 Local Revenue'!AQ54</f>
        <v>36744086</v>
      </c>
      <c r="BB55" s="388">
        <f t="shared" si="57"/>
        <v>23746866</v>
      </c>
      <c r="BC55" s="279">
        <f t="shared" si="58"/>
        <v>0</v>
      </c>
      <c r="BD55" s="14">
        <f t="shared" si="59"/>
        <v>7022075.4200000009</v>
      </c>
      <c r="BE55" s="14">
        <f t="shared" si="60"/>
        <v>7022075.4200000009</v>
      </c>
      <c r="BF55" s="388">
        <f t="shared" si="61"/>
        <v>7600666.3463063203</v>
      </c>
      <c r="BG55" s="392">
        <f t="shared" si="62"/>
        <v>0</v>
      </c>
      <c r="BH55" s="16">
        <f t="shared" si="63"/>
        <v>0</v>
      </c>
      <c r="BI55" s="392">
        <f t="shared" si="64"/>
        <v>7655943</v>
      </c>
      <c r="BJ55" s="14">
        <f t="shared" si="101"/>
        <v>2107</v>
      </c>
      <c r="BK55" s="392">
        <f>'Table 4 Level 3'!M52</f>
        <v>1661150</v>
      </c>
      <c r="BL55" s="14">
        <f t="shared" si="102"/>
        <v>457.11337369290038</v>
      </c>
      <c r="BM55" s="392">
        <f t="shared" si="65"/>
        <v>9317093</v>
      </c>
      <c r="BN55" s="14">
        <f t="shared" si="103"/>
        <v>2563.8670886075947</v>
      </c>
      <c r="BO55" s="518">
        <f>'Table 4 Level 3'!P52</f>
        <v>4969823.9674299546</v>
      </c>
      <c r="BP55" s="519">
        <f t="shared" si="104"/>
        <v>1367.5905248844124</v>
      </c>
      <c r="BQ55" s="392">
        <f t="shared" si="66"/>
        <v>12625766.967429955</v>
      </c>
      <c r="BR55" s="14">
        <f t="shared" si="105"/>
        <v>3474.3442397991071</v>
      </c>
      <c r="BS55" s="1594">
        <f>'[13]Table 3 Levels 1&amp;2'!CE55</f>
        <v>-586248.69499735907</v>
      </c>
      <c r="BT55" s="1594">
        <f t="shared" si="67"/>
        <v>-161.32325123757818</v>
      </c>
      <c r="BU55" s="1594">
        <f t="shared" si="68"/>
        <v>527623.82549762318</v>
      </c>
      <c r="BV55" s="1594">
        <f t="shared" si="106"/>
        <v>145.19092611382035</v>
      </c>
      <c r="BW55" s="1600">
        <f t="shared" si="69"/>
        <v>13153390.792927578</v>
      </c>
      <c r="BX55" s="1602">
        <f t="shared" si="107"/>
        <v>3619.5351659129274</v>
      </c>
      <c r="BY55" s="16">
        <f t="shared" si="70"/>
        <v>0.39651268240681781</v>
      </c>
      <c r="BZ55" s="393">
        <f t="shared" si="71"/>
        <v>63</v>
      </c>
      <c r="CA55" s="14">
        <f t="shared" si="72"/>
        <v>20019295.420000002</v>
      </c>
      <c r="CB55" s="14">
        <f t="shared" si="108"/>
        <v>5508.89</v>
      </c>
      <c r="CC55" s="393">
        <f t="shared" si="73"/>
        <v>6</v>
      </c>
      <c r="CD55" s="16">
        <f t="shared" si="74"/>
        <v>0.60348731759318219</v>
      </c>
      <c r="CE55" s="393">
        <f t="shared" si="75"/>
        <v>33172686.21292758</v>
      </c>
      <c r="CF55" s="394">
        <f t="shared" si="109"/>
        <v>9128.4221829740181</v>
      </c>
      <c r="CG55" s="393">
        <f t="shared" si="76"/>
        <v>19</v>
      </c>
      <c r="CH55" s="1340">
        <v>14927937.90161714</v>
      </c>
      <c r="CI55" s="279">
        <f t="shared" si="77"/>
        <v>-1774547.1086895615</v>
      </c>
      <c r="CJ55" s="1747"/>
      <c r="CK55" s="350"/>
      <c r="CL55" s="350"/>
      <c r="CM55" s="350"/>
      <c r="CN55" s="350"/>
      <c r="CO55" s="350"/>
      <c r="CP55" s="350"/>
      <c r="CQ55" s="350"/>
      <c r="CR55" s="350"/>
      <c r="CS55" s="350"/>
      <c r="CT55" s="169"/>
      <c r="CU55" s="169"/>
      <c r="CV55" s="1749"/>
      <c r="CW55" s="169"/>
      <c r="CX55" s="169"/>
      <c r="CY55" s="1749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</row>
    <row r="56" spans="1:183" s="5" customFormat="1">
      <c r="A56" s="101">
        <v>48</v>
      </c>
      <c r="B56" s="81" t="s">
        <v>202</v>
      </c>
      <c r="C56" s="81">
        <f>'[2]ALL-Reformatted'!AC53+241</f>
        <v>6263</v>
      </c>
      <c r="D56" s="81">
        <f>'[3]All-Reformatted'!AC53</f>
        <v>5936</v>
      </c>
      <c r="E56" s="81">
        <f t="shared" si="79"/>
        <v>1306</v>
      </c>
      <c r="F56" s="81">
        <f>'[4]MS5627_CTE -Reformatted'!AC54</f>
        <v>2130.5</v>
      </c>
      <c r="G56" s="81">
        <f t="shared" si="80"/>
        <v>128</v>
      </c>
      <c r="H56" s="81">
        <f>'[5]Rollup_Level1 Formatted 2'!Y53</f>
        <v>159</v>
      </c>
      <c r="I56" s="81">
        <f t="shared" si="81"/>
        <v>64</v>
      </c>
      <c r="J56" s="81">
        <f>'[5]Rollup_Level2 Formatted 2'!AB53</f>
        <v>570</v>
      </c>
      <c r="K56" s="81">
        <f t="shared" si="82"/>
        <v>314</v>
      </c>
      <c r="L56" s="81">
        <f>'[5]Rollup_Level3 Formatted 2'!T53</f>
        <v>121</v>
      </c>
      <c r="M56" s="81">
        <f t="shared" si="83"/>
        <v>97</v>
      </c>
      <c r="N56" s="81">
        <f>'[6]Rollup_Level1-REFORMATTED (2)'!P52</f>
        <v>83</v>
      </c>
      <c r="O56" s="81">
        <f t="shared" si="84"/>
        <v>29</v>
      </c>
      <c r="P56" s="81">
        <f>'[6]Rollup_Level2_REFORMATTED (2)'!V52</f>
        <v>132</v>
      </c>
      <c r="Q56" s="81">
        <f t="shared" si="85"/>
        <v>73</v>
      </c>
      <c r="R56" s="81">
        <f>'[6]Rollup_Level3 FORMATTED (2)'!Y52</f>
        <v>374</v>
      </c>
      <c r="S56" s="81">
        <f t="shared" si="86"/>
        <v>262</v>
      </c>
      <c r="T56" s="81">
        <f>[7]Exceeds!AJ53</f>
        <v>36</v>
      </c>
      <c r="U56" s="81">
        <f t="shared" si="87"/>
        <v>49</v>
      </c>
      <c r="V56" s="81">
        <f>'[8]Significantly Exceeds'!V53</f>
        <v>130</v>
      </c>
      <c r="W56" s="81">
        <f t="shared" si="88"/>
        <v>228</v>
      </c>
      <c r="X56" s="81">
        <f>'[9]Roll up'!J53</f>
        <v>22</v>
      </c>
      <c r="Y56" s="81">
        <f t="shared" si="89"/>
        <v>33</v>
      </c>
      <c r="Z56" s="81">
        <f>[10]BeginSchYr2011_ByExcept!P47</f>
        <v>4</v>
      </c>
      <c r="AA56" s="81">
        <f t="shared" si="90"/>
        <v>6</v>
      </c>
      <c r="AB56" s="129">
        <v>-6.5033900650338927E-3</v>
      </c>
      <c r="AC56" s="81">
        <f t="shared" si="48"/>
        <v>850</v>
      </c>
      <c r="AD56" s="81">
        <f t="shared" si="49"/>
        <v>0</v>
      </c>
      <c r="AE56" s="81">
        <f t="shared" si="50"/>
        <v>51</v>
      </c>
      <c r="AF56" s="81">
        <f t="shared" si="51"/>
        <v>0</v>
      </c>
      <c r="AG56" s="81">
        <f t="shared" si="91"/>
        <v>1206</v>
      </c>
      <c r="AH56" s="81">
        <f>'[11]Rollup_PS-8th'!R52</f>
        <v>76</v>
      </c>
      <c r="AI56" s="13">
        <f t="shared" si="92"/>
        <v>46</v>
      </c>
      <c r="AJ56" s="13">
        <f>'[11]Rollup_9th-12th'!M52</f>
        <v>48</v>
      </c>
      <c r="AK56" s="13">
        <f t="shared" si="93"/>
        <v>14.399999999999999</v>
      </c>
      <c r="AL56" s="13">
        <f>[12]Reformatted!Y53</f>
        <v>48</v>
      </c>
      <c r="AM56" s="13">
        <f t="shared" si="52"/>
        <v>14.399999999999999</v>
      </c>
      <c r="AN56" s="13">
        <f t="shared" si="94"/>
        <v>1237</v>
      </c>
      <c r="AO56" s="65">
        <f t="shared" si="95"/>
        <v>3.2989999999999998E-2</v>
      </c>
      <c r="AP56" s="13">
        <f t="shared" si="96"/>
        <v>207</v>
      </c>
      <c r="AQ56" s="13">
        <f t="shared" si="97"/>
        <v>2921.8</v>
      </c>
      <c r="AR56" s="13">
        <f t="shared" si="98"/>
        <v>9184.7999999999993</v>
      </c>
      <c r="AS56" s="388">
        <f t="shared" si="53"/>
        <v>3855</v>
      </c>
      <c r="AT56" s="388">
        <f t="shared" si="99"/>
        <v>35407404</v>
      </c>
      <c r="AU56" s="388">
        <f>'Table 6 (Local Deduct Calc.)'!J56</f>
        <v>13764167.5</v>
      </c>
      <c r="AV56" s="388">
        <f t="shared" si="54"/>
        <v>13764167.5</v>
      </c>
      <c r="AW56" s="389">
        <f t="shared" si="55"/>
        <v>21643236.5</v>
      </c>
      <c r="AX56" s="390">
        <f t="shared" si="78"/>
        <v>0.61129999999999995</v>
      </c>
      <c r="AY56" s="390">
        <f t="shared" si="56"/>
        <v>0.38869999999999999</v>
      </c>
      <c r="AZ56" s="391">
        <f t="shared" si="100"/>
        <v>2197.6955931662142</v>
      </c>
      <c r="BA56" s="388">
        <f>'Table 7 Local Revenue'!AQ55</f>
        <v>34092702.5</v>
      </c>
      <c r="BB56" s="388">
        <f t="shared" si="57"/>
        <v>20328535</v>
      </c>
      <c r="BC56" s="279">
        <f t="shared" si="58"/>
        <v>0</v>
      </c>
      <c r="BD56" s="14">
        <f t="shared" si="59"/>
        <v>12038517.360000001</v>
      </c>
      <c r="BE56" s="14">
        <f t="shared" si="60"/>
        <v>12038517.360000001</v>
      </c>
      <c r="BF56" s="388">
        <f t="shared" si="61"/>
        <v>8048519.3202710403</v>
      </c>
      <c r="BG56" s="392">
        <f t="shared" si="62"/>
        <v>3989998.039728961</v>
      </c>
      <c r="BH56" s="16">
        <f t="shared" si="63"/>
        <v>0.33139999999999997</v>
      </c>
      <c r="BI56" s="392">
        <f t="shared" si="64"/>
        <v>25633234.539728962</v>
      </c>
      <c r="BJ56" s="14">
        <f t="shared" si="101"/>
        <v>4093</v>
      </c>
      <c r="BK56" s="392">
        <f>'Table 4 Level 3'!M53</f>
        <v>847742</v>
      </c>
      <c r="BL56" s="14">
        <f t="shared" si="102"/>
        <v>135.35717707169087</v>
      </c>
      <c r="BM56" s="392">
        <f t="shared" si="65"/>
        <v>26480976.539728962</v>
      </c>
      <c r="BN56" s="14">
        <f t="shared" si="103"/>
        <v>4228.1616700828617</v>
      </c>
      <c r="BO56" s="518">
        <f>'Table 4 Level 3'!P53</f>
        <v>6298065.5621029409</v>
      </c>
      <c r="BP56" s="519">
        <f t="shared" si="104"/>
        <v>1005.5988443402429</v>
      </c>
      <c r="BQ56" s="392">
        <f t="shared" si="66"/>
        <v>31931300.101831902</v>
      </c>
      <c r="BR56" s="14">
        <f t="shared" si="105"/>
        <v>5098.403337351413</v>
      </c>
      <c r="BS56" s="1594">
        <f>'[13]Table 3 Levels 1&amp;2'!CE56</f>
        <v>-217478.8146816045</v>
      </c>
      <c r="BT56" s="1594">
        <f t="shared" si="67"/>
        <v>-34.724383631104025</v>
      </c>
      <c r="BU56" s="1594">
        <f t="shared" si="68"/>
        <v>195730.93321344405</v>
      </c>
      <c r="BV56" s="1594">
        <f t="shared" si="106"/>
        <v>31.251945267993619</v>
      </c>
      <c r="BW56" s="1600">
        <f t="shared" si="69"/>
        <v>32127031.035045344</v>
      </c>
      <c r="BX56" s="1602">
        <f t="shared" si="107"/>
        <v>5129.6552826194065</v>
      </c>
      <c r="BY56" s="16">
        <f t="shared" si="70"/>
        <v>0.55458637313622894</v>
      </c>
      <c r="BZ56" s="393">
        <f t="shared" si="71"/>
        <v>53</v>
      </c>
      <c r="CA56" s="14">
        <f t="shared" si="72"/>
        <v>25802684.859999999</v>
      </c>
      <c r="CB56" s="14">
        <f t="shared" si="108"/>
        <v>4119.8599999999997</v>
      </c>
      <c r="CC56" s="393">
        <f t="shared" si="73"/>
        <v>17</v>
      </c>
      <c r="CD56" s="16">
        <f t="shared" si="74"/>
        <v>0.44541362686377117</v>
      </c>
      <c r="CE56" s="393">
        <f t="shared" si="75"/>
        <v>57929715.89504534</v>
      </c>
      <c r="CF56" s="394">
        <f t="shared" si="109"/>
        <v>9249.5155508614625</v>
      </c>
      <c r="CG56" s="393">
        <f t="shared" si="76"/>
        <v>15</v>
      </c>
      <c r="CH56" s="1340">
        <v>31981966.149530765</v>
      </c>
      <c r="CI56" s="279">
        <f t="shared" si="77"/>
        <v>145064.88551457971</v>
      </c>
      <c r="CJ56" s="1747"/>
      <c r="CK56" s="350"/>
      <c r="CL56" s="350"/>
      <c r="CM56" s="350"/>
      <c r="CN56" s="350"/>
      <c r="CO56" s="350"/>
      <c r="CP56" s="350"/>
      <c r="CQ56" s="350"/>
      <c r="CR56" s="350"/>
      <c r="CS56" s="350"/>
      <c r="CT56" s="169"/>
      <c r="CU56" s="169"/>
      <c r="CV56" s="1749"/>
      <c r="CW56" s="169"/>
      <c r="CX56" s="169"/>
      <c r="CY56" s="1749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</row>
    <row r="57" spans="1:183" s="5" customFormat="1">
      <c r="A57" s="101">
        <v>49</v>
      </c>
      <c r="B57" s="81" t="s">
        <v>142</v>
      </c>
      <c r="C57" s="81">
        <f>'[2]ALL-Reformatted'!AC54</f>
        <v>14571</v>
      </c>
      <c r="D57" s="81">
        <f>'[3]All-Reformatted'!AC54</f>
        <v>11636</v>
      </c>
      <c r="E57" s="81">
        <f t="shared" si="79"/>
        <v>2560</v>
      </c>
      <c r="F57" s="81">
        <f>'[4]MS5627_CTE -Reformatted'!AC55</f>
        <v>4680</v>
      </c>
      <c r="G57" s="81">
        <f t="shared" si="80"/>
        <v>281</v>
      </c>
      <c r="H57" s="81">
        <f>'[5]Rollup_Level1 Formatted 2'!Y54</f>
        <v>125</v>
      </c>
      <c r="I57" s="81">
        <f t="shared" si="81"/>
        <v>50</v>
      </c>
      <c r="J57" s="81">
        <f>'[5]Rollup_Level2 Formatted 2'!AB54</f>
        <v>1476</v>
      </c>
      <c r="K57" s="81">
        <f t="shared" si="82"/>
        <v>812</v>
      </c>
      <c r="L57" s="81">
        <f>'[5]Rollup_Level3 Formatted 2'!T54</f>
        <v>204</v>
      </c>
      <c r="M57" s="81">
        <f t="shared" si="83"/>
        <v>163</v>
      </c>
      <c r="N57" s="81">
        <f>'[6]Rollup_Level1-REFORMATTED (2)'!P53</f>
        <v>149</v>
      </c>
      <c r="O57" s="81">
        <f t="shared" si="84"/>
        <v>52</v>
      </c>
      <c r="P57" s="81">
        <f>'[6]Rollup_Level2_REFORMATTED (2)'!V53</f>
        <v>500</v>
      </c>
      <c r="Q57" s="81">
        <f t="shared" si="85"/>
        <v>275</v>
      </c>
      <c r="R57" s="81">
        <f>'[6]Rollup_Level3 FORMATTED (2)'!Y53</f>
        <v>880</v>
      </c>
      <c r="S57" s="81">
        <f t="shared" si="86"/>
        <v>616</v>
      </c>
      <c r="T57" s="81">
        <f>[7]Exceeds!AJ54</f>
        <v>109</v>
      </c>
      <c r="U57" s="81">
        <f t="shared" si="87"/>
        <v>147</v>
      </c>
      <c r="V57" s="81">
        <f>'[8]Significantly Exceeds'!V54</f>
        <v>275</v>
      </c>
      <c r="W57" s="81">
        <f t="shared" si="88"/>
        <v>481</v>
      </c>
      <c r="X57" s="81">
        <f>'[9]Roll up'!J54</f>
        <v>52</v>
      </c>
      <c r="Y57" s="81">
        <f t="shared" si="89"/>
        <v>78</v>
      </c>
      <c r="Z57" s="81">
        <f>[10]BeginSchYr2011_ByExcept!P48</f>
        <v>13</v>
      </c>
      <c r="AA57" s="81">
        <f t="shared" si="90"/>
        <v>20</v>
      </c>
      <c r="AB57" s="129">
        <v>2.0715017223722071E-3</v>
      </c>
      <c r="AC57" s="81">
        <f t="shared" si="48"/>
        <v>1805</v>
      </c>
      <c r="AD57" s="81">
        <f t="shared" si="49"/>
        <v>0</v>
      </c>
      <c r="AE57" s="81">
        <f t="shared" si="50"/>
        <v>0</v>
      </c>
      <c r="AF57" s="81">
        <f t="shared" si="51"/>
        <v>54</v>
      </c>
      <c r="AG57" s="81">
        <f t="shared" si="91"/>
        <v>2748</v>
      </c>
      <c r="AH57" s="81">
        <f>'[11]Rollup_PS-8th'!R53</f>
        <v>208</v>
      </c>
      <c r="AI57" s="13">
        <f t="shared" si="92"/>
        <v>125</v>
      </c>
      <c r="AJ57" s="13">
        <f>'[11]Rollup_9th-12th'!M53</f>
        <v>126</v>
      </c>
      <c r="AK57" s="13">
        <f t="shared" si="93"/>
        <v>37.799999999999997</v>
      </c>
      <c r="AL57" s="13">
        <f>[12]Reformatted!Y54</f>
        <v>7</v>
      </c>
      <c r="AM57" s="13">
        <f t="shared" si="52"/>
        <v>2.1</v>
      </c>
      <c r="AN57" s="13">
        <f t="shared" si="94"/>
        <v>0</v>
      </c>
      <c r="AO57" s="65">
        <f t="shared" si="95"/>
        <v>0</v>
      </c>
      <c r="AP57" s="13">
        <f t="shared" si="96"/>
        <v>0</v>
      </c>
      <c r="AQ57" s="13">
        <f t="shared" si="97"/>
        <v>5753.9000000000005</v>
      </c>
      <c r="AR57" s="13">
        <f t="shared" si="98"/>
        <v>20324.900000000001</v>
      </c>
      <c r="AS57" s="388">
        <f t="shared" si="53"/>
        <v>3855</v>
      </c>
      <c r="AT57" s="388">
        <f t="shared" si="99"/>
        <v>78352490</v>
      </c>
      <c r="AU57" s="388">
        <f>'Table 6 (Local Deduct Calc.)'!J57</f>
        <v>19390124</v>
      </c>
      <c r="AV57" s="388">
        <f t="shared" si="54"/>
        <v>19390124</v>
      </c>
      <c r="AW57" s="389">
        <f t="shared" si="55"/>
        <v>58962366</v>
      </c>
      <c r="AX57" s="390">
        <f t="shared" si="78"/>
        <v>0.75249999999999995</v>
      </c>
      <c r="AY57" s="390">
        <f t="shared" si="56"/>
        <v>0.2475</v>
      </c>
      <c r="AZ57" s="391">
        <f t="shared" si="100"/>
        <v>1330.7339235467709</v>
      </c>
      <c r="BA57" s="388">
        <f>'Table 7 Local Revenue'!AQ56</f>
        <v>34750059</v>
      </c>
      <c r="BB57" s="388">
        <f t="shared" si="57"/>
        <v>15359935</v>
      </c>
      <c r="BC57" s="279">
        <f t="shared" si="58"/>
        <v>0</v>
      </c>
      <c r="BD57" s="14">
        <f t="shared" si="59"/>
        <v>26639846.600000001</v>
      </c>
      <c r="BE57" s="14">
        <f t="shared" si="60"/>
        <v>15359935</v>
      </c>
      <c r="BF57" s="388">
        <f t="shared" si="61"/>
        <v>6538724.3294999991</v>
      </c>
      <c r="BG57" s="392">
        <f t="shared" si="62"/>
        <v>8821210.6705000009</v>
      </c>
      <c r="BH57" s="16">
        <f t="shared" si="63"/>
        <v>0.57430000000000003</v>
      </c>
      <c r="BI57" s="392">
        <f t="shared" si="64"/>
        <v>67783576.670499995</v>
      </c>
      <c r="BJ57" s="14">
        <f t="shared" si="101"/>
        <v>4652</v>
      </c>
      <c r="BK57" s="392">
        <f>'Table 4 Level 3'!M54</f>
        <v>1972290</v>
      </c>
      <c r="BL57" s="14">
        <f t="shared" si="102"/>
        <v>135.35721638871732</v>
      </c>
      <c r="BM57" s="392">
        <f t="shared" si="65"/>
        <v>69755866.670499995</v>
      </c>
      <c r="BN57" s="14">
        <f t="shared" si="103"/>
        <v>4787.3081237046181</v>
      </c>
      <c r="BO57" s="518">
        <f>'Table 4 Level 3'!P54</f>
        <v>10337840.532270886</v>
      </c>
      <c r="BP57" s="519">
        <f t="shared" si="104"/>
        <v>709.48051144539738</v>
      </c>
      <c r="BQ57" s="392">
        <f t="shared" si="66"/>
        <v>78121417.202770889</v>
      </c>
      <c r="BR57" s="14">
        <f t="shared" si="105"/>
        <v>5361.431418761299</v>
      </c>
      <c r="BS57" s="1594">
        <f>'[13]Table 3 Levels 1&amp;2'!CE57</f>
        <v>-44413.558028012514</v>
      </c>
      <c r="BT57" s="1594">
        <f t="shared" si="67"/>
        <v>-3.0480789258124021</v>
      </c>
      <c r="BU57" s="1594">
        <f t="shared" si="68"/>
        <v>39972.202225211266</v>
      </c>
      <c r="BV57" s="1594">
        <f t="shared" si="106"/>
        <v>2.7432710332311623</v>
      </c>
      <c r="BW57" s="1600">
        <f t="shared" si="69"/>
        <v>78161389.404996097</v>
      </c>
      <c r="BX57" s="1602">
        <f t="shared" si="107"/>
        <v>5364.1746897945304</v>
      </c>
      <c r="BY57" s="16">
        <f t="shared" si="70"/>
        <v>0.69223617719120156</v>
      </c>
      <c r="BZ57" s="393">
        <f t="shared" si="71"/>
        <v>19</v>
      </c>
      <c r="CA57" s="14">
        <f t="shared" si="72"/>
        <v>34750059</v>
      </c>
      <c r="CB57" s="14">
        <f t="shared" si="108"/>
        <v>2384.88</v>
      </c>
      <c r="CC57" s="393">
        <f t="shared" si="73"/>
        <v>58</v>
      </c>
      <c r="CD57" s="16">
        <f t="shared" si="74"/>
        <v>0.30776382280879838</v>
      </c>
      <c r="CE57" s="393">
        <f t="shared" si="75"/>
        <v>112911448.4049961</v>
      </c>
      <c r="CF57" s="394">
        <f t="shared" si="109"/>
        <v>7749.0528038567081</v>
      </c>
      <c r="CG57" s="393">
        <f t="shared" si="76"/>
        <v>66</v>
      </c>
      <c r="CH57" s="1340">
        <v>77719318.075537771</v>
      </c>
      <c r="CI57" s="279">
        <f t="shared" si="77"/>
        <v>442071.3294583261</v>
      </c>
      <c r="CJ57" s="1747"/>
      <c r="CK57" s="350"/>
      <c r="CL57" s="350"/>
      <c r="CM57" s="350"/>
      <c r="CN57" s="350"/>
      <c r="CO57" s="350"/>
      <c r="CP57" s="350"/>
      <c r="CQ57" s="350"/>
      <c r="CR57" s="350"/>
      <c r="CS57" s="350"/>
      <c r="CT57" s="169"/>
      <c r="CU57" s="169"/>
      <c r="CV57" s="1749"/>
      <c r="CW57" s="169"/>
      <c r="CX57" s="169"/>
      <c r="CY57" s="1749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</row>
    <row r="58" spans="1:183" s="21" customFormat="1">
      <c r="A58" s="102">
        <v>50</v>
      </c>
      <c r="B58" s="82" t="s">
        <v>143</v>
      </c>
      <c r="C58" s="82">
        <f>'[2]ALL-Reformatted'!AC55</f>
        <v>7919</v>
      </c>
      <c r="D58" s="82">
        <f>'[3]All-Reformatted'!AC55</f>
        <v>6011</v>
      </c>
      <c r="E58" s="82">
        <f t="shared" si="79"/>
        <v>1322</v>
      </c>
      <c r="F58" s="82">
        <f>'[4]MS5627_CTE -Reformatted'!AC56</f>
        <v>3473.5</v>
      </c>
      <c r="G58" s="82">
        <f t="shared" si="80"/>
        <v>208</v>
      </c>
      <c r="H58" s="82">
        <f>'[5]Rollup_Level1 Formatted 2'!Y55</f>
        <v>237</v>
      </c>
      <c r="I58" s="82">
        <f t="shared" si="81"/>
        <v>95</v>
      </c>
      <c r="J58" s="82">
        <f>'[5]Rollup_Level2 Formatted 2'!AB55</f>
        <v>539</v>
      </c>
      <c r="K58" s="82">
        <f t="shared" si="82"/>
        <v>296</v>
      </c>
      <c r="L58" s="82">
        <f>'[5]Rollup_Level3 Formatted 2'!T55</f>
        <v>90</v>
      </c>
      <c r="M58" s="82">
        <f t="shared" si="83"/>
        <v>72</v>
      </c>
      <c r="N58" s="82">
        <f>'[6]Rollup_Level1-REFORMATTED (2)'!P54</f>
        <v>102</v>
      </c>
      <c r="O58" s="82">
        <f t="shared" si="84"/>
        <v>36</v>
      </c>
      <c r="P58" s="82">
        <f>'[6]Rollup_Level2_REFORMATTED (2)'!V54</f>
        <v>162</v>
      </c>
      <c r="Q58" s="82">
        <f t="shared" si="85"/>
        <v>89</v>
      </c>
      <c r="R58" s="82">
        <f>'[6]Rollup_Level3 FORMATTED (2)'!Y54</f>
        <v>287</v>
      </c>
      <c r="S58" s="82">
        <f t="shared" si="86"/>
        <v>201</v>
      </c>
      <c r="T58" s="82">
        <f>[7]Exceeds!AJ55</f>
        <v>43</v>
      </c>
      <c r="U58" s="82">
        <f t="shared" si="87"/>
        <v>58</v>
      </c>
      <c r="V58" s="82">
        <f>'[8]Significantly Exceeds'!V55</f>
        <v>124</v>
      </c>
      <c r="W58" s="82">
        <f t="shared" si="88"/>
        <v>217</v>
      </c>
      <c r="X58" s="82">
        <f>'[9]Roll up'!J55</f>
        <v>23</v>
      </c>
      <c r="Y58" s="82">
        <f t="shared" si="89"/>
        <v>35</v>
      </c>
      <c r="Z58" s="82">
        <f>[10]BeginSchYr2011_ByExcept!P49</f>
        <v>7</v>
      </c>
      <c r="AA58" s="82">
        <f t="shared" si="90"/>
        <v>11</v>
      </c>
      <c r="AB58" s="1366">
        <v>9.9387658973150994E-3</v>
      </c>
      <c r="AC58" s="82">
        <f t="shared" si="48"/>
        <v>866</v>
      </c>
      <c r="AD58" s="82">
        <f t="shared" si="49"/>
        <v>0</v>
      </c>
      <c r="AE58" s="82">
        <f t="shared" si="50"/>
        <v>0</v>
      </c>
      <c r="AF58" s="82">
        <f t="shared" si="51"/>
        <v>26</v>
      </c>
      <c r="AG58" s="82">
        <f t="shared" si="91"/>
        <v>1136</v>
      </c>
      <c r="AH58" s="82">
        <f>'[11]Rollup_PS-8th'!R54</f>
        <v>92</v>
      </c>
      <c r="AI58" s="19">
        <f t="shared" si="92"/>
        <v>55</v>
      </c>
      <c r="AJ58" s="19">
        <f>'[11]Rollup_9th-12th'!M54</f>
        <v>65</v>
      </c>
      <c r="AK58" s="19">
        <f t="shared" si="93"/>
        <v>19.5</v>
      </c>
      <c r="AL58" s="19">
        <f>[12]Reformatted!Y55</f>
        <v>18</v>
      </c>
      <c r="AM58" s="19">
        <f t="shared" si="52"/>
        <v>5.3999999999999995</v>
      </c>
      <c r="AN58" s="19">
        <f t="shared" si="94"/>
        <v>0</v>
      </c>
      <c r="AO58" s="66">
        <f t="shared" si="95"/>
        <v>0</v>
      </c>
      <c r="AP58" s="19">
        <f t="shared" si="96"/>
        <v>0</v>
      </c>
      <c r="AQ58" s="19">
        <f t="shared" si="97"/>
        <v>2745.9</v>
      </c>
      <c r="AR58" s="13">
        <f t="shared" si="98"/>
        <v>10664.9</v>
      </c>
      <c r="AS58" s="395">
        <f t="shared" si="53"/>
        <v>3855</v>
      </c>
      <c r="AT58" s="395">
        <f t="shared" si="99"/>
        <v>41113190</v>
      </c>
      <c r="AU58" s="395">
        <f>'Table 6 (Local Deduct Calc.)'!J58</f>
        <v>10521789.5</v>
      </c>
      <c r="AV58" s="395">
        <f t="shared" si="54"/>
        <v>10521789.5</v>
      </c>
      <c r="AW58" s="396">
        <f t="shared" si="55"/>
        <v>30591400.5</v>
      </c>
      <c r="AX58" s="397">
        <f t="shared" si="78"/>
        <v>0.74409999999999998</v>
      </c>
      <c r="AY58" s="398">
        <f t="shared" si="56"/>
        <v>0.25590000000000002</v>
      </c>
      <c r="AZ58" s="399">
        <f t="shared" si="100"/>
        <v>1328.6765374415961</v>
      </c>
      <c r="BA58" s="395">
        <f>'Table 7 Local Revenue'!AQ57</f>
        <v>22744499.5</v>
      </c>
      <c r="BB58" s="395">
        <f t="shared" si="57"/>
        <v>12222710</v>
      </c>
      <c r="BC58" s="280">
        <f t="shared" si="58"/>
        <v>0</v>
      </c>
      <c r="BD58" s="20">
        <f t="shared" si="59"/>
        <v>13978484.600000001</v>
      </c>
      <c r="BE58" s="20">
        <f t="shared" si="60"/>
        <v>12222710</v>
      </c>
      <c r="BF58" s="395">
        <f t="shared" si="61"/>
        <v>5379801.3610800002</v>
      </c>
      <c r="BG58" s="400">
        <f t="shared" si="62"/>
        <v>6842908.6389199998</v>
      </c>
      <c r="BH58" s="273">
        <f t="shared" si="63"/>
        <v>0.55989999999999995</v>
      </c>
      <c r="BI58" s="400">
        <f t="shared" si="64"/>
        <v>37434309.138920002</v>
      </c>
      <c r="BJ58" s="20">
        <f t="shared" si="101"/>
        <v>4727</v>
      </c>
      <c r="BK58" s="400">
        <f>'Table 4 Level 3'!M55</f>
        <v>1071894</v>
      </c>
      <c r="BL58" s="20">
        <f t="shared" si="102"/>
        <v>135.3572420760197</v>
      </c>
      <c r="BM58" s="400">
        <f t="shared" si="65"/>
        <v>38506203.138920002</v>
      </c>
      <c r="BN58" s="20">
        <f t="shared" si="103"/>
        <v>4862.5082887889885</v>
      </c>
      <c r="BO58" s="520">
        <f>'Table 4 Level 3'!P55</f>
        <v>6094850.3739999998</v>
      </c>
      <c r="BP58" s="521">
        <f t="shared" si="104"/>
        <v>769.64899280212148</v>
      </c>
      <c r="BQ58" s="400">
        <f t="shared" si="66"/>
        <v>43529159.51292</v>
      </c>
      <c r="BR58" s="20">
        <f t="shared" si="105"/>
        <v>5496.8000395150902</v>
      </c>
      <c r="BS58" s="20">
        <f>'[13]Table 3 Levels 1&amp;2'!CE58</f>
        <v>-807995.06659200042</v>
      </c>
      <c r="BT58" s="20">
        <f t="shared" si="67"/>
        <v>-102.03246200176795</v>
      </c>
      <c r="BU58" s="20">
        <f t="shared" si="68"/>
        <v>727195.55993280036</v>
      </c>
      <c r="BV58" s="20">
        <f t="shared" si="106"/>
        <v>91.829215801591161</v>
      </c>
      <c r="BW58" s="760">
        <f t="shared" si="69"/>
        <v>44256355.072852798</v>
      </c>
      <c r="BX58" s="78">
        <f t="shared" si="107"/>
        <v>5588.6292553166813</v>
      </c>
      <c r="BY58" s="273">
        <f t="shared" si="70"/>
        <v>0.66053418803384123</v>
      </c>
      <c r="BZ58" s="401">
        <f t="shared" si="71"/>
        <v>31</v>
      </c>
      <c r="CA58" s="20">
        <f t="shared" si="72"/>
        <v>22744499.5</v>
      </c>
      <c r="CB58" s="20">
        <f t="shared" si="108"/>
        <v>2872.14</v>
      </c>
      <c r="CC58" s="401">
        <f t="shared" si="73"/>
        <v>44</v>
      </c>
      <c r="CD58" s="273">
        <f t="shared" si="74"/>
        <v>0.33946581196615883</v>
      </c>
      <c r="CE58" s="401">
        <f t="shared" si="75"/>
        <v>67000854.572852798</v>
      </c>
      <c r="CF58" s="402">
        <f t="shared" si="109"/>
        <v>8460.7721395192311</v>
      </c>
      <c r="CG58" s="401">
        <f t="shared" si="76"/>
        <v>48</v>
      </c>
      <c r="CH58" s="1341">
        <v>45465064.467040002</v>
      </c>
      <c r="CI58" s="280">
        <f t="shared" si="77"/>
        <v>-1208709.3941872045</v>
      </c>
      <c r="CJ58" s="1747"/>
      <c r="CK58" s="350"/>
      <c r="CL58" s="350"/>
      <c r="CM58" s="350"/>
      <c r="CN58" s="350"/>
      <c r="CO58" s="350"/>
      <c r="CP58" s="350"/>
      <c r="CQ58" s="350"/>
      <c r="CR58" s="350"/>
      <c r="CS58" s="350"/>
      <c r="CT58" s="169"/>
      <c r="CU58" s="169"/>
      <c r="CV58" s="1749"/>
      <c r="CW58" s="169"/>
      <c r="CX58" s="169"/>
      <c r="CY58" s="1749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</row>
    <row r="59" spans="1:183" s="5" customFormat="1">
      <c r="A59" s="101">
        <v>51</v>
      </c>
      <c r="B59" s="81" t="s">
        <v>144</v>
      </c>
      <c r="C59" s="81">
        <f>'[2]ALL-Reformatted'!AC56</f>
        <v>9298</v>
      </c>
      <c r="D59" s="81">
        <f>'[3]All-Reformatted'!AC56</f>
        <v>6783</v>
      </c>
      <c r="E59" s="81">
        <f t="shared" si="79"/>
        <v>1492</v>
      </c>
      <c r="F59" s="81">
        <f>'[4]MS5627_CTE -Reformatted'!AC57</f>
        <v>3065</v>
      </c>
      <c r="G59" s="81">
        <f t="shared" si="80"/>
        <v>184</v>
      </c>
      <c r="H59" s="81">
        <f>'[5]Rollup_Level1 Formatted 2'!Y56</f>
        <v>205</v>
      </c>
      <c r="I59" s="81">
        <f t="shared" si="81"/>
        <v>82</v>
      </c>
      <c r="J59" s="81">
        <f>'[5]Rollup_Level2 Formatted 2'!AB56</f>
        <v>974</v>
      </c>
      <c r="K59" s="81">
        <f t="shared" si="82"/>
        <v>536</v>
      </c>
      <c r="L59" s="81">
        <f>'[5]Rollup_Level3 Formatted 2'!T56</f>
        <v>153</v>
      </c>
      <c r="M59" s="81">
        <f t="shared" si="83"/>
        <v>122</v>
      </c>
      <c r="N59" s="81">
        <f>'[6]Rollup_Level1-REFORMATTED (2)'!P55</f>
        <v>147</v>
      </c>
      <c r="O59" s="81">
        <f t="shared" si="84"/>
        <v>51</v>
      </c>
      <c r="P59" s="81">
        <f>'[6]Rollup_Level2_REFORMATTED (2)'!V55</f>
        <v>405</v>
      </c>
      <c r="Q59" s="81">
        <f t="shared" si="85"/>
        <v>223</v>
      </c>
      <c r="R59" s="81">
        <f>'[6]Rollup_Level3 FORMATTED (2)'!Y55</f>
        <v>441</v>
      </c>
      <c r="S59" s="81">
        <f t="shared" si="86"/>
        <v>309</v>
      </c>
      <c r="T59" s="81">
        <f>[7]Exceeds!AJ56</f>
        <v>99</v>
      </c>
      <c r="U59" s="81">
        <f t="shared" si="87"/>
        <v>134</v>
      </c>
      <c r="V59" s="81">
        <f>'[8]Significantly Exceeds'!V56</f>
        <v>315</v>
      </c>
      <c r="W59" s="81">
        <f t="shared" si="88"/>
        <v>551</v>
      </c>
      <c r="X59" s="81">
        <f>'[9]Roll up'!J56</f>
        <v>22</v>
      </c>
      <c r="Y59" s="81">
        <f t="shared" si="89"/>
        <v>33</v>
      </c>
      <c r="Z59" s="81">
        <f>[10]BeginSchYr2011_ByExcept!P50</f>
        <v>19</v>
      </c>
      <c r="AA59" s="81">
        <f t="shared" si="90"/>
        <v>29</v>
      </c>
      <c r="AB59" s="1363">
        <v>1.6923864756011125E-2</v>
      </c>
      <c r="AC59" s="81">
        <f t="shared" si="48"/>
        <v>1332</v>
      </c>
      <c r="AD59" s="81">
        <f t="shared" si="49"/>
        <v>0</v>
      </c>
      <c r="AE59" s="81">
        <f t="shared" si="50"/>
        <v>0</v>
      </c>
      <c r="AF59" s="81">
        <f t="shared" si="51"/>
        <v>0</v>
      </c>
      <c r="AG59" s="81">
        <f t="shared" si="91"/>
        <v>2070</v>
      </c>
      <c r="AH59" s="81">
        <f>'[11]Rollup_PS-8th'!R55</f>
        <v>332</v>
      </c>
      <c r="AI59" s="13">
        <f t="shared" si="92"/>
        <v>199</v>
      </c>
      <c r="AJ59" s="13">
        <f>'[11]Rollup_9th-12th'!M55</f>
        <v>247</v>
      </c>
      <c r="AK59" s="13">
        <f t="shared" si="93"/>
        <v>74.099999999999994</v>
      </c>
      <c r="AL59" s="13">
        <f>[12]Reformatted!Y56</f>
        <v>109</v>
      </c>
      <c r="AM59" s="13">
        <f t="shared" si="52"/>
        <v>32.699999999999996</v>
      </c>
      <c r="AN59" s="13">
        <f t="shared" si="94"/>
        <v>0</v>
      </c>
      <c r="AO59" s="65">
        <f t="shared" si="95"/>
        <v>0</v>
      </c>
      <c r="AP59" s="13">
        <f t="shared" si="96"/>
        <v>0</v>
      </c>
      <c r="AQ59" s="13">
        <f t="shared" si="97"/>
        <v>4051.7999999999997</v>
      </c>
      <c r="AR59" s="36">
        <f t="shared" si="98"/>
        <v>13349.8</v>
      </c>
      <c r="AS59" s="388">
        <f t="shared" si="53"/>
        <v>3855</v>
      </c>
      <c r="AT59" s="388">
        <f t="shared" si="99"/>
        <v>51463479</v>
      </c>
      <c r="AU59" s="388">
        <f>'Table 6 (Local Deduct Calc.)'!J59</f>
        <v>19119195.5</v>
      </c>
      <c r="AV59" s="388">
        <f t="shared" si="54"/>
        <v>19119195.5</v>
      </c>
      <c r="AW59" s="389">
        <f t="shared" si="55"/>
        <v>32344283.5</v>
      </c>
      <c r="AX59" s="390">
        <f t="shared" si="78"/>
        <v>0.62849999999999995</v>
      </c>
      <c r="AY59" s="390">
        <f t="shared" si="56"/>
        <v>0.3715</v>
      </c>
      <c r="AZ59" s="391">
        <f t="shared" si="100"/>
        <v>2056.2696816519683</v>
      </c>
      <c r="BA59" s="388">
        <f>'Table 7 Local Revenue'!AQ58</f>
        <v>38539049.5</v>
      </c>
      <c r="BB59" s="388">
        <f t="shared" si="57"/>
        <v>19419854</v>
      </c>
      <c r="BC59" s="279">
        <f t="shared" si="58"/>
        <v>0</v>
      </c>
      <c r="BD59" s="14">
        <f t="shared" si="59"/>
        <v>17497582.859999999</v>
      </c>
      <c r="BE59" s="14">
        <f t="shared" si="60"/>
        <v>17497582.859999999</v>
      </c>
      <c r="BF59" s="388">
        <f t="shared" si="61"/>
        <v>11180605.4958828</v>
      </c>
      <c r="BG59" s="392">
        <f t="shared" si="62"/>
        <v>6316977.3641171996</v>
      </c>
      <c r="BH59" s="16">
        <f t="shared" si="63"/>
        <v>0.36099999999999999</v>
      </c>
      <c r="BI59" s="392">
        <f t="shared" si="64"/>
        <v>38661260.864117198</v>
      </c>
      <c r="BJ59" s="14">
        <f t="shared" si="101"/>
        <v>4158</v>
      </c>
      <c r="BK59" s="392">
        <f>'Table 4 Level 3'!M56</f>
        <v>1258552</v>
      </c>
      <c r="BL59" s="14">
        <f t="shared" si="102"/>
        <v>135.3572811357281</v>
      </c>
      <c r="BM59" s="392">
        <f t="shared" si="65"/>
        <v>39919812.864117198</v>
      </c>
      <c r="BN59" s="14">
        <f t="shared" si="103"/>
        <v>4293.3763028734347</v>
      </c>
      <c r="BO59" s="518">
        <f>'Table 4 Level 3'!P56</f>
        <v>7797770.8746943818</v>
      </c>
      <c r="BP59" s="519">
        <f t="shared" si="104"/>
        <v>838.6503414384149</v>
      </c>
      <c r="BQ59" s="392">
        <f t="shared" si="66"/>
        <v>46459031.738811582</v>
      </c>
      <c r="BR59" s="14">
        <f t="shared" si="105"/>
        <v>4996.6693631761218</v>
      </c>
      <c r="BS59" s="1594">
        <f>'[13]Table 3 Levels 1&amp;2'!CE59</f>
        <v>31304.611347436905</v>
      </c>
      <c r="BT59" s="1594">
        <f t="shared" si="67"/>
        <v>3.3668112870979678</v>
      </c>
      <c r="BU59" s="1594">
        <f t="shared" si="68"/>
        <v>-28174.150212693214</v>
      </c>
      <c r="BV59" s="1594">
        <f t="shared" si="106"/>
        <v>-3.0301301583881708</v>
      </c>
      <c r="BW59" s="1600">
        <f t="shared" si="69"/>
        <v>46430857.588598892</v>
      </c>
      <c r="BX59" s="1602">
        <f t="shared" si="107"/>
        <v>4993.6392330177341</v>
      </c>
      <c r="BY59" s="16">
        <f t="shared" si="70"/>
        <v>0.55908704755107763</v>
      </c>
      <c r="BZ59" s="393">
        <f t="shared" si="71"/>
        <v>51</v>
      </c>
      <c r="CA59" s="14">
        <f t="shared" si="72"/>
        <v>36616778.359999999</v>
      </c>
      <c r="CB59" s="14">
        <f t="shared" si="108"/>
        <v>3938.13</v>
      </c>
      <c r="CC59" s="393">
        <f t="shared" si="73"/>
        <v>19</v>
      </c>
      <c r="CD59" s="16">
        <f t="shared" si="74"/>
        <v>0.44091295244892237</v>
      </c>
      <c r="CE59" s="393">
        <f t="shared" si="75"/>
        <v>83047635.948598891</v>
      </c>
      <c r="CF59" s="394">
        <f t="shared" si="109"/>
        <v>8931.7741394492241</v>
      </c>
      <c r="CG59" s="393">
        <f t="shared" si="76"/>
        <v>27</v>
      </c>
      <c r="CH59" s="1340">
        <v>47545741.807326384</v>
      </c>
      <c r="CI59" s="279">
        <f t="shared" si="77"/>
        <v>-1114884.2187274918</v>
      </c>
      <c r="CJ59" s="1750"/>
      <c r="CK59" s="350"/>
      <c r="CL59" s="350"/>
      <c r="CM59" s="350"/>
      <c r="CN59" s="350"/>
      <c r="CO59" s="350"/>
      <c r="CP59" s="350"/>
      <c r="CQ59" s="350"/>
      <c r="CR59" s="350"/>
      <c r="CS59" s="350"/>
      <c r="CT59" s="169"/>
      <c r="CU59" s="169"/>
      <c r="CV59" s="1749"/>
      <c r="CW59" s="169"/>
      <c r="CX59" s="169"/>
      <c r="CY59" s="174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</row>
    <row r="60" spans="1:183" s="5" customFormat="1">
      <c r="A60" s="101">
        <v>52</v>
      </c>
      <c r="B60" s="81" t="s">
        <v>145</v>
      </c>
      <c r="C60" s="81">
        <f>'[2]ALL-Reformatted'!AC57</f>
        <v>37183</v>
      </c>
      <c r="D60" s="81">
        <f>'[3]All-Reformatted'!AC57</f>
        <v>17449</v>
      </c>
      <c r="E60" s="81">
        <f t="shared" si="79"/>
        <v>3839</v>
      </c>
      <c r="F60" s="81">
        <f>'[4]MS5627_CTE -Reformatted'!AC58</f>
        <v>18246</v>
      </c>
      <c r="G60" s="81">
        <f t="shared" si="80"/>
        <v>1095</v>
      </c>
      <c r="H60" s="81">
        <f>'[5]Rollup_Level1 Formatted 2'!Y57</f>
        <v>1238</v>
      </c>
      <c r="I60" s="81">
        <f t="shared" si="81"/>
        <v>495</v>
      </c>
      <c r="J60" s="81">
        <f>'[5]Rollup_Level2 Formatted 2'!AB57</f>
        <v>4288</v>
      </c>
      <c r="K60" s="81">
        <f t="shared" si="82"/>
        <v>2358</v>
      </c>
      <c r="L60" s="81">
        <f>'[5]Rollup_Level3 Formatted 2'!T57</f>
        <v>684</v>
      </c>
      <c r="M60" s="81">
        <f t="shared" si="83"/>
        <v>547</v>
      </c>
      <c r="N60" s="81">
        <f>'[6]Rollup_Level1-REFORMATTED (2)'!P56</f>
        <v>1058</v>
      </c>
      <c r="O60" s="81">
        <f t="shared" si="84"/>
        <v>370</v>
      </c>
      <c r="P60" s="81">
        <f>'[6]Rollup_Level2_REFORMATTED (2)'!V56</f>
        <v>1466</v>
      </c>
      <c r="Q60" s="81">
        <f t="shared" si="85"/>
        <v>806</v>
      </c>
      <c r="R60" s="81">
        <f>'[6]Rollup_Level3 FORMATTED (2)'!Y56</f>
        <v>1959</v>
      </c>
      <c r="S60" s="81">
        <f t="shared" si="86"/>
        <v>1371</v>
      </c>
      <c r="T60" s="81">
        <f>[7]Exceeds!AJ57</f>
        <v>468</v>
      </c>
      <c r="U60" s="81">
        <f t="shared" si="87"/>
        <v>632</v>
      </c>
      <c r="V60" s="81">
        <f>'[8]Significantly Exceeds'!V57</f>
        <v>1792</v>
      </c>
      <c r="W60" s="81">
        <f t="shared" si="88"/>
        <v>3136</v>
      </c>
      <c r="X60" s="81">
        <f>'[9]Roll up'!J57</f>
        <v>173</v>
      </c>
      <c r="Y60" s="81">
        <f t="shared" si="89"/>
        <v>260</v>
      </c>
      <c r="Z60" s="81">
        <f>[10]BeginSchYr2011_ByExcept!P51</f>
        <v>49</v>
      </c>
      <c r="AA60" s="81">
        <f t="shared" si="90"/>
        <v>74</v>
      </c>
      <c r="AB60" s="1363">
        <v>1.2407480614491456E-2</v>
      </c>
      <c r="AC60" s="81">
        <f t="shared" si="48"/>
        <v>6210</v>
      </c>
      <c r="AD60" s="81">
        <f t="shared" si="49"/>
        <v>0</v>
      </c>
      <c r="AE60" s="81">
        <f t="shared" si="50"/>
        <v>0</v>
      </c>
      <c r="AF60" s="81">
        <f t="shared" si="51"/>
        <v>0</v>
      </c>
      <c r="AG60" s="81">
        <f t="shared" si="91"/>
        <v>10049</v>
      </c>
      <c r="AH60" s="81">
        <f>'[11]Rollup_PS-8th'!R56</f>
        <v>2224</v>
      </c>
      <c r="AI60" s="13">
        <f t="shared" si="92"/>
        <v>1334</v>
      </c>
      <c r="AJ60" s="13">
        <f>'[11]Rollup_9th-12th'!M56</f>
        <v>1172</v>
      </c>
      <c r="AK60" s="13">
        <f t="shared" si="93"/>
        <v>351.59999999999997</v>
      </c>
      <c r="AL60" s="13">
        <f>[12]Reformatted!Y57</f>
        <v>811</v>
      </c>
      <c r="AM60" s="13">
        <f t="shared" si="52"/>
        <v>243.29999999999998</v>
      </c>
      <c r="AN60" s="13">
        <f t="shared" si="94"/>
        <v>0</v>
      </c>
      <c r="AO60" s="65">
        <f t="shared" si="95"/>
        <v>0</v>
      </c>
      <c r="AP60" s="13">
        <f t="shared" si="96"/>
        <v>0</v>
      </c>
      <c r="AQ60" s="13">
        <f t="shared" si="97"/>
        <v>16911.899999999998</v>
      </c>
      <c r="AR60" s="13">
        <f t="shared" si="98"/>
        <v>54094.899999999994</v>
      </c>
      <c r="AS60" s="388">
        <f t="shared" si="53"/>
        <v>3855</v>
      </c>
      <c r="AT60" s="388">
        <f t="shared" si="99"/>
        <v>208535840</v>
      </c>
      <c r="AU60" s="388">
        <f>'Table 6 (Local Deduct Calc.)'!J60</f>
        <v>60843688</v>
      </c>
      <c r="AV60" s="388">
        <f t="shared" si="54"/>
        <v>60843688</v>
      </c>
      <c r="AW60" s="389">
        <f t="shared" si="55"/>
        <v>147692152</v>
      </c>
      <c r="AX60" s="390">
        <f t="shared" si="78"/>
        <v>0.70820000000000005</v>
      </c>
      <c r="AY60" s="390">
        <f t="shared" si="56"/>
        <v>0.2918</v>
      </c>
      <c r="AZ60" s="391">
        <f t="shared" si="100"/>
        <v>1636.330796331657</v>
      </c>
      <c r="BA60" s="388">
        <f>'Table 7 Local Revenue'!AQ59</f>
        <v>186243912</v>
      </c>
      <c r="BB60" s="388">
        <f t="shared" si="57"/>
        <v>125400224</v>
      </c>
      <c r="BC60" s="279">
        <f t="shared" si="58"/>
        <v>0</v>
      </c>
      <c r="BD60" s="14">
        <f t="shared" si="59"/>
        <v>70902185.600000009</v>
      </c>
      <c r="BE60" s="14">
        <f t="shared" si="60"/>
        <v>70902185.600000009</v>
      </c>
      <c r="BF60" s="388">
        <f t="shared" si="61"/>
        <v>35585523.343897603</v>
      </c>
      <c r="BG60" s="392">
        <f t="shared" si="62"/>
        <v>35316662.256102405</v>
      </c>
      <c r="BH60" s="16">
        <f t="shared" si="63"/>
        <v>0.49809999999999999</v>
      </c>
      <c r="BI60" s="392">
        <f t="shared" si="64"/>
        <v>183008814.25610241</v>
      </c>
      <c r="BJ60" s="14">
        <f t="shared" si="101"/>
        <v>4922</v>
      </c>
      <c r="BK60" s="392">
        <f>'Table 4 Level 3'!M57</f>
        <v>5032988</v>
      </c>
      <c r="BL60" s="14">
        <f t="shared" si="102"/>
        <v>135.35723314417879</v>
      </c>
      <c r="BM60" s="392">
        <f t="shared" si="65"/>
        <v>188041802.25610241</v>
      </c>
      <c r="BN60" s="14">
        <f t="shared" si="103"/>
        <v>5057.1982426405193</v>
      </c>
      <c r="BO60" s="518">
        <f>'Table 4 Level 3'!P57</f>
        <v>29502707.114151228</v>
      </c>
      <c r="BP60" s="519">
        <f t="shared" si="104"/>
        <v>793.44612091953923</v>
      </c>
      <c r="BQ60" s="392">
        <f t="shared" si="66"/>
        <v>212511521.37025365</v>
      </c>
      <c r="BR60" s="14">
        <f t="shared" si="105"/>
        <v>5715.2871304158798</v>
      </c>
      <c r="BS60" s="1594">
        <f>'[13]Table 3 Levels 1&amp;2'!CE60</f>
        <v>2832379.7643052936</v>
      </c>
      <c r="BT60" s="1594">
        <f t="shared" si="67"/>
        <v>76.174051698499142</v>
      </c>
      <c r="BU60" s="1594">
        <f t="shared" si="68"/>
        <v>-2549141.7878747643</v>
      </c>
      <c r="BV60" s="1594">
        <f t="shared" si="106"/>
        <v>-68.556646528649225</v>
      </c>
      <c r="BW60" s="1600">
        <f t="shared" si="69"/>
        <v>209962379.58237889</v>
      </c>
      <c r="BX60" s="1602">
        <f t="shared" si="107"/>
        <v>5646.7304838872305</v>
      </c>
      <c r="BY60" s="16">
        <f t="shared" si="70"/>
        <v>0.61444924910934573</v>
      </c>
      <c r="BZ60" s="393">
        <f t="shared" si="71"/>
        <v>39</v>
      </c>
      <c r="CA60" s="14">
        <f t="shared" si="72"/>
        <v>131745873.59999999</v>
      </c>
      <c r="CB60" s="14">
        <f t="shared" si="108"/>
        <v>3543.17</v>
      </c>
      <c r="CC60" s="393">
        <f t="shared" si="73"/>
        <v>26</v>
      </c>
      <c r="CD60" s="16">
        <f t="shared" si="74"/>
        <v>0.38555075089065433</v>
      </c>
      <c r="CE60" s="393">
        <f t="shared" si="75"/>
        <v>341708253.18237889</v>
      </c>
      <c r="CF60" s="394">
        <f t="shared" si="109"/>
        <v>9189.9054186692538</v>
      </c>
      <c r="CG60" s="393">
        <f t="shared" si="76"/>
        <v>18</v>
      </c>
      <c r="CH60" s="1340">
        <v>203924535.41170073</v>
      </c>
      <c r="CI60" s="279">
        <f t="shared" si="77"/>
        <v>6037844.1706781685</v>
      </c>
      <c r="CJ60" s="1750"/>
      <c r="CK60" s="350"/>
      <c r="CL60" s="350"/>
      <c r="CM60" s="350"/>
      <c r="CN60" s="350"/>
      <c r="CO60" s="350"/>
      <c r="CP60" s="350"/>
      <c r="CQ60" s="350"/>
      <c r="CR60" s="350"/>
      <c r="CS60" s="350"/>
      <c r="CT60" s="169"/>
      <c r="CU60" s="169"/>
      <c r="CV60" s="1749"/>
      <c r="CW60" s="169"/>
      <c r="CX60" s="169"/>
      <c r="CY60" s="1749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</row>
    <row r="61" spans="1:183" s="5" customFormat="1">
      <c r="A61" s="101">
        <v>53</v>
      </c>
      <c r="B61" s="81" t="s">
        <v>146</v>
      </c>
      <c r="C61" s="81">
        <f>'[2]ALL-Reformatted'!AC58</f>
        <v>19215</v>
      </c>
      <c r="D61" s="81">
        <f>'[3]All-Reformatted'!AC58</f>
        <v>14599</v>
      </c>
      <c r="E61" s="81">
        <f t="shared" si="79"/>
        <v>3212</v>
      </c>
      <c r="F61" s="81">
        <f>'[4]MS5627_CTE -Reformatted'!AC59</f>
        <v>6521</v>
      </c>
      <c r="G61" s="81">
        <f t="shared" si="80"/>
        <v>391</v>
      </c>
      <c r="H61" s="81">
        <f>'[5]Rollup_Level1 Formatted 2'!Y58</f>
        <v>280</v>
      </c>
      <c r="I61" s="81">
        <f t="shared" si="81"/>
        <v>112</v>
      </c>
      <c r="J61" s="81">
        <f>'[5]Rollup_Level2 Formatted 2'!AB58</f>
        <v>1630</v>
      </c>
      <c r="K61" s="81">
        <f t="shared" si="82"/>
        <v>897</v>
      </c>
      <c r="L61" s="81">
        <f>'[5]Rollup_Level3 Formatted 2'!T58</f>
        <v>280</v>
      </c>
      <c r="M61" s="81">
        <f t="shared" si="83"/>
        <v>224</v>
      </c>
      <c r="N61" s="81">
        <f>'[6]Rollup_Level1-REFORMATTED (2)'!P57</f>
        <v>365</v>
      </c>
      <c r="O61" s="81">
        <f t="shared" si="84"/>
        <v>128</v>
      </c>
      <c r="P61" s="81">
        <f>'[6]Rollup_Level2_REFORMATTED (2)'!V57</f>
        <v>467</v>
      </c>
      <c r="Q61" s="81">
        <f t="shared" si="85"/>
        <v>257</v>
      </c>
      <c r="R61" s="81">
        <f>'[6]Rollup_Level3 FORMATTED (2)'!Y57</f>
        <v>873</v>
      </c>
      <c r="S61" s="81">
        <f t="shared" si="86"/>
        <v>611</v>
      </c>
      <c r="T61" s="81">
        <f>[7]Exceeds!AJ58</f>
        <v>138</v>
      </c>
      <c r="U61" s="81">
        <f t="shared" si="87"/>
        <v>186</v>
      </c>
      <c r="V61" s="81">
        <f>'[8]Significantly Exceeds'!V58</f>
        <v>243</v>
      </c>
      <c r="W61" s="81">
        <f t="shared" si="88"/>
        <v>425</v>
      </c>
      <c r="X61" s="81">
        <f>'[9]Roll up'!J58</f>
        <v>76</v>
      </c>
      <c r="Y61" s="81">
        <f t="shared" si="89"/>
        <v>114</v>
      </c>
      <c r="Z61" s="81">
        <f>[10]BeginSchYr2011_ByExcept!P52</f>
        <v>48</v>
      </c>
      <c r="AA61" s="81">
        <f t="shared" si="90"/>
        <v>72</v>
      </c>
      <c r="AB61" s="129">
        <v>7.0800681760022355E-3</v>
      </c>
      <c r="AC61" s="81">
        <f t="shared" si="48"/>
        <v>2190</v>
      </c>
      <c r="AD61" s="81">
        <f t="shared" si="49"/>
        <v>0</v>
      </c>
      <c r="AE61" s="81">
        <f t="shared" si="50"/>
        <v>0</v>
      </c>
      <c r="AF61" s="81">
        <f t="shared" si="51"/>
        <v>66</v>
      </c>
      <c r="AG61" s="81">
        <f t="shared" si="91"/>
        <v>3092</v>
      </c>
      <c r="AH61" s="81">
        <f>'[11]Rollup_PS-8th'!R57</f>
        <v>278</v>
      </c>
      <c r="AI61" s="13">
        <f t="shared" si="92"/>
        <v>167</v>
      </c>
      <c r="AJ61" s="13">
        <f>'[11]Rollup_9th-12th'!M57</f>
        <v>136</v>
      </c>
      <c r="AK61" s="13">
        <f t="shared" si="93"/>
        <v>40.799999999999997</v>
      </c>
      <c r="AL61" s="13">
        <f>[12]Reformatted!Y58</f>
        <v>65</v>
      </c>
      <c r="AM61" s="13">
        <f t="shared" si="52"/>
        <v>19.5</v>
      </c>
      <c r="AN61" s="13">
        <f t="shared" si="94"/>
        <v>0</v>
      </c>
      <c r="AO61" s="65">
        <f t="shared" si="95"/>
        <v>0</v>
      </c>
      <c r="AP61" s="13">
        <f t="shared" si="96"/>
        <v>0</v>
      </c>
      <c r="AQ61" s="13">
        <f t="shared" si="97"/>
        <v>6922.3</v>
      </c>
      <c r="AR61" s="13">
        <f t="shared" si="98"/>
        <v>26137.3</v>
      </c>
      <c r="AS61" s="388">
        <f t="shared" si="53"/>
        <v>3855</v>
      </c>
      <c r="AT61" s="388">
        <f t="shared" si="99"/>
        <v>100759292</v>
      </c>
      <c r="AU61" s="388">
        <f>'Table 6 (Local Deduct Calc.)'!J61</f>
        <v>22468561</v>
      </c>
      <c r="AV61" s="388">
        <f t="shared" si="54"/>
        <v>22468561</v>
      </c>
      <c r="AW61" s="389">
        <f t="shared" si="55"/>
        <v>78290731</v>
      </c>
      <c r="AX61" s="390">
        <f t="shared" si="78"/>
        <v>0.77700000000000002</v>
      </c>
      <c r="AY61" s="390">
        <f t="shared" si="56"/>
        <v>0.223</v>
      </c>
      <c r="AZ61" s="391">
        <f t="shared" si="100"/>
        <v>1169.3240176945094</v>
      </c>
      <c r="BA61" s="388">
        <f>'Table 7 Local Revenue'!AQ60</f>
        <v>37298233</v>
      </c>
      <c r="BB61" s="388">
        <f t="shared" si="57"/>
        <v>14829672</v>
      </c>
      <c r="BC61" s="279">
        <f t="shared" si="58"/>
        <v>0</v>
      </c>
      <c r="BD61" s="14">
        <f t="shared" si="59"/>
        <v>34258159.280000001</v>
      </c>
      <c r="BE61" s="14">
        <f t="shared" si="60"/>
        <v>14829672</v>
      </c>
      <c r="BF61" s="388">
        <f t="shared" si="61"/>
        <v>5688068.9923200002</v>
      </c>
      <c r="BG61" s="392">
        <f t="shared" si="62"/>
        <v>9141603.0076799989</v>
      </c>
      <c r="BH61" s="16">
        <f t="shared" si="63"/>
        <v>0.61639999999999995</v>
      </c>
      <c r="BI61" s="392">
        <f t="shared" si="64"/>
        <v>87432334.007679999</v>
      </c>
      <c r="BJ61" s="14">
        <f t="shared" si="101"/>
        <v>4550</v>
      </c>
      <c r="BK61" s="392">
        <f>'Table 4 Level 3'!M58</f>
        <v>2600889</v>
      </c>
      <c r="BL61" s="14">
        <f t="shared" si="102"/>
        <v>135.35722092115535</v>
      </c>
      <c r="BM61" s="392">
        <f t="shared" si="65"/>
        <v>90033223.007679999</v>
      </c>
      <c r="BN61" s="14">
        <f t="shared" si="103"/>
        <v>4685.5697636055165</v>
      </c>
      <c r="BO61" s="518">
        <f>'Table 4 Level 3'!P58</f>
        <v>15846931.856000001</v>
      </c>
      <c r="BP61" s="519">
        <f t="shared" si="104"/>
        <v>824.71672422586528</v>
      </c>
      <c r="BQ61" s="392">
        <f t="shared" si="66"/>
        <v>103279265.86368001</v>
      </c>
      <c r="BR61" s="14">
        <f t="shared" si="105"/>
        <v>5374.9292669102269</v>
      </c>
      <c r="BS61" s="1594">
        <f>'[13]Table 3 Levels 1&amp;2'!CE61</f>
        <v>-1155845.0640639961</v>
      </c>
      <c r="BT61" s="1594">
        <f t="shared" si="67"/>
        <v>-60.153269011917565</v>
      </c>
      <c r="BU61" s="1594">
        <f t="shared" si="68"/>
        <v>1040260.5576575965</v>
      </c>
      <c r="BV61" s="1594">
        <f t="shared" si="106"/>
        <v>54.137942110725817</v>
      </c>
      <c r="BW61" s="1600">
        <f t="shared" si="69"/>
        <v>104319526.4213376</v>
      </c>
      <c r="BX61" s="1602">
        <f t="shared" si="107"/>
        <v>5429.0672090209528</v>
      </c>
      <c r="BY61" s="16">
        <f t="shared" si="70"/>
        <v>0.7366274318107856</v>
      </c>
      <c r="BZ61" s="393">
        <f t="shared" si="71"/>
        <v>10</v>
      </c>
      <c r="CA61" s="14">
        <f t="shared" si="72"/>
        <v>37298233</v>
      </c>
      <c r="CB61" s="14">
        <f t="shared" si="108"/>
        <v>1941.1</v>
      </c>
      <c r="CC61" s="393">
        <f t="shared" si="73"/>
        <v>65</v>
      </c>
      <c r="CD61" s="16">
        <f t="shared" si="74"/>
        <v>0.2633725681892144</v>
      </c>
      <c r="CE61" s="393">
        <f t="shared" si="75"/>
        <v>141617759.4213376</v>
      </c>
      <c r="CF61" s="394">
        <f t="shared" si="109"/>
        <v>7370.1670268715898</v>
      </c>
      <c r="CG61" s="393">
        <f t="shared" si="76"/>
        <v>68</v>
      </c>
      <c r="CH61" s="1340">
        <v>104110634.10662015</v>
      </c>
      <c r="CI61" s="279">
        <f t="shared" si="77"/>
        <v>208892.3147174567</v>
      </c>
      <c r="CJ61" s="1747"/>
      <c r="CK61" s="350"/>
      <c r="CL61" s="350"/>
      <c r="CM61" s="350"/>
      <c r="CN61" s="350"/>
      <c r="CO61" s="350"/>
      <c r="CP61" s="350"/>
      <c r="CQ61" s="350"/>
      <c r="CR61" s="350"/>
      <c r="CS61" s="350"/>
      <c r="CT61" s="169"/>
      <c r="CU61" s="169"/>
      <c r="CV61" s="1749"/>
      <c r="CW61" s="169"/>
      <c r="CX61" s="169"/>
      <c r="CY61" s="1749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</row>
    <row r="62" spans="1:183" s="5" customFormat="1">
      <c r="A62" s="101">
        <v>54</v>
      </c>
      <c r="B62" s="81" t="s">
        <v>147</v>
      </c>
      <c r="C62" s="81">
        <f>'[2]ALL-Reformatted'!AC59</f>
        <v>685</v>
      </c>
      <c r="D62" s="81">
        <f>'[3]All-Reformatted'!AC59</f>
        <v>648</v>
      </c>
      <c r="E62" s="81">
        <f t="shared" si="79"/>
        <v>143</v>
      </c>
      <c r="F62" s="81">
        <f>'[4]MS5627_CTE -Reformatted'!AC60</f>
        <v>235</v>
      </c>
      <c r="G62" s="81">
        <f t="shared" si="80"/>
        <v>14</v>
      </c>
      <c r="H62" s="81">
        <f>'[5]Rollup_Level1 Formatted 2'!Y59</f>
        <v>26</v>
      </c>
      <c r="I62" s="81">
        <f t="shared" si="81"/>
        <v>10</v>
      </c>
      <c r="J62" s="81">
        <f>'[5]Rollup_Level2 Formatted 2'!AB59</f>
        <v>83</v>
      </c>
      <c r="K62" s="81">
        <f t="shared" si="82"/>
        <v>46</v>
      </c>
      <c r="L62" s="81">
        <f>'[5]Rollup_Level3 Formatted 2'!T59</f>
        <v>7</v>
      </c>
      <c r="M62" s="81">
        <f t="shared" si="83"/>
        <v>6</v>
      </c>
      <c r="N62" s="81">
        <f>'[6]Rollup_Level1-REFORMATTED (2)'!P58</f>
        <v>24</v>
      </c>
      <c r="O62" s="81">
        <f t="shared" si="84"/>
        <v>8</v>
      </c>
      <c r="P62" s="81">
        <f>'[6]Rollup_Level2_REFORMATTED (2)'!V58</f>
        <v>3</v>
      </c>
      <c r="Q62" s="81">
        <f t="shared" si="85"/>
        <v>2</v>
      </c>
      <c r="R62" s="81">
        <f>'[6]Rollup_Level3 FORMATTED (2)'!Y58</f>
        <v>57</v>
      </c>
      <c r="S62" s="81">
        <f t="shared" si="86"/>
        <v>40</v>
      </c>
      <c r="T62" s="81">
        <f>[7]Exceeds!AJ59</f>
        <v>12</v>
      </c>
      <c r="U62" s="81">
        <f t="shared" si="87"/>
        <v>16</v>
      </c>
      <c r="V62" s="81">
        <f>'[8]Significantly Exceeds'!V59</f>
        <v>19</v>
      </c>
      <c r="W62" s="81">
        <f t="shared" si="88"/>
        <v>33</v>
      </c>
      <c r="X62" s="81">
        <f>'[9]Roll up'!J59</f>
        <v>3</v>
      </c>
      <c r="Y62" s="81">
        <f t="shared" si="89"/>
        <v>5</v>
      </c>
      <c r="Z62" s="81">
        <f>[10]BeginSchYr2011_ByExcept!P53</f>
        <v>1</v>
      </c>
      <c r="AA62" s="81">
        <f t="shared" si="90"/>
        <v>2</v>
      </c>
      <c r="AB62" s="1363">
        <v>2.5551684088269452E-2</v>
      </c>
      <c r="AC62" s="81">
        <f t="shared" si="48"/>
        <v>116</v>
      </c>
      <c r="AD62" s="81">
        <f t="shared" si="49"/>
        <v>0</v>
      </c>
      <c r="AE62" s="81">
        <f t="shared" si="50"/>
        <v>0</v>
      </c>
      <c r="AF62" s="81">
        <f t="shared" si="51"/>
        <v>0</v>
      </c>
      <c r="AG62" s="81">
        <f t="shared" si="91"/>
        <v>168</v>
      </c>
      <c r="AH62" s="81">
        <f>'[11]Rollup_PS-8th'!R58</f>
        <v>12</v>
      </c>
      <c r="AI62" s="13">
        <f t="shared" si="92"/>
        <v>7</v>
      </c>
      <c r="AJ62" s="13">
        <f>'[11]Rollup_9th-12th'!M58</f>
        <v>18</v>
      </c>
      <c r="AK62" s="13">
        <f t="shared" si="93"/>
        <v>5.3999999999999995</v>
      </c>
      <c r="AL62" s="13">
        <f>[12]Reformatted!Y59</f>
        <v>0</v>
      </c>
      <c r="AM62" s="13">
        <f t="shared" si="52"/>
        <v>0</v>
      </c>
      <c r="AN62" s="13">
        <f t="shared" si="94"/>
        <v>6815</v>
      </c>
      <c r="AO62" s="65">
        <f t="shared" si="95"/>
        <v>0.18173</v>
      </c>
      <c r="AP62" s="13">
        <f t="shared" si="96"/>
        <v>124</v>
      </c>
      <c r="AQ62" s="13">
        <f t="shared" si="97"/>
        <v>461.4</v>
      </c>
      <c r="AR62" s="13">
        <f t="shared" si="98"/>
        <v>1146.4000000000001</v>
      </c>
      <c r="AS62" s="388">
        <f t="shared" si="53"/>
        <v>3855</v>
      </c>
      <c r="AT62" s="388">
        <f t="shared" si="99"/>
        <v>4419372</v>
      </c>
      <c r="AU62" s="388">
        <f>'Table 6 (Local Deduct Calc.)'!J62</f>
        <v>1181631.5</v>
      </c>
      <c r="AV62" s="388">
        <f t="shared" si="54"/>
        <v>1181631.5</v>
      </c>
      <c r="AW62" s="389">
        <f t="shared" si="55"/>
        <v>3237740.5</v>
      </c>
      <c r="AX62" s="390">
        <f t="shared" si="78"/>
        <v>0.73260000000000003</v>
      </c>
      <c r="AY62" s="390">
        <f t="shared" si="56"/>
        <v>0.26740000000000003</v>
      </c>
      <c r="AZ62" s="391">
        <f t="shared" si="100"/>
        <v>1725.009489051095</v>
      </c>
      <c r="BA62" s="388">
        <f>'Table 7 Local Revenue'!AQ61</f>
        <v>2396074.5</v>
      </c>
      <c r="BB62" s="388">
        <f t="shared" si="57"/>
        <v>1214443</v>
      </c>
      <c r="BC62" s="279">
        <f t="shared" si="58"/>
        <v>0</v>
      </c>
      <c r="BD62" s="14">
        <f t="shared" si="59"/>
        <v>1502586.4800000002</v>
      </c>
      <c r="BE62" s="14">
        <f t="shared" si="60"/>
        <v>1214443</v>
      </c>
      <c r="BF62" s="388">
        <f t="shared" si="61"/>
        <v>558556.34010400006</v>
      </c>
      <c r="BG62" s="392">
        <f t="shared" si="62"/>
        <v>655886.65989599994</v>
      </c>
      <c r="BH62" s="16">
        <f t="shared" si="63"/>
        <v>0.54010000000000002</v>
      </c>
      <c r="BI62" s="392">
        <f t="shared" si="64"/>
        <v>3893627.1598959998</v>
      </c>
      <c r="BJ62" s="14">
        <f t="shared" si="101"/>
        <v>5684</v>
      </c>
      <c r="BK62" s="392">
        <f>'Table 4 Level 3'!M59</f>
        <v>92720</v>
      </c>
      <c r="BL62" s="14">
        <f t="shared" si="102"/>
        <v>135.35766423357666</v>
      </c>
      <c r="BM62" s="392">
        <f t="shared" si="65"/>
        <v>3986347.1598959998</v>
      </c>
      <c r="BN62" s="14">
        <f t="shared" si="103"/>
        <v>5819.4849049576642</v>
      </c>
      <c r="BO62" s="518">
        <f>'Table 4 Level 3'!P59</f>
        <v>742714.2456324246</v>
      </c>
      <c r="BP62" s="519">
        <f t="shared" si="104"/>
        <v>1084.2543731860212</v>
      </c>
      <c r="BQ62" s="392">
        <f t="shared" si="66"/>
        <v>4636341.4055284243</v>
      </c>
      <c r="BR62" s="14">
        <f t="shared" si="105"/>
        <v>6768.3816139101082</v>
      </c>
      <c r="BS62" s="1594">
        <f>'[13]Table 3 Levels 1&amp;2'!CE62</f>
        <v>-66705.862335999496</v>
      </c>
      <c r="BT62" s="1594">
        <f t="shared" si="67"/>
        <v>-97.38082092846642</v>
      </c>
      <c r="BU62" s="1594">
        <f t="shared" si="68"/>
        <v>60035.276102399548</v>
      </c>
      <c r="BV62" s="1594">
        <f t="shared" si="106"/>
        <v>87.642738835619781</v>
      </c>
      <c r="BW62" s="1600">
        <f t="shared" si="69"/>
        <v>4696376.6816308238</v>
      </c>
      <c r="BX62" s="1602">
        <f t="shared" si="107"/>
        <v>6856.0243527457278</v>
      </c>
      <c r="BY62" s="16">
        <f t="shared" si="70"/>
        <v>0.66216552801861495</v>
      </c>
      <c r="BZ62" s="393">
        <f t="shared" si="71"/>
        <v>29</v>
      </c>
      <c r="CA62" s="14">
        <f t="shared" si="72"/>
        <v>2396074.5</v>
      </c>
      <c r="CB62" s="14">
        <f t="shared" si="108"/>
        <v>3497.92</v>
      </c>
      <c r="CC62" s="393">
        <f t="shared" si="73"/>
        <v>28</v>
      </c>
      <c r="CD62" s="16">
        <f t="shared" si="74"/>
        <v>0.33783447198138505</v>
      </c>
      <c r="CE62" s="393">
        <f t="shared" si="75"/>
        <v>7092451.1816308238</v>
      </c>
      <c r="CF62" s="394">
        <f t="shared" si="109"/>
        <v>10353.943330847918</v>
      </c>
      <c r="CG62" s="393">
        <f t="shared" si="76"/>
        <v>3</v>
      </c>
      <c r="CH62" s="1340">
        <v>4859698.7396802828</v>
      </c>
      <c r="CI62" s="279">
        <f t="shared" si="77"/>
        <v>-163322.05804945901</v>
      </c>
      <c r="CJ62" s="1747"/>
      <c r="CK62" s="350"/>
      <c r="CL62" s="350"/>
      <c r="CM62" s="350"/>
      <c r="CN62" s="350"/>
      <c r="CO62" s="350"/>
      <c r="CP62" s="350"/>
      <c r="CQ62" s="350"/>
      <c r="CR62" s="350"/>
      <c r="CS62" s="350"/>
      <c r="CT62" s="169"/>
      <c r="CU62" s="169"/>
      <c r="CV62" s="1749"/>
      <c r="CW62" s="169"/>
      <c r="CX62" s="169"/>
      <c r="CY62" s="1749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</row>
    <row r="63" spans="1:183" s="21" customFormat="1">
      <c r="A63" s="102">
        <v>55</v>
      </c>
      <c r="B63" s="82" t="s">
        <v>148</v>
      </c>
      <c r="C63" s="82">
        <f>'[2]ALL-Reformatted'!AC60</f>
        <v>17844</v>
      </c>
      <c r="D63" s="82">
        <f>'[3]All-Reformatted'!AC60</f>
        <v>11873</v>
      </c>
      <c r="E63" s="82">
        <f t="shared" si="79"/>
        <v>2612</v>
      </c>
      <c r="F63" s="82">
        <f>'[4]MS5627_CTE -Reformatted'!AC61</f>
        <v>6237.5</v>
      </c>
      <c r="G63" s="82">
        <f t="shared" si="80"/>
        <v>374</v>
      </c>
      <c r="H63" s="82">
        <f>'[5]Rollup_Level1 Formatted 2'!Y60</f>
        <v>544</v>
      </c>
      <c r="I63" s="82">
        <f t="shared" si="81"/>
        <v>218</v>
      </c>
      <c r="J63" s="82">
        <f>'[5]Rollup_Level2 Formatted 2'!AB60</f>
        <v>1376</v>
      </c>
      <c r="K63" s="82">
        <f t="shared" si="82"/>
        <v>757</v>
      </c>
      <c r="L63" s="82">
        <f>'[5]Rollup_Level3 Formatted 2'!T60</f>
        <v>253</v>
      </c>
      <c r="M63" s="82">
        <f t="shared" si="83"/>
        <v>202</v>
      </c>
      <c r="N63" s="82">
        <f>'[6]Rollup_Level1-REFORMATTED (2)'!P59</f>
        <v>122</v>
      </c>
      <c r="O63" s="82">
        <f t="shared" si="84"/>
        <v>43</v>
      </c>
      <c r="P63" s="82">
        <f>'[6]Rollup_Level2_REFORMATTED (2)'!V59</f>
        <v>430</v>
      </c>
      <c r="Q63" s="82">
        <f t="shared" si="85"/>
        <v>237</v>
      </c>
      <c r="R63" s="82">
        <f>'[6]Rollup_Level3 FORMATTED (2)'!Y59</f>
        <v>962</v>
      </c>
      <c r="S63" s="82">
        <f t="shared" si="86"/>
        <v>673</v>
      </c>
      <c r="T63" s="82">
        <f>[7]Exceeds!AJ60</f>
        <v>129</v>
      </c>
      <c r="U63" s="82">
        <f t="shared" si="87"/>
        <v>174</v>
      </c>
      <c r="V63" s="82">
        <f>'[8]Significantly Exceeds'!V60</f>
        <v>361</v>
      </c>
      <c r="W63" s="82">
        <f t="shared" si="88"/>
        <v>632</v>
      </c>
      <c r="X63" s="82">
        <f>'[9]Roll up'!J60</f>
        <v>32</v>
      </c>
      <c r="Y63" s="82">
        <f t="shared" si="89"/>
        <v>48</v>
      </c>
      <c r="Z63" s="82">
        <f>[10]BeginSchYr2011_ByExcept!P54</f>
        <v>20</v>
      </c>
      <c r="AA63" s="82">
        <f t="shared" si="90"/>
        <v>30</v>
      </c>
      <c r="AB63" s="130">
        <v>5.3834257846124556E-3</v>
      </c>
      <c r="AC63" s="82">
        <f t="shared" si="48"/>
        <v>2173</v>
      </c>
      <c r="AD63" s="82">
        <f t="shared" si="49"/>
        <v>0</v>
      </c>
      <c r="AE63" s="82">
        <f t="shared" si="50"/>
        <v>0</v>
      </c>
      <c r="AF63" s="82">
        <f t="shared" si="51"/>
        <v>65</v>
      </c>
      <c r="AG63" s="82">
        <f t="shared" si="91"/>
        <v>3079</v>
      </c>
      <c r="AH63" s="82">
        <f>'[11]Rollup_PS-8th'!R59</f>
        <v>380</v>
      </c>
      <c r="AI63" s="19">
        <f t="shared" si="92"/>
        <v>228</v>
      </c>
      <c r="AJ63" s="19">
        <f>'[11]Rollup_9th-12th'!M59</f>
        <v>310</v>
      </c>
      <c r="AK63" s="19">
        <f t="shared" si="93"/>
        <v>93</v>
      </c>
      <c r="AL63" s="19">
        <f>[12]Reformatted!Y60</f>
        <v>89</v>
      </c>
      <c r="AM63" s="19">
        <f t="shared" si="52"/>
        <v>26.7</v>
      </c>
      <c r="AN63" s="19">
        <f t="shared" si="94"/>
        <v>0</v>
      </c>
      <c r="AO63" s="66">
        <f t="shared" si="95"/>
        <v>0</v>
      </c>
      <c r="AP63" s="19">
        <f t="shared" si="96"/>
        <v>0</v>
      </c>
      <c r="AQ63" s="19">
        <f t="shared" si="97"/>
        <v>6412.7</v>
      </c>
      <c r="AR63" s="13">
        <f t="shared" si="98"/>
        <v>24256.7</v>
      </c>
      <c r="AS63" s="395">
        <f t="shared" si="53"/>
        <v>3855</v>
      </c>
      <c r="AT63" s="395">
        <f t="shared" si="99"/>
        <v>93509579</v>
      </c>
      <c r="AU63" s="395">
        <f>'Table 6 (Local Deduct Calc.)'!J63</f>
        <v>32749482.5</v>
      </c>
      <c r="AV63" s="395">
        <f t="shared" si="54"/>
        <v>32749482.5</v>
      </c>
      <c r="AW63" s="396">
        <f t="shared" si="55"/>
        <v>60760096.5</v>
      </c>
      <c r="AX63" s="397">
        <f t="shared" si="78"/>
        <v>0.64980000000000004</v>
      </c>
      <c r="AY63" s="398">
        <f t="shared" si="56"/>
        <v>0.35020000000000001</v>
      </c>
      <c r="AZ63" s="399">
        <f t="shared" si="100"/>
        <v>1835.3218168572068</v>
      </c>
      <c r="BA63" s="395">
        <f>'Table 7 Local Revenue'!AQ62</f>
        <v>56116188.5</v>
      </c>
      <c r="BB63" s="395">
        <f t="shared" si="57"/>
        <v>23366706</v>
      </c>
      <c r="BC63" s="280">
        <f t="shared" si="58"/>
        <v>0</v>
      </c>
      <c r="BD63" s="20">
        <f t="shared" si="59"/>
        <v>31793256.860000003</v>
      </c>
      <c r="BE63" s="20">
        <f t="shared" si="60"/>
        <v>23366706</v>
      </c>
      <c r="BF63" s="395">
        <f t="shared" si="61"/>
        <v>14074795.158863999</v>
      </c>
      <c r="BG63" s="400">
        <f t="shared" si="62"/>
        <v>9291910.8411360011</v>
      </c>
      <c r="BH63" s="273">
        <f t="shared" si="63"/>
        <v>0.3977</v>
      </c>
      <c r="BI63" s="400">
        <f t="shared" si="64"/>
        <v>70052007.341136009</v>
      </c>
      <c r="BJ63" s="20">
        <f t="shared" si="101"/>
        <v>3926</v>
      </c>
      <c r="BK63" s="400">
        <f>'Table 4 Level 3'!M60</f>
        <v>2415315</v>
      </c>
      <c r="BL63" s="20">
        <f t="shared" si="102"/>
        <v>135.35726294552791</v>
      </c>
      <c r="BM63" s="400">
        <f t="shared" si="65"/>
        <v>72467322.341136009</v>
      </c>
      <c r="BN63" s="20">
        <f t="shared" si="103"/>
        <v>4061.1590641748494</v>
      </c>
      <c r="BO63" s="520">
        <f>'Table 4 Level 3'!P60</f>
        <v>16593177.407829355</v>
      </c>
      <c r="BP63" s="521">
        <f t="shared" si="104"/>
        <v>929.90234296286462</v>
      </c>
      <c r="BQ63" s="400">
        <f t="shared" si="66"/>
        <v>86645184.748965368</v>
      </c>
      <c r="BR63" s="20">
        <f t="shared" si="105"/>
        <v>4855.7041441921856</v>
      </c>
      <c r="BS63" s="20">
        <f>'[13]Table 3 Levels 1&amp;2'!CE63</f>
        <v>-1069379.3629000038</v>
      </c>
      <c r="BT63" s="20">
        <f t="shared" si="67"/>
        <v>-59.929352325711939</v>
      </c>
      <c r="BU63" s="20">
        <f t="shared" si="68"/>
        <v>962441.42661000346</v>
      </c>
      <c r="BV63" s="20">
        <f t="shared" si="106"/>
        <v>53.936417093140747</v>
      </c>
      <c r="BW63" s="760">
        <f t="shared" si="69"/>
        <v>87607626.175575376</v>
      </c>
      <c r="BX63" s="78">
        <f t="shared" si="107"/>
        <v>4909.6405612853268</v>
      </c>
      <c r="BY63" s="273">
        <f t="shared" si="70"/>
        <v>0.60955539186967833</v>
      </c>
      <c r="BZ63" s="401">
        <f t="shared" si="71"/>
        <v>40</v>
      </c>
      <c r="CA63" s="20">
        <f t="shared" si="72"/>
        <v>56116188.5</v>
      </c>
      <c r="CB63" s="20">
        <f t="shared" si="108"/>
        <v>3144.82</v>
      </c>
      <c r="CC63" s="401">
        <f t="shared" si="73"/>
        <v>39</v>
      </c>
      <c r="CD63" s="273">
        <f t="shared" si="74"/>
        <v>0.39044460813032167</v>
      </c>
      <c r="CE63" s="401">
        <f t="shared" si="75"/>
        <v>143723814.67557538</v>
      </c>
      <c r="CF63" s="402">
        <f t="shared" si="109"/>
        <v>8054.4617056475772</v>
      </c>
      <c r="CG63" s="401">
        <f t="shared" si="76"/>
        <v>62</v>
      </c>
      <c r="CH63" s="1341">
        <v>86583826.970449448</v>
      </c>
      <c r="CI63" s="280">
        <f t="shared" si="77"/>
        <v>1023799.2051259279</v>
      </c>
      <c r="CJ63" s="1747"/>
      <c r="CK63" s="350"/>
      <c r="CL63" s="350"/>
      <c r="CM63" s="350"/>
      <c r="CN63" s="350"/>
      <c r="CO63" s="350"/>
      <c r="CP63" s="350"/>
      <c r="CQ63" s="350"/>
      <c r="CR63" s="350"/>
      <c r="CS63" s="350"/>
      <c r="CT63" s="169"/>
      <c r="CU63" s="169"/>
      <c r="CV63" s="1749"/>
      <c r="CW63" s="169"/>
      <c r="CX63" s="169"/>
      <c r="CY63" s="1749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</row>
    <row r="64" spans="1:183" s="5" customFormat="1">
      <c r="A64" s="101">
        <v>56</v>
      </c>
      <c r="B64" s="81" t="s">
        <v>149</v>
      </c>
      <c r="C64" s="81">
        <f>'[2]ALL-Reformatted'!AC61+1</f>
        <v>2878</v>
      </c>
      <c r="D64" s="81">
        <f>'[3]All-Reformatted'!AC61</f>
        <v>2103</v>
      </c>
      <c r="E64" s="81">
        <f t="shared" si="79"/>
        <v>463</v>
      </c>
      <c r="F64" s="81">
        <f>'[4]MS5627_CTE -Reformatted'!AC62</f>
        <v>807</v>
      </c>
      <c r="G64" s="81">
        <f t="shared" si="80"/>
        <v>48</v>
      </c>
      <c r="H64" s="81">
        <f>'[5]Rollup_Level1 Formatted 2'!Y61</f>
        <v>48</v>
      </c>
      <c r="I64" s="81">
        <f t="shared" si="81"/>
        <v>19</v>
      </c>
      <c r="J64" s="81">
        <f>'[5]Rollup_Level2 Formatted 2'!AB61</f>
        <v>293</v>
      </c>
      <c r="K64" s="81">
        <f t="shared" si="82"/>
        <v>161</v>
      </c>
      <c r="L64" s="81">
        <f>'[5]Rollup_Level3 Formatted 2'!T61</f>
        <v>32</v>
      </c>
      <c r="M64" s="81">
        <f t="shared" si="83"/>
        <v>26</v>
      </c>
      <c r="N64" s="81">
        <f>'[6]Rollup_Level1-REFORMATTED (2)'!P60</f>
        <v>22</v>
      </c>
      <c r="O64" s="81">
        <f t="shared" si="84"/>
        <v>8</v>
      </c>
      <c r="P64" s="81">
        <f>'[6]Rollup_Level2_REFORMATTED (2)'!V60</f>
        <v>108</v>
      </c>
      <c r="Q64" s="81">
        <f t="shared" si="85"/>
        <v>59</v>
      </c>
      <c r="R64" s="81">
        <f>'[6]Rollup_Level3 FORMATTED (2)'!Y60</f>
        <v>159</v>
      </c>
      <c r="S64" s="81">
        <f t="shared" si="86"/>
        <v>111</v>
      </c>
      <c r="T64" s="81">
        <f>[7]Exceeds!AJ61</f>
        <v>29</v>
      </c>
      <c r="U64" s="81">
        <f t="shared" si="87"/>
        <v>39</v>
      </c>
      <c r="V64" s="81">
        <f>'[8]Significantly Exceeds'!V61</f>
        <v>29</v>
      </c>
      <c r="W64" s="81">
        <f t="shared" si="88"/>
        <v>51</v>
      </c>
      <c r="X64" s="81">
        <f>'[9]Roll up'!J61</f>
        <v>16</v>
      </c>
      <c r="Y64" s="81">
        <f t="shared" si="89"/>
        <v>24</v>
      </c>
      <c r="Z64" s="81">
        <f>[10]BeginSchYr2011_ByExcept!P55</f>
        <v>1</v>
      </c>
      <c r="AA64" s="81">
        <f t="shared" si="90"/>
        <v>2</v>
      </c>
      <c r="AB64" s="129">
        <v>-4.4004896591714471E-2</v>
      </c>
      <c r="AC64" s="81">
        <f t="shared" si="48"/>
        <v>373</v>
      </c>
      <c r="AD64" s="81">
        <f t="shared" si="49"/>
        <v>45</v>
      </c>
      <c r="AE64" s="81">
        <f t="shared" si="50"/>
        <v>0</v>
      </c>
      <c r="AF64" s="81">
        <f t="shared" si="51"/>
        <v>0</v>
      </c>
      <c r="AG64" s="81">
        <f t="shared" si="91"/>
        <v>545</v>
      </c>
      <c r="AH64" s="81">
        <f>'[11]Rollup_PS-8th'!R60</f>
        <v>8</v>
      </c>
      <c r="AI64" s="13">
        <f t="shared" si="92"/>
        <v>5</v>
      </c>
      <c r="AJ64" s="13">
        <f>'[11]Rollup_9th-12th'!M60</f>
        <v>14</v>
      </c>
      <c r="AK64" s="13">
        <f t="shared" si="93"/>
        <v>4.2</v>
      </c>
      <c r="AL64" s="13">
        <f>[12]Reformatted!Y61</f>
        <v>13</v>
      </c>
      <c r="AM64" s="13">
        <f t="shared" si="52"/>
        <v>3.9</v>
      </c>
      <c r="AN64" s="13">
        <f t="shared" si="94"/>
        <v>4622</v>
      </c>
      <c r="AO64" s="65">
        <f t="shared" si="95"/>
        <v>0.12325</v>
      </c>
      <c r="AP64" s="13">
        <f t="shared" si="96"/>
        <v>355</v>
      </c>
      <c r="AQ64" s="13">
        <f t="shared" si="97"/>
        <v>1424.1000000000001</v>
      </c>
      <c r="AR64" s="36">
        <f t="shared" si="98"/>
        <v>4302.1000000000004</v>
      </c>
      <c r="AS64" s="388">
        <f t="shared" si="53"/>
        <v>3855</v>
      </c>
      <c r="AT64" s="388">
        <f t="shared" si="99"/>
        <v>16584596</v>
      </c>
      <c r="AU64" s="388">
        <f>'Table 6 (Local Deduct Calc.)'!J64</f>
        <v>4681922</v>
      </c>
      <c r="AV64" s="388">
        <f t="shared" si="54"/>
        <v>4681922</v>
      </c>
      <c r="AW64" s="389">
        <f t="shared" si="55"/>
        <v>11902674</v>
      </c>
      <c r="AX64" s="390">
        <f t="shared" si="78"/>
        <v>0.7177</v>
      </c>
      <c r="AY64" s="390">
        <f t="shared" si="56"/>
        <v>0.2823</v>
      </c>
      <c r="AZ64" s="391">
        <f t="shared" si="100"/>
        <v>1626.7970813064628</v>
      </c>
      <c r="BA64" s="388">
        <f>'Table 7 Local Revenue'!AQ63</f>
        <v>8175594</v>
      </c>
      <c r="BB64" s="388">
        <f t="shared" si="57"/>
        <v>3493672</v>
      </c>
      <c r="BC64" s="279">
        <f t="shared" si="58"/>
        <v>0</v>
      </c>
      <c r="BD64" s="14">
        <f t="shared" si="59"/>
        <v>5638762.6400000006</v>
      </c>
      <c r="BE64" s="14">
        <f t="shared" si="60"/>
        <v>3493672</v>
      </c>
      <c r="BF64" s="388">
        <f t="shared" si="61"/>
        <v>1696373.401632</v>
      </c>
      <c r="BG64" s="392">
        <f t="shared" si="62"/>
        <v>1797298.598368</v>
      </c>
      <c r="BH64" s="16">
        <f t="shared" si="63"/>
        <v>0.51439999999999997</v>
      </c>
      <c r="BI64" s="392">
        <f t="shared" si="64"/>
        <v>13699972.598368</v>
      </c>
      <c r="BJ64" s="14">
        <f t="shared" si="101"/>
        <v>4760</v>
      </c>
      <c r="BK64" s="392">
        <f>'Table 4 Level 3'!M61</f>
        <v>389558</v>
      </c>
      <c r="BL64" s="14">
        <f t="shared" si="102"/>
        <v>135.35719249478805</v>
      </c>
      <c r="BM64" s="392">
        <f t="shared" si="65"/>
        <v>14089530.598368</v>
      </c>
      <c r="BN64" s="14">
        <f t="shared" si="103"/>
        <v>4895.5978451591382</v>
      </c>
      <c r="BO64" s="518">
        <f>'Table 4 Level 3'!P61</f>
        <v>2157811.8879999998</v>
      </c>
      <c r="BP64" s="519">
        <f t="shared" si="104"/>
        <v>749.76090618485057</v>
      </c>
      <c r="BQ64" s="392">
        <f>BI64+BO64</f>
        <v>15857784.486368001</v>
      </c>
      <c r="BR64" s="14">
        <f t="shared" si="105"/>
        <v>5510.0015588492006</v>
      </c>
      <c r="BS64" s="1594">
        <f>'[13]Table 3 Levels 1&amp;2'!CE64</f>
        <v>-93712.031648002565</v>
      </c>
      <c r="BT64" s="1594">
        <f t="shared" si="67"/>
        <v>-32.561512038916803</v>
      </c>
      <c r="BU64" s="1594">
        <f t="shared" si="68"/>
        <v>84340.828483202306</v>
      </c>
      <c r="BV64" s="1594">
        <f t="shared" si="106"/>
        <v>29.305360835025123</v>
      </c>
      <c r="BW64" s="1600">
        <f t="shared" si="69"/>
        <v>15942125.314851202</v>
      </c>
      <c r="BX64" s="1602">
        <f t="shared" si="107"/>
        <v>5539.3069196842262</v>
      </c>
      <c r="BY64" s="16">
        <f t="shared" si="70"/>
        <v>0.66101297169647233</v>
      </c>
      <c r="BZ64" s="393">
        <f t="shared" si="71"/>
        <v>30</v>
      </c>
      <c r="CA64" s="14">
        <f t="shared" si="72"/>
        <v>8175594</v>
      </c>
      <c r="CB64" s="14">
        <f t="shared" si="108"/>
        <v>2840.72</v>
      </c>
      <c r="CC64" s="393">
        <f t="shared" si="73"/>
        <v>49</v>
      </c>
      <c r="CD64" s="16">
        <f t="shared" si="74"/>
        <v>0.33898702830352767</v>
      </c>
      <c r="CE64" s="393">
        <f t="shared" si="75"/>
        <v>24117719.314851202</v>
      </c>
      <c r="CF64" s="394">
        <f t="shared" si="109"/>
        <v>8380.0275590170968</v>
      </c>
      <c r="CG64" s="393">
        <f t="shared" si="76"/>
        <v>52</v>
      </c>
      <c r="CH64" s="1340">
        <v>16053855.210096002</v>
      </c>
      <c r="CI64" s="279">
        <f t="shared" si="77"/>
        <v>-111729.89524479955</v>
      </c>
      <c r="CJ64" s="1747"/>
      <c r="CK64" s="350"/>
      <c r="CL64" s="350"/>
      <c r="CM64" s="350"/>
      <c r="CN64" s="350"/>
      <c r="CO64" s="350"/>
      <c r="CP64" s="350"/>
      <c r="CQ64" s="350"/>
      <c r="CR64" s="350"/>
      <c r="CS64" s="350"/>
      <c r="CT64" s="169"/>
      <c r="CU64" s="169"/>
      <c r="CV64" s="1749"/>
      <c r="CW64" s="169"/>
      <c r="CX64" s="169"/>
      <c r="CY64" s="1749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</row>
    <row r="65" spans="1:183" s="5" customFormat="1">
      <c r="A65" s="101">
        <v>57</v>
      </c>
      <c r="B65" s="81" t="s">
        <v>150</v>
      </c>
      <c r="C65" s="81">
        <f>'[2]ALL-Reformatted'!AC62</f>
        <v>9062</v>
      </c>
      <c r="D65" s="81">
        <f>'[3]All-Reformatted'!AC62</f>
        <v>5264</v>
      </c>
      <c r="E65" s="81">
        <f t="shared" si="79"/>
        <v>1158</v>
      </c>
      <c r="F65" s="81">
        <f>'[4]MS5627_CTE -Reformatted'!AC63</f>
        <v>3235.5</v>
      </c>
      <c r="G65" s="81">
        <f t="shared" si="80"/>
        <v>194</v>
      </c>
      <c r="H65" s="81">
        <f>'[5]Rollup_Level1 Formatted 2'!Y62</f>
        <v>201</v>
      </c>
      <c r="I65" s="81">
        <f t="shared" si="81"/>
        <v>80</v>
      </c>
      <c r="J65" s="81">
        <f>'[5]Rollup_Level2 Formatted 2'!AB62</f>
        <v>794</v>
      </c>
      <c r="K65" s="81">
        <f t="shared" si="82"/>
        <v>437</v>
      </c>
      <c r="L65" s="81">
        <f>'[5]Rollup_Level3 Formatted 2'!T62</f>
        <v>98</v>
      </c>
      <c r="M65" s="81">
        <f t="shared" si="83"/>
        <v>78</v>
      </c>
      <c r="N65" s="81">
        <f>'[6]Rollup_Level1-REFORMATTED (2)'!P61</f>
        <v>98</v>
      </c>
      <c r="O65" s="81">
        <f t="shared" si="84"/>
        <v>34</v>
      </c>
      <c r="P65" s="81">
        <f>'[6]Rollup_Level2_REFORMATTED (2)'!V61</f>
        <v>126</v>
      </c>
      <c r="Q65" s="81">
        <f t="shared" si="85"/>
        <v>69</v>
      </c>
      <c r="R65" s="81">
        <f>'[6]Rollup_Level3 FORMATTED (2)'!Y61</f>
        <v>593</v>
      </c>
      <c r="S65" s="81">
        <f t="shared" si="86"/>
        <v>415</v>
      </c>
      <c r="T65" s="81">
        <f>[7]Exceeds!AJ62</f>
        <v>74</v>
      </c>
      <c r="U65" s="81">
        <f t="shared" si="87"/>
        <v>100</v>
      </c>
      <c r="V65" s="81">
        <f>'[8]Significantly Exceeds'!V62</f>
        <v>180</v>
      </c>
      <c r="W65" s="81">
        <f t="shared" si="88"/>
        <v>315</v>
      </c>
      <c r="X65" s="81">
        <f>'[9]Roll up'!J62</f>
        <v>13</v>
      </c>
      <c r="Y65" s="81">
        <f t="shared" si="89"/>
        <v>20</v>
      </c>
      <c r="Z65" s="81">
        <f>[10]BeginSchYr2011_ByExcept!P56</f>
        <v>4</v>
      </c>
      <c r="AA65" s="81">
        <f t="shared" si="90"/>
        <v>6</v>
      </c>
      <c r="AB65" s="1363">
        <v>2.1419161331994604E-2</v>
      </c>
      <c r="AC65" s="81">
        <f t="shared" si="48"/>
        <v>1093</v>
      </c>
      <c r="AD65" s="81">
        <f t="shared" si="49"/>
        <v>0</v>
      </c>
      <c r="AE65" s="81">
        <f t="shared" si="50"/>
        <v>0</v>
      </c>
      <c r="AF65" s="81">
        <f t="shared" si="51"/>
        <v>0</v>
      </c>
      <c r="AG65" s="81">
        <f t="shared" si="91"/>
        <v>1554</v>
      </c>
      <c r="AH65" s="81">
        <f>'[11]Rollup_PS-8th'!R61</f>
        <v>133</v>
      </c>
      <c r="AI65" s="13">
        <f t="shared" si="92"/>
        <v>80</v>
      </c>
      <c r="AJ65" s="13">
        <f>'[11]Rollup_9th-12th'!M61</f>
        <v>54</v>
      </c>
      <c r="AK65" s="13">
        <f t="shared" si="93"/>
        <v>16.2</v>
      </c>
      <c r="AL65" s="13">
        <f>[12]Reformatted!Y62</f>
        <v>14</v>
      </c>
      <c r="AM65" s="13">
        <f t="shared" si="52"/>
        <v>4.2</v>
      </c>
      <c r="AN65" s="13">
        <f t="shared" si="94"/>
        <v>0</v>
      </c>
      <c r="AO65" s="65">
        <f t="shared" si="95"/>
        <v>0</v>
      </c>
      <c r="AP65" s="13">
        <f t="shared" si="96"/>
        <v>0</v>
      </c>
      <c r="AQ65" s="13">
        <f t="shared" si="97"/>
        <v>3006.3999999999996</v>
      </c>
      <c r="AR65" s="13">
        <f t="shared" si="98"/>
        <v>12068.4</v>
      </c>
      <c r="AS65" s="388">
        <f t="shared" si="53"/>
        <v>3855</v>
      </c>
      <c r="AT65" s="388">
        <f t="shared" si="99"/>
        <v>46523682</v>
      </c>
      <c r="AU65" s="388">
        <f>'Table 6 (Local Deduct Calc.)'!J65</f>
        <v>13799137</v>
      </c>
      <c r="AV65" s="388">
        <f t="shared" si="54"/>
        <v>13799137</v>
      </c>
      <c r="AW65" s="389">
        <f t="shared" si="55"/>
        <v>32724545</v>
      </c>
      <c r="AX65" s="390">
        <f t="shared" si="78"/>
        <v>0.70340000000000003</v>
      </c>
      <c r="AY65" s="390">
        <f t="shared" si="56"/>
        <v>0.29659999999999997</v>
      </c>
      <c r="AZ65" s="391">
        <f t="shared" si="100"/>
        <v>1522.7474067534761</v>
      </c>
      <c r="BA65" s="388">
        <f>'Table 7 Local Revenue'!AQ64</f>
        <v>25760842</v>
      </c>
      <c r="BB65" s="388">
        <f t="shared" si="57"/>
        <v>11961705</v>
      </c>
      <c r="BC65" s="279">
        <f t="shared" si="58"/>
        <v>0</v>
      </c>
      <c r="BD65" s="14">
        <f t="shared" si="59"/>
        <v>15818051.880000001</v>
      </c>
      <c r="BE65" s="14">
        <f t="shared" si="60"/>
        <v>11961705</v>
      </c>
      <c r="BF65" s="388">
        <f t="shared" si="61"/>
        <v>6102287.7291599996</v>
      </c>
      <c r="BG65" s="392">
        <f t="shared" si="62"/>
        <v>5859417.2708400004</v>
      </c>
      <c r="BH65" s="16">
        <f t="shared" si="63"/>
        <v>0.48980000000000001</v>
      </c>
      <c r="BI65" s="392">
        <f t="shared" si="64"/>
        <v>38583962.270840004</v>
      </c>
      <c r="BJ65" s="14">
        <f t="shared" si="101"/>
        <v>4258</v>
      </c>
      <c r="BK65" s="392">
        <f>'Table 4 Level 3'!M62</f>
        <v>1226607</v>
      </c>
      <c r="BL65" s="14">
        <f t="shared" si="102"/>
        <v>135.3572059148091</v>
      </c>
      <c r="BM65" s="392">
        <f t="shared" si="65"/>
        <v>39810569.270840004</v>
      </c>
      <c r="BN65" s="14">
        <f t="shared" si="103"/>
        <v>4393.1327820392853</v>
      </c>
      <c r="BO65" s="518">
        <f>'Table 4 Level 3'!P62</f>
        <v>8153373.4040000001</v>
      </c>
      <c r="BP65" s="519">
        <f t="shared" si="104"/>
        <v>899.73222290885019</v>
      </c>
      <c r="BQ65" s="392">
        <f t="shared" si="66"/>
        <v>46737335.674840003</v>
      </c>
      <c r="BR65" s="14">
        <f t="shared" si="105"/>
        <v>5157.5077990333266</v>
      </c>
      <c r="BS65" s="1594">
        <f>'[13]Table 3 Levels 1&amp;2'!CE65</f>
        <v>-417042.22510000318</v>
      </c>
      <c r="BT65" s="1594">
        <f t="shared" si="67"/>
        <v>-46.020991514014916</v>
      </c>
      <c r="BU65" s="1594">
        <f t="shared" si="68"/>
        <v>375338.0025900029</v>
      </c>
      <c r="BV65" s="1594">
        <f t="shared" si="106"/>
        <v>41.418892362613427</v>
      </c>
      <c r="BW65" s="1600">
        <f t="shared" si="69"/>
        <v>47112673.677430004</v>
      </c>
      <c r="BX65" s="1602">
        <f t="shared" si="107"/>
        <v>5198.9266913959391</v>
      </c>
      <c r="BY65" s="16">
        <f t="shared" si="70"/>
        <v>0.64649925613540127</v>
      </c>
      <c r="BZ65" s="393">
        <f t="shared" si="71"/>
        <v>35</v>
      </c>
      <c r="CA65" s="14">
        <f t="shared" si="72"/>
        <v>25760842</v>
      </c>
      <c r="CB65" s="14">
        <f t="shared" si="108"/>
        <v>2842.73</v>
      </c>
      <c r="CC65" s="393">
        <f t="shared" si="73"/>
        <v>48</v>
      </c>
      <c r="CD65" s="16">
        <f t="shared" si="74"/>
        <v>0.35350074386459868</v>
      </c>
      <c r="CE65" s="393">
        <f t="shared" si="75"/>
        <v>72873515.677430004</v>
      </c>
      <c r="CF65" s="394">
        <f t="shared" si="109"/>
        <v>8041.6592007757672</v>
      </c>
      <c r="CG65" s="393">
        <f t="shared" si="76"/>
        <v>63</v>
      </c>
      <c r="CH65" s="1340">
        <v>45728966.601220809</v>
      </c>
      <c r="CI65" s="279">
        <f t="shared" si="77"/>
        <v>1383707.076209195</v>
      </c>
      <c r="CJ65" s="1747"/>
      <c r="CK65" s="350"/>
      <c r="CL65" s="350"/>
      <c r="CM65" s="350"/>
      <c r="CN65" s="350"/>
      <c r="CO65" s="350"/>
      <c r="CP65" s="350"/>
      <c r="CQ65" s="350"/>
      <c r="CR65" s="350"/>
      <c r="CS65" s="350"/>
      <c r="CT65" s="169"/>
      <c r="CU65" s="169"/>
      <c r="CV65" s="1749"/>
      <c r="CW65" s="169"/>
      <c r="CX65" s="169"/>
      <c r="CY65" s="1749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</row>
    <row r="66" spans="1:183" s="5" customFormat="1">
      <c r="A66" s="101">
        <v>58</v>
      </c>
      <c r="B66" s="81" t="s">
        <v>151</v>
      </c>
      <c r="C66" s="81">
        <f>'[2]ALL-Reformatted'!AC63</f>
        <v>9105</v>
      </c>
      <c r="D66" s="81">
        <f>'[3]All-Reformatted'!AC63</f>
        <v>5334</v>
      </c>
      <c r="E66" s="81">
        <f t="shared" si="79"/>
        <v>1173</v>
      </c>
      <c r="F66" s="81">
        <f>'[4]MS5627_CTE -Reformatted'!AC64</f>
        <v>3275</v>
      </c>
      <c r="G66" s="81">
        <f t="shared" si="80"/>
        <v>197</v>
      </c>
      <c r="H66" s="81">
        <f>'[5]Rollup_Level1 Formatted 2'!Y63</f>
        <v>126</v>
      </c>
      <c r="I66" s="81">
        <f t="shared" si="81"/>
        <v>50</v>
      </c>
      <c r="J66" s="81">
        <f>'[5]Rollup_Level2 Formatted 2'!AB63</f>
        <v>808</v>
      </c>
      <c r="K66" s="81">
        <f t="shared" si="82"/>
        <v>444</v>
      </c>
      <c r="L66" s="81">
        <f>'[5]Rollup_Level3 Formatted 2'!T63</f>
        <v>86</v>
      </c>
      <c r="M66" s="81">
        <f t="shared" si="83"/>
        <v>69</v>
      </c>
      <c r="N66" s="81">
        <f>'[6]Rollup_Level1-REFORMATTED (2)'!P62</f>
        <v>83</v>
      </c>
      <c r="O66" s="81">
        <f t="shared" si="84"/>
        <v>29</v>
      </c>
      <c r="P66" s="81">
        <f>'[6]Rollup_Level2_REFORMATTED (2)'!V62</f>
        <v>262</v>
      </c>
      <c r="Q66" s="81">
        <f t="shared" si="85"/>
        <v>144</v>
      </c>
      <c r="R66" s="81">
        <f>'[6]Rollup_Level3 FORMATTED (2)'!Y62</f>
        <v>459</v>
      </c>
      <c r="S66" s="81">
        <f t="shared" si="86"/>
        <v>321</v>
      </c>
      <c r="T66" s="81">
        <f>[7]Exceeds!AJ63</f>
        <v>70</v>
      </c>
      <c r="U66" s="81">
        <f t="shared" si="87"/>
        <v>95</v>
      </c>
      <c r="V66" s="81">
        <f>'[8]Significantly Exceeds'!V63</f>
        <v>192</v>
      </c>
      <c r="W66" s="81">
        <f t="shared" si="88"/>
        <v>336</v>
      </c>
      <c r="X66" s="81">
        <f>'[9]Roll up'!J63</f>
        <v>31</v>
      </c>
      <c r="Y66" s="81">
        <f t="shared" si="89"/>
        <v>47</v>
      </c>
      <c r="Z66" s="81">
        <f>[10]BeginSchYr2011_ByExcept!P57</f>
        <v>8</v>
      </c>
      <c r="AA66" s="81">
        <f t="shared" si="90"/>
        <v>12</v>
      </c>
      <c r="AB66" s="129">
        <v>5.5609076336394156E-3</v>
      </c>
      <c r="AC66" s="81">
        <f t="shared" si="48"/>
        <v>1020</v>
      </c>
      <c r="AD66" s="81">
        <f t="shared" si="49"/>
        <v>0</v>
      </c>
      <c r="AE66" s="81">
        <f t="shared" si="50"/>
        <v>0</v>
      </c>
      <c r="AF66" s="81">
        <f t="shared" si="51"/>
        <v>31</v>
      </c>
      <c r="AG66" s="81">
        <f t="shared" si="91"/>
        <v>1578</v>
      </c>
      <c r="AH66" s="81">
        <f>'[11]Rollup_PS-8th'!R62</f>
        <v>142</v>
      </c>
      <c r="AI66" s="13">
        <f t="shared" si="92"/>
        <v>85</v>
      </c>
      <c r="AJ66" s="13">
        <f>'[11]Rollup_9th-12th'!M62</f>
        <v>91</v>
      </c>
      <c r="AK66" s="13">
        <f t="shared" si="93"/>
        <v>27.3</v>
      </c>
      <c r="AL66" s="13">
        <f>[12]Reformatted!Y63</f>
        <v>64</v>
      </c>
      <c r="AM66" s="13">
        <f t="shared" si="52"/>
        <v>19.2</v>
      </c>
      <c r="AN66" s="13">
        <f t="shared" si="94"/>
        <v>0</v>
      </c>
      <c r="AO66" s="65">
        <f t="shared" si="95"/>
        <v>0</v>
      </c>
      <c r="AP66" s="13">
        <f t="shared" si="96"/>
        <v>0</v>
      </c>
      <c r="AQ66" s="13">
        <f t="shared" si="97"/>
        <v>3079.5</v>
      </c>
      <c r="AR66" s="13">
        <f t="shared" si="98"/>
        <v>12184.5</v>
      </c>
      <c r="AS66" s="388">
        <f t="shared" si="53"/>
        <v>3855</v>
      </c>
      <c r="AT66" s="388">
        <f t="shared" si="99"/>
        <v>46971248</v>
      </c>
      <c r="AU66" s="388">
        <f>'Table 6 (Local Deduct Calc.)'!J66</f>
        <v>7530128</v>
      </c>
      <c r="AV66" s="388">
        <f t="shared" si="54"/>
        <v>7530128</v>
      </c>
      <c r="AW66" s="389">
        <f t="shared" si="55"/>
        <v>39441120</v>
      </c>
      <c r="AX66" s="390">
        <f t="shared" si="78"/>
        <v>0.8397</v>
      </c>
      <c r="AY66" s="390">
        <f t="shared" si="56"/>
        <v>0.1603</v>
      </c>
      <c r="AZ66" s="391">
        <f t="shared" si="100"/>
        <v>827.03218012081277</v>
      </c>
      <c r="BA66" s="388">
        <f>'Table 7 Local Revenue'!AQ65</f>
        <v>19717004</v>
      </c>
      <c r="BB66" s="388">
        <f t="shared" si="57"/>
        <v>12186876</v>
      </c>
      <c r="BC66" s="279">
        <f t="shared" si="58"/>
        <v>0</v>
      </c>
      <c r="BD66" s="14">
        <f t="shared" si="59"/>
        <v>15970224.32</v>
      </c>
      <c r="BE66" s="14">
        <f t="shared" si="60"/>
        <v>12186876</v>
      </c>
      <c r="BF66" s="388">
        <f t="shared" si="61"/>
        <v>3360116.703216</v>
      </c>
      <c r="BG66" s="392">
        <f t="shared" si="62"/>
        <v>8826759.2967840005</v>
      </c>
      <c r="BH66" s="16">
        <f t="shared" si="63"/>
        <v>0.72430000000000005</v>
      </c>
      <c r="BI66" s="392">
        <f t="shared" si="64"/>
        <v>48267879.296783999</v>
      </c>
      <c r="BJ66" s="14">
        <f t="shared" si="101"/>
        <v>5301</v>
      </c>
      <c r="BK66" s="392">
        <f>'Table 4 Level 3'!M63</f>
        <v>1232428</v>
      </c>
      <c r="BL66" s="14">
        <f t="shared" si="102"/>
        <v>135.35727622185613</v>
      </c>
      <c r="BM66" s="392">
        <f t="shared" si="65"/>
        <v>49500307.296783999</v>
      </c>
      <c r="BN66" s="14">
        <f t="shared" si="103"/>
        <v>5436.6070617006035</v>
      </c>
      <c r="BO66" s="518">
        <f>'Table 4 Level 3'!P63</f>
        <v>7574934.3679999989</v>
      </c>
      <c r="BP66" s="519">
        <f t="shared" si="104"/>
        <v>831.9532529379461</v>
      </c>
      <c r="BQ66" s="392">
        <f t="shared" si="66"/>
        <v>55842813.664783999</v>
      </c>
      <c r="BR66" s="14">
        <f t="shared" si="105"/>
        <v>6133.2030384166937</v>
      </c>
      <c r="BS66" s="1594">
        <f>'[13]Table 3 Levels 1&amp;2'!CE66</f>
        <v>19120.684115998447</v>
      </c>
      <c r="BT66" s="1594">
        <f t="shared" si="67"/>
        <v>2.1000202214166332</v>
      </c>
      <c r="BU66" s="1594">
        <f t="shared" si="68"/>
        <v>-17208.615704398602</v>
      </c>
      <c r="BV66" s="1594">
        <f t="shared" si="106"/>
        <v>-1.8900181992749701</v>
      </c>
      <c r="BW66" s="1600">
        <f t="shared" si="69"/>
        <v>55825605.049079597</v>
      </c>
      <c r="BX66" s="1602">
        <f t="shared" si="107"/>
        <v>6131.3130202174189</v>
      </c>
      <c r="BY66" s="16">
        <f t="shared" si="70"/>
        <v>0.73899492950806112</v>
      </c>
      <c r="BZ66" s="393">
        <f t="shared" si="71"/>
        <v>9</v>
      </c>
      <c r="CA66" s="14">
        <f t="shared" si="72"/>
        <v>19717004</v>
      </c>
      <c r="CB66" s="14">
        <f t="shared" si="108"/>
        <v>2165.5100000000002</v>
      </c>
      <c r="CC66" s="393">
        <f t="shared" si="73"/>
        <v>61</v>
      </c>
      <c r="CD66" s="16">
        <f t="shared" si="74"/>
        <v>0.26100507049193888</v>
      </c>
      <c r="CE66" s="393">
        <f t="shared" si="75"/>
        <v>75542609.049079597</v>
      </c>
      <c r="CF66" s="394">
        <f t="shared" si="109"/>
        <v>8296.8269136825475</v>
      </c>
      <c r="CG66" s="393">
        <f t="shared" si="76"/>
        <v>55</v>
      </c>
      <c r="CH66" s="1340">
        <v>57183868.69122</v>
      </c>
      <c r="CI66" s="279">
        <f t="shared" si="77"/>
        <v>-1358263.6421404034</v>
      </c>
      <c r="CJ66" s="1750"/>
      <c r="CK66" s="350"/>
      <c r="CL66" s="350"/>
      <c r="CM66" s="350"/>
      <c r="CN66" s="350"/>
      <c r="CO66" s="350"/>
      <c r="CP66" s="350"/>
      <c r="CQ66" s="350"/>
      <c r="CR66" s="350"/>
      <c r="CS66" s="350"/>
      <c r="CT66" s="169"/>
      <c r="CU66" s="169"/>
      <c r="CV66" s="1749"/>
      <c r="CW66" s="169"/>
      <c r="CX66" s="169"/>
      <c r="CY66" s="1749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</row>
    <row r="67" spans="1:183" s="5" customFormat="1">
      <c r="A67" s="101">
        <v>59</v>
      </c>
      <c r="B67" s="81" t="s">
        <v>152</v>
      </c>
      <c r="C67" s="81">
        <f>'[2]ALL-Reformatted'!AC64</f>
        <v>5253</v>
      </c>
      <c r="D67" s="81">
        <f>'[3]All-Reformatted'!AC64</f>
        <v>4444</v>
      </c>
      <c r="E67" s="81">
        <f t="shared" si="79"/>
        <v>978</v>
      </c>
      <c r="F67" s="81">
        <f>'[4]MS5627_CTE -Reformatted'!AC65</f>
        <v>2145.5</v>
      </c>
      <c r="G67" s="81">
        <f t="shared" si="80"/>
        <v>129</v>
      </c>
      <c r="H67" s="81">
        <f>'[5]Rollup_Level1 Formatted 2'!Y64</f>
        <v>125</v>
      </c>
      <c r="I67" s="81">
        <f t="shared" si="81"/>
        <v>50</v>
      </c>
      <c r="J67" s="81">
        <f>'[5]Rollup_Level2 Formatted 2'!AB64</f>
        <v>636</v>
      </c>
      <c r="K67" s="81">
        <f t="shared" si="82"/>
        <v>350</v>
      </c>
      <c r="L67" s="81">
        <f>'[5]Rollup_Level3 Formatted 2'!T64</f>
        <v>69</v>
      </c>
      <c r="M67" s="81">
        <f t="shared" si="83"/>
        <v>55</v>
      </c>
      <c r="N67" s="81">
        <f>'[6]Rollup_Level1-REFORMATTED (2)'!P63</f>
        <v>65</v>
      </c>
      <c r="O67" s="81">
        <f t="shared" si="84"/>
        <v>23</v>
      </c>
      <c r="P67" s="81">
        <f>'[6]Rollup_Level2_REFORMATTED (2)'!V63</f>
        <v>140</v>
      </c>
      <c r="Q67" s="81">
        <f t="shared" si="85"/>
        <v>77</v>
      </c>
      <c r="R67" s="81">
        <f>'[6]Rollup_Level3 FORMATTED (2)'!Y63</f>
        <v>423</v>
      </c>
      <c r="S67" s="81">
        <f t="shared" si="86"/>
        <v>296</v>
      </c>
      <c r="T67" s="81">
        <f>[7]Exceeds!AJ64</f>
        <v>58</v>
      </c>
      <c r="U67" s="81">
        <f t="shared" si="87"/>
        <v>78</v>
      </c>
      <c r="V67" s="81">
        <f>'[8]Significantly Exceeds'!V64</f>
        <v>189</v>
      </c>
      <c r="W67" s="81">
        <f t="shared" si="88"/>
        <v>331</v>
      </c>
      <c r="X67" s="81">
        <f>'[9]Roll up'!J64</f>
        <v>20</v>
      </c>
      <c r="Y67" s="81">
        <f t="shared" si="89"/>
        <v>30</v>
      </c>
      <c r="Z67" s="81">
        <f>[10]BeginSchYr2011_ByExcept!P58</f>
        <v>9</v>
      </c>
      <c r="AA67" s="81">
        <f t="shared" si="90"/>
        <v>14</v>
      </c>
      <c r="AB67" s="1363">
        <v>3.8814851529259758E-2</v>
      </c>
      <c r="AC67" s="81">
        <f t="shared" si="48"/>
        <v>830</v>
      </c>
      <c r="AD67" s="81">
        <f t="shared" si="49"/>
        <v>0</v>
      </c>
      <c r="AE67" s="81">
        <f t="shared" si="50"/>
        <v>0</v>
      </c>
      <c r="AF67" s="81">
        <f t="shared" si="51"/>
        <v>0</v>
      </c>
      <c r="AG67" s="81">
        <f t="shared" si="91"/>
        <v>1304</v>
      </c>
      <c r="AH67" s="81">
        <f>'[11]Rollup_PS-8th'!R63</f>
        <v>235</v>
      </c>
      <c r="AI67" s="13">
        <f t="shared" si="92"/>
        <v>141</v>
      </c>
      <c r="AJ67" s="13">
        <f>'[11]Rollup_9th-12th'!M63</f>
        <v>92</v>
      </c>
      <c r="AK67" s="13">
        <f t="shared" si="93"/>
        <v>27.599999999999998</v>
      </c>
      <c r="AL67" s="13">
        <f>[12]Reformatted!Y64</f>
        <v>3</v>
      </c>
      <c r="AM67" s="13">
        <f t="shared" si="52"/>
        <v>0.89999999999999991</v>
      </c>
      <c r="AN67" s="13">
        <f t="shared" si="94"/>
        <v>2247</v>
      </c>
      <c r="AO67" s="65">
        <f t="shared" si="95"/>
        <v>5.9920000000000001E-2</v>
      </c>
      <c r="AP67" s="13">
        <f t="shared" si="96"/>
        <v>315</v>
      </c>
      <c r="AQ67" s="13">
        <f t="shared" si="97"/>
        <v>2895.5</v>
      </c>
      <c r="AR67" s="13">
        <f t="shared" si="98"/>
        <v>8148.5</v>
      </c>
      <c r="AS67" s="388">
        <f t="shared" si="53"/>
        <v>3855</v>
      </c>
      <c r="AT67" s="388">
        <f t="shared" si="99"/>
        <v>31412468</v>
      </c>
      <c r="AU67" s="388">
        <f>'Table 6 (Local Deduct Calc.)'!J67</f>
        <v>3266410</v>
      </c>
      <c r="AV67" s="388">
        <f t="shared" si="54"/>
        <v>3266410</v>
      </c>
      <c r="AW67" s="389">
        <f t="shared" si="55"/>
        <v>28146058</v>
      </c>
      <c r="AX67" s="390">
        <f t="shared" si="78"/>
        <v>0.89600000000000002</v>
      </c>
      <c r="AY67" s="390">
        <f t="shared" si="56"/>
        <v>0.104</v>
      </c>
      <c r="AZ67" s="391">
        <f t="shared" si="100"/>
        <v>621.81800875690078</v>
      </c>
      <c r="BA67" s="388">
        <f>'Table 7 Local Revenue'!AQ66</f>
        <v>8225589</v>
      </c>
      <c r="BB67" s="388">
        <f t="shared" si="57"/>
        <v>4959179</v>
      </c>
      <c r="BC67" s="279">
        <f t="shared" si="58"/>
        <v>0</v>
      </c>
      <c r="BD67" s="14">
        <f t="shared" si="59"/>
        <v>10680239.120000001</v>
      </c>
      <c r="BE67" s="14">
        <f t="shared" si="60"/>
        <v>4959179</v>
      </c>
      <c r="BF67" s="388">
        <f t="shared" si="61"/>
        <v>887097.9395199999</v>
      </c>
      <c r="BG67" s="392">
        <f t="shared" si="62"/>
        <v>4072081.06048</v>
      </c>
      <c r="BH67" s="16">
        <f t="shared" si="63"/>
        <v>0.82110000000000005</v>
      </c>
      <c r="BI67" s="392">
        <f t="shared" si="64"/>
        <v>32218139.060479999</v>
      </c>
      <c r="BJ67" s="14">
        <f t="shared" si="101"/>
        <v>6133</v>
      </c>
      <c r="BK67" s="392">
        <f>'Table 4 Level 3'!M64</f>
        <v>711032</v>
      </c>
      <c r="BL67" s="14">
        <f t="shared" si="102"/>
        <v>135.35731962687987</v>
      </c>
      <c r="BM67" s="392">
        <f t="shared" si="65"/>
        <v>32929171.060479999</v>
      </c>
      <c r="BN67" s="14">
        <f t="shared" si="103"/>
        <v>6268.6409785798587</v>
      </c>
      <c r="BO67" s="518">
        <f>'Table 4 Level 3'!P64</f>
        <v>4331218.8560000006</v>
      </c>
      <c r="BP67" s="519">
        <f t="shared" si="104"/>
        <v>824.52291185988975</v>
      </c>
      <c r="BQ67" s="392">
        <f t="shared" si="66"/>
        <v>36549357.916479997</v>
      </c>
      <c r="BR67" s="14">
        <f t="shared" si="105"/>
        <v>6957.8065708128679</v>
      </c>
      <c r="BS67" s="1594">
        <f>'[13]Table 3 Levels 1&amp;2'!CE67</f>
        <v>95735.607260003686</v>
      </c>
      <c r="BT67" s="1594">
        <f t="shared" si="67"/>
        <v>18.224939512660136</v>
      </c>
      <c r="BU67" s="1594">
        <f t="shared" si="68"/>
        <v>-86162.046534003326</v>
      </c>
      <c r="BV67" s="1594">
        <f t="shared" si="106"/>
        <v>-16.402445561394124</v>
      </c>
      <c r="BW67" s="1600">
        <f t="shared" si="69"/>
        <v>36463195.869945996</v>
      </c>
      <c r="BX67" s="1602">
        <f t="shared" si="107"/>
        <v>6941.4041252514744</v>
      </c>
      <c r="BY67" s="16">
        <f t="shared" si="70"/>
        <v>0.81593616778934042</v>
      </c>
      <c r="BZ67" s="393">
        <f t="shared" si="71"/>
        <v>1</v>
      </c>
      <c r="CA67" s="14">
        <f t="shared" si="72"/>
        <v>8225589</v>
      </c>
      <c r="CB67" s="14">
        <f t="shared" si="108"/>
        <v>1565.88</v>
      </c>
      <c r="CC67" s="393">
        <f t="shared" si="73"/>
        <v>68</v>
      </c>
      <c r="CD67" s="16">
        <f t="shared" si="74"/>
        <v>0.18406383221065953</v>
      </c>
      <c r="CE67" s="393">
        <f t="shared" si="75"/>
        <v>44688784.869945996</v>
      </c>
      <c r="CF67" s="394">
        <f t="shared" si="109"/>
        <v>8507.2881914993322</v>
      </c>
      <c r="CG67" s="393">
        <f t="shared" si="76"/>
        <v>46</v>
      </c>
      <c r="CH67" s="1340">
        <v>36387242.653219998</v>
      </c>
      <c r="CI67" s="279">
        <f t="shared" si="77"/>
        <v>75953.216725997627</v>
      </c>
      <c r="CJ67" s="1750"/>
      <c r="CK67" s="350"/>
      <c r="CL67" s="350"/>
      <c r="CM67" s="350"/>
      <c r="CN67" s="350"/>
      <c r="CO67" s="350"/>
      <c r="CP67" s="350"/>
      <c r="CQ67" s="350"/>
      <c r="CR67" s="350"/>
      <c r="CS67" s="350"/>
      <c r="CT67" s="169"/>
      <c r="CU67" s="169"/>
      <c r="CV67" s="1749"/>
      <c r="CW67" s="169"/>
      <c r="CX67" s="169"/>
      <c r="CY67" s="1749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</row>
    <row r="68" spans="1:183" s="21" customFormat="1">
      <c r="A68" s="102">
        <v>60</v>
      </c>
      <c r="B68" s="82" t="s">
        <v>153</v>
      </c>
      <c r="C68" s="82">
        <f>'[2]ALL-Reformatted'!AC65</f>
        <v>6511</v>
      </c>
      <c r="D68" s="82">
        <f>'[3]All-Reformatted'!AC65</f>
        <v>4390</v>
      </c>
      <c r="E68" s="82">
        <f t="shared" si="79"/>
        <v>966</v>
      </c>
      <c r="F68" s="82">
        <f>'[4]MS5627_CTE -Reformatted'!AC66</f>
        <v>2676</v>
      </c>
      <c r="G68" s="82">
        <f t="shared" si="80"/>
        <v>161</v>
      </c>
      <c r="H68" s="82">
        <f>'[5]Rollup_Level1 Formatted 2'!Y65</f>
        <v>61</v>
      </c>
      <c r="I68" s="82">
        <f t="shared" si="81"/>
        <v>24</v>
      </c>
      <c r="J68" s="82">
        <f>'[5]Rollup_Level2 Formatted 2'!AB65</f>
        <v>548</v>
      </c>
      <c r="K68" s="82">
        <f t="shared" si="82"/>
        <v>301</v>
      </c>
      <c r="L68" s="82">
        <f>'[5]Rollup_Level3 Formatted 2'!T65</f>
        <v>104</v>
      </c>
      <c r="M68" s="82">
        <f t="shared" si="83"/>
        <v>83</v>
      </c>
      <c r="N68" s="82">
        <f>'[6]Rollup_Level1-REFORMATTED (2)'!P64</f>
        <v>70</v>
      </c>
      <c r="O68" s="82">
        <f t="shared" si="84"/>
        <v>25</v>
      </c>
      <c r="P68" s="82">
        <f>'[6]Rollup_Level2_REFORMATTED (2)'!V64</f>
        <v>171</v>
      </c>
      <c r="Q68" s="82">
        <f t="shared" si="85"/>
        <v>94</v>
      </c>
      <c r="R68" s="82">
        <f>'[6]Rollup_Level3 FORMATTED (2)'!Y64</f>
        <v>392</v>
      </c>
      <c r="S68" s="82">
        <f t="shared" si="86"/>
        <v>274</v>
      </c>
      <c r="T68" s="82">
        <f>[7]Exceeds!AJ65</f>
        <v>69</v>
      </c>
      <c r="U68" s="82">
        <f t="shared" si="87"/>
        <v>93</v>
      </c>
      <c r="V68" s="82">
        <f>'[8]Significantly Exceeds'!V65</f>
        <v>130</v>
      </c>
      <c r="W68" s="82">
        <f t="shared" si="88"/>
        <v>228</v>
      </c>
      <c r="X68" s="82">
        <f>'[9]Roll up'!J65</f>
        <v>25</v>
      </c>
      <c r="Y68" s="82">
        <f t="shared" si="89"/>
        <v>38</v>
      </c>
      <c r="Z68" s="82">
        <f>[10]BeginSchYr2011_ByExcept!P59</f>
        <v>2</v>
      </c>
      <c r="AA68" s="82">
        <f t="shared" si="90"/>
        <v>3</v>
      </c>
      <c r="AB68" s="1366">
        <v>1.2987323606792639E-2</v>
      </c>
      <c r="AC68" s="82">
        <f t="shared" si="48"/>
        <v>713</v>
      </c>
      <c r="AD68" s="82">
        <f t="shared" si="49"/>
        <v>0</v>
      </c>
      <c r="AE68" s="82">
        <f t="shared" si="50"/>
        <v>0</v>
      </c>
      <c r="AF68" s="82">
        <f t="shared" si="51"/>
        <v>0</v>
      </c>
      <c r="AG68" s="82">
        <f t="shared" si="91"/>
        <v>1163</v>
      </c>
      <c r="AH68" s="82">
        <f>'[11]Rollup_PS-8th'!R64</f>
        <v>185</v>
      </c>
      <c r="AI68" s="19">
        <f t="shared" si="92"/>
        <v>111</v>
      </c>
      <c r="AJ68" s="19">
        <f>'[11]Rollup_9th-12th'!M64</f>
        <v>117</v>
      </c>
      <c r="AK68" s="19">
        <f t="shared" si="93"/>
        <v>35.1</v>
      </c>
      <c r="AL68" s="19">
        <f>[12]Reformatted!Y65</f>
        <v>26</v>
      </c>
      <c r="AM68" s="19">
        <f t="shared" si="52"/>
        <v>7.8</v>
      </c>
      <c r="AN68" s="19">
        <f t="shared" si="94"/>
        <v>989</v>
      </c>
      <c r="AO68" s="66">
        <f t="shared" si="95"/>
        <v>2.6370000000000001E-2</v>
      </c>
      <c r="AP68" s="19">
        <f t="shared" si="96"/>
        <v>172</v>
      </c>
      <c r="AQ68" s="19">
        <f t="shared" si="97"/>
        <v>2615.9</v>
      </c>
      <c r="AR68" s="13">
        <f t="shared" si="98"/>
        <v>9126.9</v>
      </c>
      <c r="AS68" s="395">
        <f t="shared" si="53"/>
        <v>3855</v>
      </c>
      <c r="AT68" s="395">
        <f t="shared" si="99"/>
        <v>35184200</v>
      </c>
      <c r="AU68" s="395">
        <f>'Table 6 (Local Deduct Calc.)'!J68</f>
        <v>9912515</v>
      </c>
      <c r="AV68" s="395">
        <f t="shared" si="54"/>
        <v>9912515</v>
      </c>
      <c r="AW68" s="396">
        <f t="shared" si="55"/>
        <v>25271685</v>
      </c>
      <c r="AX68" s="397">
        <f t="shared" si="78"/>
        <v>0.71830000000000005</v>
      </c>
      <c r="AY68" s="398">
        <f t="shared" si="56"/>
        <v>0.28170000000000001</v>
      </c>
      <c r="AZ68" s="399">
        <f t="shared" si="100"/>
        <v>1522.4258946398402</v>
      </c>
      <c r="BA68" s="395">
        <f>'Table 7 Local Revenue'!AQ67</f>
        <v>26292855</v>
      </c>
      <c r="BB68" s="395">
        <f t="shared" si="57"/>
        <v>16380340</v>
      </c>
      <c r="BC68" s="280">
        <f t="shared" si="58"/>
        <v>0</v>
      </c>
      <c r="BD68" s="20">
        <f t="shared" si="59"/>
        <v>11962628</v>
      </c>
      <c r="BE68" s="20">
        <f t="shared" si="60"/>
        <v>11962628</v>
      </c>
      <c r="BF68" s="395">
        <f t="shared" si="61"/>
        <v>5796180.3690720005</v>
      </c>
      <c r="BG68" s="400">
        <f t="shared" si="62"/>
        <v>6166447.6309279995</v>
      </c>
      <c r="BH68" s="273">
        <f t="shared" si="63"/>
        <v>0.51549999999999996</v>
      </c>
      <c r="BI68" s="400">
        <f t="shared" si="64"/>
        <v>31438132.630927999</v>
      </c>
      <c r="BJ68" s="20">
        <f t="shared" si="101"/>
        <v>4828</v>
      </c>
      <c r="BK68" s="400">
        <f>'Table 4 Level 3'!M65</f>
        <v>881311</v>
      </c>
      <c r="BL68" s="20">
        <f t="shared" si="102"/>
        <v>135.35724159115344</v>
      </c>
      <c r="BM68" s="400">
        <f t="shared" si="65"/>
        <v>32319443.630927999</v>
      </c>
      <c r="BN68" s="20">
        <f t="shared" si="103"/>
        <v>4963.8217832787586</v>
      </c>
      <c r="BO68" s="520">
        <f>'Table 4 Level 3'!P65</f>
        <v>4746551.068</v>
      </c>
      <c r="BP68" s="521">
        <f t="shared" si="104"/>
        <v>729.00492520350178</v>
      </c>
      <c r="BQ68" s="400">
        <f t="shared" si="66"/>
        <v>36184683.698927999</v>
      </c>
      <c r="BR68" s="20">
        <f t="shared" si="105"/>
        <v>5557.469466891107</v>
      </c>
      <c r="BS68" s="20">
        <f>'[13]Table 3 Levels 1&amp;2'!CE68</f>
        <v>442489.53682560474</v>
      </c>
      <c r="BT68" s="20">
        <f t="shared" si="67"/>
        <v>67.960303613209149</v>
      </c>
      <c r="BU68" s="20">
        <f t="shared" si="68"/>
        <v>-398240.58314304426</v>
      </c>
      <c r="BV68" s="20">
        <f t="shared" si="106"/>
        <v>-61.164273251888233</v>
      </c>
      <c r="BW68" s="760">
        <f t="shared" si="69"/>
        <v>35786443.115784958</v>
      </c>
      <c r="BX68" s="78">
        <f t="shared" si="107"/>
        <v>5496.3051936392194</v>
      </c>
      <c r="BY68" s="273">
        <f t="shared" si="70"/>
        <v>0.62062883674280955</v>
      </c>
      <c r="BZ68" s="401">
        <f t="shared" si="71"/>
        <v>38</v>
      </c>
      <c r="CA68" s="20">
        <f t="shared" si="72"/>
        <v>21875143</v>
      </c>
      <c r="CB68" s="20">
        <f t="shared" si="108"/>
        <v>3359.72</v>
      </c>
      <c r="CC68" s="401">
        <f t="shared" si="73"/>
        <v>33</v>
      </c>
      <c r="CD68" s="273">
        <f t="shared" si="74"/>
        <v>0.37937116325719045</v>
      </c>
      <c r="CE68" s="401">
        <f t="shared" si="75"/>
        <v>57661586.115784958</v>
      </c>
      <c r="CF68" s="402">
        <f t="shared" si="109"/>
        <v>8856.0261274435506</v>
      </c>
      <c r="CG68" s="401">
        <f t="shared" si="76"/>
        <v>31</v>
      </c>
      <c r="CH68" s="1341">
        <v>35082020.247507997</v>
      </c>
      <c r="CI68" s="280">
        <f t="shared" si="77"/>
        <v>704422.86827696115</v>
      </c>
      <c r="CJ68" s="1750"/>
      <c r="CK68" s="350"/>
      <c r="CL68" s="350"/>
      <c r="CM68" s="350"/>
      <c r="CN68" s="350"/>
      <c r="CO68" s="350"/>
      <c r="CP68" s="350"/>
      <c r="CQ68" s="350"/>
      <c r="CR68" s="350"/>
      <c r="CS68" s="350"/>
      <c r="CT68" s="169"/>
      <c r="CU68" s="169"/>
      <c r="CV68" s="1749"/>
      <c r="CW68" s="169"/>
      <c r="CX68" s="169"/>
      <c r="CY68" s="1749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</row>
    <row r="69" spans="1:183" s="5" customFormat="1">
      <c r="A69" s="101">
        <v>61</v>
      </c>
      <c r="B69" s="81" t="s">
        <v>154</v>
      </c>
      <c r="C69" s="81">
        <f>'[2]ALL-Reformatted'!AC66</f>
        <v>3638</v>
      </c>
      <c r="D69" s="81">
        <f>'[3]All-Reformatted'!AC66</f>
        <v>2534</v>
      </c>
      <c r="E69" s="81">
        <f t="shared" si="79"/>
        <v>557</v>
      </c>
      <c r="F69" s="81">
        <f>'[4]MS5627_CTE -Reformatted'!AC67</f>
        <v>1264</v>
      </c>
      <c r="G69" s="81">
        <f t="shared" si="80"/>
        <v>76</v>
      </c>
      <c r="H69" s="81">
        <f>'[5]Rollup_Level1 Formatted 2'!Y66</f>
        <v>42</v>
      </c>
      <c r="I69" s="81">
        <f t="shared" si="81"/>
        <v>17</v>
      </c>
      <c r="J69" s="81">
        <f>'[5]Rollup_Level2 Formatted 2'!AB66</f>
        <v>278</v>
      </c>
      <c r="K69" s="81">
        <f t="shared" si="82"/>
        <v>153</v>
      </c>
      <c r="L69" s="81">
        <f>'[5]Rollup_Level3 Formatted 2'!T66</f>
        <v>49</v>
      </c>
      <c r="M69" s="81">
        <f t="shared" si="83"/>
        <v>39</v>
      </c>
      <c r="N69" s="81">
        <f>'[6]Rollup_Level1-REFORMATTED (2)'!P65</f>
        <v>33</v>
      </c>
      <c r="O69" s="81">
        <f t="shared" si="84"/>
        <v>12</v>
      </c>
      <c r="P69" s="81">
        <f>'[6]Rollup_Level2_REFORMATTED (2)'!V65</f>
        <v>74</v>
      </c>
      <c r="Q69" s="81">
        <f t="shared" si="85"/>
        <v>41</v>
      </c>
      <c r="R69" s="81">
        <f>'[6]Rollup_Level3 FORMATTED (2)'!Y65</f>
        <v>186</v>
      </c>
      <c r="S69" s="81">
        <f t="shared" si="86"/>
        <v>130</v>
      </c>
      <c r="T69" s="81">
        <f>[7]Exceeds!AJ66</f>
        <v>26</v>
      </c>
      <c r="U69" s="81">
        <f t="shared" si="87"/>
        <v>35</v>
      </c>
      <c r="V69" s="81">
        <f>'[8]Significantly Exceeds'!V66</f>
        <v>74</v>
      </c>
      <c r="W69" s="81">
        <f t="shared" si="88"/>
        <v>130</v>
      </c>
      <c r="X69" s="81">
        <f>'[9]Roll up'!J66</f>
        <v>11</v>
      </c>
      <c r="Y69" s="81">
        <f t="shared" si="89"/>
        <v>17</v>
      </c>
      <c r="Z69" s="81">
        <f>[10]BeginSchYr2011_ByExcept!P60</f>
        <v>7</v>
      </c>
      <c r="AA69" s="81">
        <f t="shared" si="90"/>
        <v>11</v>
      </c>
      <c r="AB69" s="129">
        <v>2.115581255950072E-5</v>
      </c>
      <c r="AC69" s="81">
        <f t="shared" si="48"/>
        <v>369</v>
      </c>
      <c r="AD69" s="81">
        <f t="shared" si="49"/>
        <v>0</v>
      </c>
      <c r="AE69" s="81">
        <f t="shared" si="50"/>
        <v>0</v>
      </c>
      <c r="AF69" s="81">
        <f t="shared" si="51"/>
        <v>11</v>
      </c>
      <c r="AG69" s="81">
        <f t="shared" si="91"/>
        <v>596</v>
      </c>
      <c r="AH69" s="81">
        <f>'[11]Rollup_PS-8th'!R65</f>
        <v>81</v>
      </c>
      <c r="AI69" s="13">
        <f t="shared" si="92"/>
        <v>49</v>
      </c>
      <c r="AJ69" s="13">
        <f>'[11]Rollup_9th-12th'!M65</f>
        <v>58</v>
      </c>
      <c r="AK69" s="13">
        <f t="shared" si="93"/>
        <v>17.399999999999999</v>
      </c>
      <c r="AL69" s="13">
        <f>[12]Reformatted!Y66</f>
        <v>25</v>
      </c>
      <c r="AM69" s="13">
        <f t="shared" si="52"/>
        <v>7.5</v>
      </c>
      <c r="AN69" s="13">
        <f t="shared" si="94"/>
        <v>3862</v>
      </c>
      <c r="AO69" s="65">
        <f t="shared" si="95"/>
        <v>0.10299</v>
      </c>
      <c r="AP69" s="13">
        <f t="shared" si="96"/>
        <v>375</v>
      </c>
      <c r="AQ69" s="13">
        <f t="shared" si="97"/>
        <v>1677.9</v>
      </c>
      <c r="AR69" s="36">
        <f t="shared" si="98"/>
        <v>5315.9</v>
      </c>
      <c r="AS69" s="388">
        <f t="shared" si="53"/>
        <v>3855</v>
      </c>
      <c r="AT69" s="388">
        <f t="shared" si="99"/>
        <v>20492795</v>
      </c>
      <c r="AU69" s="388">
        <f>'Table 6 (Local Deduct Calc.)'!J69</f>
        <v>10969073.5</v>
      </c>
      <c r="AV69" s="388">
        <f t="shared" si="54"/>
        <v>10969073.5</v>
      </c>
      <c r="AW69" s="389">
        <f t="shared" si="55"/>
        <v>9523721.5</v>
      </c>
      <c r="AX69" s="390">
        <f t="shared" si="78"/>
        <v>0.4647</v>
      </c>
      <c r="AY69" s="390">
        <f t="shared" si="56"/>
        <v>0.5353</v>
      </c>
      <c r="AZ69" s="391">
        <f t="shared" si="100"/>
        <v>3015.1384002199011</v>
      </c>
      <c r="BA69" s="388">
        <f>'Table 7 Local Revenue'!AQ68</f>
        <v>24507329.5</v>
      </c>
      <c r="BB69" s="388">
        <f t="shared" si="57"/>
        <v>13538256</v>
      </c>
      <c r="BC69" s="279">
        <f t="shared" si="58"/>
        <v>0</v>
      </c>
      <c r="BD69" s="14">
        <f t="shared" si="59"/>
        <v>6967550.3000000007</v>
      </c>
      <c r="BE69" s="14">
        <f t="shared" si="60"/>
        <v>6967550.3000000007</v>
      </c>
      <c r="BF69" s="388">
        <f t="shared" si="61"/>
        <v>6415135.0420148009</v>
      </c>
      <c r="BG69" s="392">
        <f t="shared" si="62"/>
        <v>552415.2579851998</v>
      </c>
      <c r="BH69" s="16">
        <f t="shared" si="63"/>
        <v>7.9299999999999995E-2</v>
      </c>
      <c r="BI69" s="392">
        <f t="shared" si="64"/>
        <v>10076136.757985201</v>
      </c>
      <c r="BJ69" s="14">
        <f t="shared" si="101"/>
        <v>2770</v>
      </c>
      <c r="BK69" s="392">
        <f>'Table 4 Level 3'!M66</f>
        <v>492430</v>
      </c>
      <c r="BL69" s="14">
        <f t="shared" si="102"/>
        <v>135.3573391973612</v>
      </c>
      <c r="BM69" s="392">
        <f t="shared" si="65"/>
        <v>10568566.757985201</v>
      </c>
      <c r="BN69" s="14">
        <f t="shared" si="103"/>
        <v>2905.0485865819683</v>
      </c>
      <c r="BO69" s="518">
        <f>'Table 4 Level 3'!P66</f>
        <v>3524216.4149999996</v>
      </c>
      <c r="BP69" s="519">
        <f t="shared" si="104"/>
        <v>968.72358851017032</v>
      </c>
      <c r="BQ69" s="392">
        <f t="shared" si="66"/>
        <v>13600353.1729852</v>
      </c>
      <c r="BR69" s="14">
        <f t="shared" si="105"/>
        <v>3738.4148358947773</v>
      </c>
      <c r="BS69" s="1594">
        <f>'[13]Table 3 Levels 1&amp;2'!CE69</f>
        <v>130469.49879775941</v>
      </c>
      <c r="BT69" s="1594">
        <f t="shared" si="67"/>
        <v>35.86297383115982</v>
      </c>
      <c r="BU69" s="1594">
        <f t="shared" si="68"/>
        <v>-117422.54891798347</v>
      </c>
      <c r="BV69" s="1594">
        <f t="shared" si="106"/>
        <v>-32.276676448043837</v>
      </c>
      <c r="BW69" s="1600">
        <f t="shared" si="69"/>
        <v>13482930.624067217</v>
      </c>
      <c r="BX69" s="1602">
        <f t="shared" si="107"/>
        <v>3706.1381594467339</v>
      </c>
      <c r="BY69" s="16">
        <f t="shared" si="70"/>
        <v>0.42912545614394076</v>
      </c>
      <c r="BZ69" s="393">
        <f t="shared" si="71"/>
        <v>61</v>
      </c>
      <c r="CA69" s="14">
        <f t="shared" si="72"/>
        <v>17936623.800000001</v>
      </c>
      <c r="CB69" s="14">
        <f t="shared" si="108"/>
        <v>4930.3500000000004</v>
      </c>
      <c r="CC69" s="393">
        <f t="shared" si="73"/>
        <v>10</v>
      </c>
      <c r="CD69" s="16">
        <f t="shared" si="74"/>
        <v>0.57087454385605918</v>
      </c>
      <c r="CE69" s="393">
        <f t="shared" si="75"/>
        <v>31419554.424067218</v>
      </c>
      <c r="CF69" s="394">
        <f t="shared" si="109"/>
        <v>8636.4910456479429</v>
      </c>
      <c r="CG69" s="393">
        <f t="shared" si="76"/>
        <v>41</v>
      </c>
      <c r="CH69" s="1340">
        <v>13821399.6803184</v>
      </c>
      <c r="CI69" s="279">
        <f t="shared" si="77"/>
        <v>-338469.05625118315</v>
      </c>
      <c r="CJ69" s="1750"/>
      <c r="CK69" s="350"/>
      <c r="CL69" s="350"/>
      <c r="CM69" s="350"/>
      <c r="CN69" s="350"/>
      <c r="CO69" s="350"/>
      <c r="CP69" s="350"/>
      <c r="CQ69" s="350"/>
      <c r="CR69" s="350"/>
      <c r="CS69" s="350"/>
      <c r="CT69" s="169"/>
      <c r="CU69" s="169"/>
      <c r="CV69" s="1749"/>
      <c r="CW69" s="169"/>
      <c r="CX69" s="169"/>
      <c r="CY69" s="174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</row>
    <row r="70" spans="1:183" s="5" customFormat="1">
      <c r="A70" s="101">
        <v>62</v>
      </c>
      <c r="B70" s="81" t="s">
        <v>155</v>
      </c>
      <c r="C70" s="81">
        <f>'[2]ALL-Reformatted'!AC67</f>
        <v>2143</v>
      </c>
      <c r="D70" s="81">
        <f>'[3]All-Reformatted'!AC67</f>
        <v>1620</v>
      </c>
      <c r="E70" s="81">
        <f t="shared" si="79"/>
        <v>356</v>
      </c>
      <c r="F70" s="81">
        <f>'[4]MS5627_CTE -Reformatted'!AC68</f>
        <v>665.5</v>
      </c>
      <c r="G70" s="81">
        <f t="shared" si="80"/>
        <v>40</v>
      </c>
      <c r="H70" s="81">
        <f>'[5]Rollup_Level1 Formatted 2'!Y67</f>
        <v>90</v>
      </c>
      <c r="I70" s="81">
        <f t="shared" si="81"/>
        <v>36</v>
      </c>
      <c r="J70" s="81">
        <f>'[5]Rollup_Level2 Formatted 2'!AB67</f>
        <v>127</v>
      </c>
      <c r="K70" s="81">
        <f t="shared" si="82"/>
        <v>70</v>
      </c>
      <c r="L70" s="81">
        <f>'[5]Rollup_Level3 Formatted 2'!T67</f>
        <v>17</v>
      </c>
      <c r="M70" s="81">
        <f t="shared" si="83"/>
        <v>14</v>
      </c>
      <c r="N70" s="81">
        <f>'[6]Rollup_Level1-REFORMATTED (2)'!P66</f>
        <v>26</v>
      </c>
      <c r="O70" s="81">
        <f t="shared" si="84"/>
        <v>9</v>
      </c>
      <c r="P70" s="81">
        <f>'[6]Rollup_Level2_REFORMATTED (2)'!V66</f>
        <v>75</v>
      </c>
      <c r="Q70" s="81">
        <f t="shared" si="85"/>
        <v>41</v>
      </c>
      <c r="R70" s="81">
        <f>'[6]Rollup_Level3 FORMATTED (2)'!Y66</f>
        <v>33</v>
      </c>
      <c r="S70" s="81">
        <f t="shared" si="86"/>
        <v>23</v>
      </c>
      <c r="T70" s="81">
        <f>[7]Exceeds!AJ67</f>
        <v>18</v>
      </c>
      <c r="U70" s="81">
        <f t="shared" si="87"/>
        <v>24</v>
      </c>
      <c r="V70" s="81">
        <f>'[8]Significantly Exceeds'!V67</f>
        <v>31</v>
      </c>
      <c r="W70" s="81">
        <f t="shared" si="88"/>
        <v>54</v>
      </c>
      <c r="X70" s="81">
        <f>'[9]Roll up'!J67</f>
        <v>1</v>
      </c>
      <c r="Y70" s="81">
        <f t="shared" si="89"/>
        <v>2</v>
      </c>
      <c r="Z70" s="81">
        <v>0</v>
      </c>
      <c r="AA70" s="81">
        <f t="shared" si="90"/>
        <v>0</v>
      </c>
      <c r="AB70" s="1363">
        <v>4.8328664799253032E-2</v>
      </c>
      <c r="AC70" s="81">
        <f t="shared" si="48"/>
        <v>234</v>
      </c>
      <c r="AD70" s="81">
        <f t="shared" si="49"/>
        <v>0</v>
      </c>
      <c r="AE70" s="81">
        <f t="shared" si="50"/>
        <v>0</v>
      </c>
      <c r="AF70" s="81">
        <f t="shared" si="51"/>
        <v>0</v>
      </c>
      <c r="AG70" s="81">
        <f t="shared" si="91"/>
        <v>273</v>
      </c>
      <c r="AH70" s="81">
        <f>'[11]Rollup_PS-8th'!R66</f>
        <v>10</v>
      </c>
      <c r="AI70" s="13">
        <f t="shared" si="92"/>
        <v>6</v>
      </c>
      <c r="AJ70" s="13">
        <f>'[11]Rollup_9th-12th'!M66</f>
        <v>9</v>
      </c>
      <c r="AK70" s="13">
        <f t="shared" si="93"/>
        <v>2.6999999999999997</v>
      </c>
      <c r="AL70" s="13">
        <f>[12]Reformatted!Y67</f>
        <v>0</v>
      </c>
      <c r="AM70" s="13">
        <f t="shared" si="52"/>
        <v>0</v>
      </c>
      <c r="AN70" s="13">
        <f t="shared" si="94"/>
        <v>5357</v>
      </c>
      <c r="AO70" s="65">
        <f t="shared" si="95"/>
        <v>0.14285</v>
      </c>
      <c r="AP70" s="13">
        <f t="shared" si="96"/>
        <v>306</v>
      </c>
      <c r="AQ70" s="13">
        <f t="shared" si="97"/>
        <v>983.7</v>
      </c>
      <c r="AR70" s="13">
        <f t="shared" si="98"/>
        <v>3126.7</v>
      </c>
      <c r="AS70" s="388">
        <f t="shared" si="53"/>
        <v>3855</v>
      </c>
      <c r="AT70" s="388">
        <f t="shared" si="99"/>
        <v>12053429</v>
      </c>
      <c r="AU70" s="388">
        <f>'Table 6 (Local Deduct Calc.)'!J70</f>
        <v>1987333</v>
      </c>
      <c r="AV70" s="388">
        <f t="shared" si="54"/>
        <v>1987333</v>
      </c>
      <c r="AW70" s="389">
        <f t="shared" si="55"/>
        <v>10066096</v>
      </c>
      <c r="AX70" s="390">
        <f t="shared" si="78"/>
        <v>0.83509999999999995</v>
      </c>
      <c r="AY70" s="390">
        <f t="shared" si="56"/>
        <v>0.16489999999999999</v>
      </c>
      <c r="AZ70" s="391">
        <f t="shared" si="100"/>
        <v>927.36024265049002</v>
      </c>
      <c r="BA70" s="388">
        <f>'Table 7 Local Revenue'!AQ69</f>
        <v>3860612</v>
      </c>
      <c r="BB70" s="388">
        <f t="shared" si="57"/>
        <v>1873279</v>
      </c>
      <c r="BC70" s="279">
        <f t="shared" si="58"/>
        <v>0</v>
      </c>
      <c r="BD70" s="14">
        <f t="shared" si="59"/>
        <v>4098165.8600000003</v>
      </c>
      <c r="BE70" s="14">
        <f t="shared" si="60"/>
        <v>1873279</v>
      </c>
      <c r="BF70" s="388">
        <f t="shared" si="61"/>
        <v>531314.37621200003</v>
      </c>
      <c r="BG70" s="392">
        <f t="shared" si="62"/>
        <v>1341964.6237880001</v>
      </c>
      <c r="BH70" s="16">
        <f t="shared" si="63"/>
        <v>0.71640000000000004</v>
      </c>
      <c r="BI70" s="392">
        <f t="shared" si="64"/>
        <v>11408060.623787999</v>
      </c>
      <c r="BJ70" s="14">
        <f t="shared" si="101"/>
        <v>5323</v>
      </c>
      <c r="BK70" s="392">
        <f>'Table 4 Level 3'!M67</f>
        <v>290071</v>
      </c>
      <c r="BL70" s="14">
        <f t="shared" si="102"/>
        <v>135.35744283714419</v>
      </c>
      <c r="BM70" s="392">
        <f t="shared" si="65"/>
        <v>11698131.623787999</v>
      </c>
      <c r="BN70" s="14">
        <f t="shared" si="103"/>
        <v>5458.7641734895005</v>
      </c>
      <c r="BO70" s="518">
        <f>'Table 4 Level 3'!P67</f>
        <v>1396321.1915890954</v>
      </c>
      <c r="BP70" s="519">
        <f t="shared" si="104"/>
        <v>651.57311786705338</v>
      </c>
      <c r="BQ70" s="392">
        <f t="shared" si="66"/>
        <v>12804381.815377094</v>
      </c>
      <c r="BR70" s="14">
        <f t="shared" si="105"/>
        <v>5974.9798485194087</v>
      </c>
      <c r="BS70" s="1594">
        <f>'[13]Table 3 Levels 1&amp;2'!CE70</f>
        <v>-322610.23519999906</v>
      </c>
      <c r="BT70" s="1594">
        <f t="shared" si="67"/>
        <v>-150.54140699953294</v>
      </c>
      <c r="BU70" s="1594">
        <f t="shared" si="68"/>
        <v>290349.21167999919</v>
      </c>
      <c r="BV70" s="1594">
        <f t="shared" si="106"/>
        <v>135.48726629957966</v>
      </c>
      <c r="BW70" s="1600">
        <f t="shared" si="69"/>
        <v>13094731.027057093</v>
      </c>
      <c r="BX70" s="1602">
        <f t="shared" si="107"/>
        <v>6110.4671148189882</v>
      </c>
      <c r="BY70" s="16">
        <f t="shared" si="70"/>
        <v>0.77230705425190804</v>
      </c>
      <c r="BZ70" s="393">
        <f t="shared" si="71"/>
        <v>4</v>
      </c>
      <c r="CA70" s="14">
        <f t="shared" si="72"/>
        <v>3860612</v>
      </c>
      <c r="CB70" s="14">
        <f t="shared" si="108"/>
        <v>1801.5</v>
      </c>
      <c r="CC70" s="393">
        <f t="shared" si="73"/>
        <v>66</v>
      </c>
      <c r="CD70" s="16">
        <f t="shared" si="74"/>
        <v>0.22769294574809196</v>
      </c>
      <c r="CE70" s="393">
        <f t="shared" si="75"/>
        <v>16955343.027057093</v>
      </c>
      <c r="CF70" s="394">
        <f t="shared" si="109"/>
        <v>7911.9659482300949</v>
      </c>
      <c r="CG70" s="393">
        <f t="shared" si="76"/>
        <v>65</v>
      </c>
      <c r="CH70" s="1340">
        <v>12970371.887228386</v>
      </c>
      <c r="CI70" s="279">
        <f t="shared" si="77"/>
        <v>124359.13982870616</v>
      </c>
      <c r="CJ70" s="1747"/>
      <c r="CK70" s="350"/>
      <c r="CL70" s="350"/>
      <c r="CM70" s="350"/>
      <c r="CN70" s="350"/>
      <c r="CO70" s="350"/>
      <c r="CP70" s="350"/>
      <c r="CQ70" s="350"/>
      <c r="CR70" s="350"/>
      <c r="CS70" s="350"/>
      <c r="CT70" s="169"/>
      <c r="CU70" s="169"/>
      <c r="CV70" s="1749"/>
      <c r="CW70" s="169"/>
      <c r="CX70" s="169"/>
      <c r="CY70" s="1749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</row>
    <row r="71" spans="1:183" s="5" customFormat="1">
      <c r="A71" s="101">
        <v>63</v>
      </c>
      <c r="B71" s="81" t="s">
        <v>156</v>
      </c>
      <c r="C71" s="81">
        <f>'[2]ALL-Reformatted'!AC68</f>
        <v>2043</v>
      </c>
      <c r="D71" s="81">
        <f>'[3]All-Reformatted'!AC68</f>
        <v>1072</v>
      </c>
      <c r="E71" s="81">
        <f t="shared" si="79"/>
        <v>236</v>
      </c>
      <c r="F71" s="81">
        <f>'[4]MS5627_CTE -Reformatted'!AC69</f>
        <v>614</v>
      </c>
      <c r="G71" s="81">
        <f t="shared" si="80"/>
        <v>37</v>
      </c>
      <c r="H71" s="81">
        <f>'[5]Rollup_Level1 Formatted 2'!Y68</f>
        <v>48</v>
      </c>
      <c r="I71" s="81">
        <f t="shared" si="81"/>
        <v>19</v>
      </c>
      <c r="J71" s="81">
        <f>'[5]Rollup_Level2 Formatted 2'!AB68</f>
        <v>184</v>
      </c>
      <c r="K71" s="81">
        <f t="shared" si="82"/>
        <v>101</v>
      </c>
      <c r="L71" s="81">
        <f>'[5]Rollup_Level3 Formatted 2'!T68</f>
        <v>28</v>
      </c>
      <c r="M71" s="81">
        <f t="shared" si="83"/>
        <v>22</v>
      </c>
      <c r="N71" s="81">
        <f>'[6]Rollup_Level1-REFORMATTED (2)'!P67</f>
        <v>16</v>
      </c>
      <c r="O71" s="81">
        <f t="shared" si="84"/>
        <v>6</v>
      </c>
      <c r="P71" s="81">
        <f>'[6]Rollup_Level2_REFORMATTED (2)'!V67</f>
        <v>22</v>
      </c>
      <c r="Q71" s="81">
        <f t="shared" si="85"/>
        <v>12</v>
      </c>
      <c r="R71" s="81">
        <f>'[6]Rollup_Level3 FORMATTED (2)'!Y67</f>
        <v>143</v>
      </c>
      <c r="S71" s="81">
        <f t="shared" si="86"/>
        <v>100</v>
      </c>
      <c r="T71" s="81">
        <f>[7]Exceeds!AJ68</f>
        <v>12</v>
      </c>
      <c r="U71" s="81">
        <f t="shared" si="87"/>
        <v>16</v>
      </c>
      <c r="V71" s="81">
        <f>'[8]Significantly Exceeds'!V68</f>
        <v>76</v>
      </c>
      <c r="W71" s="81">
        <f t="shared" si="88"/>
        <v>133</v>
      </c>
      <c r="X71" s="81">
        <f>'[9]Roll up'!J68</f>
        <v>6</v>
      </c>
      <c r="Y71" s="81">
        <f t="shared" si="89"/>
        <v>9</v>
      </c>
      <c r="Z71" s="81">
        <v>0</v>
      </c>
      <c r="AA71" s="81">
        <f t="shared" si="90"/>
        <v>0</v>
      </c>
      <c r="AB71" s="129">
        <v>-2.9771908763505411E-2</v>
      </c>
      <c r="AC71" s="81">
        <f t="shared" si="48"/>
        <v>260</v>
      </c>
      <c r="AD71" s="81">
        <f t="shared" si="49"/>
        <v>31</v>
      </c>
      <c r="AE71" s="81">
        <f t="shared" si="50"/>
        <v>0</v>
      </c>
      <c r="AF71" s="81">
        <f t="shared" si="51"/>
        <v>0</v>
      </c>
      <c r="AG71" s="81">
        <f t="shared" si="91"/>
        <v>449</v>
      </c>
      <c r="AH71" s="81">
        <f>'[11]Rollup_PS-8th'!R67</f>
        <v>93</v>
      </c>
      <c r="AI71" s="13">
        <f t="shared" si="92"/>
        <v>56</v>
      </c>
      <c r="AJ71" s="13">
        <f>'[11]Rollup_9th-12th'!M67</f>
        <v>46</v>
      </c>
      <c r="AK71" s="13">
        <f t="shared" si="93"/>
        <v>13.799999999999999</v>
      </c>
      <c r="AL71" s="13">
        <f>[12]Reformatted!Y68</f>
        <v>54</v>
      </c>
      <c r="AM71" s="13">
        <f t="shared" si="52"/>
        <v>16.2</v>
      </c>
      <c r="AN71" s="13">
        <f t="shared" si="94"/>
        <v>5457</v>
      </c>
      <c r="AO71" s="65">
        <f t="shared" si="95"/>
        <v>0.14552000000000001</v>
      </c>
      <c r="AP71" s="13">
        <f t="shared" si="96"/>
        <v>297</v>
      </c>
      <c r="AQ71" s="13">
        <f t="shared" si="97"/>
        <v>1105</v>
      </c>
      <c r="AR71" s="13">
        <f t="shared" si="98"/>
        <v>3148</v>
      </c>
      <c r="AS71" s="388">
        <f t="shared" si="53"/>
        <v>3855</v>
      </c>
      <c r="AT71" s="388">
        <f t="shared" si="99"/>
        <v>12135540</v>
      </c>
      <c r="AU71" s="388">
        <f>'Table 6 (Local Deduct Calc.)'!J71</f>
        <v>6053894.5</v>
      </c>
      <c r="AV71" s="388">
        <f t="shared" si="54"/>
        <v>6053894.5</v>
      </c>
      <c r="AW71" s="389">
        <f t="shared" si="55"/>
        <v>6081645.5</v>
      </c>
      <c r="AX71" s="390">
        <f t="shared" si="78"/>
        <v>0.50109999999999999</v>
      </c>
      <c r="AY71" s="390">
        <f t="shared" si="56"/>
        <v>0.49890000000000001</v>
      </c>
      <c r="AZ71" s="391">
        <f t="shared" si="100"/>
        <v>2963.2376407244251</v>
      </c>
      <c r="BA71" s="388">
        <f>'Table 7 Local Revenue'!AQ70</f>
        <v>14444067.5</v>
      </c>
      <c r="BB71" s="388">
        <f t="shared" si="57"/>
        <v>8390173</v>
      </c>
      <c r="BC71" s="279">
        <f t="shared" si="58"/>
        <v>0</v>
      </c>
      <c r="BD71" s="14">
        <f t="shared" si="59"/>
        <v>4126083.6</v>
      </c>
      <c r="BE71" s="14">
        <f t="shared" si="60"/>
        <v>4126083.6</v>
      </c>
      <c r="BF71" s="388">
        <f t="shared" si="61"/>
        <v>3540625.3458288</v>
      </c>
      <c r="BG71" s="392">
        <f t="shared" si="62"/>
        <v>585458.2541712001</v>
      </c>
      <c r="BH71" s="16">
        <f t="shared" si="63"/>
        <v>0.1419</v>
      </c>
      <c r="BI71" s="392">
        <f t="shared" si="64"/>
        <v>6667103.7541712001</v>
      </c>
      <c r="BJ71" s="14">
        <f t="shared" si="101"/>
        <v>3263</v>
      </c>
      <c r="BK71" s="392">
        <f>'Table 4 Level 3'!M68</f>
        <v>2452917</v>
      </c>
      <c r="BL71" s="14">
        <f t="shared" si="102"/>
        <v>1200.6446402349486</v>
      </c>
      <c r="BM71" s="392">
        <f t="shared" si="65"/>
        <v>9120020.7541712001</v>
      </c>
      <c r="BN71" s="14">
        <f t="shared" si="103"/>
        <v>4464.0336535346059</v>
      </c>
      <c r="BO71" s="518">
        <f>'Table 4 Level 3'!P68</f>
        <v>3998963.2910000002</v>
      </c>
      <c r="BP71" s="519">
        <f t="shared" si="104"/>
        <v>1957.3975971610378</v>
      </c>
      <c r="BQ71" s="392">
        <f t="shared" si="66"/>
        <v>10666067.045171201</v>
      </c>
      <c r="BR71" s="14">
        <f t="shared" si="105"/>
        <v>5220.7866104606956</v>
      </c>
      <c r="BS71" s="1594">
        <f>'[13]Table 3 Levels 1&amp;2'!CE71</f>
        <v>329542.08221952058</v>
      </c>
      <c r="BT71" s="1594">
        <f t="shared" si="67"/>
        <v>161.30302604969191</v>
      </c>
      <c r="BU71" s="1594">
        <f t="shared" si="68"/>
        <v>-296587.87399756856</v>
      </c>
      <c r="BV71" s="1594">
        <f t="shared" si="106"/>
        <v>-145.17272344472275</v>
      </c>
      <c r="BW71" s="1600">
        <f t="shared" si="69"/>
        <v>10369479.171173632</v>
      </c>
      <c r="BX71" s="1602">
        <f t="shared" si="107"/>
        <v>5075.613887015973</v>
      </c>
      <c r="BY71" s="16">
        <f t="shared" si="70"/>
        <v>0.50461085343211132</v>
      </c>
      <c r="BZ71" s="393">
        <f t="shared" si="71"/>
        <v>55</v>
      </c>
      <c r="CA71" s="14">
        <f t="shared" si="72"/>
        <v>10179978.1</v>
      </c>
      <c r="CB71" s="14">
        <f t="shared" si="108"/>
        <v>4982.8599999999997</v>
      </c>
      <c r="CC71" s="393">
        <f t="shared" si="73"/>
        <v>9</v>
      </c>
      <c r="CD71" s="16">
        <f t="shared" si="74"/>
        <v>0.49538914656788863</v>
      </c>
      <c r="CE71" s="393">
        <f t="shared" si="75"/>
        <v>20549457.271173634</v>
      </c>
      <c r="CF71" s="394">
        <f t="shared" si="109"/>
        <v>10058.471498371822</v>
      </c>
      <c r="CG71" s="393">
        <f t="shared" si="76"/>
        <v>5</v>
      </c>
      <c r="CH71" s="1340">
        <v>10527635.824539199</v>
      </c>
      <c r="CI71" s="279">
        <f t="shared" si="77"/>
        <v>-158156.65336556733</v>
      </c>
      <c r="CJ71" s="1750"/>
      <c r="CK71" s="350"/>
      <c r="CL71" s="350"/>
      <c r="CM71" s="350"/>
      <c r="CN71" s="350"/>
      <c r="CO71" s="350"/>
      <c r="CP71" s="350"/>
      <c r="CQ71" s="350"/>
      <c r="CR71" s="350"/>
      <c r="CS71" s="350"/>
      <c r="CT71" s="169"/>
      <c r="CU71" s="169"/>
      <c r="CV71" s="1749"/>
      <c r="CW71" s="169"/>
      <c r="CX71" s="169"/>
      <c r="CY71" s="1749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</row>
    <row r="72" spans="1:183" s="5" customFormat="1">
      <c r="A72" s="101">
        <v>64</v>
      </c>
      <c r="B72" s="81" t="s">
        <v>157</v>
      </c>
      <c r="C72" s="81">
        <f>'[2]ALL-Reformatted'!AC69</f>
        <v>2398</v>
      </c>
      <c r="D72" s="81">
        <f>'[3]All-Reformatted'!AC69</f>
        <v>1728</v>
      </c>
      <c r="E72" s="81">
        <f t="shared" si="79"/>
        <v>380</v>
      </c>
      <c r="F72" s="81">
        <f>'[4]MS5627_CTE -Reformatted'!AC70</f>
        <v>1264</v>
      </c>
      <c r="G72" s="81">
        <f t="shared" si="80"/>
        <v>76</v>
      </c>
      <c r="H72" s="81">
        <f>'[5]Rollup_Level1 Formatted 2'!Y69</f>
        <v>41</v>
      </c>
      <c r="I72" s="81">
        <f t="shared" si="81"/>
        <v>16</v>
      </c>
      <c r="J72" s="81">
        <f>'[5]Rollup_Level2 Formatted 2'!AB69</f>
        <v>243</v>
      </c>
      <c r="K72" s="81">
        <f t="shared" si="82"/>
        <v>134</v>
      </c>
      <c r="L72" s="81">
        <f>'[5]Rollup_Level3 Formatted 2'!T69</f>
        <v>37</v>
      </c>
      <c r="M72" s="81">
        <f t="shared" si="83"/>
        <v>30</v>
      </c>
      <c r="N72" s="81">
        <f>'[6]Rollup_Level1-REFORMATTED (2)'!P68</f>
        <v>32</v>
      </c>
      <c r="O72" s="81">
        <f t="shared" si="84"/>
        <v>11</v>
      </c>
      <c r="P72" s="81">
        <f>'[6]Rollup_Level2_REFORMATTED (2)'!V68</f>
        <v>81</v>
      </c>
      <c r="Q72" s="81">
        <f t="shared" si="85"/>
        <v>45</v>
      </c>
      <c r="R72" s="81">
        <f>'[6]Rollup_Level3 FORMATTED (2)'!Y68</f>
        <v>159</v>
      </c>
      <c r="S72" s="81">
        <f t="shared" si="86"/>
        <v>111</v>
      </c>
      <c r="T72" s="81">
        <f>[7]Exceeds!AJ69</f>
        <v>37</v>
      </c>
      <c r="U72" s="81">
        <f t="shared" si="87"/>
        <v>50</v>
      </c>
      <c r="V72" s="81">
        <f>'[8]Significantly Exceeds'!V69</f>
        <v>54</v>
      </c>
      <c r="W72" s="81">
        <f t="shared" si="88"/>
        <v>95</v>
      </c>
      <c r="X72" s="81">
        <f>'[9]Roll up'!J69</f>
        <v>7</v>
      </c>
      <c r="Y72" s="81">
        <f t="shared" si="89"/>
        <v>11</v>
      </c>
      <c r="Z72" s="81">
        <v>0</v>
      </c>
      <c r="AA72" s="81">
        <f t="shared" si="90"/>
        <v>0</v>
      </c>
      <c r="AB72" s="129">
        <v>-7.8956228956228947E-2</v>
      </c>
      <c r="AC72" s="81">
        <f t="shared" si="48"/>
        <v>321</v>
      </c>
      <c r="AD72" s="81">
        <f t="shared" si="49"/>
        <v>39</v>
      </c>
      <c r="AE72" s="81">
        <f t="shared" si="50"/>
        <v>0</v>
      </c>
      <c r="AF72" s="81">
        <f t="shared" si="51"/>
        <v>0</v>
      </c>
      <c r="AG72" s="81">
        <f t="shared" si="91"/>
        <v>542</v>
      </c>
      <c r="AH72" s="81">
        <f>'[11]Rollup_PS-8th'!R68</f>
        <v>48</v>
      </c>
      <c r="AI72" s="13">
        <f t="shared" si="92"/>
        <v>29</v>
      </c>
      <c r="AJ72" s="13">
        <f>'[11]Rollup_9th-12th'!M68</f>
        <v>34</v>
      </c>
      <c r="AK72" s="13">
        <f t="shared" si="93"/>
        <v>10.199999999999999</v>
      </c>
      <c r="AL72" s="13">
        <f>[12]Reformatted!Y69</f>
        <v>0</v>
      </c>
      <c r="AM72" s="13">
        <f t="shared" si="52"/>
        <v>0</v>
      </c>
      <c r="AN72" s="13">
        <f t="shared" si="94"/>
        <v>5102</v>
      </c>
      <c r="AO72" s="65">
        <f t="shared" si="95"/>
        <v>0.13605</v>
      </c>
      <c r="AP72" s="13">
        <f t="shared" si="96"/>
        <v>326</v>
      </c>
      <c r="AQ72" s="13">
        <f t="shared" si="97"/>
        <v>1363.2</v>
      </c>
      <c r="AR72" s="13">
        <f t="shared" si="98"/>
        <v>3761.2</v>
      </c>
      <c r="AS72" s="388">
        <f t="shared" si="53"/>
        <v>3855</v>
      </c>
      <c r="AT72" s="388">
        <f t="shared" si="99"/>
        <v>14499426</v>
      </c>
      <c r="AU72" s="388">
        <f>'Table 6 (Local Deduct Calc.)'!J72</f>
        <v>2966392</v>
      </c>
      <c r="AV72" s="388">
        <f t="shared" si="54"/>
        <v>2966392</v>
      </c>
      <c r="AW72" s="389">
        <f t="shared" si="55"/>
        <v>11533034</v>
      </c>
      <c r="AX72" s="390">
        <f t="shared" si="78"/>
        <v>0.7954</v>
      </c>
      <c r="AY72" s="390">
        <f t="shared" si="56"/>
        <v>0.2046</v>
      </c>
      <c r="AZ72" s="391">
        <f t="shared" si="100"/>
        <v>1237.0275229357799</v>
      </c>
      <c r="BA72" s="388">
        <f>'Table 7 Local Revenue'!AQ71</f>
        <v>6892061</v>
      </c>
      <c r="BB72" s="388">
        <f t="shared" si="57"/>
        <v>3925669</v>
      </c>
      <c r="BC72" s="279">
        <f t="shared" si="58"/>
        <v>0</v>
      </c>
      <c r="BD72" s="14">
        <f t="shared" si="59"/>
        <v>4929804.8400000008</v>
      </c>
      <c r="BE72" s="14">
        <f t="shared" si="60"/>
        <v>3925669</v>
      </c>
      <c r="BF72" s="388">
        <f t="shared" si="61"/>
        <v>1381490.0291279999</v>
      </c>
      <c r="BG72" s="392">
        <f t="shared" si="62"/>
        <v>2544178.9708719999</v>
      </c>
      <c r="BH72" s="16">
        <f t="shared" si="63"/>
        <v>0.64810000000000001</v>
      </c>
      <c r="BI72" s="392">
        <f t="shared" si="64"/>
        <v>14077212.970872</v>
      </c>
      <c r="BJ72" s="14">
        <f t="shared" si="101"/>
        <v>5870</v>
      </c>
      <c r="BK72" s="392">
        <f>'Table 4 Level 3'!M69</f>
        <v>324587</v>
      </c>
      <c r="BL72" s="14">
        <f t="shared" si="102"/>
        <v>135.35738115095913</v>
      </c>
      <c r="BM72" s="392">
        <f t="shared" si="65"/>
        <v>14401799.970872</v>
      </c>
      <c r="BN72" s="14">
        <f t="shared" si="103"/>
        <v>6005.7547835162632</v>
      </c>
      <c r="BO72" s="518">
        <f>'Table 4 Level 3'!P69</f>
        <v>1745489.3499999996</v>
      </c>
      <c r="BP72" s="519">
        <f t="shared" si="104"/>
        <v>727.89380733944938</v>
      </c>
      <c r="BQ72" s="392">
        <f t="shared" si="66"/>
        <v>15822702.320871999</v>
      </c>
      <c r="BR72" s="14">
        <f t="shared" si="105"/>
        <v>6598.2912097047538</v>
      </c>
      <c r="BS72" s="1594">
        <f>'[13]Table 3 Levels 1&amp;2'!CE72</f>
        <v>223847.67849599943</v>
      </c>
      <c r="BT72" s="1594">
        <f t="shared" si="67"/>
        <v>93.34765575312737</v>
      </c>
      <c r="BU72" s="1594">
        <f t="shared" si="68"/>
        <v>-201462.91064639948</v>
      </c>
      <c r="BV72" s="1594">
        <f t="shared" si="106"/>
        <v>-84.012890177814626</v>
      </c>
      <c r="BW72" s="1600">
        <f t="shared" si="69"/>
        <v>15621239.4102256</v>
      </c>
      <c r="BX72" s="1602">
        <f t="shared" si="107"/>
        <v>6514.2783195269394</v>
      </c>
      <c r="BY72" s="16">
        <f t="shared" si="70"/>
        <v>0.69386714189317134</v>
      </c>
      <c r="BZ72" s="393">
        <f t="shared" si="71"/>
        <v>18</v>
      </c>
      <c r="CA72" s="14">
        <f t="shared" si="72"/>
        <v>6892061</v>
      </c>
      <c r="CB72" s="14">
        <f t="shared" si="108"/>
        <v>2874.09</v>
      </c>
      <c r="CC72" s="393">
        <f t="shared" si="73"/>
        <v>43</v>
      </c>
      <c r="CD72" s="16">
        <f t="shared" si="74"/>
        <v>0.30613285810682861</v>
      </c>
      <c r="CE72" s="393">
        <f t="shared" si="75"/>
        <v>22513300.4102256</v>
      </c>
      <c r="CF72" s="394">
        <f t="shared" si="109"/>
        <v>9388.3654754902418</v>
      </c>
      <c r="CG72" s="393">
        <f t="shared" si="76"/>
        <v>12</v>
      </c>
      <c r="CH72" s="1340">
        <v>15654924.385647999</v>
      </c>
      <c r="CI72" s="279">
        <f t="shared" si="77"/>
        <v>-33684.975422399119</v>
      </c>
      <c r="CJ72" s="1750"/>
      <c r="CK72" s="350"/>
      <c r="CL72" s="350"/>
      <c r="CM72" s="350"/>
      <c r="CN72" s="350"/>
      <c r="CO72" s="350"/>
      <c r="CP72" s="350"/>
      <c r="CQ72" s="350"/>
      <c r="CR72" s="350"/>
      <c r="CS72" s="350"/>
      <c r="CT72" s="169"/>
      <c r="CU72" s="169"/>
      <c r="CV72" s="1749"/>
      <c r="CW72" s="169"/>
      <c r="CX72" s="169"/>
      <c r="CY72" s="1749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</row>
    <row r="73" spans="1:183" s="5" customFormat="1">
      <c r="A73" s="102">
        <v>65</v>
      </c>
      <c r="B73" s="82" t="s">
        <v>158</v>
      </c>
      <c r="C73" s="82">
        <f>'[2]ALL-Reformatted'!AC70</f>
        <v>8474</v>
      </c>
      <c r="D73" s="82">
        <f>'[3]All-Reformatted'!AC70</f>
        <v>6857</v>
      </c>
      <c r="E73" s="82">
        <f t="shared" ref="E73:E77" si="110">ROUND($D$5*D73,0)</f>
        <v>1509</v>
      </c>
      <c r="F73" s="82">
        <f>'[4]MS5627_CTE -Reformatted'!AC71</f>
        <v>2275.5</v>
      </c>
      <c r="G73" s="82">
        <f t="shared" ref="G73:G77" si="111">ROUND($F$5*F73,0)</f>
        <v>137</v>
      </c>
      <c r="H73" s="82">
        <f>'[5]Rollup_Level1 Formatted 2'!Y70</f>
        <v>122</v>
      </c>
      <c r="I73" s="82">
        <f t="shared" ref="I73:I77" si="112">ROUND($H$5*H73,0)</f>
        <v>49</v>
      </c>
      <c r="J73" s="82">
        <f>'[5]Rollup_Level2 Formatted 2'!AB70</f>
        <v>1038</v>
      </c>
      <c r="K73" s="82">
        <f t="shared" ref="K73:K77" si="113">ROUND($J$5*J73,0)</f>
        <v>571</v>
      </c>
      <c r="L73" s="82">
        <f>'[5]Rollup_Level3 Formatted 2'!T70</f>
        <v>139</v>
      </c>
      <c r="M73" s="82">
        <f t="shared" ref="M73:M77" si="114">ROUND($L$5*L73,0)</f>
        <v>111</v>
      </c>
      <c r="N73" s="82">
        <f>'[6]Rollup_Level1-REFORMATTED (2)'!P69</f>
        <v>131</v>
      </c>
      <c r="O73" s="82">
        <f t="shared" ref="O73:O77" si="115">ROUND(N73*$N$5,0)</f>
        <v>46</v>
      </c>
      <c r="P73" s="82">
        <f>'[6]Rollup_Level2_REFORMATTED (2)'!V69</f>
        <v>170</v>
      </c>
      <c r="Q73" s="82">
        <f t="shared" ref="Q73:Q77" si="116">ROUND(P73*$P$5,0)</f>
        <v>94</v>
      </c>
      <c r="R73" s="82">
        <f>'[6]Rollup_Level3 FORMATTED (2)'!Y69</f>
        <v>798</v>
      </c>
      <c r="S73" s="82">
        <f t="shared" ref="S73:S77" si="117">ROUND(R73*$R$5,0)</f>
        <v>559</v>
      </c>
      <c r="T73" s="82">
        <f>[7]Exceeds!AJ70</f>
        <v>96</v>
      </c>
      <c r="U73" s="82">
        <f t="shared" ref="U73:U77" si="118">ROUND(T73*$T$5,0)</f>
        <v>130</v>
      </c>
      <c r="V73" s="82">
        <f>'[8]Significantly Exceeds'!V70</f>
        <v>189</v>
      </c>
      <c r="W73" s="82">
        <f t="shared" ref="W73:W77" si="119">ROUND(V73*$V$5,0)</f>
        <v>331</v>
      </c>
      <c r="X73" s="82">
        <f>'[9]Roll up'!J70</f>
        <v>26</v>
      </c>
      <c r="Y73" s="82">
        <f t="shared" ref="Y73:Y77" si="120">ROUND(X73*$X$5,0)</f>
        <v>39</v>
      </c>
      <c r="Z73" s="82">
        <f>[10]BeginSchYr2011_ByExcept!$P$15</f>
        <v>7</v>
      </c>
      <c r="AA73" s="82">
        <f t="shared" ref="AA73:AA77" si="121">ROUND(Z73*$Z$5,0)</f>
        <v>11</v>
      </c>
      <c r="AB73" s="130">
        <v>2.1813358349346557E-3</v>
      </c>
      <c r="AC73" s="82">
        <f t="shared" si="48"/>
        <v>1299</v>
      </c>
      <c r="AD73" s="82">
        <f t="shared" si="49"/>
        <v>0</v>
      </c>
      <c r="AE73" s="82">
        <f t="shared" si="50"/>
        <v>0</v>
      </c>
      <c r="AF73" s="82">
        <f t="shared" si="51"/>
        <v>39</v>
      </c>
      <c r="AG73" s="82">
        <f t="shared" ref="AG73:AG77" si="122">I73+K73+M73+O73+Q73+S73+U73+W73+AD73+AE73+AF73+AA73+Y73</f>
        <v>1980</v>
      </c>
      <c r="AH73" s="82">
        <f>'[11]Rollup_PS-8th'!R69</f>
        <v>335</v>
      </c>
      <c r="AI73" s="19">
        <f t="shared" ref="AI73:AI77" si="123">ROUND($AH$5*AH73,0)</f>
        <v>201</v>
      </c>
      <c r="AJ73" s="19">
        <f>'[11]Rollup_9th-12th'!M69</f>
        <v>257</v>
      </c>
      <c r="AK73" s="19">
        <f t="shared" ref="AK73:AK77" si="124">$AJ$5*AJ73</f>
        <v>77.099999999999994</v>
      </c>
      <c r="AL73" s="19">
        <f>[12]Reformatted!Y70</f>
        <v>84</v>
      </c>
      <c r="AM73" s="19">
        <f t="shared" si="52"/>
        <v>25.2</v>
      </c>
      <c r="AN73" s="19">
        <f t="shared" si="94"/>
        <v>0</v>
      </c>
      <c r="AO73" s="66">
        <f>ROUND(AN73/$AO$5,5)</f>
        <v>0</v>
      </c>
      <c r="AP73" s="19">
        <f t="shared" ref="AP73:AP77" si="125" xml:space="preserve"> ROUND(C73*AO73,0)</f>
        <v>0</v>
      </c>
      <c r="AQ73" s="19">
        <f t="shared" ref="AQ73:AQ77" si="126">E73+G73+AG73+AI73+AK73+AM73+AP73</f>
        <v>3929.2999999999997</v>
      </c>
      <c r="AR73" s="19">
        <f t="shared" ref="AR73:AR77" si="127">AQ73+C73</f>
        <v>12403.3</v>
      </c>
      <c r="AS73" s="395">
        <f t="shared" si="53"/>
        <v>3855</v>
      </c>
      <c r="AT73" s="395">
        <f>ROUND(AR73*AS73,0)</f>
        <v>47814722</v>
      </c>
      <c r="AU73" s="395">
        <f>'Table 6 (Local Deduct Calc.)'!J73</f>
        <v>16726124</v>
      </c>
      <c r="AV73" s="395">
        <f t="shared" si="54"/>
        <v>16726124</v>
      </c>
      <c r="AW73" s="396">
        <f t="shared" si="55"/>
        <v>31088598</v>
      </c>
      <c r="AX73" s="397">
        <f t="shared" si="78"/>
        <v>0.6502</v>
      </c>
      <c r="AY73" s="398">
        <f t="shared" si="56"/>
        <v>0.3498</v>
      </c>
      <c r="AZ73" s="399">
        <f t="shared" ref="AZ73:AZ78" si="128">AV73/C73</f>
        <v>1973.8168515459051</v>
      </c>
      <c r="BA73" s="395">
        <f>'Table 7 Local Revenue'!AQ72</f>
        <v>41349874</v>
      </c>
      <c r="BB73" s="395">
        <f t="shared" si="57"/>
        <v>24623750</v>
      </c>
      <c r="BC73" s="280">
        <f t="shared" si="58"/>
        <v>0</v>
      </c>
      <c r="BD73" s="20">
        <f t="shared" si="59"/>
        <v>16257005.48</v>
      </c>
      <c r="BE73" s="20">
        <f t="shared" si="60"/>
        <v>16257005.48</v>
      </c>
      <c r="BF73" s="395">
        <f t="shared" si="61"/>
        <v>9781124.8890748806</v>
      </c>
      <c r="BG73" s="400">
        <f t="shared" si="62"/>
        <v>6475880.5909251198</v>
      </c>
      <c r="BH73" s="273">
        <f t="shared" si="63"/>
        <v>0.39829999999999999</v>
      </c>
      <c r="BI73" s="400">
        <f t="shared" si="64"/>
        <v>37564478.59092512</v>
      </c>
      <c r="BJ73" s="20">
        <f t="shared" ref="BJ73:BJ78" si="129">ROUND(BI73/C73,0)</f>
        <v>4433</v>
      </c>
      <c r="BK73" s="400">
        <f>'Table 4 Level 3'!M70</f>
        <v>1147017</v>
      </c>
      <c r="BL73" s="20">
        <f t="shared" ref="BL73:BL78" si="130">BK73/C73</f>
        <v>135.35721029029975</v>
      </c>
      <c r="BM73" s="400">
        <f t="shared" si="65"/>
        <v>38711495.59092512</v>
      </c>
      <c r="BN73" s="20">
        <f t="shared" ref="BN73:BN78" si="131">BM73/C73</f>
        <v>4568.2671218934529</v>
      </c>
      <c r="BO73" s="520">
        <f>'Table 4 Level 3'!P70</f>
        <v>8151888.5280269366</v>
      </c>
      <c r="BP73" s="521">
        <f t="shared" ref="BP73:BP78" si="132">BO73/C73</f>
        <v>961.98826150896116</v>
      </c>
      <c r="BQ73" s="400">
        <f t="shared" si="66"/>
        <v>45716367.118952058</v>
      </c>
      <c r="BR73" s="20">
        <f t="shared" ref="BR73:BR78" si="133">BQ73/C73</f>
        <v>5394.8981731121148</v>
      </c>
      <c r="BS73" s="20">
        <f>'[13]Table 3 Levels 1&amp;2'!CE73</f>
        <v>-100303.96110479534</v>
      </c>
      <c r="BT73" s="20">
        <f t="shared" si="67"/>
        <v>-11.836672304082528</v>
      </c>
      <c r="BU73" s="20">
        <f t="shared" si="68"/>
        <v>90273.564994315806</v>
      </c>
      <c r="BV73" s="20">
        <f t="shared" ref="BV73:BV78" si="134">BU73/C73</f>
        <v>10.653005073674274</v>
      </c>
      <c r="BW73" s="760">
        <f t="shared" si="69"/>
        <v>45806640.683946371</v>
      </c>
      <c r="BX73" s="78">
        <f t="shared" ref="BX73:BX78" si="135">BW73/C73</f>
        <v>5405.5511781857886</v>
      </c>
      <c r="BY73" s="273">
        <f t="shared" si="70"/>
        <v>0.58137802139327921</v>
      </c>
      <c r="BZ73" s="401">
        <f t="shared" si="71"/>
        <v>46</v>
      </c>
      <c r="CA73" s="20">
        <f t="shared" si="72"/>
        <v>32983129.48</v>
      </c>
      <c r="CB73" s="20">
        <f t="shared" ref="CB73:CB78" si="136">ROUND(CA73/C73,2)</f>
        <v>3892.27</v>
      </c>
      <c r="CC73" s="401">
        <f t="shared" si="73"/>
        <v>21</v>
      </c>
      <c r="CD73" s="273">
        <f t="shared" si="74"/>
        <v>0.41862197860672068</v>
      </c>
      <c r="CE73" s="401">
        <f t="shared" si="75"/>
        <v>78789770.163946375</v>
      </c>
      <c r="CF73" s="402">
        <f t="shared" ref="CF73:CF78" si="137">CE73/C73</f>
        <v>9297.8251314546105</v>
      </c>
      <c r="CG73" s="401">
        <f t="shared" si="76"/>
        <v>14</v>
      </c>
      <c r="CH73" s="1341">
        <v>46618009.191515908</v>
      </c>
      <c r="CI73" s="280">
        <f t="shared" si="77"/>
        <v>-811368.50756953657</v>
      </c>
      <c r="CJ73" s="1750"/>
      <c r="CK73" s="350"/>
      <c r="CL73" s="350"/>
      <c r="CM73" s="350"/>
      <c r="CN73" s="350"/>
      <c r="CO73" s="350"/>
      <c r="CP73" s="350"/>
      <c r="CQ73" s="350"/>
      <c r="CR73" s="350"/>
      <c r="CS73" s="350"/>
      <c r="CT73" s="169"/>
      <c r="CU73" s="169"/>
      <c r="CV73" s="1749"/>
      <c r="CW73" s="169"/>
      <c r="CX73" s="169"/>
      <c r="CY73" s="1749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</row>
    <row r="74" spans="1:183" s="5" customFormat="1">
      <c r="A74" s="101">
        <v>66</v>
      </c>
      <c r="B74" s="81" t="s">
        <v>159</v>
      </c>
      <c r="C74" s="81">
        <f>'[2]ALL-Reformatted'!AC71</f>
        <v>2036</v>
      </c>
      <c r="D74" s="81">
        <f>'[3]All-Reformatted'!AC71</f>
        <v>1901</v>
      </c>
      <c r="E74" s="81">
        <f t="shared" si="110"/>
        <v>418</v>
      </c>
      <c r="F74" s="81">
        <f>'[4]MS5627_CTE -Reformatted'!AC72</f>
        <v>417</v>
      </c>
      <c r="G74" s="81">
        <f t="shared" si="111"/>
        <v>25</v>
      </c>
      <c r="H74" s="81">
        <f>'[5]Rollup_Level1 Formatted 2'!Y71</f>
        <v>64</v>
      </c>
      <c r="I74" s="81">
        <f t="shared" si="112"/>
        <v>26</v>
      </c>
      <c r="J74" s="81">
        <f>'[5]Rollup_Level2 Formatted 2'!AB71</f>
        <v>398</v>
      </c>
      <c r="K74" s="81">
        <f t="shared" si="113"/>
        <v>219</v>
      </c>
      <c r="L74" s="81">
        <f>'[5]Rollup_Level3 Formatted 2'!T71</f>
        <v>38</v>
      </c>
      <c r="M74" s="81">
        <f t="shared" si="114"/>
        <v>30</v>
      </c>
      <c r="N74" s="81">
        <f>'[6]Rollup_Level1-REFORMATTED (2)'!P70</f>
        <v>33</v>
      </c>
      <c r="O74" s="81">
        <f t="shared" si="115"/>
        <v>12</v>
      </c>
      <c r="P74" s="81">
        <f>'[6]Rollup_Level2_REFORMATTED (2)'!V70</f>
        <v>63</v>
      </c>
      <c r="Q74" s="81">
        <f t="shared" si="116"/>
        <v>35</v>
      </c>
      <c r="R74" s="81">
        <f>'[6]Rollup_Level3 FORMATTED (2)'!Y70</f>
        <v>306</v>
      </c>
      <c r="S74" s="81">
        <f t="shared" si="117"/>
        <v>214</v>
      </c>
      <c r="T74" s="81">
        <f>[7]Exceeds!AJ71</f>
        <v>35</v>
      </c>
      <c r="U74" s="81">
        <f t="shared" si="118"/>
        <v>47</v>
      </c>
      <c r="V74" s="81">
        <f>'[8]Significantly Exceeds'!V71</f>
        <v>88</v>
      </c>
      <c r="W74" s="81">
        <f t="shared" si="119"/>
        <v>154</v>
      </c>
      <c r="X74" s="81">
        <f>'[9]Roll up'!J71</f>
        <v>9</v>
      </c>
      <c r="Y74" s="81">
        <f t="shared" si="120"/>
        <v>14</v>
      </c>
      <c r="Z74" s="81">
        <f>[10]BeginSchYr2011_ByExcept!$P$14</f>
        <v>1</v>
      </c>
      <c r="AA74" s="81">
        <f t="shared" si="121"/>
        <v>2</v>
      </c>
      <c r="AB74" s="1363">
        <v>4.4348780769675258E-2</v>
      </c>
      <c r="AC74" s="81">
        <f t="shared" ref="AC74:AC77" si="138">H74+J74+L74</f>
        <v>500</v>
      </c>
      <c r="AD74" s="81">
        <f t="shared" ref="AD74:AD77" si="139">ROUND(IF(AB74&lt;=-2%,$AD$5*AC74,0),0)</f>
        <v>0</v>
      </c>
      <c r="AE74" s="81">
        <f t="shared" ref="AE74:AE77" si="140">ROUND(IF(AND(AB74&lt;=0%,AB74&gt;-1.99%),AC74*$AE$5,0),0)</f>
        <v>0</v>
      </c>
      <c r="AF74" s="81">
        <f t="shared" ref="AF74:AF77" si="141">ROUND(IF(AND(AB74&lt;=1%,AB74&gt;-0.01%),AC74*$AF$5,0),0)</f>
        <v>0</v>
      </c>
      <c r="AG74" s="81">
        <f t="shared" si="122"/>
        <v>753</v>
      </c>
      <c r="AH74" s="81">
        <f>'[11]Rollup_PS-8th'!R70</f>
        <v>82</v>
      </c>
      <c r="AI74" s="13">
        <f t="shared" si="123"/>
        <v>49</v>
      </c>
      <c r="AJ74" s="13">
        <f>'[11]Rollup_9th-12th'!M70</f>
        <v>26</v>
      </c>
      <c r="AK74" s="13">
        <f t="shared" si="124"/>
        <v>7.8</v>
      </c>
      <c r="AL74" s="13">
        <f>[12]Reformatted!Y71</f>
        <v>0</v>
      </c>
      <c r="AM74" s="13">
        <f t="shared" ref="AM74:AM77" si="142">$AM$5*AL74</f>
        <v>0</v>
      </c>
      <c r="AN74" s="13">
        <f t="shared" si="94"/>
        <v>5464</v>
      </c>
      <c r="AO74" s="65">
        <f>ROUND(AN74/$AO$5,5)</f>
        <v>0.14571000000000001</v>
      </c>
      <c r="AP74" s="13">
        <f t="shared" si="125"/>
        <v>297</v>
      </c>
      <c r="AQ74" s="13">
        <f t="shared" si="126"/>
        <v>1549.8</v>
      </c>
      <c r="AR74" s="13">
        <f t="shared" si="127"/>
        <v>3585.8</v>
      </c>
      <c r="AS74" s="388">
        <f>$AS$5</f>
        <v>3855</v>
      </c>
      <c r="AT74" s="388">
        <f>ROUND(AR74*AS74,0)</f>
        <v>13823259</v>
      </c>
      <c r="AU74" s="388">
        <f>'Table 6 (Local Deduct Calc.)'!J74</f>
        <v>3504563</v>
      </c>
      <c r="AV74" s="388">
        <f>IF((AU74&gt;AT74*$AV$5),AT74*$AV$5,AU74)</f>
        <v>3504563</v>
      </c>
      <c r="AW74" s="389">
        <f>AT74-AV74</f>
        <v>10318696</v>
      </c>
      <c r="AX74" s="390">
        <f>ROUND(AW74/AT74,4)</f>
        <v>0.74650000000000005</v>
      </c>
      <c r="AY74" s="390">
        <f>ROUND(AV74/AT74,4)</f>
        <v>0.2535</v>
      </c>
      <c r="AZ74" s="391">
        <f t="shared" si="128"/>
        <v>1721.298133595285</v>
      </c>
      <c r="BA74" s="388">
        <f>'Table 7 Local Revenue'!AQ73</f>
        <v>7447578</v>
      </c>
      <c r="BB74" s="388">
        <f>IF(BA74-AV74&gt;0,BA74-AV74,0)</f>
        <v>3943015</v>
      </c>
      <c r="BC74" s="279">
        <f>IF(BA74-AV74&lt;0,BA74-AV74,0)</f>
        <v>0</v>
      </c>
      <c r="BD74" s="14">
        <f>AT74*$BD$5</f>
        <v>4699908.0600000005</v>
      </c>
      <c r="BE74" s="14">
        <f>IF(BB74&lt;BD74,BB74,BD74)</f>
        <v>3943015</v>
      </c>
      <c r="BF74" s="388">
        <f>IF(BE74&gt;0,BE74*(AY74*$BF$5),0)</f>
        <v>1719233.4003000001</v>
      </c>
      <c r="BG74" s="392">
        <f>IF(BE74-BF74&gt;BE74*$BG$5,BE74-BF74,BE74*$BG$5)</f>
        <v>2223781.5997000001</v>
      </c>
      <c r="BH74" s="16">
        <f>IF(BE74=0,0,ROUND(BG74/BE74,4))</f>
        <v>0.56399999999999995</v>
      </c>
      <c r="BI74" s="392">
        <f>AW74+BG74</f>
        <v>12542477.5997</v>
      </c>
      <c r="BJ74" s="14">
        <f t="shared" si="129"/>
        <v>6160</v>
      </c>
      <c r="BK74" s="392">
        <f>'Table 4 Level 3'!M71</f>
        <v>275587</v>
      </c>
      <c r="BL74" s="14">
        <f t="shared" si="130"/>
        <v>135.35707269155208</v>
      </c>
      <c r="BM74" s="392">
        <f>BK74+BI74</f>
        <v>12818064.5997</v>
      </c>
      <c r="BN74" s="14">
        <f t="shared" si="131"/>
        <v>6295.7095283398821</v>
      </c>
      <c r="BO74" s="518">
        <f>'Table 4 Level 3'!P71</f>
        <v>1761624.1300000001</v>
      </c>
      <c r="BP74" s="519">
        <f t="shared" si="132"/>
        <v>865.23778487229868</v>
      </c>
      <c r="BQ74" s="392">
        <f>BI74+BO74</f>
        <v>14304101.729700001</v>
      </c>
      <c r="BR74" s="14">
        <f t="shared" si="133"/>
        <v>7025.5902405206289</v>
      </c>
      <c r="BS74" s="1594">
        <f>'[13]Table 3 Levels 1&amp;2'!CE74</f>
        <v>-102177.34090000018</v>
      </c>
      <c r="BT74" s="1594">
        <f t="shared" ref="BT74:BT78" si="143">BS74/C74</f>
        <v>-50.185334430255494</v>
      </c>
      <c r="BU74" s="1594">
        <f t="shared" ref="BU74:BU77" si="144">-(BS74*90%)</f>
        <v>91959.606810000172</v>
      </c>
      <c r="BV74" s="1594">
        <f t="shared" si="134"/>
        <v>45.166800987229948</v>
      </c>
      <c r="BW74" s="1600">
        <f t="shared" ref="BW74:BW77" si="145">BQ74+BU74</f>
        <v>14396061.336510001</v>
      </c>
      <c r="BX74" s="1602">
        <f t="shared" si="135"/>
        <v>7070.757041507859</v>
      </c>
      <c r="BY74" s="16">
        <f t="shared" ref="BY74:BY78" si="146">BW74/CE74</f>
        <v>0.65905049587813258</v>
      </c>
      <c r="BZ74" s="393">
        <f>RANK(BY74,$BY$9:$BY$77)</f>
        <v>32</v>
      </c>
      <c r="CA74" s="14">
        <f>ROUND(BE74+AV74,2)</f>
        <v>7447578</v>
      </c>
      <c r="CB74" s="14">
        <f t="shared" si="136"/>
        <v>3657.95</v>
      </c>
      <c r="CC74" s="393">
        <f>RANK(CB74,$CB$9:$CB$77)</f>
        <v>24</v>
      </c>
      <c r="CD74" s="16">
        <f>CA74/CE74</f>
        <v>0.34094950412186731</v>
      </c>
      <c r="CE74" s="393">
        <f t="shared" ref="CE74:CE77" si="147">BW74+CA74</f>
        <v>21843639.336510003</v>
      </c>
      <c r="CF74" s="394">
        <f t="shared" si="137"/>
        <v>10728.703014002947</v>
      </c>
      <c r="CG74" s="393">
        <f>RANK(CF74,$CF$9:$CF$77)</f>
        <v>2</v>
      </c>
      <c r="CH74" s="1340">
        <v>14359000.542099999</v>
      </c>
      <c r="CI74" s="279">
        <f t="shared" ref="CI74:CI77" si="148">BW74-CH74</f>
        <v>37060.794410001487</v>
      </c>
      <c r="CJ74" s="1747"/>
      <c r="CK74" s="350"/>
      <c r="CL74" s="350"/>
      <c r="CM74" s="350"/>
      <c r="CN74" s="350"/>
      <c r="CO74" s="350"/>
      <c r="CP74" s="350"/>
      <c r="CQ74" s="350"/>
      <c r="CR74" s="350"/>
      <c r="CS74" s="350"/>
      <c r="CT74" s="169"/>
      <c r="CU74" s="169"/>
      <c r="CV74" s="1749"/>
      <c r="CW74" s="169"/>
      <c r="CX74" s="169"/>
      <c r="CY74" s="1749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</row>
    <row r="75" spans="1:183" s="5" customFormat="1">
      <c r="A75" s="101">
        <v>67</v>
      </c>
      <c r="B75" s="140" t="s">
        <v>32</v>
      </c>
      <c r="C75" s="353">
        <f>'[2]ALL-Reformatted'!AC72</f>
        <v>5104</v>
      </c>
      <c r="D75" s="81">
        <f>'[3]All-Reformatted'!AC72</f>
        <v>2268</v>
      </c>
      <c r="E75" s="81">
        <f t="shared" si="110"/>
        <v>499</v>
      </c>
      <c r="F75" s="81">
        <f>'[4]MS5627_CTE -Reformatted'!AC73</f>
        <v>1467</v>
      </c>
      <c r="G75" s="81">
        <f t="shared" si="111"/>
        <v>88</v>
      </c>
      <c r="H75" s="81">
        <f>'[5]Rollup_Level1 Formatted 2'!Y72</f>
        <v>56</v>
      </c>
      <c r="I75" s="81">
        <f t="shared" si="112"/>
        <v>22</v>
      </c>
      <c r="J75" s="81">
        <f>'[5]Rollup_Level2 Formatted 2'!AB72</f>
        <v>294</v>
      </c>
      <c r="K75" s="81">
        <f t="shared" si="113"/>
        <v>162</v>
      </c>
      <c r="L75" s="81">
        <f>'[5]Rollup_Level3 Formatted 2'!T72</f>
        <v>72</v>
      </c>
      <c r="M75" s="81">
        <f t="shared" si="114"/>
        <v>58</v>
      </c>
      <c r="N75" s="81">
        <f>'[6]Rollup_Level1-REFORMATTED (2)'!P71</f>
        <v>107</v>
      </c>
      <c r="O75" s="81">
        <f t="shared" si="115"/>
        <v>37</v>
      </c>
      <c r="P75" s="81">
        <f>'[6]Rollup_Level2_REFORMATTED (2)'!V71</f>
        <v>80</v>
      </c>
      <c r="Q75" s="81">
        <f t="shared" si="116"/>
        <v>44</v>
      </c>
      <c r="R75" s="81">
        <f>'[6]Rollup_Level3 FORMATTED (2)'!Y71</f>
        <v>123</v>
      </c>
      <c r="S75" s="81">
        <f t="shared" si="117"/>
        <v>86</v>
      </c>
      <c r="T75" s="81">
        <f>[7]Exceeds!AJ72</f>
        <v>53</v>
      </c>
      <c r="U75" s="81">
        <f t="shared" si="118"/>
        <v>72</v>
      </c>
      <c r="V75" s="81">
        <f>'[8]Significantly Exceeds'!V72</f>
        <v>189</v>
      </c>
      <c r="W75" s="81">
        <f t="shared" si="119"/>
        <v>331</v>
      </c>
      <c r="X75" s="81">
        <f>'[9]Roll up'!J72</f>
        <v>10</v>
      </c>
      <c r="Y75" s="81">
        <f t="shared" si="120"/>
        <v>15</v>
      </c>
      <c r="Z75" s="81">
        <f>[10]BeginSchYr2011_ByExcept!$P$61</f>
        <v>4</v>
      </c>
      <c r="AA75" s="81">
        <f t="shared" si="121"/>
        <v>6</v>
      </c>
      <c r="AB75" s="129">
        <v>-7.5717756731293606E-3</v>
      </c>
      <c r="AC75" s="81">
        <f t="shared" si="138"/>
        <v>422</v>
      </c>
      <c r="AD75" s="81">
        <f t="shared" si="139"/>
        <v>0</v>
      </c>
      <c r="AE75" s="81">
        <f t="shared" si="140"/>
        <v>25</v>
      </c>
      <c r="AF75" s="81">
        <f t="shared" si="141"/>
        <v>0</v>
      </c>
      <c r="AG75" s="81">
        <f t="shared" si="122"/>
        <v>858</v>
      </c>
      <c r="AH75" s="81">
        <f>'[11]Rollup_PS-8th'!R71</f>
        <v>313</v>
      </c>
      <c r="AI75" s="13">
        <f t="shared" si="123"/>
        <v>188</v>
      </c>
      <c r="AJ75" s="13">
        <f>'[11]Rollup_9th-12th'!M71</f>
        <v>114</v>
      </c>
      <c r="AK75" s="13">
        <f t="shared" si="124"/>
        <v>34.199999999999996</v>
      </c>
      <c r="AL75" s="13">
        <f>[12]Reformatted!Y72</f>
        <v>257</v>
      </c>
      <c r="AM75" s="13">
        <f t="shared" si="142"/>
        <v>77.099999999999994</v>
      </c>
      <c r="AN75" s="13">
        <f t="shared" si="94"/>
        <v>2396</v>
      </c>
      <c r="AO75" s="65">
        <f>ROUND(AN75/$AO$5,5)</f>
        <v>6.3890000000000002E-2</v>
      </c>
      <c r="AP75" s="13">
        <f t="shared" si="125"/>
        <v>326</v>
      </c>
      <c r="AQ75" s="13">
        <f t="shared" si="126"/>
        <v>2070.3000000000002</v>
      </c>
      <c r="AR75" s="13">
        <f t="shared" si="127"/>
        <v>7174.3</v>
      </c>
      <c r="AS75" s="388">
        <f>$AS$5</f>
        <v>3855</v>
      </c>
      <c r="AT75" s="388">
        <f>ROUND(AR75*AS75,0)</f>
        <v>27656927</v>
      </c>
      <c r="AU75" s="388">
        <f>'Table 6 (Local Deduct Calc.)'!J75</f>
        <v>7117874</v>
      </c>
      <c r="AV75" s="388">
        <f>IF((AU75&gt;AT75*$AV$5),AT75*$AV$5,AU75)</f>
        <v>7117874</v>
      </c>
      <c r="AW75" s="389">
        <f>AT75-AV75</f>
        <v>20539053</v>
      </c>
      <c r="AX75" s="390">
        <f>ROUND(AW75/AT75,4)</f>
        <v>0.74260000000000004</v>
      </c>
      <c r="AY75" s="390">
        <f>ROUND(AV75/AT75,4)</f>
        <v>0.25740000000000002</v>
      </c>
      <c r="AZ75" s="391">
        <f t="shared" si="128"/>
        <v>1394.5677899686521</v>
      </c>
      <c r="BA75" s="388">
        <f>'Table 7 Local Revenue'!AQ74</f>
        <v>26270836</v>
      </c>
      <c r="BB75" s="388">
        <f>IF(BA75-AV75&gt;0,BA75-AV75,0)</f>
        <v>19152962</v>
      </c>
      <c r="BC75" s="279">
        <f>IF(BA75-AV75&lt;0,BA75-AV75,0)</f>
        <v>0</v>
      </c>
      <c r="BD75" s="14">
        <f>AT75*$BD$5</f>
        <v>9403355.1800000016</v>
      </c>
      <c r="BE75" s="14">
        <f>IF(BB75&lt;BD75,BB75,BD75)</f>
        <v>9403355.1800000016</v>
      </c>
      <c r="BF75" s="388">
        <f>IF(BE75&gt;0,BE75*(AY75*$BF$5),0)</f>
        <v>4163128.6321310406</v>
      </c>
      <c r="BG75" s="403">
        <f>IF(BE75-BF75&gt;BE75*$BG$5,BE75-BF75,BE75*$BG$5)</f>
        <v>5240226.5478689615</v>
      </c>
      <c r="BH75" s="16">
        <f>IF(BE75=0,0,ROUND(BG75/BE75,4))</f>
        <v>0.55730000000000002</v>
      </c>
      <c r="BI75" s="392">
        <f>AW75+BG75</f>
        <v>25779279.54786896</v>
      </c>
      <c r="BJ75" s="14">
        <f t="shared" si="129"/>
        <v>5051</v>
      </c>
      <c r="BK75" s="392">
        <f>'Table 4 Level 3'!M72</f>
        <v>690863</v>
      </c>
      <c r="BL75" s="14">
        <f t="shared" si="130"/>
        <v>135.35717084639498</v>
      </c>
      <c r="BM75" s="392">
        <f>BK75+BI75</f>
        <v>26470142.54786896</v>
      </c>
      <c r="BN75" s="14">
        <f t="shared" si="131"/>
        <v>5186.1564553034796</v>
      </c>
      <c r="BO75" s="518">
        <f>'Table 4 Level 3'!P72</f>
        <v>4343050.1960000005</v>
      </c>
      <c r="BP75" s="519">
        <f t="shared" si="132"/>
        <v>850.91108855799382</v>
      </c>
      <c r="BQ75" s="392">
        <f>BI75+BO75</f>
        <v>30122329.743868962</v>
      </c>
      <c r="BR75" s="14">
        <f t="shared" si="133"/>
        <v>5901.7103730150784</v>
      </c>
      <c r="BS75" s="1594">
        <f>'[13]Table 3 Levels 1&amp;2'!CE75</f>
        <v>1145827.7291807979</v>
      </c>
      <c r="BT75" s="1594">
        <f t="shared" si="143"/>
        <v>224.49602844451371</v>
      </c>
      <c r="BU75" s="1594">
        <f t="shared" si="144"/>
        <v>-1031244.9562627182</v>
      </c>
      <c r="BV75" s="1594">
        <f t="shared" si="134"/>
        <v>-202.04642560006235</v>
      </c>
      <c r="BW75" s="1600">
        <f t="shared" si="145"/>
        <v>29091084.787606243</v>
      </c>
      <c r="BX75" s="1602">
        <f t="shared" si="135"/>
        <v>5699.6639474150161</v>
      </c>
      <c r="BY75" s="16">
        <f t="shared" si="146"/>
        <v>0.63779015483114188</v>
      </c>
      <c r="BZ75" s="393">
        <f>RANK(BY75,$BY$9:$BY$77)</f>
        <v>36</v>
      </c>
      <c r="CA75" s="14">
        <f>ROUND(BE75+AV75,2)</f>
        <v>16521229.18</v>
      </c>
      <c r="CB75" s="14">
        <f t="shared" si="136"/>
        <v>3236.92</v>
      </c>
      <c r="CC75" s="393">
        <f>RANK(CB75,$CB$9:$CB$77)</f>
        <v>36</v>
      </c>
      <c r="CD75" s="16">
        <f>CA75/CE75</f>
        <v>0.36220984516885807</v>
      </c>
      <c r="CE75" s="393">
        <f t="shared" si="147"/>
        <v>45612313.967606246</v>
      </c>
      <c r="CF75" s="394">
        <f t="shared" si="137"/>
        <v>8936.581890204985</v>
      </c>
      <c r="CG75" s="393">
        <f>RANK(CF75,$CF$9:$CF$77)</f>
        <v>26</v>
      </c>
      <c r="CH75" s="1340">
        <v>29235198.971705601</v>
      </c>
      <c r="CI75" s="279">
        <f t="shared" si="148"/>
        <v>-144114.18409935758</v>
      </c>
      <c r="CJ75" s="1750"/>
      <c r="CK75" s="350"/>
      <c r="CL75" s="350"/>
      <c r="CM75" s="350"/>
      <c r="CN75" s="350"/>
      <c r="CO75" s="350"/>
      <c r="CP75" s="350"/>
      <c r="CQ75" s="350"/>
      <c r="CR75" s="350"/>
      <c r="CS75" s="350"/>
      <c r="CT75" s="1759"/>
      <c r="CU75" s="1759"/>
      <c r="CV75" s="1760"/>
      <c r="CW75" s="1759"/>
      <c r="CX75" s="1759"/>
      <c r="CY75" s="1760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</row>
    <row r="76" spans="1:183">
      <c r="A76" s="101">
        <v>68</v>
      </c>
      <c r="B76" s="81" t="s">
        <v>30</v>
      </c>
      <c r="C76" s="81">
        <f>'[2]ALL-Reformatted'!AC73</f>
        <v>1752</v>
      </c>
      <c r="D76" s="81">
        <f>'[3]All-Reformatted'!AC73</f>
        <v>1443</v>
      </c>
      <c r="E76" s="81">
        <f t="shared" si="110"/>
        <v>317</v>
      </c>
      <c r="F76" s="81">
        <f>'[4]MS5627_CTE -Reformatted'!AC74</f>
        <v>679</v>
      </c>
      <c r="G76" s="81">
        <f t="shared" si="111"/>
        <v>41</v>
      </c>
      <c r="H76" s="81">
        <f>'[5]Rollup_Level1 Formatted 2'!Y73</f>
        <v>23</v>
      </c>
      <c r="I76" s="81">
        <f t="shared" si="112"/>
        <v>9</v>
      </c>
      <c r="J76" s="81">
        <f>'[5]Rollup_Level2 Formatted 2'!AB73</f>
        <v>159</v>
      </c>
      <c r="K76" s="81">
        <f t="shared" si="113"/>
        <v>87</v>
      </c>
      <c r="L76" s="81">
        <f>'[5]Rollup_Level3 Formatted 2'!T73</f>
        <v>32</v>
      </c>
      <c r="M76" s="81">
        <f t="shared" si="114"/>
        <v>26</v>
      </c>
      <c r="N76" s="81">
        <f>'[6]Rollup_Level1-REFORMATTED (2)'!P72</f>
        <v>70</v>
      </c>
      <c r="O76" s="81">
        <f t="shared" si="115"/>
        <v>25</v>
      </c>
      <c r="P76" s="81">
        <f>'[6]Rollup_Level2_REFORMATTED (2)'!V72</f>
        <v>50</v>
      </c>
      <c r="Q76" s="81">
        <f t="shared" si="116"/>
        <v>28</v>
      </c>
      <c r="R76" s="81">
        <f>'[6]Rollup_Level3 FORMATTED (2)'!Y72</f>
        <v>45</v>
      </c>
      <c r="S76" s="81">
        <f t="shared" si="117"/>
        <v>32</v>
      </c>
      <c r="T76" s="81">
        <f>[7]Exceeds!AJ73</f>
        <v>18</v>
      </c>
      <c r="U76" s="81">
        <f t="shared" si="118"/>
        <v>24</v>
      </c>
      <c r="V76" s="81">
        <f>'[8]Significantly Exceeds'!V73</f>
        <v>9</v>
      </c>
      <c r="W76" s="81">
        <f t="shared" si="119"/>
        <v>16</v>
      </c>
      <c r="X76" s="81">
        <f>'[9]Roll up'!J73</f>
        <v>9</v>
      </c>
      <c r="Y76" s="81">
        <f t="shared" si="120"/>
        <v>14</v>
      </c>
      <c r="Z76" s="81">
        <v>0</v>
      </c>
      <c r="AA76" s="81">
        <f t="shared" si="121"/>
        <v>0</v>
      </c>
      <c r="AB76" s="129">
        <v>-9.8973607038123079E-3</v>
      </c>
      <c r="AC76" s="81">
        <f t="shared" si="138"/>
        <v>214</v>
      </c>
      <c r="AD76" s="81">
        <f t="shared" si="139"/>
        <v>0</v>
      </c>
      <c r="AE76" s="81">
        <f t="shared" si="140"/>
        <v>13</v>
      </c>
      <c r="AF76" s="81">
        <f t="shared" si="141"/>
        <v>0</v>
      </c>
      <c r="AG76" s="81">
        <f t="shared" si="122"/>
        <v>274</v>
      </c>
      <c r="AH76" s="81">
        <f>'[11]Rollup_PS-8th'!R72</f>
        <v>2</v>
      </c>
      <c r="AI76" s="13">
        <f t="shared" si="123"/>
        <v>1</v>
      </c>
      <c r="AJ76" s="13">
        <f>'[11]Rollup_9th-12th'!M72</f>
        <v>2</v>
      </c>
      <c r="AK76" s="13">
        <f t="shared" si="124"/>
        <v>0.6</v>
      </c>
      <c r="AL76" s="13">
        <f>[12]Reformatted!Y73</f>
        <v>1</v>
      </c>
      <c r="AM76" s="13">
        <f t="shared" si="142"/>
        <v>0.3</v>
      </c>
      <c r="AN76" s="13">
        <f t="shared" si="94"/>
        <v>5748</v>
      </c>
      <c r="AO76" s="65">
        <f>ROUND(AN76/$AO$5,5)</f>
        <v>0.15328</v>
      </c>
      <c r="AP76" s="13">
        <f t="shared" si="125"/>
        <v>269</v>
      </c>
      <c r="AQ76" s="13">
        <f t="shared" si="126"/>
        <v>902.9</v>
      </c>
      <c r="AR76" s="13">
        <f t="shared" si="127"/>
        <v>2654.9</v>
      </c>
      <c r="AS76" s="388">
        <f>$AS$5</f>
        <v>3855</v>
      </c>
      <c r="AT76" s="388">
        <f>ROUND(AR76*AS76,0)</f>
        <v>10234640</v>
      </c>
      <c r="AU76" s="388">
        <f>'Table 6 (Local Deduct Calc.)'!J76</f>
        <v>2004183</v>
      </c>
      <c r="AV76" s="388">
        <f>IF((AU76&gt;AT76*$AV$5),AT76*$AV$5,AU76)</f>
        <v>2004183</v>
      </c>
      <c r="AW76" s="389">
        <f>AT76-AV76</f>
        <v>8230457</v>
      </c>
      <c r="AX76" s="390">
        <f>ROUND(AW76/AT76,4)</f>
        <v>0.80420000000000003</v>
      </c>
      <c r="AY76" s="390">
        <f>ROUND(AV76/AT76,4)</f>
        <v>0.1958</v>
      </c>
      <c r="AZ76" s="391">
        <f t="shared" si="128"/>
        <v>1143.9400684931506</v>
      </c>
      <c r="BA76" s="388">
        <f>'Table 7 Local Revenue'!AQ75</f>
        <v>4864522</v>
      </c>
      <c r="BB76" s="388">
        <f>IF(BA76-AV76&gt;0,BA76-AV76,0)</f>
        <v>2860339</v>
      </c>
      <c r="BC76" s="279">
        <f>IF(BA76-AV76&lt;0,BA76-AV76,0)</f>
        <v>0</v>
      </c>
      <c r="BD76" s="14">
        <f>AT76*$BD$5</f>
        <v>3479777.6</v>
      </c>
      <c r="BE76" s="14">
        <f>IF(BB76&lt;BD76,BB76,BD76)</f>
        <v>2860339</v>
      </c>
      <c r="BF76" s="388">
        <f>IF(BE76&gt;0,BE76*(AY76*$BF$5),0)</f>
        <v>963293.52706400002</v>
      </c>
      <c r="BG76" s="392">
        <f>IF(BE76-BF76&gt;BE76*$BG$5,BE76-BF76,BE76*$BG$5)</f>
        <v>1897045.472936</v>
      </c>
      <c r="BH76" s="16">
        <f>IF(BE76=0,0,ROUND(BG76/BE76,4))</f>
        <v>0.66320000000000001</v>
      </c>
      <c r="BI76" s="392">
        <f>AW76+BG76</f>
        <v>10127502.472936001</v>
      </c>
      <c r="BJ76" s="14">
        <f t="shared" si="129"/>
        <v>5781</v>
      </c>
      <c r="BK76" s="392">
        <f>'Table 4 Level 3'!M73</f>
        <v>237146</v>
      </c>
      <c r="BL76" s="14">
        <f t="shared" si="130"/>
        <v>135.35730593607306</v>
      </c>
      <c r="BM76" s="392">
        <f>BK76+BI76</f>
        <v>10364648.472936001</v>
      </c>
      <c r="BN76" s="14">
        <f t="shared" si="131"/>
        <v>5915.895247109589</v>
      </c>
      <c r="BO76" s="518">
        <f>'Table 4 Level 3'!P73</f>
        <v>1635350.2200000002</v>
      </c>
      <c r="BP76" s="519">
        <f t="shared" si="132"/>
        <v>933.41907534246582</v>
      </c>
      <c r="BQ76" s="392">
        <f>BI76+BO76</f>
        <v>11762852.692936001</v>
      </c>
      <c r="BR76" s="14">
        <f t="shared" si="133"/>
        <v>6713.9570165159821</v>
      </c>
      <c r="BS76" s="1594">
        <f>'[13]Table 3 Levels 1&amp;2'!CE76</f>
        <v>-188612.8903800007</v>
      </c>
      <c r="BT76" s="1594">
        <f t="shared" si="143"/>
        <v>-107.65575934931546</v>
      </c>
      <c r="BU76" s="1594">
        <f t="shared" si="144"/>
        <v>169751.60134200062</v>
      </c>
      <c r="BV76" s="1594">
        <f t="shared" si="134"/>
        <v>96.890183414383912</v>
      </c>
      <c r="BW76" s="1600">
        <f t="shared" si="145"/>
        <v>11932604.294278001</v>
      </c>
      <c r="BX76" s="1602">
        <f t="shared" si="135"/>
        <v>6810.8471999303665</v>
      </c>
      <c r="BY76" s="16">
        <f t="shared" si="146"/>
        <v>0.71039558107882317</v>
      </c>
      <c r="BZ76" s="393">
        <f>RANK(BY76,$BY$9:$BY$77)</f>
        <v>14</v>
      </c>
      <c r="CA76" s="14">
        <f>ROUND(BE76+AV76,2)</f>
        <v>4864522</v>
      </c>
      <c r="CB76" s="14">
        <f t="shared" si="136"/>
        <v>2776.55</v>
      </c>
      <c r="CC76" s="393">
        <f>RANK(CB76,$CB$9:$CB$77)</f>
        <v>51</v>
      </c>
      <c r="CD76" s="16">
        <f>CA76/CE76</f>
        <v>0.28960441892117672</v>
      </c>
      <c r="CE76" s="393">
        <f t="shared" si="147"/>
        <v>16797126.294278003</v>
      </c>
      <c r="CF76" s="394">
        <f t="shared" si="137"/>
        <v>9587.4008528984032</v>
      </c>
      <c r="CG76" s="393">
        <f>RANK(CF76,$CF$9:$CF$77)</f>
        <v>8</v>
      </c>
      <c r="CH76" s="1340">
        <v>11801918.192748001</v>
      </c>
      <c r="CI76" s="279">
        <f t="shared" si="148"/>
        <v>130686.10153000057</v>
      </c>
      <c r="CJ76" s="1747"/>
      <c r="CK76" s="350"/>
      <c r="CL76" s="350"/>
      <c r="CM76" s="350"/>
      <c r="CN76" s="350"/>
      <c r="CO76" s="350"/>
      <c r="CP76" s="350"/>
      <c r="CQ76" s="350"/>
      <c r="CR76" s="350"/>
      <c r="CS76" s="350"/>
      <c r="CT76" s="169"/>
      <c r="CU76" s="169"/>
      <c r="CV76" s="1749"/>
      <c r="CW76" s="169"/>
      <c r="CX76" s="169"/>
      <c r="CY76" s="1749"/>
    </row>
    <row r="77" spans="1:183">
      <c r="A77" s="102">
        <v>69</v>
      </c>
      <c r="B77" s="82" t="s">
        <v>213</v>
      </c>
      <c r="C77" s="81">
        <f>'[2]ALL-Reformatted'!AC74</f>
        <v>4195</v>
      </c>
      <c r="D77" s="82">
        <f>'[3]All-Reformatted'!AC74</f>
        <v>2185</v>
      </c>
      <c r="E77" s="82">
        <f t="shared" si="110"/>
        <v>481</v>
      </c>
      <c r="F77" s="82">
        <f>'[4]MS5627_CTE -Reformatted'!AC75</f>
        <v>1416</v>
      </c>
      <c r="G77" s="82">
        <f t="shared" si="111"/>
        <v>85</v>
      </c>
      <c r="H77" s="82">
        <f>'[5]Rollup_Level1 Formatted 2'!Y74</f>
        <v>24</v>
      </c>
      <c r="I77" s="82">
        <f t="shared" si="112"/>
        <v>10</v>
      </c>
      <c r="J77" s="82">
        <f>'[5]Rollup_Level2 Formatted 2'!AB74</f>
        <v>214</v>
      </c>
      <c r="K77" s="82">
        <f t="shared" si="113"/>
        <v>118</v>
      </c>
      <c r="L77" s="82">
        <f>'[5]Rollup_Level3 Formatted 2'!T74</f>
        <v>41</v>
      </c>
      <c r="M77" s="82">
        <f t="shared" si="114"/>
        <v>33</v>
      </c>
      <c r="N77" s="82">
        <f>'[6]Rollup_Level1-REFORMATTED (2)'!P73</f>
        <v>47</v>
      </c>
      <c r="O77" s="82">
        <f t="shared" si="115"/>
        <v>16</v>
      </c>
      <c r="P77" s="82">
        <f>'[6]Rollup_Level2_REFORMATTED (2)'!V73</f>
        <v>76</v>
      </c>
      <c r="Q77" s="82">
        <f t="shared" si="116"/>
        <v>42</v>
      </c>
      <c r="R77" s="82">
        <f>'[6]Rollup_Level3 FORMATTED (2)'!Y73</f>
        <v>121</v>
      </c>
      <c r="S77" s="82">
        <f t="shared" si="117"/>
        <v>85</v>
      </c>
      <c r="T77" s="82">
        <f>[7]Exceeds!AJ74</f>
        <v>36</v>
      </c>
      <c r="U77" s="82">
        <f t="shared" si="118"/>
        <v>49</v>
      </c>
      <c r="V77" s="82">
        <f>'[8]Significantly Exceeds'!V74</f>
        <v>84</v>
      </c>
      <c r="W77" s="82">
        <f t="shared" si="119"/>
        <v>147</v>
      </c>
      <c r="X77" s="82">
        <f>'[9]Roll up'!J74</f>
        <v>4</v>
      </c>
      <c r="Y77" s="82">
        <f t="shared" si="120"/>
        <v>6</v>
      </c>
      <c r="Z77" s="82">
        <f>[10]BeginSchYr2011_ByExcept!$P$13</f>
        <v>6</v>
      </c>
      <c r="AA77" s="82">
        <f t="shared" si="121"/>
        <v>9</v>
      </c>
      <c r="AB77" s="130">
        <v>-8.8978890525282239E-3</v>
      </c>
      <c r="AC77" s="82">
        <f t="shared" si="138"/>
        <v>279</v>
      </c>
      <c r="AD77" s="82">
        <f t="shared" si="139"/>
        <v>0</v>
      </c>
      <c r="AE77" s="82">
        <f t="shared" si="140"/>
        <v>17</v>
      </c>
      <c r="AF77" s="82">
        <f t="shared" si="141"/>
        <v>0</v>
      </c>
      <c r="AG77" s="82">
        <f t="shared" si="122"/>
        <v>532</v>
      </c>
      <c r="AH77" s="82">
        <f>'[11]Rollup_PS-8th'!R73</f>
        <v>200</v>
      </c>
      <c r="AI77" s="19">
        <f t="shared" si="123"/>
        <v>120</v>
      </c>
      <c r="AJ77" s="19">
        <f>'[11]Rollup_9th-12th'!M73</f>
        <v>72</v>
      </c>
      <c r="AK77" s="19">
        <f t="shared" si="124"/>
        <v>21.599999999999998</v>
      </c>
      <c r="AL77" s="19">
        <f>[12]Reformatted!Y74</f>
        <v>123</v>
      </c>
      <c r="AM77" s="19">
        <f t="shared" si="142"/>
        <v>36.9</v>
      </c>
      <c r="AN77" s="19">
        <f t="shared" si="94"/>
        <v>3305</v>
      </c>
      <c r="AO77" s="66">
        <f>ROUND(AN77/$AO$5,5)</f>
        <v>8.813E-2</v>
      </c>
      <c r="AP77" s="13">
        <f t="shared" si="125"/>
        <v>370</v>
      </c>
      <c r="AQ77" s="19">
        <f t="shared" si="126"/>
        <v>1646.5</v>
      </c>
      <c r="AR77" s="19">
        <f t="shared" si="127"/>
        <v>5841.5</v>
      </c>
      <c r="AS77" s="388">
        <f>$AS$5</f>
        <v>3855</v>
      </c>
      <c r="AT77" s="388">
        <f>ROUND(AR77*AS77,0)</f>
        <v>22518983</v>
      </c>
      <c r="AU77" s="388">
        <f>'Table 6 (Local Deduct Calc.)'!J77</f>
        <v>4279461</v>
      </c>
      <c r="AV77" s="388">
        <f>IF((AU77&gt;AT77*$AV$5),AT77*$AV$5,AU77)</f>
        <v>4279461</v>
      </c>
      <c r="AW77" s="389">
        <f>AT77-AV77</f>
        <v>18239522</v>
      </c>
      <c r="AX77" s="390">
        <f>ROUND(AW77/AT77,4)</f>
        <v>0.81</v>
      </c>
      <c r="AY77" s="390">
        <f>ROUND(AV77/AT77,4)</f>
        <v>0.19</v>
      </c>
      <c r="AZ77" s="391">
        <f t="shared" si="128"/>
        <v>1020.1337306317045</v>
      </c>
      <c r="BA77" s="388">
        <f>'Table 7 Local Revenue'!AQ76</f>
        <v>14147038</v>
      </c>
      <c r="BB77" s="388">
        <f>IF(BA77-AV77&gt;0,BA77-AV77,0)</f>
        <v>9867577</v>
      </c>
      <c r="BC77" s="279">
        <f>IF(BA77-AV77&lt;0,BA77-AV77,0)</f>
        <v>0</v>
      </c>
      <c r="BD77" s="14">
        <f>AT77*$BD$5</f>
        <v>7656454.2200000007</v>
      </c>
      <c r="BE77" s="14">
        <f>IF(BB77&lt;BD77,BB77,BD77)</f>
        <v>7656454.2200000007</v>
      </c>
      <c r="BF77" s="388">
        <f>IF(BE77&gt;0,BE77*(AY77*$BF$5),0)</f>
        <v>2502129.2390959999</v>
      </c>
      <c r="BG77" s="392">
        <f>IF(BE77-BF77&gt;BE77*$BG$5,BE77-BF77,BE77*$BG$5)</f>
        <v>5154324.9809040008</v>
      </c>
      <c r="BH77" s="16">
        <f>IF(BE77=0,0,ROUND(BG77/BE77,4))</f>
        <v>0.67320000000000002</v>
      </c>
      <c r="BI77" s="392">
        <f>AW77+BG77</f>
        <v>23393846.980904002</v>
      </c>
      <c r="BJ77" s="14">
        <f t="shared" si="129"/>
        <v>5577</v>
      </c>
      <c r="BK77" s="392">
        <f>'Table 4 Level 3'!M74</f>
        <v>567824</v>
      </c>
      <c r="BL77" s="14">
        <f t="shared" si="130"/>
        <v>135.35733015494637</v>
      </c>
      <c r="BM77" s="400">
        <f>BK77+BI77</f>
        <v>23961670.980904002</v>
      </c>
      <c r="BN77" s="20">
        <f t="shared" si="131"/>
        <v>5711.959709393087</v>
      </c>
      <c r="BO77" s="518">
        <f>'Table 4 Level 3'!P74</f>
        <v>3527474.5469999993</v>
      </c>
      <c r="BP77" s="519">
        <f t="shared" si="132"/>
        <v>840.87593492252665</v>
      </c>
      <c r="BQ77" s="400">
        <f>BI77+BO77</f>
        <v>26921321.527904</v>
      </c>
      <c r="BR77" s="20">
        <f t="shared" si="133"/>
        <v>6417.4783141606677</v>
      </c>
      <c r="BS77" s="1594">
        <f>'[13]Table 3 Levels 1&amp;2'!CE77</f>
        <v>709634.62973344326</v>
      </c>
      <c r="BT77" s="1594">
        <f t="shared" si="143"/>
        <v>169.16200947161937</v>
      </c>
      <c r="BU77" s="1594">
        <f t="shared" si="144"/>
        <v>-638671.166760099</v>
      </c>
      <c r="BV77" s="1594">
        <f t="shared" si="134"/>
        <v>-152.24580852445746</v>
      </c>
      <c r="BW77" s="1600">
        <f t="shared" si="145"/>
        <v>26282650.361143902</v>
      </c>
      <c r="BX77" s="1602">
        <f t="shared" si="135"/>
        <v>6265.2325056362106</v>
      </c>
      <c r="BY77" s="16">
        <f t="shared" si="146"/>
        <v>0.68769327057400387</v>
      </c>
      <c r="BZ77" s="393">
        <f>RANK(BY77,$BY$9:$BY$77)</f>
        <v>21</v>
      </c>
      <c r="CA77" s="14">
        <f>ROUND(BE77+AV77,2)</f>
        <v>11935915.220000001</v>
      </c>
      <c r="CB77" s="14">
        <f t="shared" si="136"/>
        <v>2845.27</v>
      </c>
      <c r="CC77" s="393">
        <f>RANK(CB77,$CB$9:$CB$77)</f>
        <v>47</v>
      </c>
      <c r="CD77" s="16">
        <f>CA77/CE77</f>
        <v>0.31230672942599624</v>
      </c>
      <c r="CE77" s="393">
        <f t="shared" si="147"/>
        <v>38218565.581143901</v>
      </c>
      <c r="CF77" s="394">
        <f t="shared" si="137"/>
        <v>9110.5043101654119</v>
      </c>
      <c r="CG77" s="393">
        <f>RANK(CF77,$CF$9:$CF$77)</f>
        <v>20</v>
      </c>
      <c r="CH77" s="1341">
        <v>24501064.122550398</v>
      </c>
      <c r="CI77" s="280">
        <f t="shared" si="148"/>
        <v>1781586.2385935038</v>
      </c>
      <c r="CJ77" s="1750"/>
      <c r="CK77" s="350"/>
      <c r="CL77" s="350"/>
      <c r="CM77" s="350"/>
      <c r="CN77" s="350"/>
      <c r="CO77" s="350"/>
      <c r="CP77" s="350"/>
      <c r="CQ77" s="350"/>
      <c r="CR77" s="350"/>
      <c r="CS77" s="350"/>
      <c r="CT77" s="169"/>
      <c r="CU77" s="169"/>
      <c r="CV77" s="1749"/>
      <c r="CW77" s="169"/>
      <c r="CX77" s="169"/>
      <c r="CY77" s="1749"/>
    </row>
    <row r="78" spans="1:183" ht="13.5" thickBot="1">
      <c r="A78" s="103"/>
      <c r="B78" s="104" t="s">
        <v>91</v>
      </c>
      <c r="C78" s="105">
        <f>SUM(C9:C77)</f>
        <v>684048</v>
      </c>
      <c r="D78" s="105">
        <f t="shared" ref="D78:AN78" si="149">SUM(D9:D77)</f>
        <v>464154</v>
      </c>
      <c r="E78" s="105">
        <f t="shared" si="149"/>
        <v>102114</v>
      </c>
      <c r="F78" s="105">
        <f t="shared" si="149"/>
        <v>223198</v>
      </c>
      <c r="G78" s="105">
        <f t="shared" si="149"/>
        <v>13390</v>
      </c>
      <c r="H78" s="105">
        <f t="shared" si="149"/>
        <v>12866</v>
      </c>
      <c r="I78" s="105">
        <f>SUM(I9:I77)</f>
        <v>5144</v>
      </c>
      <c r="J78" s="105">
        <f t="shared" si="149"/>
        <v>58010</v>
      </c>
      <c r="K78" s="105">
        <f>SUM(K9:K77)</f>
        <v>31907</v>
      </c>
      <c r="L78" s="105">
        <f t="shared" si="149"/>
        <v>11018</v>
      </c>
      <c r="M78" s="105">
        <f>SUM(M9:M77)</f>
        <v>8814</v>
      </c>
      <c r="N78" s="105">
        <f>SUM(N9:N77)</f>
        <v>10582</v>
      </c>
      <c r="O78" s="105">
        <f>SUM(O9:O77)</f>
        <v>3706</v>
      </c>
      <c r="P78" s="105">
        <f t="shared" ref="P78:AF78" si="150">SUM(P9:P77)</f>
        <v>17668</v>
      </c>
      <c r="Q78" s="105">
        <f t="shared" si="150"/>
        <v>9723</v>
      </c>
      <c r="R78" s="105">
        <f t="shared" si="150"/>
        <v>33437</v>
      </c>
      <c r="S78" s="105">
        <f t="shared" si="150"/>
        <v>23408</v>
      </c>
      <c r="T78" s="105">
        <f t="shared" si="150"/>
        <v>5633</v>
      </c>
      <c r="U78" s="105">
        <f t="shared" si="150"/>
        <v>7609</v>
      </c>
      <c r="V78" s="105">
        <f t="shared" si="150"/>
        <v>15972</v>
      </c>
      <c r="W78" s="105">
        <f t="shared" si="150"/>
        <v>27958</v>
      </c>
      <c r="X78" s="105">
        <f>SUM(X9:X77)</f>
        <v>1755</v>
      </c>
      <c r="Y78" s="105">
        <f>SUM(Y9:Y77)</f>
        <v>2647</v>
      </c>
      <c r="Z78" s="105">
        <f t="shared" ref="Z78" si="151">SUM(Z9:Z77)</f>
        <v>676</v>
      </c>
      <c r="AA78" s="105">
        <f t="shared" ref="AA78" si="152">SUM(AA9:AA77)</f>
        <v>1030</v>
      </c>
      <c r="AB78" s="1359">
        <v>8.3999999999999995E-3</v>
      </c>
      <c r="AC78" s="105">
        <f t="shared" si="150"/>
        <v>81894</v>
      </c>
      <c r="AD78" s="105">
        <f t="shared" si="150"/>
        <v>359</v>
      </c>
      <c r="AE78" s="105">
        <f t="shared" si="150"/>
        <v>1546</v>
      </c>
      <c r="AF78" s="105">
        <f t="shared" si="150"/>
        <v>564</v>
      </c>
      <c r="AG78" s="105">
        <f>SUM(AG9:AG77)</f>
        <v>124415</v>
      </c>
      <c r="AH78" s="105">
        <f t="shared" si="149"/>
        <v>18697</v>
      </c>
      <c r="AI78" s="105">
        <f t="shared" si="149"/>
        <v>11218</v>
      </c>
      <c r="AJ78" s="105">
        <f t="shared" si="149"/>
        <v>10459</v>
      </c>
      <c r="AK78" s="105">
        <f t="shared" si="149"/>
        <v>3137.7000000000003</v>
      </c>
      <c r="AL78" s="105">
        <f t="shared" si="149"/>
        <v>8004</v>
      </c>
      <c r="AM78" s="105">
        <f t="shared" si="149"/>
        <v>2401.1999999999994</v>
      </c>
      <c r="AN78" s="105">
        <f t="shared" si="149"/>
        <v>178501</v>
      </c>
      <c r="AO78" s="105"/>
      <c r="AP78" s="105">
        <f>SUM(AP9:AP77)</f>
        <v>13079</v>
      </c>
      <c r="AQ78" s="105">
        <f>SUM(AQ9:AQ77)</f>
        <v>269754.89999999991</v>
      </c>
      <c r="AR78" s="105">
        <f>SUM(AR9:AR77)</f>
        <v>953802.90000000037</v>
      </c>
      <c r="AS78" s="404">
        <f>$AS$5</f>
        <v>3855</v>
      </c>
      <c r="AT78" s="405">
        <f>SUM(AT9:AT77)</f>
        <v>3676910199</v>
      </c>
      <c r="AU78" s="405">
        <f>SUM(AU9:AU77)</f>
        <v>1298001077.5</v>
      </c>
      <c r="AV78" s="405">
        <f>SUM(AV9:AV77)</f>
        <v>1286927050.25</v>
      </c>
      <c r="AW78" s="406">
        <f>SUM(AW9:AW77)</f>
        <v>2389983148.75</v>
      </c>
      <c r="AX78" s="407">
        <f>ROUND(AW78/AT78,4)</f>
        <v>0.65</v>
      </c>
      <c r="AY78" s="408">
        <f>ROUND(AV78/AT78,4)</f>
        <v>0.35</v>
      </c>
      <c r="AZ78" s="409">
        <f t="shared" si="128"/>
        <v>1881.3402718084112</v>
      </c>
      <c r="BA78" s="405">
        <f t="shared" ref="BA78:BG78" si="153">SUM(BA9:BA77)</f>
        <v>3078646125.5</v>
      </c>
      <c r="BB78" s="405">
        <f t="shared" si="153"/>
        <v>1791014481.25</v>
      </c>
      <c r="BC78" s="405">
        <f t="shared" si="153"/>
        <v>0</v>
      </c>
      <c r="BD78" s="410">
        <f t="shared" si="153"/>
        <v>1250149467.6599998</v>
      </c>
      <c r="BE78" s="410">
        <f t="shared" si="153"/>
        <v>1132056973.9999998</v>
      </c>
      <c r="BF78" s="404">
        <f t="shared" si="153"/>
        <v>708156879.69350994</v>
      </c>
      <c r="BG78" s="411">
        <f t="shared" si="153"/>
        <v>435105595.45850873</v>
      </c>
      <c r="BH78" s="209">
        <f>IF(BE78=0,0,ROUND(BG78/BE78,4))</f>
        <v>0.38429999999999997</v>
      </c>
      <c r="BI78" s="414">
        <f>SUM(BI9:BI77)</f>
        <v>2825088744.2085094</v>
      </c>
      <c r="BJ78" s="413">
        <f t="shared" si="129"/>
        <v>4130</v>
      </c>
      <c r="BK78" s="414">
        <f>SUM(BK9:BK77)</f>
        <v>137758332</v>
      </c>
      <c r="BL78" s="412">
        <f t="shared" si="130"/>
        <v>201.38693775875376</v>
      </c>
      <c r="BM78" s="414">
        <f>SUM(BM9:BM77)</f>
        <v>2962847076.208509</v>
      </c>
      <c r="BN78" s="412">
        <f t="shared" si="131"/>
        <v>4331.3438182825021</v>
      </c>
      <c r="BO78" s="414">
        <f>SUM(BO9:BO77)</f>
        <v>619547330.13600147</v>
      </c>
      <c r="BP78" s="412">
        <f t="shared" si="132"/>
        <v>905.70739207775102</v>
      </c>
      <c r="BQ78" s="414">
        <f>SUM(BQ9:BQ77)</f>
        <v>3444636074.3445101</v>
      </c>
      <c r="BR78" s="412">
        <f t="shared" si="133"/>
        <v>5035.6642726014989</v>
      </c>
      <c r="BS78" s="1596">
        <f>SUM(BS9:BS77)</f>
        <v>1361065.8362808079</v>
      </c>
      <c r="BT78" s="1596">
        <f t="shared" si="143"/>
        <v>1.9897227040804268</v>
      </c>
      <c r="BU78" s="1604">
        <f t="shared" ref="BU78:BW78" si="154">SUM(BU9:BU77)</f>
        <v>-1224959.2526527275</v>
      </c>
      <c r="BV78" s="1604">
        <f t="shared" si="134"/>
        <v>-1.790750433672385</v>
      </c>
      <c r="BW78" s="1601">
        <f t="shared" si="154"/>
        <v>3443411115.0918584</v>
      </c>
      <c r="BX78" s="1603">
        <f t="shared" si="135"/>
        <v>5033.873522167828</v>
      </c>
      <c r="BY78" s="415">
        <f t="shared" si="146"/>
        <v>0.58737274326384503</v>
      </c>
      <c r="BZ78" s="413"/>
      <c r="CA78" s="413">
        <f>SUM(CA9:CA77)</f>
        <v>2418984024.2499995</v>
      </c>
      <c r="CB78" s="412">
        <f t="shared" si="136"/>
        <v>3536.28</v>
      </c>
      <c r="CC78" s="412"/>
      <c r="CD78" s="209">
        <f>CA78/CE78</f>
        <v>0.41262725673615491</v>
      </c>
      <c r="CE78" s="412">
        <f>SUM(CE9:CE77)</f>
        <v>5862395139.3418579</v>
      </c>
      <c r="CF78" s="405">
        <f t="shared" si="137"/>
        <v>8570.1517135374379</v>
      </c>
      <c r="CG78" s="412"/>
      <c r="CH78" s="412">
        <f t="shared" ref="CH78:CI78" si="155">SUM(CH9:CH77)</f>
        <v>3404925470.5395784</v>
      </c>
      <c r="CI78" s="412">
        <f t="shared" si="155"/>
        <v>38485644.552278996</v>
      </c>
      <c r="CJ78" s="1761"/>
      <c r="CK78" s="1762"/>
      <c r="CL78" s="1762"/>
      <c r="CM78" s="1763"/>
      <c r="CN78" s="1762"/>
      <c r="CO78" s="1762"/>
      <c r="CP78" s="1763"/>
      <c r="CQ78" s="1763"/>
      <c r="CR78" s="1763"/>
      <c r="CS78" s="1763"/>
      <c r="CT78" s="1322"/>
      <c r="CU78" s="1322"/>
      <c r="CV78" s="1764"/>
      <c r="CW78" s="1322"/>
      <c r="CX78" s="1322"/>
      <c r="CY78" s="1764"/>
    </row>
    <row r="79" spans="1:183" ht="12.75" customHeight="1" thickTop="1">
      <c r="A79" s="106"/>
      <c r="B79" s="199"/>
      <c r="C79" s="170"/>
      <c r="D79" s="107"/>
      <c r="E79" s="108"/>
      <c r="F79" s="170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  <c r="AH79" s="107"/>
      <c r="AQ79" s="5"/>
      <c r="AR79" s="5"/>
      <c r="AU79" s="2"/>
      <c r="AV79" s="2"/>
      <c r="AW79" s="6"/>
      <c r="AX79" s="2"/>
      <c r="AY79" s="2"/>
      <c r="AZ79" s="2"/>
      <c r="BA79" s="2"/>
      <c r="BC79" s="2"/>
      <c r="BD79" s="2"/>
      <c r="BE79" s="2"/>
      <c r="BF79" s="2"/>
      <c r="BG79" s="2"/>
      <c r="BH79" s="2"/>
      <c r="BJ79" s="2"/>
      <c r="CF79" s="416"/>
      <c r="CG79" s="416"/>
      <c r="CH79" s="416"/>
      <c r="CI79" s="2"/>
      <c r="CJ79" s="64"/>
      <c r="CW79" s="1765"/>
      <c r="CX79" s="1765"/>
      <c r="CY79" s="1765"/>
    </row>
    <row r="80" spans="1:183" s="34" customFormat="1" ht="15" hidden="1" customHeight="1">
      <c r="A80" s="109"/>
      <c r="B80" s="110"/>
      <c r="C80" s="69"/>
      <c r="D80" s="272">
        <f>D77/C77</f>
        <v>0.52085816448152567</v>
      </c>
      <c r="E80" s="110"/>
      <c r="F80" s="168"/>
      <c r="G80" s="110"/>
      <c r="H80" s="196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  <c r="AC80" s="197"/>
      <c r="AD80" s="197"/>
      <c r="AE80" s="197"/>
      <c r="AF80" s="197"/>
      <c r="AG80" s="197"/>
      <c r="AH80" s="196"/>
      <c r="AP80" s="1938"/>
      <c r="AQ80" s="1938"/>
      <c r="AS80" s="60"/>
      <c r="AT80" s="256">
        <f>AT78*0.35</f>
        <v>1286918569.6499999</v>
      </c>
      <c r="AU80" s="257"/>
      <c r="AV80" s="257"/>
      <c r="AW80" s="258">
        <f>AT80/AT82</f>
        <v>0.99146186544671788</v>
      </c>
      <c r="AX80" s="22"/>
      <c r="AY80" s="22"/>
      <c r="AZ80" s="22"/>
      <c r="BA80" s="22"/>
      <c r="BC80" s="22"/>
      <c r="BD80" s="22"/>
      <c r="BE80" s="22"/>
      <c r="BF80" s="22"/>
      <c r="BG80" s="253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55"/>
      <c r="CK80" s="197"/>
      <c r="CL80" s="197"/>
      <c r="CM80" s="197"/>
      <c r="CN80" s="197"/>
      <c r="CO80" s="1766"/>
      <c r="CP80" s="1766"/>
      <c r="CQ80" s="1766"/>
      <c r="CR80" s="1766"/>
      <c r="CS80" s="1766"/>
      <c r="CT80" s="1766"/>
      <c r="CU80" s="1766"/>
      <c r="CV80" s="1766"/>
      <c r="CW80" s="1766"/>
      <c r="CX80" s="1766"/>
      <c r="CY80" s="1766"/>
    </row>
    <row r="81" spans="1:88" ht="13.5" hidden="1" customHeight="1">
      <c r="A81" s="106"/>
      <c r="B81" s="107"/>
      <c r="C81" s="203"/>
      <c r="D81" s="169"/>
      <c r="E81" s="202"/>
      <c r="F81" s="107"/>
      <c r="G81" s="107"/>
      <c r="H81" s="13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38"/>
      <c r="AS81" s="141"/>
      <c r="AT81" s="117"/>
      <c r="AU81" s="255"/>
      <c r="AV81" s="255"/>
      <c r="AW81" s="259"/>
      <c r="AX81" s="22"/>
      <c r="AY81" s="22"/>
      <c r="AZ81" s="22"/>
      <c r="BA81" s="22"/>
      <c r="BC81" s="22"/>
      <c r="BD81" s="22"/>
      <c r="BE81" s="22"/>
      <c r="BF81" s="22"/>
      <c r="BG81" s="22"/>
      <c r="BH81" s="22"/>
      <c r="BI81" s="254"/>
      <c r="BJ81" s="22"/>
      <c r="BK81" s="22"/>
      <c r="BL81" s="22"/>
      <c r="BM81" s="254"/>
      <c r="BN81" s="254"/>
      <c r="BO81" s="254"/>
      <c r="BP81" s="254"/>
      <c r="BQ81" s="254"/>
      <c r="BR81" s="254"/>
      <c r="BS81" s="254"/>
      <c r="BT81" s="254"/>
      <c r="BU81" s="254"/>
      <c r="BV81" s="254"/>
      <c r="BW81" s="254"/>
      <c r="BX81" s="254"/>
      <c r="BY81" s="254"/>
      <c r="BZ81" s="254"/>
      <c r="CA81" s="22"/>
      <c r="CB81" s="254"/>
      <c r="CC81" s="254"/>
      <c r="CD81" s="254"/>
      <c r="CE81" s="254"/>
      <c r="CF81" s="254"/>
      <c r="CG81" s="254"/>
      <c r="CH81" s="254"/>
      <c r="CI81" s="22"/>
      <c r="CJ81" s="255"/>
    </row>
    <row r="82" spans="1:88" ht="13.5" hidden="1" customHeight="1">
      <c r="A82" s="106"/>
      <c r="B82" s="107"/>
      <c r="C82" s="201"/>
      <c r="D82" s="170"/>
      <c r="E82" s="107"/>
      <c r="F82" s="107"/>
      <c r="G82" s="107"/>
      <c r="H82" s="196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  <c r="AC82" s="138"/>
      <c r="AD82" s="138"/>
      <c r="AE82" s="138"/>
      <c r="AF82" s="138"/>
      <c r="AG82" s="138"/>
      <c r="AH82" s="196"/>
      <c r="AS82" s="61"/>
      <c r="AT82" s="260">
        <f>'Table 6 (Local Deduct Calc.)'!E78+'Table 6 (Local Deduct Calc.)'!H78+'Table 6 (Local Deduct Calc.)'!I78</f>
        <v>1298001077.5</v>
      </c>
      <c r="AU82" s="255" t="s">
        <v>251</v>
      </c>
      <c r="AV82" s="255"/>
      <c r="AW82" s="261"/>
      <c r="AX82" s="22"/>
      <c r="AY82" s="22"/>
      <c r="AZ82" s="22"/>
      <c r="BA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55"/>
    </row>
    <row r="83" spans="1:88" ht="13.5" hidden="1" customHeight="1">
      <c r="A83" s="106"/>
      <c r="B83" s="107"/>
      <c r="C83" s="201"/>
      <c r="D83" s="107"/>
      <c r="E83" s="107"/>
      <c r="F83" s="107"/>
      <c r="G83" s="107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T83" s="117"/>
      <c r="AU83" s="255"/>
      <c r="AV83" s="255"/>
      <c r="AW83" s="261"/>
      <c r="AX83" s="22"/>
      <c r="AY83" s="22"/>
      <c r="AZ83" s="22"/>
      <c r="BA83" s="22"/>
      <c r="BC83" s="22"/>
      <c r="BD83" s="22"/>
      <c r="BE83" s="22"/>
      <c r="BF83" s="22"/>
      <c r="BG83" s="22"/>
      <c r="BH83" s="22"/>
      <c r="BI83" s="254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54"/>
      <c r="CI83" s="22"/>
      <c r="CJ83" s="255"/>
    </row>
    <row r="84" spans="1:88" ht="13.5" hidden="1" customHeight="1">
      <c r="A84" s="106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T84" s="117"/>
      <c r="AU84" s="255"/>
      <c r="AV84" s="255"/>
      <c r="AW84" s="261"/>
      <c r="AX84" s="22"/>
      <c r="AY84" s="22"/>
      <c r="AZ84" s="22"/>
      <c r="BA84" s="22"/>
      <c r="BC84" s="22"/>
      <c r="BD84" s="22"/>
      <c r="BE84" s="22"/>
      <c r="BF84" s="22"/>
      <c r="BG84" s="22"/>
      <c r="BH84" s="22"/>
      <c r="BI84" s="254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54"/>
      <c r="CI84" s="22"/>
      <c r="CJ84" s="255"/>
    </row>
    <row r="85" spans="1:88" ht="21.75" hidden="1" customHeight="1" thickBot="1">
      <c r="A85" s="106"/>
      <c r="B85" s="107"/>
      <c r="C85" s="138"/>
      <c r="D85" s="285"/>
      <c r="E85" s="285"/>
      <c r="F85" s="285"/>
      <c r="G85" s="285"/>
      <c r="H85" s="138"/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T85" s="117" t="s">
        <v>252</v>
      </c>
      <c r="AU85" s="248"/>
      <c r="AV85" s="248"/>
      <c r="AW85" s="1782"/>
    </row>
    <row r="86" spans="1:88" ht="15" customHeight="1">
      <c r="A86" s="106"/>
      <c r="B86" s="107"/>
      <c r="C86" s="1944"/>
      <c r="D86" s="1944"/>
      <c r="E86" s="1944"/>
      <c r="F86" s="1944"/>
      <c r="G86" s="790"/>
      <c r="H86" s="790"/>
      <c r="I86" s="1352"/>
      <c r="J86" s="1352"/>
      <c r="K86" s="1352"/>
      <c r="L86" s="1352"/>
      <c r="M86" s="1352"/>
      <c r="N86" s="790"/>
      <c r="O86" s="1352"/>
      <c r="P86" s="790"/>
      <c r="Q86" s="1352"/>
      <c r="R86" s="790"/>
      <c r="S86" s="1352"/>
      <c r="T86" s="790"/>
      <c r="U86" s="1352"/>
      <c r="V86" s="790"/>
      <c r="W86" s="1352"/>
      <c r="X86" s="1352"/>
      <c r="Y86" s="1352"/>
      <c r="Z86" s="790"/>
      <c r="AA86" s="1352"/>
      <c r="AB86" s="790"/>
      <c r="AC86" s="790"/>
      <c r="AD86" s="790"/>
      <c r="AE86" s="790"/>
      <c r="AF86" s="790"/>
      <c r="AG86" s="790"/>
      <c r="AH86" s="790"/>
      <c r="AI86" s="790"/>
      <c r="AJ86" s="790"/>
      <c r="AK86" s="790"/>
      <c r="AL86" s="790"/>
      <c r="AM86" s="790"/>
      <c r="AN86" s="64"/>
      <c r="AO86" s="473"/>
      <c r="AP86" s="64"/>
      <c r="AQ86" s="64"/>
      <c r="AR86" s="64"/>
      <c r="AS86" s="64"/>
      <c r="AT86" s="64"/>
      <c r="AU86" s="248"/>
      <c r="AV86" s="248"/>
      <c r="AW86" s="248"/>
    </row>
    <row r="87" spans="1:88" ht="13.5" customHeight="1">
      <c r="A87" s="106"/>
      <c r="B87" s="107"/>
      <c r="C87" s="790"/>
      <c r="D87" s="790"/>
      <c r="E87" s="790"/>
      <c r="F87" s="790"/>
      <c r="G87" s="790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54"/>
      <c r="V87" s="138"/>
      <c r="W87" s="1354"/>
      <c r="X87" s="1356"/>
      <c r="Y87" s="1356"/>
      <c r="Z87" s="138"/>
      <c r="AA87" s="1356"/>
      <c r="AB87" s="138"/>
      <c r="AC87" s="138"/>
      <c r="AD87" s="138"/>
      <c r="AE87" s="138"/>
      <c r="AF87" s="138"/>
      <c r="AG87" s="138"/>
      <c r="AH87" s="138"/>
      <c r="AI87" s="1783"/>
      <c r="AJ87" s="64"/>
      <c r="AK87" s="1783"/>
      <c r="AL87" s="64"/>
      <c r="AM87" s="1783"/>
      <c r="AN87" s="64"/>
      <c r="AO87" s="473"/>
      <c r="AP87" s="64"/>
      <c r="AQ87" s="64"/>
      <c r="AR87" s="64"/>
      <c r="AS87" s="64"/>
      <c r="AT87" s="64"/>
      <c r="AU87" s="248"/>
      <c r="AV87" s="248"/>
      <c r="AW87" s="248"/>
      <c r="BB87" s="606"/>
    </row>
    <row r="88" spans="1:88" ht="13.5" customHeight="1">
      <c r="A88" s="106"/>
      <c r="B88" s="107"/>
      <c r="C88" s="169"/>
      <c r="D88" s="138"/>
      <c r="E88" s="285"/>
      <c r="F88" s="285"/>
      <c r="G88" s="285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64"/>
      <c r="AJ88" s="64"/>
      <c r="AK88" s="64"/>
      <c r="AL88" s="64"/>
      <c r="AM88" s="64"/>
      <c r="AN88" s="64"/>
      <c r="AO88" s="473"/>
      <c r="AP88" s="64"/>
      <c r="AQ88" s="64"/>
      <c r="AR88" s="64"/>
      <c r="AS88" s="64"/>
      <c r="AT88" s="64"/>
      <c r="AU88" s="248"/>
      <c r="AV88" s="248"/>
      <c r="AW88" s="248"/>
      <c r="BB88" s="963"/>
      <c r="BI88" s="350"/>
      <c r="BK88" s="135"/>
      <c r="BL88" s="64"/>
      <c r="BM88" s="1784"/>
      <c r="BN88" s="1784"/>
      <c r="BO88" s="1784"/>
      <c r="BP88" s="1784"/>
      <c r="BQ88" s="1785"/>
      <c r="BR88" s="1784"/>
      <c r="BS88" s="1784"/>
      <c r="BT88" s="1784"/>
      <c r="BU88" s="1784"/>
      <c r="BV88" s="1784"/>
      <c r="BW88" s="1784"/>
      <c r="BX88" s="1784"/>
      <c r="BY88" s="1784"/>
      <c r="BZ88" s="1784"/>
      <c r="CA88" s="64"/>
      <c r="CB88" s="1784"/>
      <c r="CC88" s="1784"/>
      <c r="CD88" s="1784"/>
      <c r="CE88" s="1762"/>
    </row>
    <row r="89" spans="1:88" ht="13.5" customHeight="1">
      <c r="A89" s="106"/>
      <c r="B89" s="107"/>
      <c r="C89" s="138"/>
      <c r="D89" s="1351"/>
      <c r="E89" s="138"/>
      <c r="F89" s="138"/>
      <c r="G89" s="138"/>
      <c r="H89" s="138"/>
      <c r="I89" s="138"/>
      <c r="J89" s="138"/>
      <c r="K89" s="138"/>
      <c r="L89" s="169"/>
      <c r="M89" s="138"/>
      <c r="N89" s="138"/>
      <c r="O89" s="138"/>
      <c r="P89" s="138"/>
      <c r="Q89" s="138"/>
      <c r="R89" s="169"/>
      <c r="S89" s="138"/>
      <c r="T89" s="169"/>
      <c r="U89" s="138"/>
      <c r="V89" s="1786"/>
      <c r="W89" s="138"/>
      <c r="X89" s="1787"/>
      <c r="Y89" s="1787"/>
      <c r="Z89" s="169"/>
      <c r="AA89" s="1787"/>
      <c r="AB89" s="138"/>
      <c r="AC89" s="138"/>
      <c r="AD89" s="138"/>
      <c r="AE89" s="138"/>
      <c r="AF89" s="138"/>
      <c r="AG89" s="1788"/>
      <c r="AH89" s="138"/>
      <c r="AI89" s="64"/>
      <c r="AJ89" s="1783"/>
      <c r="AK89" s="64"/>
      <c r="AL89" s="64"/>
      <c r="AM89" s="64"/>
      <c r="AN89" s="64"/>
      <c r="AO89" s="473"/>
      <c r="AP89" s="64"/>
      <c r="AQ89" s="64"/>
      <c r="AR89" s="64"/>
      <c r="AS89" s="64"/>
      <c r="AT89" s="64"/>
      <c r="AU89" s="248"/>
      <c r="AV89" s="248"/>
      <c r="AW89" s="248"/>
      <c r="BB89" s="606"/>
    </row>
    <row r="90" spans="1:88" ht="13.5" customHeight="1">
      <c r="A90" s="290"/>
      <c r="B90" s="138"/>
      <c r="C90" s="474"/>
      <c r="D90" s="138"/>
      <c r="E90" s="138"/>
      <c r="F90" s="138"/>
      <c r="G90" s="138"/>
      <c r="H90" s="138"/>
      <c r="I90" s="138"/>
      <c r="J90" s="138"/>
      <c r="K90" s="138"/>
      <c r="L90" s="138"/>
      <c r="M90" s="1351"/>
      <c r="N90" s="138"/>
      <c r="O90" s="138"/>
      <c r="P90" s="138"/>
      <c r="Q90" s="1351"/>
      <c r="R90" s="138"/>
      <c r="S90" s="138"/>
      <c r="T90" s="1351"/>
      <c r="U90" s="138"/>
      <c r="V90" s="1353"/>
      <c r="W90" s="138"/>
      <c r="X90" s="138"/>
      <c r="Y90" s="138"/>
      <c r="Z90" s="138"/>
      <c r="AA90" s="138"/>
      <c r="AB90" s="1355"/>
      <c r="AC90" s="138"/>
      <c r="AD90" s="138"/>
      <c r="AE90" s="138"/>
      <c r="AF90" s="138"/>
      <c r="AG90" s="138"/>
      <c r="AH90" s="138"/>
      <c r="AI90" s="64"/>
      <c r="AJ90" s="64"/>
      <c r="AK90" s="64"/>
      <c r="AL90" s="196"/>
      <c r="AM90" s="64"/>
      <c r="AN90" s="64"/>
      <c r="AO90" s="473"/>
      <c r="AP90" s="64"/>
      <c r="AQ90" s="64"/>
      <c r="AR90" s="64"/>
      <c r="AS90" s="64"/>
      <c r="AT90" s="584"/>
      <c r="AU90" s="248"/>
      <c r="AV90" s="248"/>
      <c r="AW90" s="248"/>
      <c r="BB90" s="964"/>
    </row>
    <row r="91" spans="1:88" ht="46.5" customHeight="1">
      <c r="A91" s="290"/>
      <c r="B91" s="169"/>
      <c r="C91" s="138"/>
      <c r="D91" s="138"/>
      <c r="E91" s="138"/>
      <c r="F91" s="138"/>
      <c r="G91" s="138"/>
      <c r="H91" s="138"/>
      <c r="I91" s="138"/>
      <c r="J91" s="138"/>
      <c r="K91" s="138"/>
      <c r="L91" s="138"/>
      <c r="M91" s="1355"/>
      <c r="N91" s="138"/>
      <c r="O91" s="138"/>
      <c r="P91" s="138"/>
      <c r="Q91" s="1355"/>
      <c r="R91" s="138"/>
      <c r="S91" s="138"/>
      <c r="T91" s="138"/>
      <c r="U91" s="138"/>
      <c r="V91" s="138"/>
      <c r="W91" s="138"/>
      <c r="X91" s="1351"/>
      <c r="Y91" s="1351"/>
      <c r="Z91" s="964"/>
      <c r="AA91" s="1351"/>
      <c r="AB91" s="1351"/>
      <c r="AC91" s="138"/>
      <c r="AD91" s="138"/>
      <c r="AE91" s="138"/>
      <c r="AF91" s="138"/>
      <c r="AG91" s="138"/>
      <c r="AH91" s="138"/>
      <c r="AI91" s="64"/>
      <c r="AJ91" s="64"/>
      <c r="AK91" s="64"/>
      <c r="AL91" s="64"/>
      <c r="AM91" s="1789"/>
      <c r="AN91" s="64"/>
      <c r="AO91" s="473"/>
      <c r="AP91" s="64"/>
      <c r="AQ91" s="64"/>
      <c r="AR91" s="64"/>
      <c r="AS91" s="64"/>
      <c r="AT91" s="64"/>
      <c r="AU91" s="248"/>
      <c r="AV91" s="248"/>
      <c r="AW91" s="248"/>
      <c r="BB91" s="291"/>
      <c r="BS91" s="1888"/>
      <c r="BT91" s="1889"/>
      <c r="BU91" s="1889"/>
      <c r="BV91" s="1889"/>
    </row>
    <row r="92" spans="1:88">
      <c r="A92" s="290"/>
      <c r="B92" s="964"/>
      <c r="C92" s="64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64"/>
      <c r="AC92" s="138"/>
      <c r="AD92" s="138"/>
      <c r="AE92" s="138"/>
      <c r="AF92" s="138"/>
      <c r="AG92" s="138"/>
      <c r="AH92" s="138"/>
      <c r="AI92" s="64"/>
      <c r="AJ92" s="64"/>
      <c r="AK92" s="64"/>
      <c r="AL92" s="64"/>
      <c r="AM92" s="64"/>
      <c r="AN92" s="64"/>
      <c r="AO92" s="473"/>
      <c r="AP92" s="64"/>
      <c r="AQ92" s="64"/>
      <c r="AR92" s="64"/>
      <c r="AS92" s="64"/>
      <c r="AT92" s="64"/>
      <c r="AU92" s="248"/>
      <c r="AV92" s="248"/>
      <c r="AW92" s="248"/>
      <c r="BB92" s="291"/>
    </row>
    <row r="93" spans="1:88">
      <c r="A93" s="290"/>
      <c r="B93" s="964"/>
      <c r="C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C93" s="138"/>
      <c r="AD93" s="138"/>
      <c r="AE93" s="138"/>
      <c r="AF93" s="138"/>
      <c r="AG93" s="138"/>
      <c r="AH93" s="138"/>
      <c r="AI93" s="64"/>
      <c r="AJ93" s="64"/>
      <c r="AK93" s="64"/>
      <c r="AL93" s="64"/>
      <c r="AM93" s="64"/>
      <c r="AN93" s="64"/>
      <c r="AO93" s="473"/>
      <c r="AP93" s="64"/>
      <c r="AQ93" s="64"/>
      <c r="AR93" s="64"/>
      <c r="AS93" s="64"/>
      <c r="AT93" s="64"/>
      <c r="AU93" s="248"/>
      <c r="AV93" s="248"/>
      <c r="AW93" s="248"/>
      <c r="BB93" s="291"/>
    </row>
    <row r="94" spans="1:88">
      <c r="A94" s="290"/>
      <c r="B94" s="964"/>
      <c r="C94" s="138"/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C94" s="138"/>
      <c r="AD94" s="138"/>
      <c r="AE94" s="138"/>
      <c r="AF94" s="138"/>
      <c r="AG94" s="138"/>
      <c r="AH94" s="138"/>
      <c r="AI94" s="64"/>
      <c r="AJ94" s="64"/>
      <c r="AK94" s="64"/>
      <c r="AL94" s="64"/>
      <c r="AM94" s="64"/>
      <c r="AN94" s="64"/>
      <c r="AO94" s="473"/>
      <c r="AP94" s="64"/>
      <c r="AQ94" s="64"/>
      <c r="AR94" s="64"/>
      <c r="AS94" s="64"/>
      <c r="AT94" s="64"/>
      <c r="AU94" s="248"/>
      <c r="AV94" s="248"/>
      <c r="AW94" s="248"/>
      <c r="BB94" s="291"/>
    </row>
    <row r="95" spans="1:88">
      <c r="A95" s="290"/>
      <c r="B95" s="138"/>
      <c r="C95" s="138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64"/>
      <c r="AJ95" s="64"/>
      <c r="AK95" s="64"/>
      <c r="AL95" s="64"/>
      <c r="AM95" s="64"/>
      <c r="AN95" s="64"/>
      <c r="AO95" s="473"/>
      <c r="AP95" s="64"/>
      <c r="AQ95" s="64"/>
      <c r="AR95" s="64"/>
      <c r="AS95" s="64"/>
      <c r="AT95" s="64"/>
      <c r="AU95" s="248"/>
      <c r="AV95" s="248"/>
      <c r="AW95" s="248"/>
    </row>
    <row r="96" spans="1:88">
      <c r="A96" s="290"/>
      <c r="B96" s="964"/>
      <c r="C96" s="169"/>
      <c r="D96" s="138"/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8"/>
      <c r="AA96" s="138"/>
      <c r="AB96" s="138"/>
      <c r="AC96" s="138"/>
      <c r="AD96" s="138"/>
      <c r="AE96" s="138"/>
      <c r="AF96" s="138"/>
      <c r="AG96" s="138"/>
      <c r="AH96" s="138"/>
      <c r="AI96" s="64"/>
      <c r="AJ96" s="64"/>
      <c r="AK96" s="64"/>
      <c r="AL96" s="64"/>
      <c r="AM96" s="64"/>
      <c r="AN96" s="64"/>
      <c r="AO96" s="473"/>
      <c r="AP96" s="64"/>
      <c r="AQ96" s="64"/>
      <c r="AR96" s="64"/>
      <c r="AS96" s="64"/>
      <c r="AT96" s="64"/>
      <c r="AU96" s="248"/>
      <c r="AV96" s="248"/>
      <c r="AW96" s="248"/>
    </row>
    <row r="97" spans="1:183" s="341" customFormat="1">
      <c r="A97" s="290"/>
      <c r="B97" s="290"/>
      <c r="C97" s="290"/>
      <c r="D97" s="290"/>
      <c r="E97" s="290"/>
      <c r="F97" s="290"/>
      <c r="G97" s="290"/>
      <c r="H97" s="290"/>
      <c r="I97" s="290"/>
      <c r="J97" s="290"/>
      <c r="K97" s="290"/>
      <c r="L97" s="290"/>
      <c r="M97" s="290"/>
      <c r="N97" s="290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90"/>
      <c r="AH97" s="290"/>
      <c r="AI97" s="475"/>
      <c r="AJ97" s="475"/>
      <c r="AK97" s="475"/>
      <c r="AL97" s="475"/>
      <c r="AM97" s="475"/>
      <c r="AN97" s="475"/>
      <c r="AO97" s="476"/>
      <c r="AP97" s="475"/>
      <c r="AQ97" s="475"/>
      <c r="AR97" s="475"/>
      <c r="AS97" s="475"/>
      <c r="AT97" s="475"/>
      <c r="AU97" s="477"/>
      <c r="AV97" s="477"/>
      <c r="AW97" s="477"/>
      <c r="AX97" s="290"/>
      <c r="AY97" s="290"/>
      <c r="AZ97" s="290"/>
      <c r="BA97" s="290"/>
      <c r="BB97" s="290"/>
      <c r="BC97" s="339"/>
      <c r="BD97" s="339"/>
      <c r="BE97" s="339"/>
      <c r="BF97" s="339"/>
      <c r="BG97" s="339"/>
      <c r="BH97" s="339"/>
      <c r="BI97" s="339"/>
      <c r="BJ97" s="339"/>
      <c r="BK97" s="339"/>
      <c r="BL97" s="339"/>
      <c r="BM97" s="339"/>
      <c r="BN97" s="339"/>
      <c r="BO97" s="339"/>
      <c r="BP97" s="339"/>
      <c r="BQ97" s="339"/>
      <c r="BR97" s="339"/>
      <c r="BS97" s="339"/>
      <c r="BT97" s="339"/>
      <c r="BU97" s="339"/>
      <c r="BV97" s="339"/>
      <c r="BW97" s="339"/>
      <c r="BX97" s="339"/>
      <c r="BY97" s="339"/>
      <c r="BZ97" s="339"/>
      <c r="CA97" s="339"/>
      <c r="CB97" s="339"/>
      <c r="CC97" s="339"/>
      <c r="CD97" s="339"/>
      <c r="CE97" s="339"/>
      <c r="CF97" s="339"/>
      <c r="CG97" s="339"/>
      <c r="CH97" s="339"/>
      <c r="CI97" s="339"/>
      <c r="CJ97" s="290"/>
      <c r="CK97" s="1148"/>
      <c r="CL97" s="1148"/>
      <c r="CM97" s="1148"/>
      <c r="CN97" s="1148"/>
      <c r="CO97" s="1767"/>
      <c r="CP97" s="1767"/>
      <c r="CQ97" s="1767"/>
      <c r="CR97" s="1767"/>
      <c r="CS97" s="1767"/>
      <c r="CT97" s="1767"/>
      <c r="CU97" s="1767"/>
      <c r="CV97" s="1767"/>
      <c r="CW97" s="1767"/>
      <c r="CX97" s="1767"/>
      <c r="CY97" s="1767"/>
      <c r="CZ97" s="342"/>
      <c r="DA97" s="342"/>
      <c r="DB97" s="342"/>
      <c r="DC97" s="342"/>
      <c r="DD97" s="342"/>
      <c r="DE97" s="342"/>
      <c r="DF97" s="342"/>
      <c r="DG97" s="342"/>
      <c r="DH97" s="342"/>
      <c r="DI97" s="342"/>
      <c r="DJ97" s="342"/>
      <c r="DK97" s="342"/>
      <c r="DL97" s="342"/>
      <c r="DM97" s="342"/>
      <c r="DN97" s="342"/>
      <c r="DO97" s="342"/>
      <c r="DP97" s="342"/>
      <c r="DQ97" s="342"/>
      <c r="DR97" s="342"/>
      <c r="DS97" s="342"/>
      <c r="DT97" s="342"/>
      <c r="DU97" s="342"/>
      <c r="DV97" s="342"/>
      <c r="DW97" s="342"/>
      <c r="DX97" s="342"/>
      <c r="DY97" s="342"/>
      <c r="DZ97" s="342"/>
      <c r="EA97" s="342"/>
      <c r="EB97" s="342"/>
      <c r="EC97" s="342"/>
      <c r="ED97" s="342"/>
      <c r="EE97" s="342"/>
      <c r="EF97" s="342"/>
      <c r="EG97" s="342"/>
      <c r="EH97" s="342"/>
      <c r="EI97" s="342"/>
      <c r="EJ97" s="342"/>
      <c r="EK97" s="342"/>
      <c r="EL97" s="342"/>
      <c r="EM97" s="342"/>
      <c r="EN97" s="342"/>
      <c r="EO97" s="342"/>
      <c r="EP97" s="342"/>
      <c r="EQ97" s="342"/>
      <c r="ER97" s="342"/>
      <c r="ES97" s="342"/>
      <c r="ET97" s="342"/>
      <c r="EU97" s="342"/>
      <c r="EV97" s="342"/>
      <c r="EW97" s="342"/>
      <c r="EX97" s="342"/>
      <c r="EY97" s="342"/>
      <c r="EZ97" s="342"/>
      <c r="FA97" s="342"/>
      <c r="FB97" s="342"/>
      <c r="FC97" s="342"/>
      <c r="FD97" s="342"/>
      <c r="FE97" s="342"/>
      <c r="FF97" s="342"/>
      <c r="FG97" s="342"/>
      <c r="FH97" s="342"/>
      <c r="FI97" s="342"/>
      <c r="FJ97" s="342"/>
      <c r="FK97" s="342"/>
      <c r="FL97" s="342"/>
      <c r="FM97" s="342"/>
      <c r="FN97" s="342"/>
      <c r="FO97" s="342"/>
      <c r="FP97" s="342"/>
      <c r="FQ97" s="342"/>
      <c r="FR97" s="342"/>
      <c r="FS97" s="342"/>
      <c r="FT97" s="342"/>
      <c r="FU97" s="342"/>
      <c r="FV97" s="342"/>
      <c r="FW97" s="342"/>
      <c r="FX97" s="342"/>
      <c r="FY97" s="342"/>
      <c r="FZ97" s="342"/>
      <c r="GA97" s="342"/>
    </row>
    <row r="98" spans="1:183">
      <c r="A98" s="290"/>
      <c r="B98" s="138"/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8"/>
      <c r="X98" s="138"/>
      <c r="Y98" s="138"/>
      <c r="Z98" s="138"/>
      <c r="AA98" s="138"/>
      <c r="AB98" s="138"/>
      <c r="AC98" s="138"/>
      <c r="AD98" s="138"/>
      <c r="AE98" s="138"/>
      <c r="AF98" s="138"/>
      <c r="AG98" s="138"/>
      <c r="AH98" s="138"/>
      <c r="AI98" s="64"/>
      <c r="AJ98" s="64"/>
      <c r="AK98" s="64"/>
      <c r="AL98" s="64"/>
      <c r="AM98" s="64"/>
      <c r="AN98" s="64"/>
      <c r="AO98" s="473"/>
      <c r="AP98" s="64"/>
      <c r="AQ98" s="64"/>
      <c r="AR98" s="64"/>
      <c r="AS98" s="64"/>
      <c r="AT98" s="64"/>
      <c r="AU98" s="248"/>
      <c r="AV98" s="248"/>
      <c r="AW98" s="248"/>
    </row>
    <row r="99" spans="1:183" s="340" customFormat="1">
      <c r="A99" s="290"/>
      <c r="B99" s="169"/>
      <c r="C99" s="138"/>
      <c r="D99" s="138"/>
      <c r="E99" s="138"/>
      <c r="F99" s="138"/>
      <c r="G99" s="138"/>
      <c r="H99" s="138"/>
      <c r="I99" s="138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64"/>
      <c r="AJ99" s="64"/>
      <c r="AK99" s="64"/>
      <c r="AL99" s="64"/>
      <c r="AM99" s="64"/>
      <c r="AN99" s="64"/>
      <c r="AO99" s="473"/>
      <c r="AP99" s="64"/>
      <c r="AQ99" s="64"/>
      <c r="AR99" s="64"/>
      <c r="AS99" s="64"/>
      <c r="AT99" s="64"/>
      <c r="AU99" s="248"/>
      <c r="AV99" s="248"/>
      <c r="AW99" s="248"/>
      <c r="AX99" s="138"/>
      <c r="AY99" s="138"/>
      <c r="AZ99" s="138"/>
      <c r="BA99" s="138"/>
      <c r="BB99" s="138"/>
      <c r="BC99" s="287"/>
      <c r="BD99" s="287"/>
      <c r="BE99" s="287"/>
      <c r="BF99" s="287"/>
      <c r="BG99" s="287"/>
      <c r="BH99" s="287"/>
      <c r="BI99" s="287"/>
      <c r="BJ99" s="287"/>
      <c r="BK99" s="287"/>
      <c r="BL99" s="287"/>
      <c r="BM99" s="287"/>
      <c r="BN99" s="287"/>
      <c r="BO99" s="287"/>
      <c r="BP99" s="287"/>
      <c r="BQ99" s="287"/>
      <c r="BR99" s="287"/>
      <c r="BS99" s="287"/>
      <c r="BT99" s="287"/>
      <c r="BU99" s="287"/>
      <c r="BV99" s="287"/>
      <c r="BW99" s="287"/>
      <c r="BX99" s="287"/>
      <c r="BY99" s="287"/>
      <c r="BZ99" s="287"/>
      <c r="CA99" s="287"/>
      <c r="CB99" s="287"/>
      <c r="CC99" s="287"/>
      <c r="CD99" s="287"/>
      <c r="CE99" s="287"/>
      <c r="CF99" s="287"/>
      <c r="CG99" s="287"/>
      <c r="CH99" s="287"/>
      <c r="CI99" s="287"/>
      <c r="CJ99" s="138"/>
      <c r="CK99" s="177"/>
      <c r="CL99" s="177"/>
      <c r="CM99" s="177"/>
      <c r="CN99" s="177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271"/>
      <c r="DA99" s="271"/>
      <c r="DB99" s="271"/>
      <c r="DC99" s="271"/>
      <c r="DD99" s="271"/>
      <c r="DE99" s="271"/>
      <c r="DF99" s="271"/>
      <c r="DG99" s="271"/>
      <c r="DH99" s="271"/>
      <c r="DI99" s="271"/>
      <c r="DJ99" s="271"/>
      <c r="DK99" s="271"/>
      <c r="DL99" s="271"/>
      <c r="DM99" s="271"/>
      <c r="DN99" s="271"/>
      <c r="DO99" s="271"/>
      <c r="DP99" s="271"/>
      <c r="DQ99" s="271"/>
      <c r="DR99" s="271"/>
      <c r="DS99" s="271"/>
      <c r="DT99" s="271"/>
      <c r="DU99" s="271"/>
      <c r="DV99" s="271"/>
      <c r="DW99" s="271"/>
      <c r="DX99" s="271"/>
      <c r="DY99" s="271"/>
      <c r="DZ99" s="271"/>
      <c r="EA99" s="271"/>
      <c r="EB99" s="271"/>
      <c r="EC99" s="271"/>
      <c r="ED99" s="271"/>
      <c r="EE99" s="271"/>
      <c r="EF99" s="271"/>
      <c r="EG99" s="271"/>
      <c r="EH99" s="271"/>
      <c r="EI99" s="271"/>
      <c r="EJ99" s="271"/>
      <c r="EK99" s="271"/>
      <c r="EL99" s="271"/>
      <c r="EM99" s="271"/>
      <c r="EN99" s="271"/>
      <c r="EO99" s="271"/>
      <c r="EP99" s="271"/>
      <c r="EQ99" s="271"/>
      <c r="ER99" s="271"/>
      <c r="ES99" s="271"/>
      <c r="ET99" s="271"/>
      <c r="EU99" s="271"/>
      <c r="EV99" s="271"/>
      <c r="EW99" s="271"/>
      <c r="EX99" s="271"/>
      <c r="EY99" s="271"/>
      <c r="EZ99" s="271"/>
      <c r="FA99" s="271"/>
      <c r="FB99" s="271"/>
      <c r="FC99" s="271"/>
      <c r="FD99" s="271"/>
      <c r="FE99" s="271"/>
      <c r="FF99" s="271"/>
      <c r="FG99" s="271"/>
      <c r="FH99" s="271"/>
      <c r="FI99" s="271"/>
      <c r="FJ99" s="271"/>
      <c r="FK99" s="271"/>
      <c r="FL99" s="271"/>
      <c r="FM99" s="271"/>
      <c r="FN99" s="271"/>
      <c r="FO99" s="271"/>
      <c r="FP99" s="271"/>
      <c r="FQ99" s="271"/>
      <c r="FR99" s="271"/>
      <c r="FS99" s="271"/>
      <c r="FT99" s="271"/>
      <c r="FU99" s="271"/>
      <c r="FV99" s="271"/>
      <c r="FW99" s="271"/>
      <c r="FX99" s="271"/>
      <c r="FY99" s="271"/>
      <c r="FZ99" s="271"/>
      <c r="GA99" s="271"/>
    </row>
    <row r="100" spans="1:183" ht="13.5" customHeight="1">
      <c r="A100" s="290"/>
      <c r="B100" s="138"/>
      <c r="C100" s="138"/>
      <c r="D100" s="138"/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8"/>
      <c r="AA100" s="138"/>
      <c r="AB100" s="138"/>
      <c r="AC100" s="138"/>
      <c r="AD100" s="138"/>
      <c r="AE100" s="138"/>
      <c r="AF100" s="138"/>
      <c r="AG100" s="138"/>
      <c r="AH100" s="138"/>
      <c r="AI100" s="64"/>
      <c r="AJ100" s="64"/>
      <c r="AK100" s="64"/>
      <c r="AL100" s="64"/>
      <c r="AM100" s="64"/>
      <c r="AN100" s="64"/>
      <c r="AO100" s="473"/>
      <c r="AP100" s="64"/>
      <c r="AQ100" s="64"/>
      <c r="AR100" s="64"/>
      <c r="AS100" s="64"/>
      <c r="AT100" s="64"/>
      <c r="AU100" s="248"/>
      <c r="AV100" s="248"/>
      <c r="AW100" s="248"/>
    </row>
    <row r="101" spans="1:183" s="340" customFormat="1">
      <c r="A101" s="290"/>
      <c r="B101" s="169"/>
      <c r="C101" s="138"/>
      <c r="D101" s="138"/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  <c r="O101" s="138"/>
      <c r="P101" s="138"/>
      <c r="Q101" s="138"/>
      <c r="R101" s="138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64"/>
      <c r="AJ101" s="64"/>
      <c r="AK101" s="64"/>
      <c r="AL101" s="64"/>
      <c r="AM101" s="64"/>
      <c r="AN101" s="64"/>
      <c r="AO101" s="473"/>
      <c r="AP101" s="64"/>
      <c r="AQ101" s="64"/>
      <c r="AR101" s="64"/>
      <c r="AS101" s="64"/>
      <c r="AT101" s="64"/>
      <c r="AU101" s="248"/>
      <c r="AV101" s="248"/>
      <c r="AW101" s="248"/>
      <c r="AX101" s="138"/>
      <c r="AY101" s="138"/>
      <c r="AZ101" s="138"/>
      <c r="BA101" s="138"/>
      <c r="BB101" s="138"/>
      <c r="BC101" s="287"/>
      <c r="BD101" s="287"/>
      <c r="BE101" s="287"/>
      <c r="BF101" s="287"/>
      <c r="BG101" s="287"/>
      <c r="BH101" s="287"/>
      <c r="BI101" s="287"/>
      <c r="BJ101" s="287"/>
      <c r="BK101" s="287"/>
      <c r="BL101" s="287"/>
      <c r="BM101" s="287"/>
      <c r="BN101" s="287"/>
      <c r="BO101" s="287"/>
      <c r="BP101" s="287"/>
      <c r="BQ101" s="287"/>
      <c r="BR101" s="287"/>
      <c r="BS101" s="287"/>
      <c r="BT101" s="287"/>
      <c r="BU101" s="287"/>
      <c r="BV101" s="287"/>
      <c r="BW101" s="287"/>
      <c r="BX101" s="287"/>
      <c r="BY101" s="287"/>
      <c r="BZ101" s="287"/>
      <c r="CA101" s="287"/>
      <c r="CB101" s="287"/>
      <c r="CC101" s="287"/>
      <c r="CD101" s="287"/>
      <c r="CE101" s="287"/>
      <c r="CF101" s="287"/>
      <c r="CG101" s="287"/>
      <c r="CH101" s="287"/>
      <c r="CI101" s="287"/>
      <c r="CJ101" s="138"/>
      <c r="CK101" s="177"/>
      <c r="CL101" s="177"/>
      <c r="CM101" s="177"/>
      <c r="CN101" s="177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271"/>
      <c r="DA101" s="271"/>
      <c r="DB101" s="271"/>
      <c r="DC101" s="271"/>
      <c r="DD101" s="271"/>
      <c r="DE101" s="271"/>
      <c r="DF101" s="271"/>
      <c r="DG101" s="271"/>
      <c r="DH101" s="271"/>
      <c r="DI101" s="271"/>
      <c r="DJ101" s="271"/>
      <c r="DK101" s="271"/>
      <c r="DL101" s="271"/>
      <c r="DM101" s="271"/>
      <c r="DN101" s="271"/>
      <c r="DO101" s="271"/>
      <c r="DP101" s="271"/>
      <c r="DQ101" s="271"/>
      <c r="DR101" s="271"/>
      <c r="DS101" s="271"/>
      <c r="DT101" s="271"/>
      <c r="DU101" s="271"/>
      <c r="DV101" s="271"/>
      <c r="DW101" s="271"/>
      <c r="DX101" s="271"/>
      <c r="DY101" s="271"/>
      <c r="DZ101" s="271"/>
      <c r="EA101" s="271"/>
      <c r="EB101" s="271"/>
      <c r="EC101" s="271"/>
      <c r="ED101" s="271"/>
      <c r="EE101" s="271"/>
      <c r="EF101" s="271"/>
      <c r="EG101" s="271"/>
      <c r="EH101" s="271"/>
      <c r="EI101" s="271"/>
      <c r="EJ101" s="271"/>
      <c r="EK101" s="271"/>
      <c r="EL101" s="271"/>
      <c r="EM101" s="271"/>
      <c r="EN101" s="271"/>
      <c r="EO101" s="271"/>
      <c r="EP101" s="271"/>
      <c r="EQ101" s="271"/>
      <c r="ER101" s="271"/>
      <c r="ES101" s="271"/>
      <c r="ET101" s="271"/>
      <c r="EU101" s="271"/>
      <c r="EV101" s="271"/>
      <c r="EW101" s="271"/>
      <c r="EX101" s="271"/>
      <c r="EY101" s="271"/>
      <c r="EZ101" s="271"/>
      <c r="FA101" s="271"/>
      <c r="FB101" s="271"/>
      <c r="FC101" s="271"/>
      <c r="FD101" s="271"/>
      <c r="FE101" s="271"/>
      <c r="FF101" s="271"/>
      <c r="FG101" s="271"/>
      <c r="FH101" s="271"/>
      <c r="FI101" s="271"/>
      <c r="FJ101" s="271"/>
      <c r="FK101" s="271"/>
      <c r="FL101" s="271"/>
      <c r="FM101" s="271"/>
      <c r="FN101" s="271"/>
      <c r="FO101" s="271"/>
      <c r="FP101" s="271"/>
      <c r="FQ101" s="271"/>
      <c r="FR101" s="271"/>
      <c r="FS101" s="271"/>
      <c r="FT101" s="271"/>
      <c r="FU101" s="271"/>
      <c r="FV101" s="271"/>
      <c r="FW101" s="271"/>
      <c r="FX101" s="271"/>
      <c r="FY101" s="271"/>
      <c r="FZ101" s="271"/>
      <c r="GA101" s="271"/>
    </row>
    <row r="102" spans="1:183">
      <c r="A102" s="290"/>
      <c r="B102" s="138"/>
      <c r="C102" s="138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  <c r="AA102" s="138"/>
      <c r="AB102" s="138"/>
      <c r="AC102" s="138"/>
      <c r="AD102" s="138"/>
      <c r="AE102" s="138"/>
      <c r="AF102" s="138"/>
      <c r="AG102" s="138"/>
      <c r="AH102" s="138"/>
      <c r="AI102" s="64"/>
      <c r="AJ102" s="64"/>
      <c r="AK102" s="64"/>
      <c r="AL102" s="64"/>
      <c r="AM102" s="64"/>
      <c r="AN102" s="64"/>
      <c r="AO102" s="473"/>
      <c r="AP102" s="64"/>
      <c r="AQ102" s="64"/>
      <c r="AR102" s="64"/>
      <c r="AS102" s="64"/>
      <c r="AT102" s="64"/>
      <c r="AU102" s="248"/>
      <c r="AV102" s="248"/>
      <c r="AW102" s="248"/>
    </row>
    <row r="103" spans="1:183" s="340" customFormat="1">
      <c r="A103" s="290"/>
      <c r="B103" s="169"/>
      <c r="C103" s="138"/>
      <c r="D103" s="138"/>
      <c r="E103" s="138"/>
      <c r="F103" s="138"/>
      <c r="G103" s="138"/>
      <c r="H103" s="138"/>
      <c r="I103" s="138"/>
      <c r="J103" s="138"/>
      <c r="K103" s="138"/>
      <c r="L103" s="138"/>
      <c r="M103" s="138"/>
      <c r="N103" s="138"/>
      <c r="O103" s="138"/>
      <c r="P103" s="138"/>
      <c r="Q103" s="138"/>
      <c r="R103" s="138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64"/>
      <c r="AJ103" s="64"/>
      <c r="AK103" s="64"/>
      <c r="AL103" s="64"/>
      <c r="AM103" s="64"/>
      <c r="AN103" s="64"/>
      <c r="AO103" s="473"/>
      <c r="AP103" s="64"/>
      <c r="AQ103" s="64"/>
      <c r="AR103" s="64"/>
      <c r="AS103" s="64"/>
      <c r="AT103" s="64"/>
      <c r="AU103" s="248"/>
      <c r="AV103" s="248"/>
      <c r="AW103" s="248"/>
      <c r="AX103" s="138"/>
      <c r="AY103" s="138"/>
      <c r="AZ103" s="138"/>
      <c r="BA103" s="138"/>
      <c r="BB103" s="138"/>
      <c r="BC103" s="287"/>
      <c r="BD103" s="287"/>
      <c r="BE103" s="287"/>
      <c r="BF103" s="287"/>
      <c r="BG103" s="287"/>
      <c r="BH103" s="287"/>
      <c r="BI103" s="287"/>
      <c r="BJ103" s="287"/>
      <c r="BK103" s="287"/>
      <c r="BL103" s="287"/>
      <c r="BM103" s="287"/>
      <c r="BN103" s="287"/>
      <c r="BO103" s="287"/>
      <c r="BP103" s="287"/>
      <c r="BQ103" s="287"/>
      <c r="BR103" s="287"/>
      <c r="BS103" s="287"/>
      <c r="BT103" s="287"/>
      <c r="BU103" s="287"/>
      <c r="BV103" s="287"/>
      <c r="BW103" s="287"/>
      <c r="BX103" s="287"/>
      <c r="BY103" s="287"/>
      <c r="BZ103" s="287"/>
      <c r="CA103" s="287"/>
      <c r="CB103" s="287"/>
      <c r="CC103" s="287"/>
      <c r="CD103" s="287"/>
      <c r="CE103" s="287"/>
      <c r="CF103" s="287"/>
      <c r="CG103" s="287"/>
      <c r="CH103" s="287"/>
      <c r="CI103" s="287"/>
      <c r="CJ103" s="138"/>
      <c r="CK103" s="177"/>
      <c r="CL103" s="177"/>
      <c r="CM103" s="177"/>
      <c r="CN103" s="177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271"/>
      <c r="DA103" s="271"/>
      <c r="DB103" s="271"/>
      <c r="DC103" s="271"/>
      <c r="DD103" s="271"/>
      <c r="DE103" s="271"/>
      <c r="DF103" s="271"/>
      <c r="DG103" s="271"/>
      <c r="DH103" s="271"/>
      <c r="DI103" s="271"/>
      <c r="DJ103" s="271"/>
      <c r="DK103" s="271"/>
      <c r="DL103" s="271"/>
      <c r="DM103" s="271"/>
      <c r="DN103" s="271"/>
      <c r="DO103" s="271"/>
      <c r="DP103" s="271"/>
      <c r="DQ103" s="271"/>
      <c r="DR103" s="271"/>
      <c r="DS103" s="271"/>
      <c r="DT103" s="271"/>
      <c r="DU103" s="271"/>
      <c r="DV103" s="271"/>
      <c r="DW103" s="271"/>
      <c r="DX103" s="271"/>
      <c r="DY103" s="271"/>
      <c r="DZ103" s="271"/>
      <c r="EA103" s="271"/>
      <c r="EB103" s="271"/>
      <c r="EC103" s="271"/>
      <c r="ED103" s="271"/>
      <c r="EE103" s="271"/>
      <c r="EF103" s="271"/>
      <c r="EG103" s="271"/>
      <c r="EH103" s="271"/>
      <c r="EI103" s="271"/>
      <c r="EJ103" s="271"/>
      <c r="EK103" s="271"/>
      <c r="EL103" s="271"/>
      <c r="EM103" s="271"/>
      <c r="EN103" s="271"/>
      <c r="EO103" s="271"/>
      <c r="EP103" s="271"/>
      <c r="EQ103" s="271"/>
      <c r="ER103" s="271"/>
      <c r="ES103" s="271"/>
      <c r="ET103" s="271"/>
      <c r="EU103" s="271"/>
      <c r="EV103" s="271"/>
      <c r="EW103" s="271"/>
      <c r="EX103" s="271"/>
      <c r="EY103" s="271"/>
      <c r="EZ103" s="271"/>
      <c r="FA103" s="271"/>
      <c r="FB103" s="271"/>
      <c r="FC103" s="271"/>
      <c r="FD103" s="271"/>
      <c r="FE103" s="271"/>
      <c r="FF103" s="271"/>
      <c r="FG103" s="271"/>
      <c r="FH103" s="271"/>
      <c r="FI103" s="271"/>
      <c r="FJ103" s="271"/>
      <c r="FK103" s="271"/>
      <c r="FL103" s="271"/>
      <c r="FM103" s="271"/>
      <c r="FN103" s="271"/>
      <c r="FO103" s="271"/>
      <c r="FP103" s="271"/>
      <c r="FQ103" s="271"/>
      <c r="FR103" s="271"/>
      <c r="FS103" s="271"/>
      <c r="FT103" s="271"/>
      <c r="FU103" s="271"/>
      <c r="FV103" s="271"/>
      <c r="FW103" s="271"/>
      <c r="FX103" s="271"/>
      <c r="FY103" s="271"/>
      <c r="FZ103" s="271"/>
      <c r="GA103" s="271"/>
    </row>
    <row r="104" spans="1:183">
      <c r="A104" s="290"/>
      <c r="B104" s="138"/>
      <c r="C104" s="138"/>
      <c r="D104" s="138"/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38"/>
      <c r="AB104" s="138"/>
      <c r="AC104" s="138"/>
      <c r="AD104" s="138"/>
      <c r="AE104" s="138"/>
      <c r="AF104" s="138"/>
      <c r="AG104" s="138"/>
      <c r="AH104" s="138"/>
      <c r="AI104" s="64"/>
      <c r="AJ104" s="64"/>
      <c r="AK104" s="64"/>
      <c r="AL104" s="64"/>
      <c r="AM104" s="64"/>
      <c r="AN104" s="64"/>
      <c r="AO104" s="473"/>
      <c r="AP104" s="64"/>
      <c r="AQ104" s="64"/>
      <c r="AR104" s="64"/>
      <c r="AS104" s="64"/>
      <c r="AT104" s="64"/>
      <c r="AU104" s="248"/>
      <c r="AV104" s="248"/>
      <c r="AW104" s="248"/>
    </row>
    <row r="105" spans="1:183" s="340" customFormat="1">
      <c r="A105" s="290"/>
      <c r="B105" s="169"/>
      <c r="C105" s="138"/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64"/>
      <c r="AJ105" s="64"/>
      <c r="AK105" s="64"/>
      <c r="AL105" s="64"/>
      <c r="AM105" s="64"/>
      <c r="AN105" s="64"/>
      <c r="AO105" s="473"/>
      <c r="AP105" s="64"/>
      <c r="AQ105" s="64"/>
      <c r="AR105" s="64"/>
      <c r="AS105" s="64"/>
      <c r="AT105" s="64"/>
      <c r="AU105" s="248"/>
      <c r="AV105" s="248"/>
      <c r="AW105" s="248"/>
      <c r="AX105" s="138"/>
      <c r="AY105" s="138"/>
      <c r="AZ105" s="138"/>
      <c r="BA105" s="138"/>
      <c r="BB105" s="138"/>
      <c r="BC105" s="287"/>
      <c r="BD105" s="287"/>
      <c r="BE105" s="287"/>
      <c r="BF105" s="287"/>
      <c r="BG105" s="287"/>
      <c r="BH105" s="287"/>
      <c r="BI105" s="287"/>
      <c r="BJ105" s="287"/>
      <c r="BK105" s="287"/>
      <c r="BL105" s="287"/>
      <c r="BM105" s="287"/>
      <c r="BN105" s="287"/>
      <c r="BO105" s="287"/>
      <c r="BP105" s="287"/>
      <c r="BQ105" s="287"/>
      <c r="BR105" s="287"/>
      <c r="BS105" s="287"/>
      <c r="BT105" s="287"/>
      <c r="BU105" s="287"/>
      <c r="BV105" s="287"/>
      <c r="BW105" s="287"/>
      <c r="BX105" s="287"/>
      <c r="BY105" s="287"/>
      <c r="BZ105" s="287"/>
      <c r="CA105" s="287"/>
      <c r="CB105" s="287"/>
      <c r="CC105" s="287"/>
      <c r="CD105" s="287"/>
      <c r="CE105" s="287"/>
      <c r="CF105" s="287"/>
      <c r="CG105" s="287"/>
      <c r="CH105" s="287"/>
      <c r="CI105" s="287"/>
      <c r="CJ105" s="138"/>
      <c r="CK105" s="177"/>
      <c r="CL105" s="177"/>
      <c r="CM105" s="177"/>
      <c r="CN105" s="177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271"/>
      <c r="DA105" s="271"/>
      <c r="DB105" s="271"/>
      <c r="DC105" s="271"/>
      <c r="DD105" s="271"/>
      <c r="DE105" s="271"/>
      <c r="DF105" s="271"/>
      <c r="DG105" s="271"/>
      <c r="DH105" s="271"/>
      <c r="DI105" s="271"/>
      <c r="DJ105" s="271"/>
      <c r="DK105" s="271"/>
      <c r="DL105" s="271"/>
      <c r="DM105" s="271"/>
      <c r="DN105" s="271"/>
      <c r="DO105" s="271"/>
      <c r="DP105" s="271"/>
      <c r="DQ105" s="271"/>
      <c r="DR105" s="271"/>
      <c r="DS105" s="271"/>
      <c r="DT105" s="271"/>
      <c r="DU105" s="271"/>
      <c r="DV105" s="271"/>
      <c r="DW105" s="271"/>
      <c r="DX105" s="271"/>
      <c r="DY105" s="271"/>
      <c r="DZ105" s="271"/>
      <c r="EA105" s="271"/>
      <c r="EB105" s="271"/>
      <c r="EC105" s="271"/>
      <c r="ED105" s="271"/>
      <c r="EE105" s="271"/>
      <c r="EF105" s="271"/>
      <c r="EG105" s="271"/>
      <c r="EH105" s="271"/>
      <c r="EI105" s="271"/>
      <c r="EJ105" s="271"/>
      <c r="EK105" s="271"/>
      <c r="EL105" s="271"/>
      <c r="EM105" s="271"/>
      <c r="EN105" s="271"/>
      <c r="EO105" s="271"/>
      <c r="EP105" s="271"/>
      <c r="EQ105" s="271"/>
      <c r="ER105" s="271"/>
      <c r="ES105" s="271"/>
      <c r="ET105" s="271"/>
      <c r="EU105" s="271"/>
      <c r="EV105" s="271"/>
      <c r="EW105" s="271"/>
      <c r="EX105" s="271"/>
      <c r="EY105" s="271"/>
      <c r="EZ105" s="271"/>
      <c r="FA105" s="271"/>
      <c r="FB105" s="271"/>
      <c r="FC105" s="271"/>
      <c r="FD105" s="271"/>
      <c r="FE105" s="271"/>
      <c r="FF105" s="271"/>
      <c r="FG105" s="271"/>
      <c r="FH105" s="271"/>
      <c r="FI105" s="271"/>
      <c r="FJ105" s="271"/>
      <c r="FK105" s="271"/>
      <c r="FL105" s="271"/>
      <c r="FM105" s="271"/>
      <c r="FN105" s="271"/>
      <c r="FO105" s="271"/>
      <c r="FP105" s="271"/>
      <c r="FQ105" s="271"/>
      <c r="FR105" s="271"/>
      <c r="FS105" s="271"/>
      <c r="FT105" s="271"/>
      <c r="FU105" s="271"/>
      <c r="FV105" s="271"/>
      <c r="FW105" s="271"/>
      <c r="FX105" s="271"/>
      <c r="FY105" s="271"/>
      <c r="FZ105" s="271"/>
      <c r="GA105" s="271"/>
    </row>
    <row r="106" spans="1:183">
      <c r="A106" s="290"/>
      <c r="B106" s="138"/>
      <c r="C106" s="138"/>
      <c r="D106" s="138"/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38"/>
      <c r="AB106" s="138"/>
      <c r="AC106" s="138"/>
      <c r="AD106" s="138"/>
      <c r="AE106" s="138"/>
      <c r="AF106" s="138"/>
      <c r="AG106" s="138"/>
      <c r="AH106" s="138"/>
      <c r="AI106" s="64"/>
      <c r="AJ106" s="64"/>
      <c r="AK106" s="64"/>
      <c r="AL106" s="64"/>
      <c r="AM106" s="64"/>
      <c r="AN106" s="64"/>
      <c r="AO106" s="473"/>
      <c r="AP106" s="64"/>
      <c r="AQ106" s="64"/>
      <c r="AR106" s="64"/>
      <c r="AS106" s="64"/>
      <c r="AT106" s="64"/>
      <c r="AU106" s="248"/>
      <c r="AV106" s="248"/>
      <c r="AW106" s="248"/>
    </row>
    <row r="107" spans="1:183">
      <c r="A107" s="290"/>
      <c r="B107" s="169"/>
      <c r="C107" s="138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64"/>
      <c r="AJ107" s="64"/>
      <c r="AK107" s="64"/>
      <c r="AL107" s="64"/>
      <c r="AM107" s="64"/>
      <c r="AN107" s="64"/>
      <c r="AO107" s="473"/>
      <c r="AP107" s="64"/>
      <c r="AQ107" s="64"/>
      <c r="AR107" s="64"/>
      <c r="AS107" s="64"/>
      <c r="AT107" s="64"/>
      <c r="AU107" s="248"/>
      <c r="AV107" s="248"/>
      <c r="AW107" s="248"/>
    </row>
    <row r="108" spans="1:183">
      <c r="A108" s="290"/>
      <c r="B108" s="138"/>
      <c r="C108" s="138"/>
      <c r="D108" s="138"/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38"/>
      <c r="AB108" s="138"/>
      <c r="AC108" s="138"/>
      <c r="AD108" s="138"/>
      <c r="AE108" s="138"/>
      <c r="AF108" s="138"/>
      <c r="AG108" s="138"/>
      <c r="AH108" s="138"/>
      <c r="AI108" s="64"/>
      <c r="AJ108" s="64"/>
      <c r="AK108" s="64"/>
      <c r="AL108" s="64"/>
      <c r="AM108" s="64"/>
      <c r="AN108" s="64"/>
      <c r="AO108" s="473"/>
      <c r="AP108" s="64"/>
      <c r="AQ108" s="64"/>
      <c r="AR108" s="64"/>
      <c r="AS108" s="64"/>
      <c r="AT108" s="64"/>
      <c r="AU108" s="248"/>
      <c r="AV108" s="248"/>
      <c r="AW108" s="248"/>
    </row>
    <row r="109" spans="1:183">
      <c r="A109" s="290"/>
      <c r="B109" s="138"/>
      <c r="C109" s="138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64"/>
      <c r="AJ109" s="64"/>
      <c r="AK109" s="64"/>
      <c r="AL109" s="64"/>
      <c r="AM109" s="64"/>
      <c r="AN109" s="64"/>
      <c r="AO109" s="473"/>
      <c r="AP109" s="64"/>
      <c r="AQ109" s="64"/>
      <c r="AR109" s="64"/>
      <c r="AS109" s="64"/>
      <c r="AT109" s="64"/>
      <c r="AU109" s="248"/>
      <c r="AV109" s="248"/>
      <c r="AW109" s="248"/>
    </row>
    <row r="110" spans="1:183">
      <c r="A110" s="290"/>
      <c r="B110" s="138"/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64"/>
      <c r="AJ110" s="64"/>
      <c r="AK110" s="64"/>
      <c r="AL110" s="64"/>
      <c r="AM110" s="64"/>
      <c r="AN110" s="64"/>
      <c r="AO110" s="473"/>
      <c r="AP110" s="64"/>
      <c r="AQ110" s="64"/>
      <c r="AR110" s="64"/>
      <c r="AS110" s="64"/>
      <c r="AT110" s="64"/>
      <c r="AU110" s="248"/>
      <c r="AV110" s="248"/>
      <c r="AW110" s="248"/>
    </row>
    <row r="111" spans="1:183">
      <c r="A111" s="290"/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64"/>
      <c r="AJ111" s="64"/>
      <c r="AK111" s="64"/>
      <c r="AL111" s="64"/>
      <c r="AM111" s="64"/>
      <c r="AN111" s="64"/>
      <c r="AO111" s="473"/>
      <c r="AP111" s="64"/>
      <c r="AQ111" s="64"/>
      <c r="AR111" s="64"/>
      <c r="AS111" s="64"/>
      <c r="AT111" s="64"/>
      <c r="AU111" s="248"/>
      <c r="AV111" s="248"/>
      <c r="AW111" s="248"/>
    </row>
    <row r="112" spans="1:183">
      <c r="A112" s="290"/>
      <c r="B112" s="138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64"/>
      <c r="AJ112" s="64"/>
      <c r="AK112" s="64"/>
      <c r="AL112" s="64"/>
      <c r="AM112" s="64"/>
      <c r="AN112" s="64"/>
      <c r="AO112" s="473"/>
      <c r="AP112" s="64"/>
      <c r="AQ112" s="64"/>
      <c r="AR112" s="64"/>
      <c r="AS112" s="64"/>
      <c r="AT112" s="64"/>
      <c r="AU112" s="248"/>
      <c r="AV112" s="248"/>
      <c r="AW112" s="248"/>
    </row>
    <row r="113" spans="1:49">
      <c r="A113" s="290"/>
      <c r="B113" s="138"/>
      <c r="C113" s="138"/>
      <c r="D113" s="138"/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64"/>
      <c r="AJ113" s="64"/>
      <c r="AK113" s="64"/>
      <c r="AL113" s="64"/>
      <c r="AM113" s="64"/>
      <c r="AN113" s="64"/>
      <c r="AO113" s="473"/>
      <c r="AP113" s="64"/>
      <c r="AQ113" s="64"/>
      <c r="AR113" s="64"/>
      <c r="AS113" s="64"/>
      <c r="AT113" s="64"/>
      <c r="AU113" s="248"/>
      <c r="AV113" s="248"/>
      <c r="AW113" s="248"/>
    </row>
    <row r="114" spans="1:49">
      <c r="A114" s="290"/>
      <c r="B114" s="138"/>
      <c r="C114" s="138"/>
      <c r="D114" s="138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64"/>
      <c r="AJ114" s="64"/>
      <c r="AK114" s="64"/>
      <c r="AL114" s="64"/>
      <c r="AM114" s="64"/>
      <c r="AN114" s="64"/>
      <c r="AO114" s="473"/>
      <c r="AP114" s="64"/>
      <c r="AQ114" s="64"/>
      <c r="AR114" s="64"/>
      <c r="AS114" s="64"/>
      <c r="AT114" s="64"/>
      <c r="AU114" s="248"/>
      <c r="AV114" s="248"/>
      <c r="AW114" s="248"/>
    </row>
    <row r="115" spans="1:49">
      <c r="A115" s="290"/>
      <c r="B115" s="138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64"/>
      <c r="AJ115" s="64"/>
      <c r="AK115" s="64"/>
      <c r="AL115" s="64"/>
      <c r="AM115" s="64"/>
      <c r="AN115" s="64"/>
      <c r="AO115" s="473"/>
      <c r="AP115" s="64"/>
      <c r="AQ115" s="64"/>
      <c r="AR115" s="64"/>
      <c r="AS115" s="64"/>
      <c r="AT115" s="64"/>
      <c r="AU115" s="248"/>
      <c r="AV115" s="248"/>
      <c r="AW115" s="248"/>
    </row>
    <row r="116" spans="1:49">
      <c r="A116" s="106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U116" s="248"/>
      <c r="AV116" s="248"/>
      <c r="AW116" s="248"/>
    </row>
    <row r="117" spans="1:49">
      <c r="A117" s="106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U117" s="248"/>
      <c r="AV117" s="248"/>
      <c r="AW117" s="248"/>
    </row>
    <row r="118" spans="1:49">
      <c r="A118" s="106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U118" s="248"/>
      <c r="AV118" s="248"/>
      <c r="AW118" s="248"/>
    </row>
    <row r="119" spans="1:49">
      <c r="A119" s="106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U119" s="248"/>
      <c r="AV119" s="248"/>
      <c r="AW119" s="248"/>
    </row>
    <row r="120" spans="1:49">
      <c r="A120" s="106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U120" s="248"/>
      <c r="AV120" s="248"/>
      <c r="AW120" s="248"/>
    </row>
    <row r="121" spans="1:49">
      <c r="A121" s="106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U121" s="248"/>
      <c r="AV121" s="248"/>
      <c r="AW121" s="248"/>
    </row>
    <row r="122" spans="1:49">
      <c r="A122" s="106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U122" s="248"/>
      <c r="AV122" s="248"/>
      <c r="AW122" s="248"/>
    </row>
    <row r="123" spans="1:49">
      <c r="A123" s="106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U123" s="248"/>
      <c r="AV123" s="248"/>
      <c r="AW123" s="248"/>
    </row>
    <row r="124" spans="1:49">
      <c r="A124" s="106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U124" s="248"/>
      <c r="AV124" s="248"/>
      <c r="AW124" s="248"/>
    </row>
    <row r="125" spans="1:49">
      <c r="A125" s="106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U125" s="248"/>
      <c r="AV125" s="248"/>
      <c r="AW125" s="248"/>
    </row>
    <row r="126" spans="1:49">
      <c r="A126" s="106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U126" s="248"/>
      <c r="AV126" s="248"/>
      <c r="AW126" s="248"/>
    </row>
    <row r="127" spans="1:49">
      <c r="A127" s="106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U127" s="248"/>
      <c r="AV127" s="248"/>
      <c r="AW127" s="248"/>
    </row>
    <row r="128" spans="1:49">
      <c r="A128" s="106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U128" s="248"/>
      <c r="AV128" s="248"/>
      <c r="AW128" s="248"/>
    </row>
    <row r="129" spans="1:49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U129" s="248"/>
      <c r="AV129" s="248"/>
      <c r="AW129" s="248"/>
    </row>
    <row r="130" spans="1:49">
      <c r="A130" s="106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</row>
    <row r="131" spans="1:49">
      <c r="A131" s="106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</row>
    <row r="132" spans="1:49">
      <c r="A132" s="106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</row>
    <row r="133" spans="1:49">
      <c r="A133" s="106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</row>
    <row r="134" spans="1:49">
      <c r="A134" s="106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</row>
    <row r="135" spans="1:49">
      <c r="A135" s="106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</row>
    <row r="136" spans="1:49">
      <c r="A136" s="106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</row>
    <row r="137" spans="1:49">
      <c r="A137" s="106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</row>
    <row r="138" spans="1:49">
      <c r="A138" s="106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</row>
    <row r="139" spans="1:49">
      <c r="A139" s="106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</row>
    <row r="140" spans="1:49">
      <c r="A140" s="106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</row>
    <row r="141" spans="1:49">
      <c r="A141" s="106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</row>
    <row r="142" spans="1:49">
      <c r="A142" s="106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</row>
    <row r="143" spans="1:49">
      <c r="A143" s="106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</row>
    <row r="144" spans="1:49">
      <c r="A144" s="106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</row>
    <row r="145" spans="1:34">
      <c r="A145" s="106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</row>
    <row r="146" spans="1:34">
      <c r="A146" s="106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</row>
    <row r="147" spans="1:34">
      <c r="A147" s="106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</row>
    <row r="148" spans="1:34">
      <c r="A148" s="106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</row>
    <row r="149" spans="1:34">
      <c r="A149" s="106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</row>
    <row r="150" spans="1:34">
      <c r="A150" s="106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</row>
    <row r="151" spans="1:34">
      <c r="A151" s="106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</row>
    <row r="152" spans="1:34">
      <c r="A152" s="106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</row>
    <row r="153" spans="1:34">
      <c r="A153" s="106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</row>
    <row r="154" spans="1:34">
      <c r="A154" s="106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</row>
    <row r="155" spans="1:34">
      <c r="A155" s="106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</row>
    <row r="156" spans="1:34">
      <c r="A156" s="106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</row>
    <row r="157" spans="1:34">
      <c r="A157" s="106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</row>
    <row r="158" spans="1:34">
      <c r="A158" s="106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</row>
    <row r="159" spans="1:34">
      <c r="A159" s="106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</row>
    <row r="160" spans="1:34">
      <c r="A160" s="106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</row>
    <row r="161" spans="1:34">
      <c r="A161" s="106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</row>
    <row r="162" spans="1:34">
      <c r="A162" s="106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</row>
    <row r="163" spans="1:34">
      <c r="A163" s="106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</row>
    <row r="164" spans="1:34">
      <c r="A164" s="106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</row>
    <row r="165" spans="1:34">
      <c r="A165" s="106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</row>
    <row r="166" spans="1:34">
      <c r="A166" s="106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</row>
    <row r="167" spans="1:34">
      <c r="A167" s="106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</row>
    <row r="168" spans="1:34">
      <c r="A168" s="106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</row>
    <row r="169" spans="1:34">
      <c r="A169" s="106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</row>
    <row r="170" spans="1:34">
      <c r="A170" s="106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</row>
    <row r="171" spans="1:34">
      <c r="A171" s="106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</row>
    <row r="172" spans="1:34">
      <c r="A172" s="106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</row>
    <row r="173" spans="1:34">
      <c r="A173" s="106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</row>
    <row r="174" spans="1:34">
      <c r="A174" s="106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</row>
    <row r="175" spans="1:34">
      <c r="A175" s="106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</row>
    <row r="176" spans="1:34">
      <c r="A176" s="106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</row>
    <row r="177" spans="1:53">
      <c r="A177" s="106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</row>
    <row r="178" spans="1:53">
      <c r="A178" s="106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</row>
    <row r="179" spans="1:53">
      <c r="A179" s="106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</row>
    <row r="180" spans="1:53">
      <c r="A180" s="106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</row>
    <row r="181" spans="1:53">
      <c r="A181" s="106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</row>
    <row r="182" spans="1:53">
      <c r="A182" s="106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</row>
    <row r="183" spans="1:53">
      <c r="A183" s="106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</row>
    <row r="184" spans="1:53">
      <c r="A184" s="106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</row>
    <row r="185" spans="1:53">
      <c r="A185" s="106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</row>
    <row r="186" spans="1:53">
      <c r="A186" s="106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BA186" s="169"/>
    </row>
    <row r="187" spans="1:53">
      <c r="A187" s="106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</row>
    <row r="188" spans="1:53">
      <c r="A188" s="106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</row>
    <row r="189" spans="1:53">
      <c r="A189" s="106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</row>
    <row r="190" spans="1:53">
      <c r="A190" s="106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</row>
    <row r="191" spans="1:53">
      <c r="A191" s="106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</row>
    <row r="192" spans="1:53">
      <c r="A192" s="106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</row>
    <row r="193" spans="1:53">
      <c r="A193" s="106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</row>
    <row r="194" spans="1:53">
      <c r="A194" s="106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</row>
    <row r="195" spans="1:53">
      <c r="A195" s="106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</row>
    <row r="196" spans="1:53">
      <c r="A196" s="106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BA196" s="169"/>
    </row>
    <row r="197" spans="1:53">
      <c r="A197" s="106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</row>
    <row r="198" spans="1:53">
      <c r="A198" s="106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</row>
    <row r="199" spans="1:53">
      <c r="A199" s="106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</row>
    <row r="200" spans="1:53">
      <c r="A200" s="106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</row>
    <row r="201" spans="1:53">
      <c r="A201" s="106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</row>
    <row r="202" spans="1:53">
      <c r="A202" s="106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</row>
    <row r="203" spans="1:53">
      <c r="A203" s="106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</row>
    <row r="204" spans="1:53">
      <c r="A204" s="106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</row>
    <row r="205" spans="1:53">
      <c r="A205" s="106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</row>
    <row r="206" spans="1:53">
      <c r="A206" s="106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07"/>
      <c r="AG206" s="107"/>
      <c r="AH206" s="107"/>
    </row>
    <row r="207" spans="1:53">
      <c r="A207" s="106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07"/>
      <c r="AG207" s="107"/>
      <c r="AH207" s="107"/>
    </row>
    <row r="208" spans="1:53">
      <c r="A208" s="106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07"/>
      <c r="AG208" s="107"/>
      <c r="AH208" s="107"/>
    </row>
    <row r="209" spans="1:53">
      <c r="A209" s="106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07"/>
      <c r="AG209" s="107"/>
      <c r="AH209" s="107"/>
    </row>
    <row r="210" spans="1:53">
      <c r="A210" s="106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07"/>
      <c r="AG210" s="107"/>
      <c r="AH210" s="107"/>
    </row>
    <row r="211" spans="1:53">
      <c r="A211" s="106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07"/>
      <c r="AG211" s="107"/>
      <c r="AH211" s="107"/>
    </row>
    <row r="212" spans="1:53">
      <c r="A212" s="106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07"/>
      <c r="AG212" s="107"/>
      <c r="AH212" s="107"/>
      <c r="BA212" s="169"/>
    </row>
    <row r="213" spans="1:53">
      <c r="A213" s="106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07"/>
      <c r="AG213" s="107"/>
      <c r="AH213" s="107"/>
    </row>
    <row r="214" spans="1:53">
      <c r="A214" s="106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07"/>
      <c r="AG214" s="107"/>
      <c r="AH214" s="107"/>
    </row>
    <row r="215" spans="1:53">
      <c r="A215" s="106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07"/>
      <c r="AG215" s="107"/>
      <c r="AH215" s="107"/>
    </row>
    <row r="216" spans="1:53">
      <c r="A216" s="106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07"/>
      <c r="AG216" s="107"/>
      <c r="AH216" s="107"/>
    </row>
    <row r="217" spans="1:53">
      <c r="A217" s="106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07"/>
      <c r="AG217" s="107"/>
      <c r="AH217" s="107"/>
    </row>
    <row r="218" spans="1:53">
      <c r="A218" s="106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07"/>
      <c r="AG218" s="107"/>
      <c r="AH218" s="107"/>
    </row>
    <row r="219" spans="1:53">
      <c r="A219" s="106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07"/>
      <c r="AG219" s="107"/>
      <c r="AH219" s="107"/>
    </row>
    <row r="220" spans="1:53">
      <c r="A220" s="106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07"/>
      <c r="AG220" s="107"/>
      <c r="AH220" s="107"/>
    </row>
    <row r="221" spans="1:53">
      <c r="A221" s="106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07"/>
      <c r="AG221" s="107"/>
      <c r="AH221" s="107"/>
    </row>
    <row r="222" spans="1:53">
      <c r="A222" s="106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07"/>
      <c r="AG222" s="107"/>
      <c r="AH222" s="107"/>
    </row>
    <row r="223" spans="1:53">
      <c r="A223" s="106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07"/>
      <c r="AG223" s="107"/>
      <c r="AH223" s="107"/>
    </row>
    <row r="224" spans="1:53">
      <c r="A224" s="106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07"/>
      <c r="AG224" s="107"/>
      <c r="AH224" s="107"/>
    </row>
    <row r="225" spans="1:57">
      <c r="A225" s="106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07"/>
      <c r="AG225" s="107"/>
      <c r="AH225" s="107"/>
    </row>
    <row r="226" spans="1:57">
      <c r="A226" s="106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07"/>
      <c r="AG226" s="107"/>
      <c r="AH226" s="107"/>
    </row>
    <row r="227" spans="1:57">
      <c r="A227" s="106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07"/>
      <c r="AG227" s="107"/>
      <c r="AH227" s="107"/>
    </row>
    <row r="228" spans="1:57">
      <c r="A228" s="106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07"/>
      <c r="AG228" s="107"/>
      <c r="AH228" s="107"/>
      <c r="AY228" s="169"/>
      <c r="AZ228" s="169"/>
      <c r="BA228" s="169"/>
      <c r="BE228" s="169"/>
    </row>
    <row r="229" spans="1:57">
      <c r="A229" s="106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07"/>
      <c r="AG229" s="107"/>
      <c r="AH229" s="107"/>
    </row>
    <row r="230" spans="1:57">
      <c r="A230" s="106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07"/>
      <c r="AG230" s="107"/>
      <c r="AH230" s="107"/>
    </row>
    <row r="231" spans="1:57">
      <c r="A231" s="106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07"/>
      <c r="AG231" s="107"/>
      <c r="AH231" s="107"/>
    </row>
    <row r="232" spans="1:57">
      <c r="A232" s="106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07"/>
      <c r="AG232" s="107"/>
      <c r="AH232" s="107"/>
    </row>
    <row r="233" spans="1:57">
      <c r="A233" s="106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07"/>
      <c r="AG233" s="107"/>
      <c r="AH233" s="107"/>
    </row>
    <row r="234" spans="1:57">
      <c r="A234" s="106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07"/>
      <c r="AG234" s="107"/>
      <c r="AH234" s="107"/>
    </row>
    <row r="235" spans="1:57">
      <c r="A235" s="106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07"/>
      <c r="AG235" s="107"/>
      <c r="AH235" s="107"/>
    </row>
    <row r="236" spans="1:57">
      <c r="A236" s="106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07"/>
      <c r="AG236" s="107"/>
      <c r="AH236" s="107"/>
    </row>
    <row r="237" spans="1:57">
      <c r="A237" s="106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07"/>
      <c r="AG237" s="107"/>
      <c r="AH237" s="107"/>
    </row>
    <row r="238" spans="1:57">
      <c r="A238" s="106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07"/>
      <c r="AG238" s="107"/>
      <c r="AH238" s="107"/>
    </row>
    <row r="239" spans="1:57">
      <c r="A239" s="106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07"/>
      <c r="AG239" s="107"/>
      <c r="AH239" s="107"/>
    </row>
    <row r="240" spans="1:57">
      <c r="A240" s="106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07"/>
      <c r="AG240" s="107"/>
      <c r="AH240" s="107"/>
    </row>
    <row r="241" spans="1:34">
      <c r="A241" s="106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07"/>
      <c r="AG241" s="107"/>
      <c r="AH241" s="107"/>
    </row>
    <row r="242" spans="1:34">
      <c r="A242" s="106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07"/>
      <c r="AG242" s="107"/>
      <c r="AH242" s="107"/>
    </row>
    <row r="243" spans="1:34">
      <c r="A243" s="106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07"/>
      <c r="AG243" s="107"/>
      <c r="AH243" s="107"/>
    </row>
    <row r="244" spans="1:34">
      <c r="A244" s="106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07"/>
      <c r="AG244" s="107"/>
      <c r="AH244" s="107"/>
    </row>
    <row r="245" spans="1:34">
      <c r="A245" s="106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07"/>
      <c r="AG245" s="107"/>
      <c r="AH245" s="107"/>
    </row>
    <row r="246" spans="1:34">
      <c r="A246" s="106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07"/>
      <c r="AG246" s="107"/>
      <c r="AH246" s="107"/>
    </row>
    <row r="247" spans="1:34">
      <c r="A247" s="106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</row>
    <row r="248" spans="1:34">
      <c r="A248" s="106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07"/>
      <c r="AG248" s="107"/>
      <c r="AH248" s="107"/>
    </row>
    <row r="249" spans="1:34">
      <c r="A249" s="106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07"/>
      <c r="AG249" s="107"/>
      <c r="AH249" s="107"/>
    </row>
    <row r="250" spans="1:34">
      <c r="A250" s="106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07"/>
      <c r="AG250" s="107"/>
      <c r="AH250" s="107"/>
    </row>
    <row r="251" spans="1:34">
      <c r="A251" s="106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07"/>
      <c r="AG251" s="107"/>
      <c r="AH251" s="107"/>
    </row>
    <row r="252" spans="1:34">
      <c r="A252" s="106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07"/>
      <c r="AG252" s="107"/>
      <c r="AH252" s="107"/>
    </row>
    <row r="253" spans="1:34">
      <c r="A253" s="106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07"/>
      <c r="AG253" s="107"/>
      <c r="AH253" s="107"/>
    </row>
    <row r="254" spans="1:34">
      <c r="A254" s="106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07"/>
      <c r="AG254" s="107"/>
      <c r="AH254" s="107"/>
    </row>
    <row r="255" spans="1:34">
      <c r="A255" s="106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07"/>
      <c r="AG255" s="107"/>
      <c r="AH255" s="107"/>
    </row>
    <row r="256" spans="1:34">
      <c r="A256" s="106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07"/>
      <c r="AG256" s="107"/>
      <c r="AH256" s="107"/>
    </row>
    <row r="257" spans="1:34">
      <c r="A257" s="106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07"/>
      <c r="AG257" s="107"/>
      <c r="AH257" s="107"/>
    </row>
    <row r="258" spans="1:34">
      <c r="A258" s="106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07"/>
      <c r="AG258" s="107"/>
      <c r="AH258" s="107"/>
    </row>
    <row r="259" spans="1:34">
      <c r="A259" s="106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07"/>
      <c r="AG259" s="107"/>
      <c r="AH259" s="107"/>
    </row>
    <row r="260" spans="1:34">
      <c r="A260" s="106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07"/>
      <c r="AG260" s="107"/>
      <c r="AH260" s="107"/>
    </row>
    <row r="261" spans="1:34">
      <c r="A261" s="106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07"/>
      <c r="AG261" s="107"/>
      <c r="AH261" s="107"/>
    </row>
    <row r="262" spans="1:34">
      <c r="A262" s="106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07"/>
      <c r="AG262" s="107"/>
      <c r="AH262" s="107"/>
    </row>
    <row r="263" spans="1:34">
      <c r="A263" s="106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07"/>
      <c r="AG263" s="107"/>
      <c r="AH263" s="107"/>
    </row>
    <row r="264" spans="1:34">
      <c r="A264" s="106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07"/>
      <c r="AG264" s="107"/>
      <c r="AH264" s="107"/>
    </row>
    <row r="265" spans="1:34">
      <c r="A265" s="106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07"/>
      <c r="AG265" s="107"/>
      <c r="AH265" s="107"/>
    </row>
    <row r="266" spans="1:34">
      <c r="A266" s="106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07"/>
      <c r="AG266" s="107"/>
      <c r="AH266" s="107"/>
    </row>
    <row r="267" spans="1:34">
      <c r="A267" s="106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07"/>
      <c r="AG267" s="107"/>
      <c r="AH267" s="107"/>
    </row>
    <row r="268" spans="1:34">
      <c r="A268" s="106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07"/>
      <c r="AG268" s="107"/>
      <c r="AH268" s="107"/>
    </row>
    <row r="269" spans="1:34">
      <c r="A269" s="106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07"/>
      <c r="AG269" s="107"/>
      <c r="AH269" s="107"/>
    </row>
    <row r="270" spans="1:34">
      <c r="A270" s="106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07"/>
      <c r="AG270" s="107"/>
      <c r="AH270" s="107"/>
    </row>
    <row r="271" spans="1:34">
      <c r="A271" s="106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07"/>
      <c r="AG271" s="107"/>
      <c r="AH271" s="107"/>
    </row>
    <row r="272" spans="1:34">
      <c r="A272" s="106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07"/>
      <c r="AG272" s="107"/>
      <c r="AH272" s="107"/>
    </row>
    <row r="273" spans="1:34">
      <c r="A273" s="106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07"/>
      <c r="AG273" s="107"/>
      <c r="AH273" s="107"/>
    </row>
    <row r="274" spans="1:34">
      <c r="A274" s="106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07"/>
      <c r="AG274" s="107"/>
      <c r="AH274" s="107"/>
    </row>
    <row r="275" spans="1:34">
      <c r="A275" s="106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07"/>
      <c r="AG275" s="107"/>
      <c r="AH275" s="107"/>
    </row>
    <row r="276" spans="1:34">
      <c r="A276" s="106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07"/>
      <c r="AG276" s="107"/>
      <c r="AH276" s="107"/>
    </row>
    <row r="277" spans="1:34">
      <c r="A277" s="106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07"/>
      <c r="AG277" s="107"/>
      <c r="AH277" s="107"/>
    </row>
    <row r="278" spans="1:34">
      <c r="A278" s="106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07"/>
      <c r="AG278" s="107"/>
      <c r="AH278" s="107"/>
    </row>
    <row r="279" spans="1:34">
      <c r="A279" s="106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07"/>
      <c r="AG279" s="107"/>
      <c r="AH279" s="107"/>
    </row>
    <row r="280" spans="1:34">
      <c r="A280" s="106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07"/>
      <c r="AG280" s="107"/>
      <c r="AH280" s="107"/>
    </row>
    <row r="281" spans="1:34">
      <c r="A281" s="106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07"/>
      <c r="AG281" s="107"/>
      <c r="AH281" s="107"/>
    </row>
    <row r="282" spans="1:34">
      <c r="A282" s="106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07"/>
      <c r="AG282" s="107"/>
      <c r="AH282" s="107"/>
    </row>
    <row r="283" spans="1:34">
      <c r="A283" s="106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07"/>
      <c r="AG283" s="107"/>
      <c r="AH283" s="107"/>
    </row>
    <row r="284" spans="1:34">
      <c r="A284" s="106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07"/>
      <c r="AG284" s="107"/>
      <c r="AH284" s="107"/>
    </row>
    <row r="285" spans="1:34">
      <c r="A285" s="106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07"/>
      <c r="AG285" s="107"/>
      <c r="AH285" s="107"/>
    </row>
    <row r="286" spans="1:34">
      <c r="A286" s="106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07"/>
      <c r="AG286" s="107"/>
      <c r="AH286" s="107"/>
    </row>
    <row r="287" spans="1:34">
      <c r="A287" s="106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07"/>
      <c r="AG287" s="107"/>
      <c r="AH287" s="107"/>
    </row>
    <row r="288" spans="1:34">
      <c r="A288" s="106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07"/>
      <c r="AG288" s="107"/>
      <c r="AH288" s="107"/>
    </row>
    <row r="289" spans="1:34">
      <c r="A289" s="106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07"/>
      <c r="AG289" s="107"/>
      <c r="AH289" s="107"/>
    </row>
    <row r="290" spans="1:34">
      <c r="A290" s="106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07"/>
      <c r="AG290" s="107"/>
      <c r="AH290" s="107"/>
    </row>
    <row r="291" spans="1:34">
      <c r="A291" s="106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07"/>
      <c r="AG291" s="107"/>
      <c r="AH291" s="107"/>
    </row>
    <row r="292" spans="1:34">
      <c r="A292" s="106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07"/>
      <c r="AG292" s="107"/>
      <c r="AH292" s="107"/>
    </row>
    <row r="293" spans="1:34">
      <c r="A293" s="106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07"/>
      <c r="AG293" s="107"/>
      <c r="AH293" s="107"/>
    </row>
    <row r="294" spans="1:34">
      <c r="A294" s="106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07"/>
      <c r="AG294" s="107"/>
      <c r="AH294" s="107"/>
    </row>
    <row r="295" spans="1:34">
      <c r="A295" s="106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07"/>
      <c r="AG295" s="107"/>
      <c r="AH295" s="107"/>
    </row>
    <row r="296" spans="1:34">
      <c r="A296" s="106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07"/>
      <c r="AG296" s="107"/>
      <c r="AH296" s="107"/>
    </row>
    <row r="297" spans="1:34">
      <c r="A297" s="106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7"/>
      <c r="AH297" s="107"/>
    </row>
    <row r="298" spans="1:34">
      <c r="A298" s="106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7"/>
      <c r="AH298" s="107"/>
    </row>
    <row r="299" spans="1:34">
      <c r="A299" s="106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7"/>
      <c r="AH299" s="107"/>
    </row>
    <row r="300" spans="1:34">
      <c r="A300" s="106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07"/>
      <c r="AG300" s="107"/>
      <c r="AH300" s="107"/>
    </row>
    <row r="301" spans="1:34">
      <c r="A301" s="106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07"/>
      <c r="AG301" s="107"/>
      <c r="AH301" s="107"/>
    </row>
    <row r="302" spans="1:34">
      <c r="A302" s="106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07"/>
      <c r="AG302" s="107"/>
      <c r="AH302" s="107"/>
    </row>
    <row r="303" spans="1:34">
      <c r="A303" s="106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07"/>
      <c r="AG303" s="107"/>
      <c r="AH303" s="107"/>
    </row>
    <row r="304" spans="1:34">
      <c r="A304" s="106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07"/>
      <c r="AG304" s="107"/>
      <c r="AH304" s="107"/>
    </row>
    <row r="305" spans="1:34">
      <c r="A305" s="106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07"/>
      <c r="AG305" s="107"/>
      <c r="AH305" s="107"/>
    </row>
    <row r="306" spans="1:34">
      <c r="A306" s="106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07"/>
      <c r="AG306" s="107"/>
      <c r="AH306" s="107"/>
    </row>
    <row r="307" spans="1:34">
      <c r="A307" s="106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07"/>
      <c r="AG307" s="107"/>
      <c r="AH307" s="107"/>
    </row>
    <row r="308" spans="1:34">
      <c r="A308" s="106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07"/>
      <c r="AG308" s="107"/>
      <c r="AH308" s="107"/>
    </row>
    <row r="309" spans="1:34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07"/>
      <c r="AG309" s="107"/>
      <c r="AH309" s="107"/>
    </row>
    <row r="310" spans="1:34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07"/>
      <c r="AG310" s="107"/>
      <c r="AH310" s="107"/>
    </row>
    <row r="311" spans="1:34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07"/>
      <c r="AG311" s="107"/>
      <c r="AH311" s="107"/>
    </row>
    <row r="312" spans="1:34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07"/>
      <c r="AG312" s="107"/>
      <c r="AH312" s="107"/>
    </row>
    <row r="313" spans="1:34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07"/>
      <c r="AG313" s="107"/>
      <c r="AH313" s="107"/>
    </row>
    <row r="314" spans="1:34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  <c r="AH314" s="107"/>
    </row>
    <row r="315" spans="1:34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07"/>
      <c r="AG315" s="107"/>
      <c r="AH315" s="107"/>
    </row>
    <row r="316" spans="1:34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07"/>
      <c r="AG316" s="107"/>
      <c r="AH316" s="107"/>
    </row>
    <row r="317" spans="1:34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07"/>
      <c r="AG317" s="107"/>
      <c r="AH317" s="107"/>
    </row>
    <row r="318" spans="1:34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07"/>
      <c r="AG318" s="107"/>
      <c r="AH318" s="107"/>
    </row>
    <row r="319" spans="1:34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07"/>
      <c r="AG319" s="107"/>
      <c r="AH319" s="107"/>
    </row>
    <row r="320" spans="1:34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07"/>
      <c r="AG320" s="107"/>
      <c r="AH320" s="107"/>
    </row>
    <row r="321" spans="1:34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07"/>
      <c r="AG321" s="107"/>
      <c r="AH321" s="107"/>
    </row>
    <row r="322" spans="1:34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07"/>
      <c r="AG322" s="107"/>
      <c r="AH322" s="107"/>
    </row>
    <row r="323" spans="1:34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07"/>
      <c r="AG323" s="107"/>
      <c r="AH323" s="107"/>
    </row>
    <row r="324" spans="1:34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07"/>
      <c r="AG324" s="107"/>
      <c r="AH324" s="107"/>
    </row>
    <row r="325" spans="1:34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07"/>
      <c r="AG325" s="107"/>
      <c r="AH325" s="107"/>
    </row>
    <row r="326" spans="1:34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07"/>
      <c r="AG326" s="107"/>
      <c r="AH326" s="107"/>
    </row>
    <row r="327" spans="1:34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07"/>
      <c r="AG327" s="107"/>
      <c r="AH327" s="107"/>
    </row>
    <row r="328" spans="1:34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07"/>
      <c r="AG328" s="107"/>
      <c r="AH328" s="107"/>
    </row>
    <row r="329" spans="1:34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07"/>
      <c r="AG329" s="107"/>
      <c r="AH329" s="107"/>
    </row>
    <row r="330" spans="1:34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07"/>
      <c r="AG330" s="107"/>
      <c r="AH330" s="107"/>
    </row>
    <row r="331" spans="1:34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07"/>
      <c r="AG331" s="107"/>
      <c r="AH331" s="107"/>
    </row>
    <row r="332" spans="1:34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07"/>
      <c r="AG332" s="107"/>
      <c r="AH332" s="107"/>
    </row>
    <row r="333" spans="1:34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07"/>
      <c r="AG333" s="107"/>
      <c r="AH333" s="107"/>
    </row>
    <row r="334" spans="1:34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07"/>
      <c r="AG334" s="107"/>
      <c r="AH334" s="107"/>
    </row>
    <row r="335" spans="1:34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07"/>
      <c r="AG335" s="107"/>
      <c r="AH335" s="107"/>
    </row>
    <row r="336" spans="1:34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07"/>
      <c r="AG336" s="107"/>
      <c r="AH336" s="107"/>
    </row>
    <row r="337" spans="1:34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07"/>
      <c r="AG337" s="107"/>
      <c r="AH337" s="107"/>
    </row>
    <row r="338" spans="1:34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07"/>
      <c r="AG338" s="107"/>
      <c r="AH338" s="107"/>
    </row>
    <row r="339" spans="1:34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07"/>
      <c r="AG339" s="107"/>
      <c r="AH339" s="107"/>
    </row>
    <row r="340" spans="1:34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07"/>
      <c r="AG340" s="107"/>
      <c r="AH340" s="107"/>
    </row>
    <row r="341" spans="1:34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07"/>
      <c r="AG341" s="107"/>
      <c r="AH341" s="107"/>
    </row>
    <row r="342" spans="1:34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07"/>
      <c r="AG342" s="107"/>
      <c r="AH342" s="107"/>
    </row>
    <row r="343" spans="1:34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07"/>
      <c r="AG343" s="107"/>
      <c r="AH343" s="107"/>
    </row>
    <row r="344" spans="1:34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07"/>
      <c r="AG344" s="107"/>
      <c r="AH344" s="107"/>
    </row>
    <row r="345" spans="1:34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07"/>
      <c r="AG345" s="107"/>
      <c r="AH345" s="107"/>
    </row>
    <row r="346" spans="1:34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07"/>
      <c r="AG346" s="107"/>
      <c r="AH346" s="107"/>
    </row>
    <row r="347" spans="1:34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07"/>
      <c r="AG347" s="107"/>
      <c r="AH347" s="107"/>
    </row>
    <row r="348" spans="1:34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07"/>
      <c r="AG348" s="107"/>
      <c r="AH348" s="107"/>
    </row>
    <row r="349" spans="1:34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07"/>
      <c r="AG349" s="107"/>
      <c r="AH349" s="107"/>
    </row>
    <row r="350" spans="1:34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07"/>
      <c r="AG350" s="107"/>
      <c r="AH350" s="107"/>
    </row>
    <row r="351" spans="1:34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07"/>
      <c r="AG351" s="107"/>
      <c r="AH351" s="107"/>
    </row>
    <row r="352" spans="1:34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07"/>
      <c r="AG352" s="107"/>
      <c r="AH352" s="107"/>
    </row>
    <row r="353" spans="1:34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07"/>
      <c r="AG353" s="107"/>
      <c r="AH353" s="107"/>
    </row>
    <row r="354" spans="1:34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07"/>
      <c r="AG354" s="107"/>
      <c r="AH354" s="107"/>
    </row>
    <row r="355" spans="1:34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07"/>
      <c r="AG355" s="107"/>
      <c r="AH355" s="107"/>
    </row>
    <row r="356" spans="1:34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07"/>
      <c r="AG356" s="107"/>
      <c r="AH356" s="107"/>
    </row>
    <row r="357" spans="1:34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</row>
    <row r="358" spans="1:34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07"/>
      <c r="AG358" s="107"/>
      <c r="AH358" s="107"/>
    </row>
    <row r="359" spans="1:34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07"/>
      <c r="AG359" s="107"/>
      <c r="AH359" s="107"/>
    </row>
    <row r="360" spans="1:34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07"/>
      <c r="AG360" s="107"/>
      <c r="AH360" s="107"/>
    </row>
    <row r="361" spans="1:34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07"/>
      <c r="AG361" s="107"/>
      <c r="AH361" s="107"/>
    </row>
    <row r="362" spans="1:34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07"/>
      <c r="AG362" s="107"/>
      <c r="AH362" s="107"/>
    </row>
    <row r="363" spans="1:34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07"/>
      <c r="AG363" s="107"/>
      <c r="AH363" s="107"/>
    </row>
    <row r="364" spans="1:34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07"/>
      <c r="AG364" s="107"/>
      <c r="AH364" s="107"/>
    </row>
    <row r="365" spans="1:34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07"/>
      <c r="AG365" s="107"/>
      <c r="AH365" s="107"/>
    </row>
    <row r="366" spans="1:34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07"/>
      <c r="AG366" s="107"/>
      <c r="AH366" s="107"/>
    </row>
    <row r="367" spans="1:34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07"/>
      <c r="AG367" s="107"/>
      <c r="AH367" s="107"/>
    </row>
    <row r="368" spans="1:34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07"/>
      <c r="AG368" s="107"/>
      <c r="AH368" s="107"/>
    </row>
    <row r="369" spans="1:34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07"/>
      <c r="AG369" s="107"/>
      <c r="AH369" s="107"/>
    </row>
    <row r="370" spans="1:34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07"/>
      <c r="AG370" s="107"/>
      <c r="AH370" s="107"/>
    </row>
    <row r="371" spans="1:34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07"/>
      <c r="AG371" s="107"/>
      <c r="AH371" s="107"/>
    </row>
    <row r="372" spans="1:34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07"/>
      <c r="AG372" s="107"/>
      <c r="AH372" s="107"/>
    </row>
    <row r="373" spans="1:34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07"/>
      <c r="AG373" s="107"/>
      <c r="AH373" s="107"/>
    </row>
    <row r="374" spans="1:34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07"/>
      <c r="AG374" s="107"/>
      <c r="AH374" s="107"/>
    </row>
    <row r="375" spans="1:34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07"/>
      <c r="AG375" s="107"/>
      <c r="AH375" s="107"/>
    </row>
    <row r="376" spans="1:34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07"/>
      <c r="AG376" s="107"/>
      <c r="AH376" s="107"/>
    </row>
    <row r="377" spans="1:34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07"/>
      <c r="AG377" s="107"/>
      <c r="AH377" s="107"/>
    </row>
    <row r="378" spans="1:34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07"/>
      <c r="AG378" s="107"/>
      <c r="AH378" s="107"/>
    </row>
    <row r="379" spans="1:34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</row>
    <row r="380" spans="1:34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</row>
    <row r="381" spans="1:34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07"/>
      <c r="AG381" s="107"/>
      <c r="AH381" s="107"/>
    </row>
    <row r="382" spans="1:34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07"/>
      <c r="AG382" s="107"/>
      <c r="AH382" s="107"/>
    </row>
    <row r="383" spans="1:34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07"/>
      <c r="AG383" s="107"/>
      <c r="AH383" s="107"/>
    </row>
    <row r="384" spans="1:34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07"/>
      <c r="AG384" s="107"/>
      <c r="AH384" s="107"/>
    </row>
    <row r="385" spans="1:34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07"/>
      <c r="AG385" s="107"/>
      <c r="AH385" s="107"/>
    </row>
    <row r="386" spans="1:34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07"/>
      <c r="AG386" s="107"/>
      <c r="AH386" s="107"/>
    </row>
    <row r="387" spans="1:34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07"/>
      <c r="AG387" s="107"/>
      <c r="AH387" s="107"/>
    </row>
    <row r="388" spans="1:34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07"/>
      <c r="AG388" s="107"/>
      <c r="AH388" s="107"/>
    </row>
    <row r="389" spans="1:34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07"/>
      <c r="AG389" s="107"/>
      <c r="AH389" s="107"/>
    </row>
    <row r="390" spans="1:34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07"/>
      <c r="AG390" s="107"/>
      <c r="AH390" s="107"/>
    </row>
    <row r="391" spans="1:34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07"/>
      <c r="AG391" s="107"/>
      <c r="AH391" s="107"/>
    </row>
    <row r="392" spans="1:34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07"/>
      <c r="AG392" s="107"/>
      <c r="AH392" s="107"/>
    </row>
    <row r="393" spans="1:34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07"/>
      <c r="AG393" s="107"/>
      <c r="AH393" s="107"/>
    </row>
    <row r="394" spans="1:34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07"/>
      <c r="AG394" s="107"/>
      <c r="AH394" s="107"/>
    </row>
    <row r="395" spans="1:34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07"/>
      <c r="AG395" s="107"/>
      <c r="AH395" s="107"/>
    </row>
    <row r="396" spans="1:34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</row>
    <row r="397" spans="1:34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07"/>
      <c r="AG397" s="107"/>
      <c r="AH397" s="107"/>
    </row>
    <row r="398" spans="1:34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07"/>
      <c r="AG398" s="107"/>
      <c r="AH398" s="107"/>
    </row>
    <row r="399" spans="1:34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07"/>
      <c r="AG399" s="107"/>
      <c r="AH399" s="107"/>
    </row>
    <row r="400" spans="1:34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07"/>
      <c r="AG400" s="107"/>
      <c r="AH400" s="107"/>
    </row>
    <row r="401" spans="1:34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07"/>
      <c r="AG401" s="107"/>
      <c r="AH401" s="107"/>
    </row>
    <row r="402" spans="1:34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  <c r="AH402" s="107"/>
    </row>
    <row r="403" spans="1:34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07"/>
      <c r="AG403" s="107"/>
      <c r="AH403" s="107"/>
    </row>
    <row r="404" spans="1:34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07"/>
      <c r="AG404" s="107"/>
      <c r="AH404" s="107"/>
    </row>
    <row r="405" spans="1:34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07"/>
      <c r="AG405" s="107"/>
      <c r="AH405" s="107"/>
    </row>
    <row r="406" spans="1:34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07"/>
      <c r="AG406" s="107"/>
      <c r="AH406" s="107"/>
    </row>
    <row r="407" spans="1:34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07"/>
      <c r="AG407" s="107"/>
      <c r="AH407" s="107"/>
    </row>
    <row r="408" spans="1:34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07"/>
      <c r="AG408" s="107"/>
      <c r="AH408" s="107"/>
    </row>
    <row r="409" spans="1:34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07"/>
      <c r="AG409" s="107"/>
      <c r="AH409" s="107"/>
    </row>
    <row r="410" spans="1:34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07"/>
      <c r="AG410" s="107"/>
      <c r="AH410" s="107"/>
    </row>
    <row r="411" spans="1:34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07"/>
      <c r="AG411" s="107"/>
      <c r="AH411" s="107"/>
    </row>
    <row r="412" spans="1:34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07"/>
      <c r="AG412" s="107"/>
      <c r="AH412" s="107"/>
    </row>
    <row r="413" spans="1:34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07"/>
      <c r="AG413" s="107"/>
      <c r="AH413" s="107"/>
    </row>
    <row r="414" spans="1:34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  <c r="AH414" s="107"/>
    </row>
    <row r="415" spans="1:34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07"/>
      <c r="AG415" s="107"/>
      <c r="AH415" s="107"/>
    </row>
    <row r="416" spans="1:34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07"/>
      <c r="AG416" s="107"/>
      <c r="AH416" s="107"/>
    </row>
    <row r="417" spans="1:34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07"/>
      <c r="AG417" s="107"/>
      <c r="AH417" s="107"/>
    </row>
    <row r="418" spans="1:34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07"/>
      <c r="AG418" s="107"/>
      <c r="AH418" s="107"/>
    </row>
    <row r="419" spans="1:34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07"/>
      <c r="AG419" s="107"/>
      <c r="AH419" s="107"/>
    </row>
    <row r="420" spans="1:34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07"/>
      <c r="AG420" s="107"/>
      <c r="AH420" s="107"/>
    </row>
    <row r="421" spans="1:34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07"/>
      <c r="AG421" s="107"/>
      <c r="AH421" s="107"/>
    </row>
    <row r="422" spans="1:34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07"/>
      <c r="AG422" s="107"/>
      <c r="AH422" s="107"/>
    </row>
    <row r="423" spans="1:34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07"/>
      <c r="AG423" s="107"/>
      <c r="AH423" s="107"/>
    </row>
    <row r="424" spans="1:34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</row>
    <row r="425" spans="1:34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</row>
    <row r="426" spans="1:34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</row>
    <row r="427" spans="1:34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</row>
    <row r="428" spans="1:34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</row>
    <row r="429" spans="1:34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</row>
    <row r="430" spans="1:34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</row>
    <row r="431" spans="1:34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</row>
    <row r="432" spans="1:34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</row>
    <row r="433" spans="1:34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</row>
    <row r="434" spans="1:34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</row>
    <row r="435" spans="1:34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</row>
    <row r="436" spans="1:34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</row>
    <row r="437" spans="1:34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</row>
    <row r="438" spans="1:34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</row>
    <row r="439" spans="1:34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</row>
    <row r="440" spans="1:34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</row>
    <row r="441" spans="1:34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</row>
    <row r="442" spans="1:34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</row>
    <row r="443" spans="1:34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</row>
    <row r="444" spans="1:34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</row>
    <row r="445" spans="1:34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</row>
    <row r="446" spans="1:34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</row>
    <row r="447" spans="1:34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</row>
    <row r="448" spans="1:34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</row>
    <row r="449" spans="1:34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</row>
    <row r="450" spans="1:34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</row>
    <row r="451" spans="1:34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</row>
    <row r="452" spans="1:34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</row>
    <row r="453" spans="1:34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</row>
    <row r="454" spans="1:34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</row>
    <row r="455" spans="1:34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</row>
    <row r="456" spans="1:34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</row>
    <row r="457" spans="1:34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</row>
    <row r="458" spans="1:34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</row>
    <row r="459" spans="1:34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</row>
    <row r="460" spans="1:34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</row>
    <row r="461" spans="1:34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</row>
    <row r="462" spans="1:34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</row>
    <row r="463" spans="1:34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</row>
    <row r="464" spans="1:34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</row>
    <row r="465" spans="1:34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</row>
    <row r="466" spans="1:34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</row>
    <row r="467" spans="1:34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</row>
    <row r="468" spans="1:34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</row>
    <row r="469" spans="1:34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</row>
    <row r="470" spans="1:34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</row>
    <row r="471" spans="1:34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</row>
    <row r="472" spans="1:34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</row>
    <row r="473" spans="1:34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</row>
    <row r="474" spans="1:34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</row>
    <row r="475" spans="1:34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</row>
    <row r="476" spans="1:34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</row>
    <row r="477" spans="1:34">
      <c r="A477" s="106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</row>
    <row r="478" spans="1:34">
      <c r="A478" s="106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</row>
    <row r="479" spans="1:34">
      <c r="A479" s="106"/>
      <c r="B479" s="107"/>
      <c r="C479" s="107"/>
      <c r="D479" s="107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</row>
    <row r="480" spans="1:34">
      <c r="A480" s="106"/>
      <c r="B480" s="107"/>
      <c r="C480" s="107"/>
      <c r="D480" s="107"/>
      <c r="E480" s="107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</row>
    <row r="481" spans="1:34">
      <c r="A481" s="106"/>
      <c r="B481" s="107"/>
      <c r="C481" s="107"/>
      <c r="D481" s="107"/>
      <c r="E481" s="107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</row>
    <row r="482" spans="1:34">
      <c r="A482" s="106"/>
      <c r="B482" s="107"/>
      <c r="C482" s="107"/>
      <c r="D482" s="107"/>
      <c r="E482" s="107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</row>
    <row r="483" spans="1:34">
      <c r="A483" s="106"/>
      <c r="B483" s="107"/>
      <c r="C483" s="107"/>
      <c r="D483" s="107"/>
      <c r="E483" s="107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</row>
    <row r="484" spans="1:34">
      <c r="A484" s="106"/>
      <c r="B484" s="107"/>
      <c r="C484" s="107"/>
      <c r="D484" s="107"/>
      <c r="E484" s="107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</row>
    <row r="485" spans="1:34">
      <c r="A485" s="106"/>
      <c r="B485" s="107"/>
      <c r="C485" s="107"/>
      <c r="D485" s="107"/>
      <c r="E485" s="107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</row>
    <row r="486" spans="1:34">
      <c r="A486" s="106"/>
      <c r="B486" s="107"/>
      <c r="C486" s="107"/>
      <c r="D486" s="107"/>
      <c r="E486" s="107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</row>
    <row r="487" spans="1:34">
      <c r="A487" s="106"/>
      <c r="B487" s="107"/>
      <c r="C487" s="107"/>
      <c r="D487" s="107"/>
      <c r="E487" s="107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</row>
    <row r="488" spans="1:34">
      <c r="A488" s="106"/>
      <c r="B488" s="107"/>
      <c r="C488" s="107"/>
      <c r="D488" s="107"/>
      <c r="E488" s="107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</row>
    <row r="489" spans="1:34">
      <c r="A489" s="106"/>
      <c r="B489" s="107"/>
      <c r="C489" s="107"/>
      <c r="D489" s="107"/>
      <c r="E489" s="107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</row>
    <row r="490" spans="1:34">
      <c r="A490" s="106"/>
      <c r="B490" s="107"/>
      <c r="C490" s="107"/>
      <c r="D490" s="107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</row>
    <row r="491" spans="1:34">
      <c r="A491" s="106"/>
      <c r="B491" s="107"/>
      <c r="C491" s="107"/>
      <c r="D491" s="107"/>
      <c r="E491" s="107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</row>
    <row r="492" spans="1:34">
      <c r="A492" s="106"/>
      <c r="B492" s="107"/>
      <c r="C492" s="107"/>
      <c r="D492" s="107"/>
      <c r="E492" s="107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</row>
    <row r="493" spans="1:34">
      <c r="A493" s="106"/>
      <c r="B493" s="107"/>
      <c r="C493" s="107"/>
      <c r="D493" s="107"/>
      <c r="E493" s="107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</row>
    <row r="494" spans="1:34">
      <c r="A494" s="106"/>
      <c r="B494" s="107"/>
      <c r="C494" s="107"/>
      <c r="D494" s="107"/>
      <c r="E494" s="107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</row>
    <row r="495" spans="1:34">
      <c r="A495" s="106"/>
      <c r="B495" s="107"/>
      <c r="C495" s="107"/>
      <c r="D495" s="107"/>
      <c r="E495" s="107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</row>
    <row r="496" spans="1:34">
      <c r="A496" s="106"/>
      <c r="B496" s="107"/>
      <c r="C496" s="107"/>
      <c r="D496" s="107"/>
      <c r="E496" s="107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</row>
    <row r="497" spans="1:34">
      <c r="A497" s="106"/>
      <c r="B497" s="107"/>
      <c r="C497" s="107"/>
      <c r="D497" s="107"/>
      <c r="E497" s="107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</row>
    <row r="498" spans="1:34">
      <c r="A498" s="106"/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</row>
    <row r="499" spans="1:34">
      <c r="A499" s="106"/>
      <c r="B499" s="107"/>
      <c r="C499" s="107"/>
      <c r="D499" s="107"/>
      <c r="E499" s="107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</row>
    <row r="500" spans="1:34">
      <c r="A500" s="106"/>
      <c r="B500" s="107"/>
      <c r="C500" s="107"/>
      <c r="D500" s="107"/>
      <c r="E500" s="107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</row>
    <row r="501" spans="1:34">
      <c r="A501" s="106"/>
      <c r="B501" s="107"/>
      <c r="C501" s="107"/>
      <c r="D501" s="107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</row>
    <row r="502" spans="1:34">
      <c r="A502" s="106"/>
      <c r="B502" s="107"/>
      <c r="C502" s="107"/>
      <c r="D502" s="107"/>
      <c r="E502" s="107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</row>
    <row r="503" spans="1:34">
      <c r="A503" s="106"/>
      <c r="B503" s="107"/>
      <c r="C503" s="107"/>
      <c r="D503" s="107"/>
      <c r="E503" s="107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</row>
    <row r="504" spans="1:34">
      <c r="A504" s="106"/>
      <c r="B504" s="107"/>
      <c r="C504" s="107"/>
      <c r="D504" s="107"/>
      <c r="E504" s="107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</row>
    <row r="505" spans="1:34">
      <c r="A505" s="106"/>
      <c r="B505" s="107"/>
      <c r="C505" s="107"/>
      <c r="D505" s="107"/>
      <c r="E505" s="107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</row>
    <row r="506" spans="1:34">
      <c r="A506" s="106"/>
      <c r="B506" s="107"/>
      <c r="C506" s="107"/>
      <c r="D506" s="107"/>
      <c r="E506" s="107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</row>
    <row r="507" spans="1:34">
      <c r="A507" s="106"/>
      <c r="B507" s="107"/>
      <c r="C507" s="107"/>
      <c r="D507" s="107"/>
      <c r="E507" s="107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</row>
    <row r="508" spans="1:34">
      <c r="A508" s="106"/>
      <c r="B508" s="107"/>
      <c r="C508" s="107"/>
      <c r="D508" s="107"/>
      <c r="E508" s="107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</row>
    <row r="509" spans="1:34">
      <c r="A509" s="106"/>
      <c r="B509" s="107"/>
      <c r="C509" s="107"/>
      <c r="D509" s="107"/>
      <c r="E509" s="107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</row>
    <row r="510" spans="1:34">
      <c r="A510" s="106"/>
      <c r="B510" s="107"/>
      <c r="C510" s="107"/>
      <c r="D510" s="107"/>
      <c r="E510" s="107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</row>
    <row r="511" spans="1:34">
      <c r="A511" s="106"/>
      <c r="B511" s="107"/>
      <c r="C511" s="107"/>
      <c r="D511" s="107"/>
      <c r="E511" s="107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</row>
    <row r="512" spans="1:34">
      <c r="A512" s="106"/>
      <c r="B512" s="107"/>
      <c r="C512" s="107"/>
      <c r="D512" s="107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</row>
    <row r="513" spans="1:34">
      <c r="A513" s="106"/>
      <c r="B513" s="107"/>
      <c r="C513" s="107"/>
      <c r="D513" s="107"/>
      <c r="E513" s="107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</row>
    <row r="514" spans="1:34">
      <c r="A514" s="106"/>
      <c r="B514" s="107"/>
      <c r="C514" s="107"/>
      <c r="D514" s="107"/>
      <c r="E514" s="107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</row>
    <row r="515" spans="1:34">
      <c r="A515" s="106"/>
      <c r="B515" s="107"/>
      <c r="C515" s="107"/>
      <c r="D515" s="107"/>
      <c r="E515" s="107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</row>
    <row r="516" spans="1:34">
      <c r="A516" s="106"/>
      <c r="B516" s="107"/>
      <c r="C516" s="107"/>
      <c r="D516" s="107"/>
      <c r="E516" s="107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</row>
    <row r="517" spans="1:34">
      <c r="A517" s="106"/>
      <c r="B517" s="107"/>
      <c r="C517" s="107"/>
      <c r="D517" s="107"/>
      <c r="E517" s="107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</row>
    <row r="518" spans="1:34">
      <c r="A518" s="106"/>
      <c r="B518" s="107"/>
      <c r="C518" s="107"/>
      <c r="D518" s="107"/>
      <c r="E518" s="107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</row>
    <row r="519" spans="1:34">
      <c r="A519" s="106"/>
      <c r="B519" s="107"/>
      <c r="C519" s="107"/>
      <c r="D519" s="107"/>
      <c r="E519" s="107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</row>
    <row r="520" spans="1:34">
      <c r="A520" s="106"/>
      <c r="B520" s="107"/>
      <c r="C520" s="107"/>
      <c r="D520" s="107"/>
      <c r="E520" s="107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</row>
    <row r="521" spans="1:34">
      <c r="A521" s="106"/>
      <c r="B521" s="107"/>
      <c r="C521" s="107"/>
      <c r="D521" s="107"/>
      <c r="E521" s="107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</row>
    <row r="522" spans="1:34">
      <c r="A522" s="106"/>
      <c r="B522" s="107"/>
      <c r="C522" s="107"/>
      <c r="D522" s="107"/>
      <c r="E522" s="107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</row>
    <row r="523" spans="1:34">
      <c r="A523" s="106"/>
      <c r="B523" s="107"/>
      <c r="C523" s="107"/>
      <c r="D523" s="107"/>
      <c r="E523" s="107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</row>
    <row r="524" spans="1:34">
      <c r="A524" s="106"/>
      <c r="B524" s="107"/>
      <c r="C524" s="107"/>
      <c r="D524" s="107"/>
      <c r="E524" s="107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</row>
    <row r="525" spans="1:34">
      <c r="A525" s="106"/>
      <c r="B525" s="107"/>
      <c r="C525" s="107"/>
      <c r="D525" s="107"/>
      <c r="E525" s="107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</row>
    <row r="526" spans="1:34">
      <c r="A526" s="106"/>
      <c r="B526" s="107"/>
      <c r="C526" s="107"/>
      <c r="D526" s="107"/>
      <c r="E526" s="107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</row>
    <row r="527" spans="1:34">
      <c r="A527" s="106"/>
      <c r="B527" s="107"/>
      <c r="C527" s="107"/>
      <c r="D527" s="107"/>
      <c r="E527" s="107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</row>
    <row r="528" spans="1:34">
      <c r="A528" s="106"/>
      <c r="B528" s="107"/>
      <c r="C528" s="107"/>
      <c r="D528" s="107"/>
      <c r="E528" s="107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</row>
    <row r="529" spans="1:34">
      <c r="A529" s="106"/>
      <c r="B529" s="107"/>
      <c r="C529" s="107"/>
      <c r="D529" s="107"/>
      <c r="E529" s="107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</row>
    <row r="530" spans="1:34">
      <c r="A530" s="106"/>
      <c r="B530" s="107"/>
      <c r="C530" s="107"/>
      <c r="D530" s="107"/>
      <c r="E530" s="107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</row>
    <row r="531" spans="1:34">
      <c r="A531" s="106"/>
      <c r="B531" s="107"/>
      <c r="C531" s="107"/>
      <c r="D531" s="107"/>
      <c r="E531" s="107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</row>
    <row r="532" spans="1:34">
      <c r="A532" s="106"/>
      <c r="B532" s="107"/>
      <c r="C532" s="107"/>
      <c r="D532" s="107"/>
      <c r="E532" s="107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  <c r="AC532" s="107"/>
      <c r="AD532" s="107"/>
      <c r="AE532" s="107"/>
      <c r="AF532" s="107"/>
      <c r="AG532" s="107"/>
      <c r="AH532" s="107"/>
    </row>
    <row r="533" spans="1:34">
      <c r="A533" s="106"/>
      <c r="B533" s="107"/>
      <c r="C533" s="107"/>
      <c r="D533" s="107"/>
      <c r="E533" s="107"/>
      <c r="F533" s="107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  <c r="AA533" s="107"/>
      <c r="AB533" s="107"/>
      <c r="AC533" s="107"/>
      <c r="AD533" s="107"/>
      <c r="AE533" s="107"/>
      <c r="AF533" s="107"/>
      <c r="AG533" s="107"/>
      <c r="AH533" s="107"/>
    </row>
    <row r="534" spans="1:34">
      <c r="A534" s="106"/>
      <c r="B534" s="107"/>
      <c r="C534" s="107"/>
      <c r="D534" s="107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  <c r="AD534" s="107"/>
      <c r="AE534" s="107"/>
      <c r="AF534" s="107"/>
      <c r="AG534" s="107"/>
      <c r="AH534" s="107"/>
    </row>
    <row r="535" spans="1:34">
      <c r="A535" s="106"/>
      <c r="B535" s="107"/>
      <c r="C535" s="107"/>
      <c r="D535" s="107"/>
      <c r="E535" s="107"/>
      <c r="F535" s="107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  <c r="AA535" s="107"/>
      <c r="AB535" s="107"/>
      <c r="AC535" s="107"/>
      <c r="AD535" s="107"/>
      <c r="AE535" s="107"/>
      <c r="AF535" s="107"/>
      <c r="AG535" s="107"/>
      <c r="AH535" s="107"/>
    </row>
    <row r="536" spans="1:34">
      <c r="A536" s="106"/>
      <c r="B536" s="107"/>
      <c r="C536" s="107"/>
      <c r="D536" s="107"/>
      <c r="E536" s="107"/>
      <c r="F536" s="107"/>
      <c r="G536" s="107"/>
      <c r="H536" s="107"/>
      <c r="I536" s="107"/>
      <c r="J536" s="107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  <c r="AA536" s="107"/>
      <c r="AB536" s="107"/>
      <c r="AC536" s="107"/>
      <c r="AD536" s="107"/>
      <c r="AE536" s="107"/>
      <c r="AF536" s="107"/>
      <c r="AG536" s="107"/>
      <c r="AH536" s="107"/>
    </row>
    <row r="537" spans="1:34">
      <c r="A537" s="106"/>
      <c r="B537" s="107"/>
      <c r="C537" s="107"/>
      <c r="D537" s="107"/>
      <c r="E537" s="107"/>
      <c r="F537" s="107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  <c r="AA537" s="107"/>
      <c r="AB537" s="107"/>
      <c r="AC537" s="107"/>
      <c r="AD537" s="107"/>
      <c r="AE537" s="107"/>
      <c r="AF537" s="107"/>
      <c r="AG537" s="107"/>
      <c r="AH537" s="107"/>
    </row>
    <row r="538" spans="1:34">
      <c r="A538" s="106"/>
      <c r="B538" s="107"/>
      <c r="C538" s="107"/>
      <c r="D538" s="107"/>
      <c r="E538" s="107"/>
      <c r="F538" s="107"/>
      <c r="G538" s="107"/>
      <c r="H538" s="107"/>
      <c r="I538" s="107"/>
      <c r="J538" s="107"/>
      <c r="K538" s="107"/>
      <c r="L538" s="107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  <c r="AA538" s="107"/>
      <c r="AB538" s="107"/>
      <c r="AC538" s="107"/>
      <c r="AD538" s="107"/>
      <c r="AE538" s="107"/>
      <c r="AF538" s="107"/>
      <c r="AG538" s="107"/>
      <c r="AH538" s="107"/>
    </row>
    <row r="539" spans="1:34">
      <c r="A539" s="106"/>
      <c r="B539" s="107"/>
      <c r="C539" s="107"/>
      <c r="D539" s="107"/>
      <c r="E539" s="107"/>
      <c r="F539" s="107"/>
      <c r="G539" s="107"/>
      <c r="H539" s="107"/>
      <c r="I539" s="107"/>
      <c r="J539" s="107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  <c r="AA539" s="107"/>
      <c r="AB539" s="107"/>
      <c r="AC539" s="107"/>
      <c r="AD539" s="107"/>
      <c r="AE539" s="107"/>
      <c r="AF539" s="107"/>
      <c r="AG539" s="107"/>
      <c r="AH539" s="107"/>
    </row>
    <row r="540" spans="1:34">
      <c r="A540" s="106"/>
      <c r="B540" s="107"/>
      <c r="C540" s="107"/>
      <c r="D540" s="107"/>
      <c r="E540" s="107"/>
      <c r="F540" s="107"/>
      <c r="G540" s="107"/>
      <c r="H540" s="107"/>
      <c r="I540" s="107"/>
      <c r="J540" s="107"/>
      <c r="K540" s="107"/>
      <c r="L540" s="107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  <c r="AA540" s="107"/>
      <c r="AB540" s="107"/>
      <c r="AC540" s="107"/>
      <c r="AD540" s="107"/>
      <c r="AE540" s="107"/>
      <c r="AF540" s="107"/>
      <c r="AG540" s="107"/>
      <c r="AH540" s="107"/>
    </row>
    <row r="541" spans="1:34">
      <c r="A541" s="106"/>
      <c r="B541" s="107"/>
      <c r="C541" s="107"/>
      <c r="D541" s="107"/>
      <c r="E541" s="107"/>
      <c r="F541" s="107"/>
      <c r="G541" s="107"/>
      <c r="H541" s="107"/>
      <c r="I541" s="107"/>
      <c r="J541" s="107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  <c r="AA541" s="107"/>
      <c r="AB541" s="107"/>
      <c r="AC541" s="107"/>
      <c r="AD541" s="107"/>
      <c r="AE541" s="107"/>
      <c r="AF541" s="107"/>
      <c r="AG541" s="107"/>
      <c r="AH541" s="107"/>
    </row>
    <row r="542" spans="1:34">
      <c r="A542" s="106"/>
      <c r="B542" s="107"/>
      <c r="C542" s="107"/>
      <c r="D542" s="107"/>
      <c r="E542" s="107"/>
      <c r="F542" s="107"/>
      <c r="G542" s="107"/>
      <c r="H542" s="107"/>
      <c r="I542" s="107"/>
      <c r="J542" s="107"/>
      <c r="K542" s="107"/>
      <c r="L542" s="107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  <c r="AA542" s="107"/>
      <c r="AB542" s="107"/>
      <c r="AC542" s="107"/>
      <c r="AD542" s="107"/>
      <c r="AE542" s="107"/>
      <c r="AF542" s="107"/>
      <c r="AG542" s="107"/>
      <c r="AH542" s="107"/>
    </row>
    <row r="543" spans="1:34">
      <c r="A543" s="106"/>
      <c r="B543" s="107"/>
      <c r="C543" s="107"/>
      <c r="D543" s="107"/>
      <c r="E543" s="107"/>
      <c r="F543" s="107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  <c r="AA543" s="107"/>
      <c r="AB543" s="107"/>
      <c r="AC543" s="107"/>
      <c r="AD543" s="107"/>
      <c r="AE543" s="107"/>
      <c r="AF543" s="107"/>
      <c r="AG543" s="107"/>
      <c r="AH543" s="107"/>
    </row>
    <row r="544" spans="1:34">
      <c r="A544" s="106"/>
      <c r="B544" s="107"/>
      <c r="C544" s="107"/>
      <c r="D544" s="107"/>
      <c r="E544" s="107"/>
      <c r="F544" s="107"/>
      <c r="G544" s="107"/>
      <c r="H544" s="107"/>
      <c r="I544" s="107"/>
      <c r="J544" s="107"/>
      <c r="K544" s="107"/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  <c r="AA544" s="107"/>
      <c r="AB544" s="107"/>
      <c r="AC544" s="107"/>
      <c r="AD544" s="107"/>
      <c r="AE544" s="107"/>
      <c r="AF544" s="107"/>
      <c r="AG544" s="107"/>
      <c r="AH544" s="107"/>
    </row>
    <row r="545" spans="1:34">
      <c r="A545" s="106"/>
      <c r="B545" s="107"/>
      <c r="C545" s="107"/>
      <c r="D545" s="107"/>
      <c r="E545" s="107"/>
      <c r="F545" s="107"/>
      <c r="G545" s="107"/>
      <c r="H545" s="107"/>
      <c r="I545" s="107"/>
      <c r="J545" s="107"/>
      <c r="K545" s="107"/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  <c r="AA545" s="107"/>
      <c r="AB545" s="107"/>
      <c r="AC545" s="107"/>
      <c r="AD545" s="107"/>
      <c r="AE545" s="107"/>
      <c r="AF545" s="107"/>
      <c r="AG545" s="107"/>
      <c r="AH545" s="107"/>
    </row>
    <row r="546" spans="1:34">
      <c r="A546" s="106"/>
      <c r="B546" s="107"/>
      <c r="C546" s="107"/>
      <c r="D546" s="107"/>
      <c r="E546" s="107"/>
      <c r="F546" s="107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  <c r="AC546" s="107"/>
      <c r="AD546" s="107"/>
      <c r="AE546" s="107"/>
      <c r="AF546" s="107"/>
      <c r="AG546" s="107"/>
      <c r="AH546" s="107"/>
    </row>
    <row r="547" spans="1:34">
      <c r="A547" s="106"/>
      <c r="B547" s="107"/>
      <c r="C547" s="107"/>
      <c r="D547" s="107"/>
      <c r="E547" s="107"/>
      <c r="F547" s="107"/>
      <c r="G547" s="107"/>
      <c r="H547" s="107"/>
      <c r="I547" s="107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  <c r="AA547" s="107"/>
      <c r="AB547" s="107"/>
      <c r="AC547" s="107"/>
      <c r="AD547" s="107"/>
      <c r="AE547" s="107"/>
      <c r="AF547" s="107"/>
      <c r="AG547" s="107"/>
      <c r="AH547" s="107"/>
    </row>
    <row r="548" spans="1:34">
      <c r="A548" s="106"/>
      <c r="B548" s="107"/>
      <c r="C548" s="107"/>
      <c r="D548" s="107"/>
      <c r="E548" s="107"/>
      <c r="F548" s="107"/>
      <c r="G548" s="107"/>
      <c r="H548" s="107"/>
      <c r="I548" s="107"/>
      <c r="J548" s="107"/>
      <c r="K548" s="107"/>
      <c r="L548" s="107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  <c r="AA548" s="107"/>
      <c r="AB548" s="107"/>
      <c r="AC548" s="107"/>
      <c r="AD548" s="107"/>
      <c r="AE548" s="107"/>
      <c r="AF548" s="107"/>
      <c r="AG548" s="107"/>
      <c r="AH548" s="107"/>
    </row>
    <row r="549" spans="1:34">
      <c r="A549" s="106"/>
      <c r="B549" s="107"/>
      <c r="C549" s="107"/>
      <c r="D549" s="107"/>
      <c r="E549" s="107"/>
      <c r="F549" s="107"/>
      <c r="G549" s="107"/>
      <c r="H549" s="107"/>
      <c r="I549" s="107"/>
      <c r="J549" s="107"/>
      <c r="K549" s="107"/>
      <c r="L549" s="107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  <c r="AA549" s="107"/>
      <c r="AB549" s="107"/>
      <c r="AC549" s="107"/>
      <c r="AD549" s="107"/>
      <c r="AE549" s="107"/>
      <c r="AF549" s="107"/>
      <c r="AG549" s="107"/>
      <c r="AH549" s="107"/>
    </row>
    <row r="550" spans="1:34">
      <c r="A550" s="106"/>
      <c r="B550" s="107"/>
      <c r="C550" s="107"/>
      <c r="D550" s="107"/>
      <c r="E550" s="107"/>
      <c r="F550" s="107"/>
      <c r="G550" s="107"/>
      <c r="H550" s="107"/>
      <c r="I550" s="107"/>
      <c r="J550" s="107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  <c r="AA550" s="107"/>
      <c r="AB550" s="107"/>
      <c r="AC550" s="107"/>
      <c r="AD550" s="107"/>
      <c r="AE550" s="107"/>
      <c r="AF550" s="107"/>
      <c r="AG550" s="107"/>
      <c r="AH550" s="107"/>
    </row>
    <row r="551" spans="1:34">
      <c r="A551" s="106"/>
      <c r="B551" s="107"/>
      <c r="C551" s="107"/>
      <c r="D551" s="107"/>
      <c r="E551" s="107"/>
      <c r="F551" s="107"/>
      <c r="G551" s="107"/>
      <c r="H551" s="107"/>
      <c r="I551" s="107"/>
      <c r="J551" s="107"/>
      <c r="K551" s="107"/>
      <c r="L551" s="107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  <c r="AA551" s="107"/>
      <c r="AB551" s="107"/>
      <c r="AC551" s="107"/>
      <c r="AD551" s="107"/>
      <c r="AE551" s="107"/>
      <c r="AF551" s="107"/>
      <c r="AG551" s="107"/>
      <c r="AH551" s="107"/>
    </row>
    <row r="552" spans="1:34">
      <c r="A552" s="106"/>
      <c r="B552" s="107"/>
      <c r="C552" s="107"/>
      <c r="D552" s="107"/>
      <c r="E552" s="107"/>
      <c r="F552" s="107"/>
      <c r="G552" s="107"/>
      <c r="H552" s="107"/>
      <c r="I552" s="107"/>
      <c r="J552" s="107"/>
      <c r="K552" s="107"/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  <c r="AA552" s="107"/>
      <c r="AB552" s="107"/>
      <c r="AC552" s="107"/>
      <c r="AD552" s="107"/>
      <c r="AE552" s="107"/>
      <c r="AF552" s="107"/>
      <c r="AG552" s="107"/>
      <c r="AH552" s="107"/>
    </row>
    <row r="553" spans="1:34">
      <c r="A553" s="106"/>
      <c r="B553" s="107"/>
      <c r="C553" s="107"/>
      <c r="D553" s="107"/>
      <c r="E553" s="107"/>
      <c r="F553" s="107"/>
      <c r="G553" s="107"/>
      <c r="H553" s="107"/>
      <c r="I553" s="107"/>
      <c r="J553" s="107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  <c r="AA553" s="107"/>
      <c r="AB553" s="107"/>
      <c r="AC553" s="107"/>
      <c r="AD553" s="107"/>
      <c r="AE553" s="107"/>
      <c r="AF553" s="107"/>
      <c r="AG553" s="107"/>
      <c r="AH553" s="107"/>
    </row>
    <row r="554" spans="1:34">
      <c r="A554" s="106"/>
      <c r="B554" s="107"/>
      <c r="C554" s="107"/>
      <c r="D554" s="107"/>
      <c r="E554" s="107"/>
      <c r="F554" s="107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  <c r="AA554" s="107"/>
      <c r="AB554" s="107"/>
      <c r="AC554" s="107"/>
      <c r="AD554" s="107"/>
      <c r="AE554" s="107"/>
      <c r="AF554" s="107"/>
      <c r="AG554" s="107"/>
      <c r="AH554" s="107"/>
    </row>
    <row r="555" spans="1:34">
      <c r="A555" s="106"/>
      <c r="B555" s="107"/>
      <c r="C555" s="107"/>
      <c r="D555" s="107"/>
      <c r="E555" s="107"/>
      <c r="F555" s="107"/>
      <c r="G555" s="107"/>
      <c r="H555" s="107"/>
      <c r="I555" s="107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  <c r="AC555" s="107"/>
      <c r="AD555" s="107"/>
      <c r="AE555" s="107"/>
      <c r="AF555" s="107"/>
      <c r="AG555" s="107"/>
      <c r="AH555" s="107"/>
    </row>
    <row r="556" spans="1:34">
      <c r="A556" s="106"/>
      <c r="B556" s="107"/>
      <c r="C556" s="107"/>
      <c r="D556" s="107"/>
      <c r="E556" s="107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  <c r="AC556" s="107"/>
      <c r="AD556" s="107"/>
      <c r="AE556" s="107"/>
      <c r="AF556" s="107"/>
      <c r="AG556" s="107"/>
      <c r="AH556" s="107"/>
    </row>
    <row r="557" spans="1:34">
      <c r="A557" s="106"/>
      <c r="B557" s="107"/>
      <c r="C557" s="107"/>
      <c r="D557" s="107"/>
      <c r="E557" s="107"/>
      <c r="F557" s="107"/>
      <c r="G557" s="107"/>
      <c r="H557" s="107"/>
      <c r="I557" s="107"/>
      <c r="J557" s="107"/>
      <c r="K557" s="107"/>
      <c r="L557" s="107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  <c r="AA557" s="107"/>
      <c r="AB557" s="107"/>
      <c r="AC557" s="107"/>
      <c r="AD557" s="107"/>
      <c r="AE557" s="107"/>
      <c r="AF557" s="107"/>
      <c r="AG557" s="107"/>
      <c r="AH557" s="107"/>
    </row>
    <row r="558" spans="1:34">
      <c r="A558" s="106"/>
      <c r="B558" s="107"/>
      <c r="C558" s="107"/>
      <c r="D558" s="107"/>
      <c r="E558" s="107"/>
      <c r="F558" s="107"/>
      <c r="G558" s="107"/>
      <c r="H558" s="107"/>
      <c r="I558" s="107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  <c r="AA558" s="107"/>
      <c r="AB558" s="107"/>
      <c r="AC558" s="107"/>
      <c r="AD558" s="107"/>
      <c r="AE558" s="107"/>
      <c r="AF558" s="107"/>
      <c r="AG558" s="107"/>
      <c r="AH558" s="107"/>
    </row>
    <row r="559" spans="1:34">
      <c r="A559" s="106"/>
      <c r="B559" s="107"/>
      <c r="C559" s="107"/>
      <c r="D559" s="107"/>
      <c r="E559" s="107"/>
      <c r="F559" s="107"/>
      <c r="G559" s="107"/>
      <c r="H559" s="107"/>
      <c r="I559" s="107"/>
      <c r="J559" s="107"/>
      <c r="K559" s="107"/>
      <c r="L559" s="107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  <c r="AA559" s="107"/>
      <c r="AB559" s="107"/>
      <c r="AC559" s="107"/>
      <c r="AD559" s="107"/>
      <c r="AE559" s="107"/>
      <c r="AF559" s="107"/>
      <c r="AG559" s="107"/>
      <c r="AH559" s="107"/>
    </row>
    <row r="560" spans="1:34">
      <c r="A560" s="106"/>
      <c r="B560" s="107"/>
      <c r="C560" s="107"/>
      <c r="D560" s="107"/>
      <c r="E560" s="107"/>
      <c r="F560" s="107"/>
      <c r="G560" s="107"/>
      <c r="H560" s="107"/>
      <c r="I560" s="107"/>
      <c r="J560" s="107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  <c r="AA560" s="107"/>
      <c r="AB560" s="107"/>
      <c r="AC560" s="107"/>
      <c r="AD560" s="107"/>
      <c r="AE560" s="107"/>
      <c r="AF560" s="107"/>
      <c r="AG560" s="107"/>
      <c r="AH560" s="107"/>
    </row>
    <row r="561" spans="1:34">
      <c r="A561" s="106"/>
      <c r="B561" s="107"/>
      <c r="C561" s="107"/>
      <c r="D561" s="107"/>
      <c r="E561" s="107"/>
      <c r="F561" s="107"/>
      <c r="G561" s="107"/>
      <c r="H561" s="107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  <c r="AC561" s="107"/>
      <c r="AD561" s="107"/>
      <c r="AE561" s="107"/>
      <c r="AF561" s="107"/>
      <c r="AG561" s="107"/>
      <c r="AH561" s="107"/>
    </row>
    <row r="562" spans="1:34">
      <c r="A562" s="106"/>
      <c r="B562" s="107"/>
      <c r="C562" s="107"/>
      <c r="D562" s="107"/>
      <c r="E562" s="107"/>
      <c r="F562" s="107"/>
      <c r="G562" s="107"/>
      <c r="H562" s="107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  <c r="AA562" s="107"/>
      <c r="AB562" s="107"/>
      <c r="AC562" s="107"/>
      <c r="AD562" s="107"/>
      <c r="AE562" s="107"/>
      <c r="AF562" s="107"/>
      <c r="AG562" s="107"/>
      <c r="AH562" s="107"/>
    </row>
    <row r="563" spans="1:34">
      <c r="A563" s="106"/>
      <c r="B563" s="107"/>
      <c r="C563" s="107"/>
      <c r="D563" s="107"/>
      <c r="E563" s="107"/>
      <c r="F563" s="107"/>
      <c r="G563" s="107"/>
      <c r="H563" s="107"/>
      <c r="I563" s="107"/>
      <c r="J563" s="107"/>
      <c r="K563" s="107"/>
      <c r="L563" s="107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  <c r="AA563" s="107"/>
      <c r="AB563" s="107"/>
      <c r="AC563" s="107"/>
      <c r="AD563" s="107"/>
      <c r="AE563" s="107"/>
      <c r="AF563" s="107"/>
      <c r="AG563" s="107"/>
      <c r="AH563" s="107"/>
    </row>
    <row r="564" spans="1:34">
      <c r="A564" s="106"/>
      <c r="B564" s="107"/>
      <c r="C564" s="107"/>
      <c r="D564" s="107"/>
      <c r="E564" s="107"/>
      <c r="F564" s="107"/>
      <c r="G564" s="107"/>
      <c r="H564" s="107"/>
      <c r="I564" s="107"/>
      <c r="J564" s="107"/>
      <c r="K564" s="107"/>
      <c r="L564" s="107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  <c r="AA564" s="107"/>
      <c r="AB564" s="107"/>
      <c r="AC564" s="107"/>
      <c r="AD564" s="107"/>
      <c r="AE564" s="107"/>
      <c r="AF564" s="107"/>
      <c r="AG564" s="107"/>
      <c r="AH564" s="107"/>
    </row>
    <row r="565" spans="1:34">
      <c r="A565" s="106"/>
      <c r="B565" s="107"/>
      <c r="C565" s="107"/>
      <c r="D565" s="107"/>
      <c r="E565" s="107"/>
      <c r="F565" s="107"/>
      <c r="G565" s="107"/>
      <c r="H565" s="107"/>
      <c r="I565" s="107"/>
      <c r="J565" s="107"/>
      <c r="K565" s="107"/>
      <c r="L565" s="107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  <c r="AA565" s="107"/>
      <c r="AB565" s="107"/>
      <c r="AC565" s="107"/>
      <c r="AD565" s="107"/>
      <c r="AE565" s="107"/>
      <c r="AF565" s="107"/>
      <c r="AG565" s="107"/>
      <c r="AH565" s="107"/>
    </row>
    <row r="566" spans="1:34">
      <c r="A566" s="106"/>
      <c r="B566" s="107"/>
      <c r="C566" s="107"/>
      <c r="D566" s="107"/>
      <c r="E566" s="107"/>
      <c r="F566" s="107"/>
      <c r="G566" s="107"/>
      <c r="H566" s="107"/>
      <c r="I566" s="107"/>
      <c r="J566" s="107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  <c r="AA566" s="107"/>
      <c r="AB566" s="107"/>
      <c r="AC566" s="107"/>
      <c r="AD566" s="107"/>
      <c r="AE566" s="107"/>
      <c r="AF566" s="107"/>
      <c r="AG566" s="107"/>
      <c r="AH566" s="107"/>
    </row>
    <row r="567" spans="1:34">
      <c r="A567" s="106"/>
      <c r="B567" s="107"/>
      <c r="C567" s="107"/>
      <c r="D567" s="107"/>
      <c r="E567" s="107"/>
      <c r="F567" s="107"/>
      <c r="G567" s="107"/>
      <c r="H567" s="107"/>
      <c r="I567" s="107"/>
      <c r="J567" s="107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  <c r="AA567" s="107"/>
      <c r="AB567" s="107"/>
      <c r="AC567" s="107"/>
      <c r="AD567" s="107"/>
      <c r="AE567" s="107"/>
      <c r="AF567" s="107"/>
      <c r="AG567" s="107"/>
      <c r="AH567" s="107"/>
    </row>
    <row r="568" spans="1:34">
      <c r="A568" s="106"/>
      <c r="B568" s="107"/>
      <c r="C568" s="107"/>
      <c r="D568" s="107"/>
      <c r="E568" s="107"/>
      <c r="F568" s="107"/>
      <c r="G568" s="107"/>
      <c r="H568" s="107"/>
      <c r="I568" s="107"/>
      <c r="J568" s="107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  <c r="AA568" s="107"/>
      <c r="AB568" s="107"/>
      <c r="AC568" s="107"/>
      <c r="AD568" s="107"/>
      <c r="AE568" s="107"/>
      <c r="AF568" s="107"/>
      <c r="AG568" s="107"/>
      <c r="AH568" s="107"/>
    </row>
    <row r="569" spans="1:34">
      <c r="A569" s="106"/>
      <c r="B569" s="107"/>
      <c r="C569" s="107"/>
      <c r="D569" s="107"/>
      <c r="E569" s="107"/>
      <c r="F569" s="107"/>
      <c r="G569" s="107"/>
      <c r="H569" s="107"/>
      <c r="I569" s="107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  <c r="AA569" s="107"/>
      <c r="AB569" s="107"/>
      <c r="AC569" s="107"/>
      <c r="AD569" s="107"/>
      <c r="AE569" s="107"/>
      <c r="AF569" s="107"/>
      <c r="AG569" s="107"/>
      <c r="AH569" s="107"/>
    </row>
    <row r="570" spans="1:34">
      <c r="A570" s="106"/>
      <c r="B570" s="107"/>
      <c r="C570" s="107"/>
      <c r="D570" s="107"/>
      <c r="E570" s="107"/>
      <c r="F570" s="107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  <c r="AA570" s="107"/>
      <c r="AB570" s="107"/>
      <c r="AC570" s="107"/>
      <c r="AD570" s="107"/>
      <c r="AE570" s="107"/>
      <c r="AF570" s="107"/>
      <c r="AG570" s="107"/>
      <c r="AH570" s="107"/>
    </row>
    <row r="571" spans="1:34">
      <c r="A571" s="106"/>
      <c r="B571" s="107"/>
      <c r="C571" s="107"/>
      <c r="D571" s="107"/>
      <c r="E571" s="107"/>
      <c r="F571" s="107"/>
      <c r="G571" s="107"/>
      <c r="H571" s="107"/>
      <c r="I571" s="107"/>
      <c r="J571" s="107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  <c r="AA571" s="107"/>
      <c r="AB571" s="107"/>
      <c r="AC571" s="107"/>
      <c r="AD571" s="107"/>
      <c r="AE571" s="107"/>
      <c r="AF571" s="107"/>
      <c r="AG571" s="107"/>
      <c r="AH571" s="107"/>
    </row>
    <row r="572" spans="1:34">
      <c r="A572" s="106"/>
      <c r="B572" s="107"/>
      <c r="C572" s="107"/>
      <c r="D572" s="107"/>
      <c r="E572" s="107"/>
      <c r="F572" s="107"/>
      <c r="G572" s="107"/>
      <c r="H572" s="107"/>
      <c r="I572" s="107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  <c r="AA572" s="107"/>
      <c r="AB572" s="107"/>
      <c r="AC572" s="107"/>
      <c r="AD572" s="107"/>
      <c r="AE572" s="107"/>
      <c r="AF572" s="107"/>
      <c r="AG572" s="107"/>
      <c r="AH572" s="107"/>
    </row>
    <row r="573" spans="1:34">
      <c r="A573" s="106"/>
      <c r="B573" s="107"/>
      <c r="C573" s="107"/>
      <c r="D573" s="107"/>
      <c r="E573" s="107"/>
      <c r="F573" s="107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  <c r="AA573" s="107"/>
      <c r="AB573" s="107"/>
      <c r="AC573" s="107"/>
      <c r="AD573" s="107"/>
      <c r="AE573" s="107"/>
      <c r="AF573" s="107"/>
      <c r="AG573" s="107"/>
      <c r="AH573" s="107"/>
    </row>
    <row r="574" spans="1:34">
      <c r="A574" s="106"/>
      <c r="B574" s="107"/>
      <c r="C574" s="107"/>
      <c r="D574" s="107"/>
      <c r="E574" s="107"/>
      <c r="F574" s="107"/>
      <c r="G574" s="107"/>
      <c r="H574" s="107"/>
      <c r="I574" s="107"/>
      <c r="J574" s="107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  <c r="AA574" s="107"/>
      <c r="AB574" s="107"/>
      <c r="AC574" s="107"/>
      <c r="AD574" s="107"/>
      <c r="AE574" s="107"/>
      <c r="AF574" s="107"/>
      <c r="AG574" s="107"/>
      <c r="AH574" s="107"/>
    </row>
    <row r="575" spans="1:34">
      <c r="A575" s="106"/>
      <c r="B575" s="107"/>
      <c r="C575" s="107"/>
      <c r="D575" s="107"/>
      <c r="E575" s="107"/>
      <c r="F575" s="107"/>
      <c r="G575" s="107"/>
      <c r="H575" s="107"/>
      <c r="I575" s="107"/>
      <c r="J575" s="107"/>
      <c r="K575" s="107"/>
      <c r="L575" s="107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  <c r="AA575" s="107"/>
      <c r="AB575" s="107"/>
      <c r="AC575" s="107"/>
      <c r="AD575" s="107"/>
      <c r="AE575" s="107"/>
      <c r="AF575" s="107"/>
      <c r="AG575" s="107"/>
      <c r="AH575" s="107"/>
    </row>
    <row r="576" spans="1:34">
      <c r="A576" s="106"/>
      <c r="B576" s="107"/>
      <c r="C576" s="107"/>
      <c r="D576" s="107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  <c r="AD576" s="107"/>
      <c r="AE576" s="107"/>
      <c r="AF576" s="107"/>
      <c r="AG576" s="107"/>
      <c r="AH576" s="107"/>
    </row>
    <row r="577" spans="1:34">
      <c r="A577" s="106"/>
      <c r="B577" s="107"/>
      <c r="C577" s="107"/>
      <c r="D577" s="107"/>
      <c r="E577" s="107"/>
      <c r="F577" s="107"/>
      <c r="G577" s="107"/>
      <c r="H577" s="107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  <c r="AA577" s="107"/>
      <c r="AB577" s="107"/>
      <c r="AC577" s="107"/>
      <c r="AD577" s="107"/>
      <c r="AE577" s="107"/>
      <c r="AF577" s="107"/>
      <c r="AG577" s="107"/>
      <c r="AH577" s="107"/>
    </row>
    <row r="578" spans="1:34">
      <c r="A578" s="106"/>
      <c r="B578" s="107"/>
      <c r="C578" s="107"/>
      <c r="D578" s="107"/>
      <c r="E578" s="107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  <c r="AD578" s="107"/>
      <c r="AE578" s="107"/>
      <c r="AF578" s="107"/>
      <c r="AG578" s="107"/>
      <c r="AH578" s="107"/>
    </row>
    <row r="579" spans="1:34">
      <c r="A579" s="106"/>
      <c r="B579" s="107"/>
      <c r="C579" s="107"/>
      <c r="D579" s="107"/>
      <c r="E579" s="107"/>
      <c r="F579" s="107"/>
      <c r="G579" s="107"/>
      <c r="H579" s="107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  <c r="AA579" s="107"/>
      <c r="AB579" s="107"/>
      <c r="AC579" s="107"/>
      <c r="AD579" s="107"/>
      <c r="AE579" s="107"/>
      <c r="AF579" s="107"/>
      <c r="AG579" s="107"/>
      <c r="AH579" s="107"/>
    </row>
    <row r="580" spans="1:34">
      <c r="A580" s="106"/>
      <c r="B580" s="107"/>
      <c r="C580" s="107"/>
      <c r="D580" s="107"/>
      <c r="E580" s="107"/>
      <c r="F580" s="107"/>
      <c r="G580" s="107"/>
      <c r="H580" s="107"/>
      <c r="I580" s="107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  <c r="AA580" s="107"/>
      <c r="AB580" s="107"/>
      <c r="AC580" s="107"/>
      <c r="AD580" s="107"/>
      <c r="AE580" s="107"/>
      <c r="AF580" s="107"/>
      <c r="AG580" s="107"/>
      <c r="AH580" s="107"/>
    </row>
    <row r="581" spans="1:34">
      <c r="A581" s="106"/>
      <c r="B581" s="107"/>
      <c r="C581" s="107"/>
      <c r="D581" s="107"/>
      <c r="E581" s="107"/>
      <c r="F581" s="107"/>
      <c r="G581" s="107"/>
      <c r="H581" s="107"/>
      <c r="I581" s="107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  <c r="AA581" s="107"/>
      <c r="AB581" s="107"/>
      <c r="AC581" s="107"/>
      <c r="AD581" s="107"/>
      <c r="AE581" s="107"/>
      <c r="AF581" s="107"/>
      <c r="AG581" s="107"/>
      <c r="AH581" s="107"/>
    </row>
    <row r="582" spans="1:34">
      <c r="A582" s="106"/>
      <c r="B582" s="107"/>
      <c r="C582" s="107"/>
      <c r="D582" s="107"/>
      <c r="E582" s="107"/>
      <c r="F582" s="107"/>
      <c r="G582" s="107"/>
      <c r="H582" s="107"/>
      <c r="I582" s="107"/>
      <c r="J582" s="107"/>
      <c r="K582" s="107"/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  <c r="AA582" s="107"/>
      <c r="AB582" s="107"/>
      <c r="AC582" s="107"/>
      <c r="AD582" s="107"/>
      <c r="AE582" s="107"/>
      <c r="AF582" s="107"/>
      <c r="AG582" s="107"/>
      <c r="AH582" s="107"/>
    </row>
    <row r="583" spans="1:34">
      <c r="A583" s="106"/>
      <c r="B583" s="107"/>
      <c r="C583" s="107"/>
      <c r="D583" s="107"/>
      <c r="E583" s="107"/>
      <c r="F583" s="107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  <c r="AA583" s="107"/>
      <c r="AB583" s="107"/>
      <c r="AC583" s="107"/>
      <c r="AD583" s="107"/>
      <c r="AE583" s="107"/>
      <c r="AF583" s="107"/>
      <c r="AG583" s="107"/>
      <c r="AH583" s="107"/>
    </row>
    <row r="584" spans="1:34">
      <c r="A584" s="106"/>
      <c r="B584" s="107"/>
      <c r="C584" s="107"/>
      <c r="D584" s="107"/>
      <c r="E584" s="107"/>
      <c r="F584" s="107"/>
      <c r="G584" s="107"/>
      <c r="H584" s="107"/>
      <c r="I584" s="107"/>
      <c r="J584" s="107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  <c r="AA584" s="107"/>
      <c r="AB584" s="107"/>
      <c r="AC584" s="107"/>
      <c r="AD584" s="107"/>
      <c r="AE584" s="107"/>
      <c r="AF584" s="107"/>
      <c r="AG584" s="107"/>
      <c r="AH584" s="107"/>
    </row>
    <row r="585" spans="1:34">
      <c r="A585" s="106"/>
      <c r="B585" s="107"/>
      <c r="C585" s="107"/>
      <c r="D585" s="107"/>
      <c r="E585" s="107"/>
      <c r="F585" s="107"/>
      <c r="G585" s="107"/>
      <c r="H585" s="107"/>
      <c r="I585" s="107"/>
      <c r="J585" s="107"/>
      <c r="K585" s="107"/>
      <c r="L585" s="107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  <c r="AA585" s="107"/>
      <c r="AB585" s="107"/>
      <c r="AC585" s="107"/>
      <c r="AD585" s="107"/>
      <c r="AE585" s="107"/>
      <c r="AF585" s="107"/>
      <c r="AG585" s="107"/>
      <c r="AH585" s="107"/>
    </row>
    <row r="586" spans="1:34">
      <c r="A586" s="106"/>
      <c r="B586" s="107"/>
      <c r="C586" s="107"/>
      <c r="D586" s="107"/>
      <c r="E586" s="107"/>
      <c r="F586" s="107"/>
      <c r="G586" s="107"/>
      <c r="H586" s="107"/>
      <c r="I586" s="107"/>
      <c r="J586" s="107"/>
      <c r="K586" s="107"/>
      <c r="L586" s="107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  <c r="AA586" s="107"/>
      <c r="AB586" s="107"/>
      <c r="AC586" s="107"/>
      <c r="AD586" s="107"/>
      <c r="AE586" s="107"/>
      <c r="AF586" s="107"/>
      <c r="AG586" s="107"/>
      <c r="AH586" s="107"/>
    </row>
    <row r="587" spans="1:34">
      <c r="A587" s="106"/>
      <c r="B587" s="107"/>
      <c r="C587" s="107"/>
      <c r="D587" s="107"/>
      <c r="E587" s="107"/>
      <c r="F587" s="107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  <c r="AA587" s="107"/>
      <c r="AB587" s="107"/>
      <c r="AC587" s="107"/>
      <c r="AD587" s="107"/>
      <c r="AE587" s="107"/>
      <c r="AF587" s="107"/>
      <c r="AG587" s="107"/>
      <c r="AH587" s="107"/>
    </row>
    <row r="588" spans="1:34">
      <c r="A588" s="106"/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107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  <c r="AA588" s="107"/>
      <c r="AB588" s="107"/>
      <c r="AC588" s="107"/>
      <c r="AD588" s="107"/>
      <c r="AE588" s="107"/>
      <c r="AF588" s="107"/>
      <c r="AG588" s="107"/>
      <c r="AH588" s="107"/>
    </row>
    <row r="589" spans="1:34">
      <c r="A589" s="106"/>
      <c r="B589" s="107"/>
      <c r="C589" s="107"/>
      <c r="D589" s="107"/>
      <c r="E589" s="107"/>
      <c r="F589" s="107"/>
      <c r="G589" s="107"/>
      <c r="H589" s="107"/>
      <c r="I589" s="107"/>
      <c r="J589" s="107"/>
      <c r="K589" s="107"/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  <c r="AA589" s="107"/>
      <c r="AB589" s="107"/>
      <c r="AC589" s="107"/>
      <c r="AD589" s="107"/>
      <c r="AE589" s="107"/>
      <c r="AF589" s="107"/>
      <c r="AG589" s="107"/>
      <c r="AH589" s="107"/>
    </row>
    <row r="590" spans="1:34">
      <c r="A590" s="106"/>
      <c r="B590" s="107"/>
      <c r="C590" s="107"/>
      <c r="D590" s="107"/>
      <c r="E590" s="107"/>
      <c r="F590" s="107"/>
      <c r="G590" s="107"/>
      <c r="H590" s="107"/>
      <c r="I590" s="107"/>
      <c r="J590" s="107"/>
      <c r="K590" s="107"/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  <c r="AA590" s="107"/>
      <c r="AB590" s="107"/>
      <c r="AC590" s="107"/>
      <c r="AD590" s="107"/>
      <c r="AE590" s="107"/>
      <c r="AF590" s="107"/>
      <c r="AG590" s="107"/>
      <c r="AH590" s="107"/>
    </row>
    <row r="591" spans="1:34">
      <c r="A591" s="106"/>
      <c r="B591" s="107"/>
      <c r="C591" s="107"/>
      <c r="D591" s="107"/>
      <c r="E591" s="107"/>
      <c r="F591" s="107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  <c r="AA591" s="107"/>
      <c r="AB591" s="107"/>
      <c r="AC591" s="107"/>
      <c r="AD591" s="107"/>
      <c r="AE591" s="107"/>
      <c r="AF591" s="107"/>
      <c r="AG591" s="107"/>
      <c r="AH591" s="107"/>
    </row>
    <row r="592" spans="1:34">
      <c r="A592" s="106"/>
      <c r="B592" s="107"/>
      <c r="C592" s="107"/>
      <c r="D592" s="107"/>
      <c r="E592" s="107"/>
      <c r="F592" s="107"/>
      <c r="G592" s="107"/>
      <c r="H592" s="107"/>
      <c r="I592" s="107"/>
      <c r="J592" s="107"/>
      <c r="K592" s="107"/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  <c r="AA592" s="107"/>
      <c r="AB592" s="107"/>
      <c r="AC592" s="107"/>
      <c r="AD592" s="107"/>
      <c r="AE592" s="107"/>
      <c r="AF592" s="107"/>
      <c r="AG592" s="107"/>
      <c r="AH592" s="107"/>
    </row>
    <row r="593" spans="1:34">
      <c r="A593" s="106"/>
      <c r="B593" s="107"/>
      <c r="C593" s="107"/>
      <c r="D593" s="107"/>
      <c r="E593" s="107"/>
      <c r="F593" s="107"/>
      <c r="G593" s="107"/>
      <c r="H593" s="107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  <c r="AA593" s="107"/>
      <c r="AB593" s="107"/>
      <c r="AC593" s="107"/>
      <c r="AD593" s="107"/>
      <c r="AE593" s="107"/>
      <c r="AF593" s="107"/>
      <c r="AG593" s="107"/>
      <c r="AH593" s="107"/>
    </row>
    <row r="594" spans="1:34">
      <c r="A594" s="106"/>
      <c r="B594" s="107"/>
      <c r="C594" s="107"/>
      <c r="D594" s="107"/>
      <c r="E594" s="107"/>
      <c r="F594" s="107"/>
      <c r="G594" s="107"/>
      <c r="H594" s="107"/>
      <c r="I594" s="107"/>
      <c r="J594" s="107"/>
      <c r="K594" s="107"/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  <c r="AA594" s="107"/>
      <c r="AB594" s="107"/>
      <c r="AC594" s="107"/>
      <c r="AD594" s="107"/>
      <c r="AE594" s="107"/>
      <c r="AF594" s="107"/>
      <c r="AG594" s="107"/>
      <c r="AH594" s="107"/>
    </row>
    <row r="595" spans="1:34">
      <c r="A595" s="106"/>
      <c r="B595" s="107"/>
      <c r="C595" s="107"/>
      <c r="D595" s="107"/>
      <c r="E595" s="107"/>
      <c r="F595" s="107"/>
      <c r="G595" s="107"/>
      <c r="H595" s="107"/>
      <c r="I595" s="107"/>
      <c r="J595" s="107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  <c r="AA595" s="107"/>
      <c r="AB595" s="107"/>
      <c r="AC595" s="107"/>
      <c r="AD595" s="107"/>
      <c r="AE595" s="107"/>
      <c r="AF595" s="107"/>
      <c r="AG595" s="107"/>
      <c r="AH595" s="107"/>
    </row>
    <row r="596" spans="1:34">
      <c r="A596" s="106"/>
      <c r="B596" s="107"/>
      <c r="C596" s="107"/>
      <c r="D596" s="107"/>
      <c r="E596" s="107"/>
      <c r="F596" s="107"/>
      <c r="G596" s="107"/>
      <c r="H596" s="107"/>
      <c r="I596" s="107"/>
      <c r="J596" s="107"/>
      <c r="K596" s="107"/>
      <c r="L596" s="107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  <c r="AA596" s="107"/>
      <c r="AB596" s="107"/>
      <c r="AC596" s="107"/>
      <c r="AD596" s="107"/>
      <c r="AE596" s="107"/>
      <c r="AF596" s="107"/>
      <c r="AG596" s="107"/>
      <c r="AH596" s="107"/>
    </row>
    <row r="597" spans="1:34">
      <c r="A597" s="106"/>
      <c r="B597" s="107"/>
      <c r="C597" s="107"/>
      <c r="D597" s="107"/>
      <c r="E597" s="107"/>
      <c r="F597" s="107"/>
      <c r="G597" s="107"/>
      <c r="H597" s="107"/>
      <c r="I597" s="107"/>
      <c r="J597" s="107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  <c r="AA597" s="107"/>
      <c r="AB597" s="107"/>
      <c r="AC597" s="107"/>
      <c r="AD597" s="107"/>
      <c r="AE597" s="107"/>
      <c r="AF597" s="107"/>
      <c r="AG597" s="107"/>
      <c r="AH597" s="107"/>
    </row>
    <row r="598" spans="1:34">
      <c r="A598" s="106"/>
      <c r="B598" s="107"/>
      <c r="C598" s="107"/>
      <c r="D598" s="107"/>
      <c r="E598" s="107"/>
      <c r="F598" s="107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  <c r="AA598" s="107"/>
      <c r="AB598" s="107"/>
      <c r="AC598" s="107"/>
      <c r="AD598" s="107"/>
      <c r="AE598" s="107"/>
      <c r="AF598" s="107"/>
      <c r="AG598" s="107"/>
      <c r="AH598" s="107"/>
    </row>
    <row r="599" spans="1:34">
      <c r="A599" s="106"/>
      <c r="B599" s="107"/>
      <c r="C599" s="107"/>
      <c r="D599" s="107"/>
      <c r="E599" s="107"/>
      <c r="F599" s="107"/>
      <c r="G599" s="107"/>
      <c r="H599" s="107"/>
      <c r="I599" s="107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  <c r="AA599" s="107"/>
      <c r="AB599" s="107"/>
      <c r="AC599" s="107"/>
      <c r="AD599" s="107"/>
      <c r="AE599" s="107"/>
      <c r="AF599" s="107"/>
      <c r="AG599" s="107"/>
      <c r="AH599" s="107"/>
    </row>
    <row r="600" spans="1:34">
      <c r="A600" s="106"/>
      <c r="B600" s="107"/>
      <c r="C600" s="107"/>
      <c r="D600" s="107"/>
      <c r="E600" s="107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  <c r="AA600" s="107"/>
      <c r="AB600" s="107"/>
      <c r="AC600" s="107"/>
      <c r="AD600" s="107"/>
      <c r="AE600" s="107"/>
      <c r="AF600" s="107"/>
      <c r="AG600" s="107"/>
      <c r="AH600" s="107"/>
    </row>
    <row r="601" spans="1:34">
      <c r="A601" s="106"/>
      <c r="B601" s="107"/>
      <c r="C601" s="107"/>
      <c r="D601" s="107"/>
      <c r="E601" s="107"/>
      <c r="F601" s="107"/>
      <c r="G601" s="107"/>
      <c r="H601" s="107"/>
      <c r="I601" s="107"/>
      <c r="J601" s="107"/>
      <c r="K601" s="107"/>
      <c r="L601" s="107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  <c r="AA601" s="107"/>
      <c r="AB601" s="107"/>
      <c r="AC601" s="107"/>
      <c r="AD601" s="107"/>
      <c r="AE601" s="107"/>
      <c r="AF601" s="107"/>
      <c r="AG601" s="107"/>
      <c r="AH601" s="107"/>
    </row>
    <row r="602" spans="1:34">
      <c r="A602" s="106"/>
      <c r="B602" s="107"/>
      <c r="C602" s="107"/>
      <c r="D602" s="107"/>
      <c r="E602" s="107"/>
      <c r="F602" s="107"/>
      <c r="G602" s="107"/>
      <c r="H602" s="107"/>
      <c r="I602" s="107"/>
      <c r="J602" s="107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  <c r="AA602" s="107"/>
      <c r="AB602" s="107"/>
      <c r="AC602" s="107"/>
      <c r="AD602" s="107"/>
      <c r="AE602" s="107"/>
      <c r="AF602" s="107"/>
      <c r="AG602" s="107"/>
      <c r="AH602" s="107"/>
    </row>
    <row r="603" spans="1:34">
      <c r="A603" s="106"/>
      <c r="B603" s="107"/>
      <c r="C603" s="107"/>
      <c r="D603" s="107"/>
      <c r="E603" s="107"/>
      <c r="F603" s="107"/>
      <c r="G603" s="107"/>
      <c r="H603" s="107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  <c r="AA603" s="107"/>
      <c r="AB603" s="107"/>
      <c r="AC603" s="107"/>
      <c r="AD603" s="107"/>
      <c r="AE603" s="107"/>
      <c r="AF603" s="107"/>
      <c r="AG603" s="107"/>
      <c r="AH603" s="107"/>
    </row>
    <row r="604" spans="1:34">
      <c r="A604" s="106"/>
      <c r="B604" s="107"/>
      <c r="C604" s="107"/>
      <c r="D604" s="107"/>
      <c r="E604" s="107"/>
      <c r="F604" s="107"/>
      <c r="G604" s="107"/>
      <c r="H604" s="107"/>
      <c r="I604" s="107"/>
      <c r="J604" s="107"/>
      <c r="K604" s="107"/>
      <c r="L604" s="107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  <c r="AA604" s="107"/>
      <c r="AB604" s="107"/>
      <c r="AC604" s="107"/>
      <c r="AD604" s="107"/>
      <c r="AE604" s="107"/>
      <c r="AF604" s="107"/>
      <c r="AG604" s="107"/>
      <c r="AH604" s="107"/>
    </row>
    <row r="605" spans="1:34">
      <c r="A605" s="106"/>
      <c r="B605" s="107"/>
      <c r="C605" s="107"/>
      <c r="D605" s="107"/>
      <c r="E605" s="107"/>
      <c r="F605" s="107"/>
      <c r="G605" s="107"/>
      <c r="H605" s="107"/>
      <c r="I605" s="107"/>
      <c r="J605" s="107"/>
      <c r="K605" s="107"/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  <c r="AA605" s="107"/>
      <c r="AB605" s="107"/>
      <c r="AC605" s="107"/>
      <c r="AD605" s="107"/>
      <c r="AE605" s="107"/>
      <c r="AF605" s="107"/>
      <c r="AG605" s="107"/>
      <c r="AH605" s="107"/>
    </row>
    <row r="606" spans="1:34">
      <c r="A606" s="106"/>
      <c r="B606" s="107"/>
      <c r="C606" s="107"/>
      <c r="D606" s="107"/>
      <c r="E606" s="107"/>
      <c r="F606" s="107"/>
      <c r="G606" s="107"/>
      <c r="H606" s="107"/>
      <c r="I606" s="107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  <c r="AA606" s="107"/>
      <c r="AB606" s="107"/>
      <c r="AC606" s="107"/>
      <c r="AD606" s="107"/>
      <c r="AE606" s="107"/>
      <c r="AF606" s="107"/>
      <c r="AG606" s="107"/>
      <c r="AH606" s="107"/>
    </row>
    <row r="607" spans="1:34">
      <c r="A607" s="106"/>
      <c r="B607" s="107"/>
      <c r="C607" s="107"/>
      <c r="D607" s="107"/>
      <c r="E607" s="107"/>
      <c r="F607" s="107"/>
      <c r="G607" s="107"/>
      <c r="H607" s="107"/>
      <c r="I607" s="107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  <c r="AA607" s="107"/>
      <c r="AB607" s="107"/>
      <c r="AC607" s="107"/>
      <c r="AD607" s="107"/>
      <c r="AE607" s="107"/>
      <c r="AF607" s="107"/>
      <c r="AG607" s="107"/>
      <c r="AH607" s="107"/>
    </row>
    <row r="608" spans="1:34">
      <c r="A608" s="106"/>
      <c r="B608" s="107"/>
      <c r="C608" s="107"/>
      <c r="D608" s="107"/>
      <c r="E608" s="107"/>
      <c r="F608" s="107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  <c r="AA608" s="107"/>
      <c r="AB608" s="107"/>
      <c r="AC608" s="107"/>
      <c r="AD608" s="107"/>
      <c r="AE608" s="107"/>
      <c r="AF608" s="107"/>
      <c r="AG608" s="107"/>
      <c r="AH608" s="107"/>
    </row>
    <row r="609" spans="1:34">
      <c r="A609" s="106"/>
      <c r="B609" s="107"/>
      <c r="C609" s="107"/>
      <c r="D609" s="107"/>
      <c r="E609" s="107"/>
      <c r="F609" s="107"/>
      <c r="G609" s="107"/>
      <c r="H609" s="107"/>
      <c r="I609" s="107"/>
      <c r="J609" s="107"/>
      <c r="K609" s="107"/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  <c r="AA609" s="107"/>
      <c r="AB609" s="107"/>
      <c r="AC609" s="107"/>
      <c r="AD609" s="107"/>
      <c r="AE609" s="107"/>
      <c r="AF609" s="107"/>
      <c r="AG609" s="107"/>
      <c r="AH609" s="107"/>
    </row>
    <row r="610" spans="1:34">
      <c r="A610" s="106"/>
      <c r="B610" s="107"/>
      <c r="C610" s="107"/>
      <c r="D610" s="107"/>
      <c r="E610" s="107"/>
      <c r="F610" s="107"/>
      <c r="G610" s="107"/>
      <c r="H610" s="107"/>
      <c r="I610" s="107"/>
      <c r="J610" s="107"/>
      <c r="K610" s="107"/>
      <c r="L610" s="107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  <c r="AA610" s="107"/>
      <c r="AB610" s="107"/>
      <c r="AC610" s="107"/>
      <c r="AD610" s="107"/>
      <c r="AE610" s="107"/>
      <c r="AF610" s="107"/>
      <c r="AG610" s="107"/>
      <c r="AH610" s="107"/>
    </row>
    <row r="611" spans="1:34">
      <c r="A611" s="106"/>
      <c r="B611" s="107"/>
      <c r="C611" s="107"/>
      <c r="D611" s="107"/>
      <c r="E611" s="107"/>
      <c r="F611" s="107"/>
      <c r="G611" s="107"/>
      <c r="H611" s="107"/>
      <c r="I611" s="107"/>
      <c r="J611" s="107"/>
      <c r="K611" s="107"/>
      <c r="L611" s="107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  <c r="AA611" s="107"/>
      <c r="AB611" s="107"/>
      <c r="AC611" s="107"/>
      <c r="AD611" s="107"/>
      <c r="AE611" s="107"/>
      <c r="AF611" s="107"/>
      <c r="AG611" s="107"/>
      <c r="AH611" s="107"/>
    </row>
    <row r="612" spans="1:34">
      <c r="A612" s="106"/>
      <c r="B612" s="107"/>
      <c r="C612" s="107"/>
      <c r="D612" s="107"/>
      <c r="E612" s="107"/>
      <c r="F612" s="107"/>
      <c r="G612" s="107"/>
      <c r="H612" s="107"/>
      <c r="I612" s="107"/>
      <c r="J612" s="107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  <c r="AA612" s="107"/>
      <c r="AB612" s="107"/>
      <c r="AC612" s="107"/>
      <c r="AD612" s="107"/>
      <c r="AE612" s="107"/>
      <c r="AF612" s="107"/>
      <c r="AG612" s="107"/>
      <c r="AH612" s="107"/>
    </row>
    <row r="613" spans="1:34">
      <c r="A613" s="106"/>
      <c r="B613" s="107"/>
      <c r="C613" s="107"/>
      <c r="D613" s="107"/>
      <c r="E613" s="107"/>
      <c r="F613" s="107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  <c r="AA613" s="107"/>
      <c r="AB613" s="107"/>
      <c r="AC613" s="107"/>
      <c r="AD613" s="107"/>
      <c r="AE613" s="107"/>
      <c r="AF613" s="107"/>
      <c r="AG613" s="107"/>
      <c r="AH613" s="107"/>
    </row>
    <row r="614" spans="1:34">
      <c r="A614" s="106"/>
      <c r="B614" s="107"/>
      <c r="C614" s="107"/>
      <c r="D614" s="107"/>
      <c r="E614" s="107"/>
      <c r="F614" s="107"/>
      <c r="G614" s="107"/>
      <c r="H614" s="107"/>
      <c r="I614" s="107"/>
      <c r="J614" s="107"/>
      <c r="K614" s="107"/>
      <c r="L614" s="107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  <c r="AA614" s="107"/>
      <c r="AB614" s="107"/>
      <c r="AC614" s="107"/>
      <c r="AD614" s="107"/>
      <c r="AE614" s="107"/>
      <c r="AF614" s="107"/>
      <c r="AG614" s="107"/>
      <c r="AH614" s="107"/>
    </row>
    <row r="615" spans="1:34">
      <c r="A615" s="106"/>
      <c r="B615" s="107"/>
      <c r="C615" s="107"/>
      <c r="D615" s="107"/>
      <c r="E615" s="107"/>
      <c r="F615" s="107"/>
      <c r="G615" s="107"/>
      <c r="H615" s="107"/>
      <c r="I615" s="107"/>
      <c r="J615" s="107"/>
      <c r="K615" s="107"/>
      <c r="L615" s="107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  <c r="AA615" s="107"/>
      <c r="AB615" s="107"/>
      <c r="AC615" s="107"/>
      <c r="AD615" s="107"/>
      <c r="AE615" s="107"/>
      <c r="AF615" s="107"/>
      <c r="AG615" s="107"/>
      <c r="AH615" s="107"/>
    </row>
    <row r="616" spans="1:34">
      <c r="A616" s="106"/>
      <c r="B616" s="107"/>
      <c r="C616" s="107"/>
      <c r="D616" s="107"/>
      <c r="E616" s="107"/>
      <c r="F616" s="107"/>
      <c r="G616" s="107"/>
      <c r="H616" s="107"/>
      <c r="I616" s="107"/>
      <c r="J616" s="107"/>
      <c r="K616" s="107"/>
      <c r="L616" s="107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  <c r="AA616" s="107"/>
      <c r="AB616" s="107"/>
      <c r="AC616" s="107"/>
      <c r="AD616" s="107"/>
      <c r="AE616" s="107"/>
      <c r="AF616" s="107"/>
      <c r="AG616" s="107"/>
      <c r="AH616" s="107"/>
    </row>
    <row r="617" spans="1:34">
      <c r="A617" s="106"/>
      <c r="B617" s="107"/>
      <c r="C617" s="107"/>
      <c r="D617" s="107"/>
      <c r="E617" s="107"/>
      <c r="F617" s="107"/>
      <c r="G617" s="107"/>
      <c r="H617" s="107"/>
      <c r="I617" s="107"/>
      <c r="J617" s="107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  <c r="AA617" s="107"/>
      <c r="AB617" s="107"/>
      <c r="AC617" s="107"/>
      <c r="AD617" s="107"/>
      <c r="AE617" s="107"/>
      <c r="AF617" s="107"/>
      <c r="AG617" s="107"/>
      <c r="AH617" s="107"/>
    </row>
    <row r="618" spans="1:34">
      <c r="A618" s="106"/>
      <c r="B618" s="107"/>
      <c r="C618" s="107"/>
      <c r="D618" s="107"/>
      <c r="E618" s="107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  <c r="AA618" s="107"/>
      <c r="AB618" s="107"/>
      <c r="AC618" s="107"/>
      <c r="AD618" s="107"/>
      <c r="AE618" s="107"/>
      <c r="AF618" s="107"/>
      <c r="AG618" s="107"/>
      <c r="AH618" s="107"/>
    </row>
    <row r="619" spans="1:34">
      <c r="A619" s="106"/>
      <c r="B619" s="107"/>
      <c r="C619" s="107"/>
      <c r="D619" s="107"/>
      <c r="E619" s="107"/>
      <c r="F619" s="107"/>
      <c r="G619" s="107"/>
      <c r="H619" s="107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  <c r="AA619" s="107"/>
      <c r="AB619" s="107"/>
      <c r="AC619" s="107"/>
      <c r="AD619" s="107"/>
      <c r="AE619" s="107"/>
      <c r="AF619" s="107"/>
      <c r="AG619" s="107"/>
      <c r="AH619" s="107"/>
    </row>
    <row r="620" spans="1:34">
      <c r="A620" s="106"/>
      <c r="B620" s="107"/>
      <c r="C620" s="107"/>
      <c r="D620" s="107"/>
      <c r="E620" s="107"/>
      <c r="F620" s="107"/>
      <c r="G620" s="107"/>
      <c r="H620" s="107"/>
      <c r="I620" s="107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  <c r="AA620" s="107"/>
      <c r="AB620" s="107"/>
      <c r="AC620" s="107"/>
      <c r="AD620" s="107"/>
      <c r="AE620" s="107"/>
      <c r="AF620" s="107"/>
      <c r="AG620" s="107"/>
      <c r="AH620" s="107"/>
    </row>
    <row r="621" spans="1:34">
      <c r="A621" s="106"/>
      <c r="B621" s="107"/>
      <c r="C621" s="107"/>
      <c r="D621" s="107"/>
      <c r="E621" s="107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  <c r="AA621" s="107"/>
      <c r="AB621" s="107"/>
      <c r="AC621" s="107"/>
      <c r="AD621" s="107"/>
      <c r="AE621" s="107"/>
      <c r="AF621" s="107"/>
      <c r="AG621" s="107"/>
      <c r="AH621" s="107"/>
    </row>
    <row r="622" spans="1:34">
      <c r="A622" s="106"/>
      <c r="B622" s="107"/>
      <c r="C622" s="107"/>
      <c r="D622" s="107"/>
      <c r="E622" s="107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  <c r="AC622" s="107"/>
      <c r="AD622" s="107"/>
      <c r="AE622" s="107"/>
      <c r="AF622" s="107"/>
      <c r="AG622" s="107"/>
      <c r="AH622" s="107"/>
    </row>
    <row r="623" spans="1:34">
      <c r="A623" s="106"/>
      <c r="B623" s="107"/>
      <c r="C623" s="107"/>
      <c r="D623" s="107"/>
      <c r="E623" s="107"/>
      <c r="F623" s="107"/>
      <c r="G623" s="107"/>
      <c r="H623" s="107"/>
      <c r="I623" s="107"/>
      <c r="J623" s="107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  <c r="AA623" s="107"/>
      <c r="AB623" s="107"/>
      <c r="AC623" s="107"/>
      <c r="AD623" s="107"/>
      <c r="AE623" s="107"/>
      <c r="AF623" s="107"/>
      <c r="AG623" s="107"/>
      <c r="AH623" s="107"/>
    </row>
    <row r="624" spans="1:34">
      <c r="A624" s="106"/>
      <c r="B624" s="107"/>
      <c r="C624" s="107"/>
      <c r="D624" s="107"/>
      <c r="E624" s="107"/>
      <c r="F624" s="107"/>
      <c r="G624" s="107"/>
      <c r="H624" s="107"/>
      <c r="I624" s="107"/>
      <c r="J624" s="107"/>
      <c r="K624" s="107"/>
      <c r="L624" s="107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  <c r="AA624" s="107"/>
      <c r="AB624" s="107"/>
      <c r="AC624" s="107"/>
      <c r="AD624" s="107"/>
      <c r="AE624" s="107"/>
      <c r="AF624" s="107"/>
      <c r="AG624" s="107"/>
      <c r="AH624" s="107"/>
    </row>
    <row r="625" spans="1:34">
      <c r="A625" s="106"/>
      <c r="B625" s="107"/>
      <c r="C625" s="107"/>
      <c r="D625" s="107"/>
      <c r="E625" s="107"/>
      <c r="F625" s="107"/>
      <c r="G625" s="107"/>
      <c r="H625" s="107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  <c r="AA625" s="107"/>
      <c r="AB625" s="107"/>
      <c r="AC625" s="107"/>
      <c r="AD625" s="107"/>
      <c r="AE625" s="107"/>
      <c r="AF625" s="107"/>
      <c r="AG625" s="107"/>
      <c r="AH625" s="107"/>
    </row>
    <row r="626" spans="1:34">
      <c r="A626" s="106"/>
      <c r="B626" s="107"/>
      <c r="C626" s="107"/>
      <c r="D626" s="107"/>
      <c r="E626" s="107"/>
      <c r="F626" s="107"/>
      <c r="G626" s="107"/>
      <c r="H626" s="107"/>
      <c r="I626" s="107"/>
      <c r="J626" s="107"/>
      <c r="K626" s="107"/>
      <c r="L626" s="107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  <c r="AA626" s="107"/>
      <c r="AB626" s="107"/>
      <c r="AC626" s="107"/>
      <c r="AD626" s="107"/>
      <c r="AE626" s="107"/>
      <c r="AF626" s="107"/>
      <c r="AG626" s="107"/>
      <c r="AH626" s="107"/>
    </row>
    <row r="627" spans="1:34">
      <c r="A627" s="106"/>
      <c r="B627" s="107"/>
      <c r="C627" s="107"/>
      <c r="D627" s="107"/>
      <c r="E627" s="107"/>
      <c r="F627" s="107"/>
      <c r="G627" s="107"/>
      <c r="H627" s="107"/>
      <c r="I627" s="107"/>
      <c r="J627" s="107"/>
      <c r="K627" s="107"/>
      <c r="L627" s="107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  <c r="AA627" s="107"/>
      <c r="AB627" s="107"/>
      <c r="AC627" s="107"/>
      <c r="AD627" s="107"/>
      <c r="AE627" s="107"/>
      <c r="AF627" s="107"/>
      <c r="AG627" s="107"/>
      <c r="AH627" s="107"/>
    </row>
    <row r="628" spans="1:34">
      <c r="A628" s="106"/>
      <c r="B628" s="107"/>
      <c r="C628" s="107"/>
      <c r="D628" s="107"/>
      <c r="E628" s="107"/>
      <c r="F628" s="107"/>
      <c r="G628" s="107"/>
      <c r="H628" s="107"/>
      <c r="I628" s="107"/>
      <c r="J628" s="107"/>
      <c r="K628" s="107"/>
      <c r="L628" s="107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  <c r="AA628" s="107"/>
      <c r="AB628" s="107"/>
      <c r="AC628" s="107"/>
      <c r="AD628" s="107"/>
      <c r="AE628" s="107"/>
      <c r="AF628" s="107"/>
      <c r="AG628" s="107"/>
      <c r="AH628" s="107"/>
    </row>
    <row r="629" spans="1:34">
      <c r="A629" s="106"/>
      <c r="B629" s="107"/>
      <c r="C629" s="107"/>
      <c r="D629" s="107"/>
      <c r="E629" s="107"/>
      <c r="F629" s="107"/>
      <c r="G629" s="107"/>
      <c r="H629" s="107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  <c r="AA629" s="107"/>
      <c r="AB629" s="107"/>
      <c r="AC629" s="107"/>
      <c r="AD629" s="107"/>
      <c r="AE629" s="107"/>
      <c r="AF629" s="107"/>
      <c r="AG629" s="107"/>
      <c r="AH629" s="107"/>
    </row>
    <row r="630" spans="1:34">
      <c r="A630" s="106"/>
      <c r="B630" s="107"/>
      <c r="C630" s="107"/>
      <c r="D630" s="107"/>
      <c r="E630" s="107"/>
      <c r="F630" s="107"/>
      <c r="G630" s="107"/>
      <c r="H630" s="107"/>
      <c r="I630" s="107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  <c r="AA630" s="107"/>
      <c r="AB630" s="107"/>
      <c r="AC630" s="107"/>
      <c r="AD630" s="107"/>
      <c r="AE630" s="107"/>
      <c r="AF630" s="107"/>
      <c r="AG630" s="107"/>
      <c r="AH630" s="107"/>
    </row>
    <row r="631" spans="1:34">
      <c r="A631" s="106"/>
      <c r="B631" s="107"/>
      <c r="C631" s="107"/>
      <c r="D631" s="107"/>
      <c r="E631" s="107"/>
      <c r="F631" s="107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  <c r="AA631" s="107"/>
      <c r="AB631" s="107"/>
      <c r="AC631" s="107"/>
      <c r="AD631" s="107"/>
      <c r="AE631" s="107"/>
      <c r="AF631" s="107"/>
      <c r="AG631" s="107"/>
      <c r="AH631" s="107"/>
    </row>
    <row r="632" spans="1:34">
      <c r="A632" s="106"/>
      <c r="B632" s="107"/>
      <c r="C632" s="107"/>
      <c r="D632" s="107"/>
      <c r="E632" s="107"/>
      <c r="F632" s="107"/>
      <c r="G632" s="107"/>
      <c r="H632" s="107"/>
      <c r="I632" s="107"/>
      <c r="J632" s="107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  <c r="AA632" s="107"/>
      <c r="AB632" s="107"/>
      <c r="AC632" s="107"/>
      <c r="AD632" s="107"/>
      <c r="AE632" s="107"/>
      <c r="AF632" s="107"/>
      <c r="AG632" s="107"/>
      <c r="AH632" s="107"/>
    </row>
    <row r="633" spans="1:34">
      <c r="A633" s="106"/>
      <c r="B633" s="107"/>
      <c r="C633" s="107"/>
      <c r="D633" s="107"/>
      <c r="E633" s="107"/>
      <c r="F633" s="107"/>
      <c r="G633" s="107"/>
      <c r="H633" s="107"/>
      <c r="I633" s="107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  <c r="AA633" s="107"/>
      <c r="AB633" s="107"/>
      <c r="AC633" s="107"/>
      <c r="AD633" s="107"/>
      <c r="AE633" s="107"/>
      <c r="AF633" s="107"/>
      <c r="AG633" s="107"/>
      <c r="AH633" s="107"/>
    </row>
    <row r="634" spans="1:34">
      <c r="A634" s="106"/>
      <c r="B634" s="107"/>
      <c r="C634" s="107"/>
      <c r="D634" s="107"/>
      <c r="E634" s="107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  <c r="AA634" s="107"/>
      <c r="AB634" s="107"/>
      <c r="AC634" s="107"/>
      <c r="AD634" s="107"/>
      <c r="AE634" s="107"/>
      <c r="AF634" s="107"/>
      <c r="AG634" s="107"/>
      <c r="AH634" s="107"/>
    </row>
    <row r="635" spans="1:34">
      <c r="A635" s="106"/>
      <c r="B635" s="107"/>
      <c r="C635" s="107"/>
      <c r="D635" s="107"/>
      <c r="E635" s="107"/>
      <c r="F635" s="107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  <c r="AA635" s="107"/>
      <c r="AB635" s="107"/>
      <c r="AC635" s="107"/>
      <c r="AD635" s="107"/>
      <c r="AE635" s="107"/>
      <c r="AF635" s="107"/>
      <c r="AG635" s="107"/>
      <c r="AH635" s="107"/>
    </row>
    <row r="636" spans="1:34">
      <c r="A636" s="106"/>
      <c r="B636" s="107"/>
      <c r="C636" s="107"/>
      <c r="D636" s="107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  <c r="AA636" s="107"/>
      <c r="AB636" s="107"/>
      <c r="AC636" s="107"/>
      <c r="AD636" s="107"/>
      <c r="AE636" s="107"/>
      <c r="AF636" s="107"/>
      <c r="AG636" s="107"/>
      <c r="AH636" s="107"/>
    </row>
    <row r="637" spans="1:34">
      <c r="A637" s="106"/>
      <c r="B637" s="107"/>
      <c r="C637" s="107"/>
      <c r="D637" s="107"/>
      <c r="E637" s="107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  <c r="AA637" s="107"/>
      <c r="AB637" s="107"/>
      <c r="AC637" s="107"/>
      <c r="AD637" s="107"/>
      <c r="AE637" s="107"/>
      <c r="AF637" s="107"/>
      <c r="AG637" s="107"/>
      <c r="AH637" s="107"/>
    </row>
    <row r="638" spans="1:34">
      <c r="A638" s="106"/>
      <c r="B638" s="107"/>
      <c r="C638" s="107"/>
      <c r="D638" s="107"/>
      <c r="E638" s="107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  <c r="AA638" s="107"/>
      <c r="AB638" s="107"/>
      <c r="AC638" s="107"/>
      <c r="AD638" s="107"/>
      <c r="AE638" s="107"/>
      <c r="AF638" s="107"/>
      <c r="AG638" s="107"/>
      <c r="AH638" s="107"/>
    </row>
    <row r="639" spans="1:34">
      <c r="A639" s="106"/>
      <c r="B639" s="107"/>
      <c r="C639" s="107"/>
      <c r="D639" s="107"/>
      <c r="E639" s="107"/>
      <c r="F639" s="107"/>
      <c r="G639" s="107"/>
      <c r="H639" s="107"/>
      <c r="I639" s="107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  <c r="AA639" s="107"/>
      <c r="AB639" s="107"/>
      <c r="AC639" s="107"/>
      <c r="AD639" s="107"/>
      <c r="AE639" s="107"/>
      <c r="AF639" s="107"/>
      <c r="AG639" s="107"/>
      <c r="AH639" s="107"/>
    </row>
    <row r="640" spans="1:34">
      <c r="A640" s="106"/>
      <c r="B640" s="107"/>
      <c r="C640" s="107"/>
      <c r="D640" s="107"/>
      <c r="E640" s="107"/>
      <c r="F640" s="107"/>
      <c r="G640" s="107"/>
      <c r="H640" s="107"/>
      <c r="I640" s="107"/>
      <c r="J640" s="107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  <c r="AA640" s="107"/>
      <c r="AB640" s="107"/>
      <c r="AC640" s="107"/>
      <c r="AD640" s="107"/>
      <c r="AE640" s="107"/>
      <c r="AF640" s="107"/>
      <c r="AG640" s="107"/>
      <c r="AH640" s="107"/>
    </row>
    <row r="641" spans="1:34">
      <c r="A641" s="106"/>
      <c r="B641" s="107"/>
      <c r="C641" s="107"/>
      <c r="D641" s="107"/>
      <c r="E641" s="107"/>
      <c r="F641" s="107"/>
      <c r="G641" s="107"/>
      <c r="H641" s="107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  <c r="AA641" s="107"/>
      <c r="AB641" s="107"/>
      <c r="AC641" s="107"/>
      <c r="AD641" s="107"/>
      <c r="AE641" s="107"/>
      <c r="AF641" s="107"/>
      <c r="AG641" s="107"/>
      <c r="AH641" s="107"/>
    </row>
    <row r="642" spans="1:34">
      <c r="A642" s="106"/>
      <c r="B642" s="107"/>
      <c r="C642" s="107"/>
      <c r="D642" s="107"/>
      <c r="E642" s="107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  <c r="AA642" s="107"/>
      <c r="AB642" s="107"/>
      <c r="AC642" s="107"/>
      <c r="AD642" s="107"/>
      <c r="AE642" s="107"/>
      <c r="AF642" s="107"/>
      <c r="AG642" s="107"/>
      <c r="AH642" s="107"/>
    </row>
    <row r="643" spans="1:34">
      <c r="A643" s="106"/>
      <c r="B643" s="107"/>
      <c r="C643" s="107"/>
      <c r="D643" s="107"/>
      <c r="E643" s="107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  <c r="AA643" s="107"/>
      <c r="AB643" s="107"/>
      <c r="AC643" s="107"/>
      <c r="AD643" s="107"/>
      <c r="AE643" s="107"/>
      <c r="AF643" s="107"/>
      <c r="AG643" s="107"/>
      <c r="AH643" s="107"/>
    </row>
    <row r="644" spans="1:34">
      <c r="A644" s="106"/>
      <c r="B644" s="107"/>
      <c r="C644" s="107"/>
      <c r="D644" s="107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  <c r="AC644" s="107"/>
      <c r="AD644" s="107"/>
      <c r="AE644" s="107"/>
      <c r="AF644" s="107"/>
      <c r="AG644" s="107"/>
      <c r="AH644" s="107"/>
    </row>
    <row r="645" spans="1:34">
      <c r="A645" s="106"/>
      <c r="B645" s="107"/>
      <c r="C645" s="107"/>
      <c r="D645" s="107"/>
      <c r="E645" s="107"/>
      <c r="F645" s="107"/>
      <c r="G645" s="107"/>
      <c r="H645" s="107"/>
      <c r="I645" s="107"/>
      <c r="J645" s="107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  <c r="AA645" s="107"/>
      <c r="AB645" s="107"/>
      <c r="AC645" s="107"/>
      <c r="AD645" s="107"/>
      <c r="AE645" s="107"/>
      <c r="AF645" s="107"/>
      <c r="AG645" s="107"/>
      <c r="AH645" s="107"/>
    </row>
    <row r="646" spans="1:34">
      <c r="A646" s="106"/>
      <c r="B646" s="107"/>
      <c r="C646" s="107"/>
      <c r="D646" s="107"/>
      <c r="E646" s="107"/>
      <c r="F646" s="107"/>
      <c r="G646" s="107"/>
      <c r="H646" s="107"/>
      <c r="I646" s="107"/>
      <c r="J646" s="107"/>
      <c r="K646" s="107"/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  <c r="AA646" s="107"/>
      <c r="AB646" s="107"/>
      <c r="AC646" s="107"/>
      <c r="AD646" s="107"/>
      <c r="AE646" s="107"/>
      <c r="AF646" s="107"/>
      <c r="AG646" s="107"/>
      <c r="AH646" s="107"/>
    </row>
    <row r="647" spans="1:34">
      <c r="A647" s="106"/>
      <c r="B647" s="107"/>
      <c r="C647" s="107"/>
      <c r="D647" s="107"/>
      <c r="E647" s="107"/>
      <c r="F647" s="107"/>
      <c r="G647" s="107"/>
      <c r="H647" s="107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  <c r="AA647" s="107"/>
      <c r="AB647" s="107"/>
      <c r="AC647" s="107"/>
      <c r="AD647" s="107"/>
      <c r="AE647" s="107"/>
      <c r="AF647" s="107"/>
      <c r="AG647" s="107"/>
      <c r="AH647" s="107"/>
    </row>
    <row r="648" spans="1:34">
      <c r="A648" s="106"/>
      <c r="B648" s="107"/>
      <c r="C648" s="107"/>
      <c r="D648" s="107"/>
      <c r="E648" s="107"/>
      <c r="F648" s="107"/>
      <c r="G648" s="107"/>
      <c r="H648" s="107"/>
      <c r="I648" s="107"/>
      <c r="J648" s="107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  <c r="AA648" s="107"/>
      <c r="AB648" s="107"/>
      <c r="AC648" s="107"/>
      <c r="AD648" s="107"/>
      <c r="AE648" s="107"/>
      <c r="AF648" s="107"/>
      <c r="AG648" s="107"/>
      <c r="AH648" s="107"/>
    </row>
    <row r="649" spans="1:34">
      <c r="A649" s="106"/>
      <c r="B649" s="107"/>
      <c r="C649" s="107"/>
      <c r="D649" s="107"/>
      <c r="E649" s="107"/>
      <c r="F649" s="107"/>
      <c r="G649" s="107"/>
      <c r="H649" s="107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  <c r="AA649" s="107"/>
      <c r="AB649" s="107"/>
      <c r="AC649" s="107"/>
      <c r="AD649" s="107"/>
      <c r="AE649" s="107"/>
      <c r="AF649" s="107"/>
      <c r="AG649" s="107"/>
      <c r="AH649" s="107"/>
    </row>
    <row r="650" spans="1:34">
      <c r="A650" s="106"/>
      <c r="B650" s="107"/>
      <c r="C650" s="107"/>
      <c r="D650" s="107"/>
      <c r="E650" s="107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  <c r="AA650" s="107"/>
      <c r="AB650" s="107"/>
      <c r="AC650" s="107"/>
      <c r="AD650" s="107"/>
      <c r="AE650" s="107"/>
      <c r="AF650" s="107"/>
      <c r="AG650" s="107"/>
      <c r="AH650" s="107"/>
    </row>
    <row r="651" spans="1:34">
      <c r="A651" s="106"/>
      <c r="B651" s="107"/>
      <c r="C651" s="107"/>
      <c r="D651" s="107"/>
      <c r="E651" s="107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  <c r="AA651" s="107"/>
      <c r="AB651" s="107"/>
      <c r="AC651" s="107"/>
      <c r="AD651" s="107"/>
      <c r="AE651" s="107"/>
      <c r="AF651" s="107"/>
      <c r="AG651" s="107"/>
      <c r="AH651" s="107"/>
    </row>
    <row r="652" spans="1:34">
      <c r="A652" s="106"/>
      <c r="B652" s="107"/>
      <c r="C652" s="107"/>
      <c r="D652" s="107"/>
      <c r="E652" s="107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  <c r="AA652" s="107"/>
      <c r="AB652" s="107"/>
      <c r="AC652" s="107"/>
      <c r="AD652" s="107"/>
      <c r="AE652" s="107"/>
      <c r="AF652" s="107"/>
      <c r="AG652" s="107"/>
      <c r="AH652" s="107"/>
    </row>
    <row r="653" spans="1:34">
      <c r="A653" s="106"/>
      <c r="B653" s="107"/>
      <c r="C653" s="107"/>
      <c r="D653" s="107"/>
      <c r="E653" s="107"/>
      <c r="F653" s="107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  <c r="AA653" s="107"/>
      <c r="AB653" s="107"/>
      <c r="AC653" s="107"/>
      <c r="AD653" s="107"/>
      <c r="AE653" s="107"/>
      <c r="AF653" s="107"/>
      <c r="AG653" s="107"/>
      <c r="AH653" s="107"/>
    </row>
    <row r="654" spans="1:34">
      <c r="A654" s="106"/>
      <c r="B654" s="107"/>
      <c r="C654" s="107"/>
      <c r="D654" s="107"/>
      <c r="E654" s="107"/>
      <c r="F654" s="107"/>
      <c r="G654" s="107"/>
      <c r="H654" s="107"/>
      <c r="I654" s="107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  <c r="AA654" s="107"/>
      <c r="AB654" s="107"/>
      <c r="AC654" s="107"/>
      <c r="AD654" s="107"/>
      <c r="AE654" s="107"/>
      <c r="AF654" s="107"/>
      <c r="AG654" s="107"/>
      <c r="AH654" s="107"/>
    </row>
    <row r="655" spans="1:34">
      <c r="A655" s="106"/>
      <c r="B655" s="107"/>
      <c r="C655" s="107"/>
      <c r="D655" s="107"/>
      <c r="E655" s="107"/>
      <c r="F655" s="107"/>
      <c r="G655" s="107"/>
      <c r="H655" s="107"/>
      <c r="I655" s="107"/>
      <c r="J655" s="107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  <c r="AA655" s="107"/>
      <c r="AB655" s="107"/>
      <c r="AC655" s="107"/>
      <c r="AD655" s="107"/>
      <c r="AE655" s="107"/>
      <c r="AF655" s="107"/>
      <c r="AG655" s="107"/>
      <c r="AH655" s="107"/>
    </row>
    <row r="656" spans="1:34">
      <c r="A656" s="106"/>
      <c r="B656" s="107"/>
      <c r="C656" s="107"/>
      <c r="D656" s="107"/>
      <c r="E656" s="107"/>
      <c r="F656" s="107"/>
      <c r="G656" s="107"/>
      <c r="H656" s="107"/>
      <c r="I656" s="107"/>
      <c r="J656" s="107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  <c r="AA656" s="107"/>
      <c r="AB656" s="107"/>
      <c r="AC656" s="107"/>
      <c r="AD656" s="107"/>
      <c r="AE656" s="107"/>
      <c r="AF656" s="107"/>
      <c r="AG656" s="107"/>
      <c r="AH656" s="107"/>
    </row>
    <row r="657" spans="1:34">
      <c r="A657" s="106"/>
      <c r="B657" s="107"/>
      <c r="C657" s="107"/>
      <c r="D657" s="107"/>
      <c r="E657" s="107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  <c r="AA657" s="107"/>
      <c r="AB657" s="107"/>
      <c r="AC657" s="107"/>
      <c r="AD657" s="107"/>
      <c r="AE657" s="107"/>
      <c r="AF657" s="107"/>
      <c r="AG657" s="107"/>
      <c r="AH657" s="107"/>
    </row>
    <row r="658" spans="1:34">
      <c r="A658" s="106"/>
      <c r="B658" s="107"/>
      <c r="C658" s="107"/>
      <c r="D658" s="107"/>
      <c r="E658" s="107"/>
      <c r="F658" s="107"/>
      <c r="G658" s="107"/>
      <c r="H658" s="107"/>
      <c r="I658" s="107"/>
      <c r="J658" s="107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  <c r="AA658" s="107"/>
      <c r="AB658" s="107"/>
      <c r="AC658" s="107"/>
      <c r="AD658" s="107"/>
      <c r="AE658" s="107"/>
      <c r="AF658" s="107"/>
      <c r="AG658" s="107"/>
      <c r="AH658" s="107"/>
    </row>
    <row r="659" spans="1:34">
      <c r="A659" s="106"/>
      <c r="B659" s="107"/>
      <c r="C659" s="107"/>
      <c r="D659" s="107"/>
      <c r="E659" s="107"/>
      <c r="F659" s="107"/>
      <c r="G659" s="107"/>
      <c r="H659" s="107"/>
      <c r="I659" s="107"/>
      <c r="J659" s="107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  <c r="AA659" s="107"/>
      <c r="AB659" s="107"/>
      <c r="AC659" s="107"/>
      <c r="AD659" s="107"/>
      <c r="AE659" s="107"/>
      <c r="AF659" s="107"/>
      <c r="AG659" s="107"/>
      <c r="AH659" s="107"/>
    </row>
    <row r="660" spans="1:34">
      <c r="A660" s="106"/>
      <c r="B660" s="107"/>
      <c r="C660" s="107"/>
      <c r="D660" s="107"/>
      <c r="E660" s="107"/>
      <c r="F660" s="107"/>
      <c r="G660" s="107"/>
      <c r="H660" s="107"/>
      <c r="I660" s="107"/>
      <c r="J660" s="107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  <c r="AA660" s="107"/>
      <c r="AB660" s="107"/>
      <c r="AC660" s="107"/>
      <c r="AD660" s="107"/>
      <c r="AE660" s="107"/>
      <c r="AF660" s="107"/>
      <c r="AG660" s="107"/>
      <c r="AH660" s="107"/>
    </row>
    <row r="661" spans="1:34">
      <c r="A661" s="106"/>
      <c r="B661" s="107"/>
      <c r="C661" s="107"/>
      <c r="D661" s="107"/>
      <c r="E661" s="107"/>
      <c r="F661" s="107"/>
      <c r="G661" s="107"/>
      <c r="H661" s="107"/>
      <c r="I661" s="107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  <c r="AA661" s="107"/>
      <c r="AB661" s="107"/>
      <c r="AC661" s="107"/>
      <c r="AD661" s="107"/>
      <c r="AE661" s="107"/>
      <c r="AF661" s="107"/>
      <c r="AG661" s="107"/>
      <c r="AH661" s="107"/>
    </row>
    <row r="662" spans="1:34">
      <c r="A662" s="106"/>
      <c r="B662" s="107"/>
      <c r="C662" s="107"/>
      <c r="D662" s="107"/>
      <c r="E662" s="107"/>
      <c r="F662" s="107"/>
      <c r="G662" s="107"/>
      <c r="H662" s="107"/>
      <c r="I662" s="107"/>
      <c r="J662" s="107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  <c r="AA662" s="107"/>
      <c r="AB662" s="107"/>
      <c r="AC662" s="107"/>
      <c r="AD662" s="107"/>
      <c r="AE662" s="107"/>
      <c r="AF662" s="107"/>
      <c r="AG662" s="107"/>
      <c r="AH662" s="107"/>
    </row>
    <row r="663" spans="1:34">
      <c r="A663" s="106"/>
      <c r="B663" s="107"/>
      <c r="C663" s="107"/>
      <c r="D663" s="107"/>
      <c r="E663" s="107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  <c r="AA663" s="107"/>
      <c r="AB663" s="107"/>
      <c r="AC663" s="107"/>
      <c r="AD663" s="107"/>
      <c r="AE663" s="107"/>
      <c r="AF663" s="107"/>
      <c r="AG663" s="107"/>
      <c r="AH663" s="107"/>
    </row>
    <row r="664" spans="1:34">
      <c r="A664" s="106"/>
      <c r="B664" s="107"/>
      <c r="C664" s="107"/>
      <c r="D664" s="107"/>
      <c r="E664" s="107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  <c r="AA664" s="107"/>
      <c r="AB664" s="107"/>
      <c r="AC664" s="107"/>
      <c r="AD664" s="107"/>
      <c r="AE664" s="107"/>
      <c r="AF664" s="107"/>
      <c r="AG664" s="107"/>
      <c r="AH664" s="107"/>
    </row>
    <row r="665" spans="1:34">
      <c r="A665" s="106"/>
      <c r="B665" s="107"/>
      <c r="C665" s="107"/>
      <c r="D665" s="107"/>
      <c r="E665" s="107"/>
      <c r="F665" s="107"/>
      <c r="G665" s="107"/>
      <c r="H665" s="107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  <c r="AA665" s="107"/>
      <c r="AB665" s="107"/>
      <c r="AC665" s="107"/>
      <c r="AD665" s="107"/>
      <c r="AE665" s="107"/>
      <c r="AF665" s="107"/>
      <c r="AG665" s="107"/>
      <c r="AH665" s="107"/>
    </row>
    <row r="666" spans="1:34">
      <c r="A666" s="106"/>
      <c r="B666" s="107"/>
      <c r="C666" s="107"/>
      <c r="D666" s="107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  <c r="AD666" s="107"/>
      <c r="AE666" s="107"/>
      <c r="AF666" s="107"/>
      <c r="AG666" s="107"/>
      <c r="AH666" s="107"/>
    </row>
    <row r="667" spans="1:34">
      <c r="A667" s="106"/>
      <c r="B667" s="107"/>
      <c r="C667" s="107"/>
      <c r="D667" s="107"/>
      <c r="E667" s="107"/>
      <c r="F667" s="107"/>
      <c r="G667" s="107"/>
      <c r="H667" s="107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  <c r="AA667" s="107"/>
      <c r="AB667" s="107"/>
      <c r="AC667" s="107"/>
      <c r="AD667" s="107"/>
      <c r="AE667" s="107"/>
      <c r="AF667" s="107"/>
      <c r="AG667" s="107"/>
      <c r="AH667" s="107"/>
    </row>
    <row r="668" spans="1:34">
      <c r="A668" s="106"/>
      <c r="B668" s="107"/>
      <c r="C668" s="107"/>
      <c r="D668" s="107"/>
      <c r="E668" s="107"/>
      <c r="F668" s="107"/>
      <c r="G668" s="107"/>
      <c r="H668" s="107"/>
      <c r="I668" s="107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  <c r="AA668" s="107"/>
      <c r="AB668" s="107"/>
      <c r="AC668" s="107"/>
      <c r="AD668" s="107"/>
      <c r="AE668" s="107"/>
      <c r="AF668" s="107"/>
      <c r="AG668" s="107"/>
      <c r="AH668" s="107"/>
    </row>
    <row r="669" spans="1:34">
      <c r="A669" s="106"/>
      <c r="B669" s="107"/>
      <c r="C669" s="107"/>
      <c r="D669" s="107"/>
      <c r="E669" s="107"/>
      <c r="F669" s="107"/>
      <c r="G669" s="107"/>
      <c r="H669" s="107"/>
      <c r="I669" s="107"/>
      <c r="J669" s="107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  <c r="AA669" s="107"/>
      <c r="AB669" s="107"/>
      <c r="AC669" s="107"/>
      <c r="AD669" s="107"/>
      <c r="AE669" s="107"/>
      <c r="AF669" s="107"/>
      <c r="AG669" s="107"/>
      <c r="AH669" s="107"/>
    </row>
    <row r="670" spans="1:34">
      <c r="A670" s="106"/>
      <c r="B670" s="107"/>
      <c r="C670" s="107"/>
      <c r="D670" s="107"/>
      <c r="E670" s="107"/>
      <c r="F670" s="107"/>
      <c r="G670" s="107"/>
      <c r="H670" s="107"/>
      <c r="I670" s="107"/>
      <c r="J670" s="107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  <c r="AA670" s="107"/>
      <c r="AB670" s="107"/>
      <c r="AC670" s="107"/>
      <c r="AD670" s="107"/>
      <c r="AE670" s="107"/>
      <c r="AF670" s="107"/>
      <c r="AG670" s="107"/>
      <c r="AH670" s="107"/>
    </row>
    <row r="671" spans="1:34">
      <c r="A671" s="106"/>
      <c r="B671" s="107"/>
      <c r="C671" s="107"/>
      <c r="D671" s="107"/>
      <c r="E671" s="107"/>
      <c r="F671" s="107"/>
      <c r="G671" s="107"/>
      <c r="H671" s="107"/>
      <c r="I671" s="107"/>
      <c r="J671" s="107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  <c r="AA671" s="107"/>
      <c r="AB671" s="107"/>
      <c r="AC671" s="107"/>
      <c r="AD671" s="107"/>
      <c r="AE671" s="107"/>
      <c r="AF671" s="107"/>
      <c r="AG671" s="107"/>
      <c r="AH671" s="107"/>
    </row>
    <row r="672" spans="1:34">
      <c r="A672" s="106"/>
      <c r="B672" s="107"/>
      <c r="C672" s="107"/>
      <c r="D672" s="107"/>
      <c r="E672" s="107"/>
      <c r="F672" s="107"/>
      <c r="G672" s="107"/>
      <c r="H672" s="107"/>
      <c r="I672" s="107"/>
      <c r="J672" s="107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  <c r="AA672" s="107"/>
      <c r="AB672" s="107"/>
      <c r="AC672" s="107"/>
      <c r="AD672" s="107"/>
      <c r="AE672" s="107"/>
      <c r="AF672" s="107"/>
      <c r="AG672" s="107"/>
      <c r="AH672" s="107"/>
    </row>
    <row r="673" spans="1:34">
      <c r="A673" s="106"/>
      <c r="B673" s="107"/>
      <c r="C673" s="107"/>
      <c r="D673" s="107"/>
      <c r="E673" s="107"/>
      <c r="F673" s="107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  <c r="AA673" s="107"/>
      <c r="AB673" s="107"/>
      <c r="AC673" s="107"/>
      <c r="AD673" s="107"/>
      <c r="AE673" s="107"/>
      <c r="AF673" s="107"/>
      <c r="AG673" s="107"/>
      <c r="AH673" s="107"/>
    </row>
    <row r="674" spans="1:34">
      <c r="A674" s="106"/>
      <c r="B674" s="107"/>
      <c r="C674" s="107"/>
      <c r="D674" s="107"/>
      <c r="E674" s="107"/>
      <c r="F674" s="107"/>
      <c r="G674" s="107"/>
      <c r="H674" s="107"/>
      <c r="I674" s="107"/>
      <c r="J674" s="107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  <c r="AA674" s="107"/>
      <c r="AB674" s="107"/>
      <c r="AC674" s="107"/>
      <c r="AD674" s="107"/>
      <c r="AE674" s="107"/>
      <c r="AF674" s="107"/>
      <c r="AG674" s="107"/>
      <c r="AH674" s="107"/>
    </row>
    <row r="675" spans="1:34">
      <c r="A675" s="106"/>
      <c r="B675" s="107"/>
      <c r="C675" s="107"/>
      <c r="D675" s="107"/>
      <c r="E675" s="107"/>
      <c r="F675" s="107"/>
      <c r="G675" s="107"/>
      <c r="H675" s="107"/>
      <c r="I675" s="107"/>
      <c r="J675" s="107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  <c r="Z675" s="107"/>
      <c r="AA675" s="107"/>
      <c r="AB675" s="107"/>
      <c r="AC675" s="107"/>
      <c r="AD675" s="107"/>
      <c r="AE675" s="107"/>
      <c r="AF675" s="107"/>
      <c r="AG675" s="107"/>
      <c r="AH675" s="107"/>
    </row>
    <row r="676" spans="1:34">
      <c r="A676" s="106"/>
      <c r="B676" s="107"/>
      <c r="C676" s="107"/>
      <c r="D676" s="107"/>
      <c r="E676" s="107"/>
      <c r="F676" s="107"/>
      <c r="G676" s="107"/>
      <c r="H676" s="107"/>
      <c r="I676" s="107"/>
      <c r="J676" s="107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  <c r="AA676" s="107"/>
      <c r="AB676" s="107"/>
      <c r="AC676" s="107"/>
      <c r="AD676" s="107"/>
      <c r="AE676" s="107"/>
      <c r="AF676" s="107"/>
      <c r="AG676" s="107"/>
      <c r="AH676" s="107"/>
    </row>
    <row r="677" spans="1:34">
      <c r="A677" s="106"/>
      <c r="B677" s="107"/>
      <c r="C677" s="107"/>
      <c r="D677" s="107"/>
      <c r="E677" s="107"/>
      <c r="F677" s="107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  <c r="AA677" s="107"/>
      <c r="AB677" s="107"/>
      <c r="AC677" s="107"/>
      <c r="AD677" s="107"/>
      <c r="AE677" s="107"/>
      <c r="AF677" s="107"/>
      <c r="AG677" s="107"/>
      <c r="AH677" s="107"/>
    </row>
    <row r="678" spans="1:34">
      <c r="A678" s="106"/>
      <c r="B678" s="107"/>
      <c r="C678" s="107"/>
      <c r="D678" s="107"/>
      <c r="E678" s="107"/>
      <c r="F678" s="107"/>
      <c r="G678" s="107"/>
      <c r="H678" s="107"/>
      <c r="I678" s="107"/>
      <c r="J678" s="107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  <c r="AA678" s="107"/>
      <c r="AB678" s="107"/>
      <c r="AC678" s="107"/>
      <c r="AD678" s="107"/>
      <c r="AE678" s="107"/>
      <c r="AF678" s="107"/>
      <c r="AG678" s="107"/>
      <c r="AH678" s="107"/>
    </row>
    <row r="679" spans="1:34">
      <c r="A679" s="106"/>
      <c r="B679" s="107"/>
      <c r="C679" s="107"/>
      <c r="D679" s="107"/>
      <c r="E679" s="107"/>
      <c r="F679" s="107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  <c r="AA679" s="107"/>
      <c r="AB679" s="107"/>
      <c r="AC679" s="107"/>
      <c r="AD679" s="107"/>
      <c r="AE679" s="107"/>
      <c r="AF679" s="107"/>
      <c r="AG679" s="107"/>
      <c r="AH679" s="107"/>
    </row>
    <row r="680" spans="1:34">
      <c r="A680" s="106"/>
      <c r="B680" s="107"/>
      <c r="C680" s="107"/>
      <c r="D680" s="107"/>
      <c r="E680" s="107"/>
      <c r="F680" s="107"/>
      <c r="G680" s="107"/>
      <c r="H680" s="107"/>
      <c r="I680" s="107"/>
      <c r="J680" s="107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  <c r="AA680" s="107"/>
      <c r="AB680" s="107"/>
      <c r="AC680" s="107"/>
      <c r="AD680" s="107"/>
      <c r="AE680" s="107"/>
      <c r="AF680" s="107"/>
      <c r="AG680" s="107"/>
      <c r="AH680" s="107"/>
    </row>
    <row r="681" spans="1:34">
      <c r="A681" s="106"/>
      <c r="B681" s="107"/>
      <c r="C681" s="107"/>
      <c r="D681" s="107"/>
      <c r="E681" s="107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  <c r="AA681" s="107"/>
      <c r="AB681" s="107"/>
      <c r="AC681" s="107"/>
      <c r="AD681" s="107"/>
      <c r="AE681" s="107"/>
      <c r="AF681" s="107"/>
      <c r="AG681" s="107"/>
      <c r="AH681" s="107"/>
    </row>
    <row r="682" spans="1:34">
      <c r="A682" s="106"/>
      <c r="B682" s="107"/>
      <c r="C682" s="107"/>
      <c r="D682" s="107"/>
      <c r="E682" s="107"/>
      <c r="F682" s="107"/>
      <c r="G682" s="107"/>
      <c r="H682" s="107"/>
      <c r="I682" s="107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  <c r="AA682" s="107"/>
      <c r="AB682" s="107"/>
      <c r="AC682" s="107"/>
      <c r="AD682" s="107"/>
      <c r="AE682" s="107"/>
      <c r="AF682" s="107"/>
      <c r="AG682" s="107"/>
      <c r="AH682" s="107"/>
    </row>
    <row r="683" spans="1:34">
      <c r="A683" s="106"/>
      <c r="B683" s="107"/>
      <c r="C683" s="107"/>
      <c r="D683" s="107"/>
      <c r="E683" s="107"/>
      <c r="F683" s="107"/>
      <c r="G683" s="107"/>
      <c r="H683" s="107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  <c r="AA683" s="107"/>
      <c r="AB683" s="107"/>
      <c r="AC683" s="107"/>
      <c r="AD683" s="107"/>
      <c r="AE683" s="107"/>
      <c r="AF683" s="107"/>
      <c r="AG683" s="107"/>
      <c r="AH683" s="107"/>
    </row>
    <row r="684" spans="1:34">
      <c r="A684" s="106"/>
      <c r="B684" s="107"/>
      <c r="C684" s="107"/>
      <c r="D684" s="107"/>
      <c r="E684" s="107"/>
      <c r="F684" s="107"/>
      <c r="G684" s="107"/>
      <c r="H684" s="107"/>
      <c r="I684" s="107"/>
      <c r="J684" s="107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  <c r="Z684" s="107"/>
      <c r="AA684" s="107"/>
      <c r="AB684" s="107"/>
      <c r="AC684" s="107"/>
      <c r="AD684" s="107"/>
      <c r="AE684" s="107"/>
      <c r="AF684" s="107"/>
      <c r="AG684" s="107"/>
      <c r="AH684" s="107"/>
    </row>
    <row r="685" spans="1:34">
      <c r="A685" s="106"/>
      <c r="B685" s="107"/>
      <c r="C685" s="107"/>
      <c r="D685" s="107"/>
      <c r="E685" s="107"/>
      <c r="F685" s="107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  <c r="AA685" s="107"/>
      <c r="AB685" s="107"/>
      <c r="AC685" s="107"/>
      <c r="AD685" s="107"/>
      <c r="AE685" s="107"/>
      <c r="AF685" s="107"/>
      <c r="AG685" s="107"/>
      <c r="AH685" s="107"/>
    </row>
    <row r="686" spans="1:34">
      <c r="A686" s="106"/>
      <c r="B686" s="107"/>
      <c r="C686" s="107"/>
      <c r="D686" s="107"/>
      <c r="E686" s="107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  <c r="AA686" s="107"/>
      <c r="AB686" s="107"/>
      <c r="AC686" s="107"/>
      <c r="AD686" s="107"/>
      <c r="AE686" s="107"/>
      <c r="AF686" s="107"/>
      <c r="AG686" s="107"/>
      <c r="AH686" s="107"/>
    </row>
    <row r="687" spans="1:34">
      <c r="A687" s="106"/>
      <c r="B687" s="107"/>
      <c r="C687" s="107"/>
      <c r="D687" s="107"/>
      <c r="E687" s="107"/>
      <c r="F687" s="107"/>
      <c r="G687" s="107"/>
      <c r="H687" s="107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  <c r="AA687" s="107"/>
      <c r="AB687" s="107"/>
      <c r="AC687" s="107"/>
      <c r="AD687" s="107"/>
      <c r="AE687" s="107"/>
      <c r="AF687" s="107"/>
      <c r="AG687" s="107"/>
      <c r="AH687" s="107"/>
    </row>
    <row r="688" spans="1:34">
      <c r="A688" s="106"/>
      <c r="B688" s="107"/>
      <c r="C688" s="107"/>
      <c r="D688" s="107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  <c r="AC688" s="107"/>
      <c r="AD688" s="107"/>
      <c r="AE688" s="107"/>
      <c r="AF688" s="107"/>
      <c r="AG688" s="107"/>
      <c r="AH688" s="107"/>
    </row>
    <row r="689" spans="1:34">
      <c r="A689" s="106"/>
      <c r="B689" s="107"/>
      <c r="C689" s="107"/>
      <c r="D689" s="107"/>
      <c r="E689" s="107"/>
      <c r="F689" s="107"/>
      <c r="G689" s="107"/>
      <c r="H689" s="107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  <c r="AA689" s="107"/>
      <c r="AB689" s="107"/>
      <c r="AC689" s="107"/>
      <c r="AD689" s="107"/>
      <c r="AE689" s="107"/>
      <c r="AF689" s="107"/>
      <c r="AG689" s="107"/>
      <c r="AH689" s="107"/>
    </row>
    <row r="690" spans="1:34">
      <c r="A690" s="106"/>
      <c r="B690" s="107"/>
      <c r="C690" s="107"/>
      <c r="D690" s="107"/>
      <c r="E690" s="107"/>
      <c r="F690" s="107"/>
      <c r="G690" s="107"/>
      <c r="H690" s="107"/>
      <c r="I690" s="107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  <c r="AA690" s="107"/>
      <c r="AB690" s="107"/>
      <c r="AC690" s="107"/>
      <c r="AD690" s="107"/>
      <c r="AE690" s="107"/>
      <c r="AF690" s="107"/>
      <c r="AG690" s="107"/>
      <c r="AH690" s="107"/>
    </row>
    <row r="691" spans="1:34">
      <c r="A691" s="106"/>
      <c r="B691" s="107"/>
      <c r="C691" s="107"/>
      <c r="D691" s="107"/>
      <c r="E691" s="107"/>
      <c r="F691" s="107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  <c r="AA691" s="107"/>
      <c r="AB691" s="107"/>
      <c r="AC691" s="107"/>
      <c r="AD691" s="107"/>
      <c r="AE691" s="107"/>
      <c r="AF691" s="107"/>
      <c r="AG691" s="107"/>
      <c r="AH691" s="107"/>
    </row>
    <row r="692" spans="1:34">
      <c r="A692" s="106"/>
      <c r="B692" s="107"/>
      <c r="C692" s="107"/>
      <c r="D692" s="107"/>
      <c r="E692" s="107"/>
      <c r="F692" s="107"/>
      <c r="G692" s="107"/>
      <c r="H692" s="107"/>
      <c r="I692" s="107"/>
      <c r="J692" s="107"/>
      <c r="K692" s="107"/>
      <c r="L692" s="107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  <c r="AA692" s="107"/>
      <c r="AB692" s="107"/>
      <c r="AC692" s="107"/>
      <c r="AD692" s="107"/>
      <c r="AE692" s="107"/>
      <c r="AF692" s="107"/>
      <c r="AG692" s="107"/>
      <c r="AH692" s="107"/>
    </row>
    <row r="693" spans="1:34">
      <c r="A693" s="106"/>
      <c r="B693" s="107"/>
      <c r="C693" s="107"/>
      <c r="D693" s="107"/>
      <c r="E693" s="107"/>
      <c r="F693" s="107"/>
      <c r="G693" s="107"/>
      <c r="H693" s="107"/>
      <c r="I693" s="107"/>
      <c r="J693" s="107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  <c r="AA693" s="107"/>
      <c r="AB693" s="107"/>
      <c r="AC693" s="107"/>
      <c r="AD693" s="107"/>
      <c r="AE693" s="107"/>
      <c r="AF693" s="107"/>
      <c r="AG693" s="107"/>
      <c r="AH693" s="107"/>
    </row>
    <row r="694" spans="1:34">
      <c r="A694" s="106"/>
      <c r="B694" s="107"/>
      <c r="C694" s="107"/>
      <c r="D694" s="107"/>
      <c r="E694" s="107"/>
      <c r="F694" s="107"/>
      <c r="G694" s="107"/>
      <c r="H694" s="107"/>
      <c r="I694" s="107"/>
      <c r="J694" s="107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  <c r="AA694" s="107"/>
      <c r="AB694" s="107"/>
      <c r="AC694" s="107"/>
      <c r="AD694" s="107"/>
      <c r="AE694" s="107"/>
      <c r="AF694" s="107"/>
      <c r="AG694" s="107"/>
      <c r="AH694" s="107"/>
    </row>
    <row r="695" spans="1:34">
      <c r="A695" s="106"/>
      <c r="B695" s="107"/>
      <c r="C695" s="107"/>
      <c r="D695" s="107"/>
      <c r="E695" s="107"/>
      <c r="F695" s="107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  <c r="AA695" s="107"/>
      <c r="AB695" s="107"/>
      <c r="AC695" s="107"/>
      <c r="AD695" s="107"/>
      <c r="AE695" s="107"/>
      <c r="AF695" s="107"/>
      <c r="AG695" s="107"/>
      <c r="AH695" s="107"/>
    </row>
    <row r="696" spans="1:34">
      <c r="A696" s="106"/>
      <c r="B696" s="107"/>
      <c r="C696" s="107"/>
      <c r="D696" s="107"/>
      <c r="E696" s="107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  <c r="AC696" s="107"/>
      <c r="AD696" s="107"/>
      <c r="AE696" s="107"/>
      <c r="AF696" s="107"/>
      <c r="AG696" s="107"/>
      <c r="AH696" s="107"/>
    </row>
    <row r="697" spans="1:34">
      <c r="A697" s="106"/>
      <c r="B697" s="107"/>
      <c r="C697" s="107"/>
      <c r="D697" s="107"/>
      <c r="E697" s="107"/>
      <c r="F697" s="107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  <c r="AA697" s="107"/>
      <c r="AB697" s="107"/>
      <c r="AC697" s="107"/>
      <c r="AD697" s="107"/>
      <c r="AE697" s="107"/>
      <c r="AF697" s="107"/>
      <c r="AG697" s="107"/>
      <c r="AH697" s="107"/>
    </row>
    <row r="698" spans="1:34">
      <c r="A698" s="106"/>
      <c r="B698" s="107"/>
      <c r="C698" s="107"/>
      <c r="D698" s="107"/>
      <c r="E698" s="107"/>
      <c r="F698" s="107"/>
      <c r="G698" s="107"/>
      <c r="H698" s="107"/>
      <c r="I698" s="107"/>
      <c r="J698" s="107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  <c r="AA698" s="107"/>
      <c r="AB698" s="107"/>
      <c r="AC698" s="107"/>
      <c r="AD698" s="107"/>
      <c r="AE698" s="107"/>
      <c r="AF698" s="107"/>
      <c r="AG698" s="107"/>
      <c r="AH698" s="107"/>
    </row>
    <row r="699" spans="1:34">
      <c r="A699" s="106"/>
      <c r="B699" s="107"/>
      <c r="C699" s="107"/>
      <c r="D699" s="107"/>
      <c r="E699" s="107"/>
      <c r="F699" s="107"/>
      <c r="G699" s="107"/>
      <c r="H699" s="107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  <c r="AA699" s="107"/>
      <c r="AB699" s="107"/>
      <c r="AC699" s="107"/>
      <c r="AD699" s="107"/>
      <c r="AE699" s="107"/>
      <c r="AF699" s="107"/>
      <c r="AG699" s="107"/>
      <c r="AH699" s="107"/>
    </row>
    <row r="700" spans="1:34">
      <c r="A700" s="106"/>
      <c r="B700" s="107"/>
      <c r="C700" s="107"/>
      <c r="D700" s="107"/>
      <c r="E700" s="107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  <c r="AA700" s="107"/>
      <c r="AB700" s="107"/>
      <c r="AC700" s="107"/>
      <c r="AD700" s="107"/>
      <c r="AE700" s="107"/>
      <c r="AF700" s="107"/>
      <c r="AG700" s="107"/>
      <c r="AH700" s="107"/>
    </row>
    <row r="701" spans="1:34">
      <c r="A701" s="106"/>
      <c r="B701" s="107"/>
      <c r="C701" s="107"/>
      <c r="D701" s="107"/>
      <c r="E701" s="107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  <c r="AA701" s="107"/>
      <c r="AB701" s="107"/>
      <c r="AC701" s="107"/>
      <c r="AD701" s="107"/>
      <c r="AE701" s="107"/>
      <c r="AF701" s="107"/>
      <c r="AG701" s="107"/>
      <c r="AH701" s="107"/>
    </row>
    <row r="702" spans="1:34">
      <c r="A702" s="106"/>
      <c r="B702" s="107"/>
      <c r="C702" s="107"/>
      <c r="D702" s="107"/>
      <c r="E702" s="107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  <c r="AA702" s="107"/>
      <c r="AB702" s="107"/>
      <c r="AC702" s="107"/>
      <c r="AD702" s="107"/>
      <c r="AE702" s="107"/>
      <c r="AF702" s="107"/>
      <c r="AG702" s="107"/>
      <c r="AH702" s="107"/>
    </row>
    <row r="703" spans="1:34">
      <c r="A703" s="106"/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  <c r="AA703" s="107"/>
      <c r="AB703" s="107"/>
      <c r="AC703" s="107"/>
      <c r="AD703" s="107"/>
      <c r="AE703" s="107"/>
      <c r="AF703" s="107"/>
      <c r="AG703" s="107"/>
      <c r="AH703" s="107"/>
    </row>
    <row r="704" spans="1:34">
      <c r="A704" s="106"/>
      <c r="B704" s="107"/>
      <c r="C704" s="107"/>
      <c r="D704" s="107"/>
      <c r="E704" s="107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  <c r="AA704" s="107"/>
      <c r="AB704" s="107"/>
      <c r="AC704" s="107"/>
      <c r="AD704" s="107"/>
      <c r="AE704" s="107"/>
      <c r="AF704" s="107"/>
      <c r="AG704" s="107"/>
      <c r="AH704" s="107"/>
    </row>
    <row r="705" spans="1:34">
      <c r="A705" s="106"/>
      <c r="B705" s="107"/>
      <c r="C705" s="107"/>
      <c r="D705" s="107"/>
      <c r="E705" s="107"/>
      <c r="F705" s="107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  <c r="AA705" s="107"/>
      <c r="AB705" s="107"/>
      <c r="AC705" s="107"/>
      <c r="AD705" s="107"/>
      <c r="AE705" s="107"/>
      <c r="AF705" s="107"/>
      <c r="AG705" s="107"/>
      <c r="AH705" s="107"/>
    </row>
    <row r="706" spans="1:34">
      <c r="A706" s="106"/>
      <c r="B706" s="107"/>
      <c r="C706" s="107"/>
      <c r="D706" s="107"/>
      <c r="E706" s="107"/>
      <c r="F706" s="107"/>
      <c r="G706" s="107"/>
      <c r="H706" s="107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  <c r="AA706" s="107"/>
      <c r="AB706" s="107"/>
      <c r="AC706" s="107"/>
      <c r="AD706" s="107"/>
      <c r="AE706" s="107"/>
      <c r="AF706" s="107"/>
      <c r="AG706" s="107"/>
      <c r="AH706" s="107"/>
    </row>
    <row r="707" spans="1:34">
      <c r="A707" s="106"/>
      <c r="B707" s="107"/>
      <c r="C707" s="107"/>
      <c r="D707" s="107"/>
      <c r="E707" s="107"/>
      <c r="F707" s="107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  <c r="AA707" s="107"/>
      <c r="AB707" s="107"/>
      <c r="AC707" s="107"/>
      <c r="AD707" s="107"/>
      <c r="AE707" s="107"/>
      <c r="AF707" s="107"/>
      <c r="AG707" s="107"/>
      <c r="AH707" s="107"/>
    </row>
    <row r="708" spans="1:34">
      <c r="A708" s="106"/>
      <c r="B708" s="107"/>
      <c r="C708" s="107"/>
      <c r="D708" s="107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  <c r="AA708" s="107"/>
      <c r="AB708" s="107"/>
      <c r="AC708" s="107"/>
      <c r="AD708" s="107"/>
      <c r="AE708" s="107"/>
      <c r="AF708" s="107"/>
      <c r="AG708" s="107"/>
      <c r="AH708" s="107"/>
    </row>
    <row r="709" spans="1:34">
      <c r="A709" s="106"/>
      <c r="B709" s="107"/>
      <c r="C709" s="107"/>
      <c r="D709" s="107"/>
      <c r="E709" s="107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  <c r="AA709" s="107"/>
      <c r="AB709" s="107"/>
      <c r="AC709" s="107"/>
      <c r="AD709" s="107"/>
      <c r="AE709" s="107"/>
      <c r="AF709" s="107"/>
      <c r="AG709" s="107"/>
      <c r="AH709" s="107"/>
    </row>
    <row r="710" spans="1:34">
      <c r="A710" s="106"/>
      <c r="B710" s="107"/>
      <c r="C710" s="107"/>
      <c r="D710" s="107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  <c r="AA710" s="107"/>
      <c r="AB710" s="107"/>
      <c r="AC710" s="107"/>
      <c r="AD710" s="107"/>
      <c r="AE710" s="107"/>
      <c r="AF710" s="107"/>
      <c r="AG710" s="107"/>
      <c r="AH710" s="107"/>
    </row>
    <row r="711" spans="1:34">
      <c r="A711" s="106"/>
      <c r="B711" s="107"/>
      <c r="C711" s="107"/>
      <c r="D711" s="107"/>
      <c r="E711" s="107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  <c r="AA711" s="107"/>
      <c r="AB711" s="107"/>
      <c r="AC711" s="107"/>
      <c r="AD711" s="107"/>
      <c r="AE711" s="107"/>
      <c r="AF711" s="107"/>
      <c r="AG711" s="107"/>
      <c r="AH711" s="107"/>
    </row>
    <row r="712" spans="1:34">
      <c r="A712" s="106"/>
      <c r="B712" s="107"/>
      <c r="C712" s="107"/>
      <c r="D712" s="107"/>
      <c r="E712" s="107"/>
      <c r="F712" s="107"/>
      <c r="G712" s="107"/>
      <c r="H712" s="107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  <c r="AA712" s="107"/>
      <c r="AB712" s="107"/>
      <c r="AC712" s="107"/>
      <c r="AD712" s="107"/>
      <c r="AE712" s="107"/>
      <c r="AF712" s="107"/>
      <c r="AG712" s="107"/>
      <c r="AH712" s="107"/>
    </row>
    <row r="713" spans="1:34">
      <c r="A713" s="106"/>
      <c r="B713" s="107"/>
      <c r="C713" s="107"/>
      <c r="D713" s="107"/>
      <c r="E713" s="107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  <c r="AA713" s="107"/>
      <c r="AB713" s="107"/>
      <c r="AC713" s="107"/>
      <c r="AD713" s="107"/>
      <c r="AE713" s="107"/>
      <c r="AF713" s="107"/>
      <c r="AG713" s="107"/>
      <c r="AH713" s="107"/>
    </row>
    <row r="714" spans="1:34">
      <c r="A714" s="106"/>
      <c r="B714" s="107"/>
      <c r="C714" s="107"/>
      <c r="D714" s="107"/>
      <c r="E714" s="107"/>
      <c r="F714" s="107"/>
      <c r="G714" s="107"/>
      <c r="H714" s="107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  <c r="AA714" s="107"/>
      <c r="AB714" s="107"/>
      <c r="AC714" s="107"/>
      <c r="AD714" s="107"/>
      <c r="AE714" s="107"/>
      <c r="AF714" s="107"/>
      <c r="AG714" s="107"/>
      <c r="AH714" s="107"/>
    </row>
    <row r="715" spans="1:34">
      <c r="A715" s="106"/>
      <c r="B715" s="107"/>
      <c r="C715" s="107"/>
      <c r="D715" s="107"/>
      <c r="E715" s="108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  <c r="AA715" s="107"/>
      <c r="AB715" s="107"/>
      <c r="AC715" s="107"/>
      <c r="AD715" s="107"/>
      <c r="AE715" s="107"/>
      <c r="AF715" s="107"/>
      <c r="AG715" s="107"/>
      <c r="AH715" s="107"/>
    </row>
    <row r="716" spans="1:34">
      <c r="A716" s="106"/>
      <c r="B716" s="107"/>
      <c r="C716" s="107"/>
      <c r="D716" s="107"/>
      <c r="E716" s="108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  <c r="AA716" s="107"/>
      <c r="AB716" s="107"/>
      <c r="AC716" s="107"/>
      <c r="AD716" s="107"/>
      <c r="AE716" s="107"/>
      <c r="AF716" s="107"/>
      <c r="AG716" s="107"/>
      <c r="AH716" s="107"/>
    </row>
    <row r="717" spans="1:34">
      <c r="A717" s="106"/>
      <c r="B717" s="107"/>
      <c r="C717" s="107"/>
      <c r="D717" s="107"/>
      <c r="E717" s="108"/>
      <c r="F717" s="107"/>
      <c r="G717" s="107"/>
      <c r="H717" s="107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  <c r="AA717" s="107"/>
      <c r="AB717" s="107"/>
      <c r="AC717" s="107"/>
      <c r="AD717" s="107"/>
      <c r="AE717" s="107"/>
      <c r="AF717" s="107"/>
      <c r="AG717" s="107"/>
      <c r="AH717" s="107"/>
    </row>
    <row r="718" spans="1:34">
      <c r="A718" s="106"/>
      <c r="B718" s="107"/>
      <c r="C718" s="107"/>
      <c r="D718" s="107"/>
      <c r="E718" s="108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  <c r="AA718" s="107"/>
      <c r="AB718" s="107"/>
      <c r="AC718" s="107"/>
      <c r="AD718" s="107"/>
      <c r="AE718" s="107"/>
      <c r="AF718" s="107"/>
      <c r="AG718" s="107"/>
      <c r="AH718" s="107"/>
    </row>
    <row r="719" spans="1:34">
      <c r="A719" s="106"/>
      <c r="B719" s="107"/>
      <c r="C719" s="107"/>
      <c r="D719" s="107"/>
      <c r="E719" s="108"/>
      <c r="F719" s="107"/>
      <c r="G719" s="107"/>
      <c r="H719" s="107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  <c r="AA719" s="107"/>
      <c r="AB719" s="107"/>
      <c r="AC719" s="107"/>
      <c r="AD719" s="107"/>
      <c r="AE719" s="107"/>
      <c r="AF719" s="107"/>
      <c r="AG719" s="107"/>
      <c r="AH719" s="107"/>
    </row>
    <row r="720" spans="1:34">
      <c r="A720" s="106"/>
      <c r="B720" s="107"/>
      <c r="C720" s="107"/>
      <c r="D720" s="107"/>
      <c r="E720" s="108"/>
      <c r="F720" s="107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  <c r="AA720" s="107"/>
      <c r="AB720" s="107"/>
      <c r="AC720" s="107"/>
      <c r="AD720" s="107"/>
      <c r="AE720" s="107"/>
      <c r="AF720" s="107"/>
      <c r="AG720" s="107"/>
      <c r="AH720" s="107"/>
    </row>
    <row r="721" spans="1:34">
      <c r="A721" s="106"/>
      <c r="B721" s="107"/>
      <c r="C721" s="107"/>
      <c r="D721" s="107"/>
      <c r="E721" s="108"/>
      <c r="F721" s="107"/>
      <c r="G721" s="107"/>
      <c r="H721" s="107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  <c r="Z721" s="107"/>
      <c r="AA721" s="107"/>
      <c r="AB721" s="107"/>
      <c r="AC721" s="107"/>
      <c r="AD721" s="107"/>
      <c r="AE721" s="107"/>
      <c r="AF721" s="107"/>
      <c r="AG721" s="107"/>
      <c r="AH721" s="107"/>
    </row>
    <row r="722" spans="1:34">
      <c r="A722" s="106"/>
      <c r="B722" s="107"/>
      <c r="C722" s="107"/>
      <c r="D722" s="107"/>
      <c r="E722" s="108"/>
      <c r="F722" s="107"/>
      <c r="G722" s="107"/>
      <c r="H722" s="107"/>
      <c r="I722" s="107"/>
      <c r="J722" s="107"/>
      <c r="K722" s="107"/>
      <c r="L722" s="107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  <c r="Z722" s="107"/>
      <c r="AA722" s="107"/>
      <c r="AB722" s="107"/>
      <c r="AC722" s="107"/>
      <c r="AD722" s="107"/>
      <c r="AE722" s="107"/>
      <c r="AF722" s="107"/>
      <c r="AG722" s="107"/>
      <c r="AH722" s="107"/>
    </row>
    <row r="723" spans="1:34">
      <c r="A723" s="106"/>
      <c r="B723" s="107"/>
      <c r="C723" s="107"/>
      <c r="D723" s="107"/>
      <c r="E723" s="108"/>
      <c r="F723" s="107"/>
      <c r="G723" s="107"/>
      <c r="H723" s="107"/>
      <c r="I723" s="107"/>
      <c r="J723" s="107"/>
      <c r="K723" s="107"/>
      <c r="L723" s="107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  <c r="Z723" s="107"/>
      <c r="AA723" s="107"/>
      <c r="AB723" s="107"/>
      <c r="AC723" s="107"/>
      <c r="AD723" s="107"/>
      <c r="AE723" s="107"/>
      <c r="AF723" s="107"/>
      <c r="AG723" s="107"/>
      <c r="AH723" s="107"/>
    </row>
    <row r="724" spans="1:34">
      <c r="A724" s="106"/>
      <c r="B724" s="107"/>
      <c r="C724" s="107"/>
      <c r="D724" s="107"/>
      <c r="E724" s="108"/>
      <c r="F724" s="107"/>
      <c r="G724" s="107"/>
      <c r="H724" s="107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  <c r="Z724" s="107"/>
      <c r="AA724" s="107"/>
      <c r="AB724" s="107"/>
      <c r="AC724" s="107"/>
      <c r="AD724" s="107"/>
      <c r="AE724" s="107"/>
      <c r="AF724" s="107"/>
      <c r="AG724" s="107"/>
      <c r="AH724" s="107"/>
    </row>
    <row r="725" spans="1:34">
      <c r="A725" s="106"/>
      <c r="B725" s="107"/>
      <c r="C725" s="107"/>
      <c r="D725" s="107"/>
      <c r="E725" s="108"/>
      <c r="F725" s="107"/>
      <c r="G725" s="107"/>
      <c r="H725" s="107"/>
      <c r="I725" s="107"/>
      <c r="J725" s="107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  <c r="Z725" s="107"/>
      <c r="AA725" s="107"/>
      <c r="AB725" s="107"/>
      <c r="AC725" s="107"/>
      <c r="AD725" s="107"/>
      <c r="AE725" s="107"/>
      <c r="AF725" s="107"/>
      <c r="AG725" s="107"/>
      <c r="AH725" s="107"/>
    </row>
    <row r="726" spans="1:34">
      <c r="A726" s="106"/>
      <c r="B726" s="107"/>
      <c r="C726" s="107"/>
      <c r="D726" s="107"/>
      <c r="E726" s="108"/>
      <c r="F726" s="107"/>
      <c r="G726" s="107"/>
      <c r="H726" s="107"/>
      <c r="I726" s="107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  <c r="Z726" s="107"/>
      <c r="AA726" s="107"/>
      <c r="AB726" s="107"/>
      <c r="AC726" s="107"/>
      <c r="AD726" s="107"/>
      <c r="AE726" s="107"/>
      <c r="AF726" s="107"/>
      <c r="AG726" s="107"/>
      <c r="AH726" s="107"/>
    </row>
    <row r="727" spans="1:34">
      <c r="A727" s="106"/>
      <c r="B727" s="107"/>
      <c r="C727" s="107"/>
      <c r="D727" s="107"/>
      <c r="E727" s="108"/>
      <c r="F727" s="107"/>
      <c r="G727" s="107"/>
      <c r="H727" s="107"/>
      <c r="I727" s="107"/>
      <c r="J727" s="107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  <c r="Z727" s="107"/>
      <c r="AA727" s="107"/>
      <c r="AB727" s="107"/>
      <c r="AC727" s="107"/>
      <c r="AD727" s="107"/>
      <c r="AE727" s="107"/>
      <c r="AF727" s="107"/>
      <c r="AG727" s="107"/>
      <c r="AH727" s="107"/>
    </row>
    <row r="728" spans="1:34">
      <c r="A728" s="106"/>
      <c r="B728" s="107"/>
      <c r="C728" s="107"/>
      <c r="D728" s="107"/>
      <c r="E728" s="108"/>
      <c r="F728" s="107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  <c r="Z728" s="107"/>
      <c r="AA728" s="107"/>
      <c r="AB728" s="107"/>
      <c r="AC728" s="107"/>
      <c r="AD728" s="107"/>
      <c r="AE728" s="107"/>
      <c r="AF728" s="107"/>
      <c r="AG728" s="107"/>
      <c r="AH728" s="107"/>
    </row>
    <row r="729" spans="1:34">
      <c r="A729" s="106"/>
      <c r="B729" s="107"/>
      <c r="C729" s="107"/>
      <c r="D729" s="107"/>
      <c r="E729" s="108"/>
      <c r="F729" s="107"/>
      <c r="G729" s="107"/>
      <c r="H729" s="107"/>
      <c r="I729" s="107"/>
      <c r="J729" s="107"/>
      <c r="K729" s="107"/>
      <c r="L729" s="107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  <c r="Z729" s="107"/>
      <c r="AA729" s="107"/>
      <c r="AB729" s="107"/>
      <c r="AC729" s="107"/>
      <c r="AD729" s="107"/>
      <c r="AE729" s="107"/>
      <c r="AF729" s="107"/>
      <c r="AG729" s="107"/>
      <c r="AH729" s="107"/>
    </row>
    <row r="730" spans="1:34">
      <c r="A730" s="106"/>
      <c r="B730" s="107"/>
      <c r="C730" s="107"/>
      <c r="D730" s="107"/>
      <c r="E730" s="108"/>
      <c r="F730" s="107"/>
      <c r="G730" s="107"/>
      <c r="H730" s="107"/>
      <c r="I730" s="107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  <c r="Z730" s="107"/>
      <c r="AA730" s="107"/>
      <c r="AB730" s="107"/>
      <c r="AC730" s="107"/>
      <c r="AD730" s="107"/>
      <c r="AE730" s="107"/>
      <c r="AF730" s="107"/>
      <c r="AG730" s="107"/>
      <c r="AH730" s="107"/>
    </row>
    <row r="731" spans="1:34">
      <c r="A731" s="106"/>
      <c r="B731" s="107"/>
      <c r="C731" s="107"/>
      <c r="D731" s="107"/>
      <c r="E731" s="108"/>
      <c r="F731" s="107"/>
      <c r="G731" s="107"/>
      <c r="H731" s="107"/>
      <c r="I731" s="107"/>
      <c r="J731" s="107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  <c r="Z731" s="107"/>
      <c r="AA731" s="107"/>
      <c r="AB731" s="107"/>
      <c r="AC731" s="107"/>
      <c r="AD731" s="107"/>
      <c r="AE731" s="107"/>
      <c r="AF731" s="107"/>
      <c r="AG731" s="107"/>
      <c r="AH731" s="107"/>
    </row>
    <row r="732" spans="1:34">
      <c r="A732" s="106"/>
      <c r="B732" s="107"/>
      <c r="C732" s="107"/>
      <c r="D732" s="107"/>
      <c r="E732" s="108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  <c r="AA732" s="107"/>
      <c r="AB732" s="107"/>
      <c r="AC732" s="107"/>
      <c r="AD732" s="107"/>
      <c r="AE732" s="107"/>
      <c r="AF732" s="107"/>
      <c r="AG732" s="107"/>
      <c r="AH732" s="107"/>
    </row>
    <row r="733" spans="1:34">
      <c r="A733" s="106"/>
      <c r="B733" s="107"/>
      <c r="C733" s="107"/>
      <c r="D733" s="107"/>
      <c r="E733" s="108"/>
      <c r="F733" s="107"/>
      <c r="G733" s="107"/>
      <c r="H733" s="107"/>
      <c r="I733" s="107"/>
      <c r="J733" s="107"/>
      <c r="K733" s="107"/>
      <c r="L733" s="107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  <c r="Z733" s="107"/>
      <c r="AA733" s="107"/>
      <c r="AB733" s="107"/>
      <c r="AC733" s="107"/>
      <c r="AD733" s="107"/>
      <c r="AE733" s="107"/>
      <c r="AF733" s="107"/>
      <c r="AG733" s="107"/>
      <c r="AH733" s="107"/>
    </row>
    <row r="734" spans="1:34">
      <c r="A734" s="106"/>
      <c r="B734" s="107"/>
      <c r="C734" s="107"/>
      <c r="D734" s="107"/>
      <c r="E734" s="108"/>
      <c r="F734" s="107"/>
      <c r="G734" s="107"/>
      <c r="H734" s="107"/>
      <c r="I734" s="107"/>
      <c r="J734" s="107"/>
      <c r="K734" s="107"/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  <c r="Z734" s="107"/>
      <c r="AA734" s="107"/>
      <c r="AB734" s="107"/>
      <c r="AC734" s="107"/>
      <c r="AD734" s="107"/>
      <c r="AE734" s="107"/>
      <c r="AF734" s="107"/>
      <c r="AG734" s="107"/>
      <c r="AH734" s="107"/>
    </row>
    <row r="735" spans="1:34">
      <c r="A735" s="106"/>
      <c r="B735" s="107"/>
      <c r="C735" s="107"/>
      <c r="D735" s="107"/>
      <c r="E735" s="108"/>
      <c r="F735" s="107"/>
      <c r="G735" s="107"/>
      <c r="H735" s="107"/>
      <c r="I735" s="107"/>
      <c r="J735" s="107"/>
      <c r="K735" s="107"/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  <c r="Z735" s="107"/>
      <c r="AA735" s="107"/>
      <c r="AB735" s="107"/>
      <c r="AC735" s="107"/>
      <c r="AD735" s="107"/>
      <c r="AE735" s="107"/>
      <c r="AF735" s="107"/>
      <c r="AG735" s="107"/>
      <c r="AH735" s="107"/>
    </row>
    <row r="736" spans="1:34">
      <c r="A736" s="106"/>
      <c r="B736" s="107"/>
      <c r="C736" s="107"/>
      <c r="D736" s="107"/>
      <c r="E736" s="108"/>
      <c r="F736" s="107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  <c r="Z736" s="107"/>
      <c r="AA736" s="107"/>
      <c r="AB736" s="107"/>
      <c r="AC736" s="107"/>
      <c r="AD736" s="107"/>
      <c r="AE736" s="107"/>
      <c r="AF736" s="107"/>
      <c r="AG736" s="107"/>
      <c r="AH736" s="107"/>
    </row>
    <row r="737" spans="1:34">
      <c r="A737" s="106"/>
      <c r="B737" s="107"/>
      <c r="C737" s="107"/>
      <c r="D737" s="107"/>
      <c r="E737" s="108"/>
      <c r="F737" s="107"/>
      <c r="G737" s="107"/>
      <c r="H737" s="107"/>
      <c r="I737" s="107"/>
      <c r="J737" s="107"/>
      <c r="K737" s="107"/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  <c r="Z737" s="107"/>
      <c r="AA737" s="107"/>
      <c r="AB737" s="107"/>
      <c r="AC737" s="107"/>
      <c r="AD737" s="107"/>
      <c r="AE737" s="107"/>
      <c r="AF737" s="107"/>
      <c r="AG737" s="107"/>
      <c r="AH737" s="107"/>
    </row>
    <row r="738" spans="1:34">
      <c r="A738" s="106"/>
      <c r="B738" s="107"/>
      <c r="C738" s="107"/>
      <c r="D738" s="107"/>
      <c r="E738" s="108"/>
      <c r="F738" s="107"/>
      <c r="G738" s="107"/>
      <c r="H738" s="107"/>
      <c r="I738" s="107"/>
      <c r="J738" s="107"/>
      <c r="K738" s="107"/>
      <c r="L738" s="107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  <c r="Z738" s="107"/>
      <c r="AA738" s="107"/>
      <c r="AB738" s="107"/>
      <c r="AC738" s="107"/>
      <c r="AD738" s="107"/>
      <c r="AE738" s="107"/>
      <c r="AF738" s="107"/>
      <c r="AG738" s="107"/>
      <c r="AH738" s="107"/>
    </row>
    <row r="739" spans="1:34">
      <c r="A739" s="106"/>
      <c r="B739" s="107"/>
      <c r="C739" s="107"/>
      <c r="D739" s="107"/>
      <c r="E739" s="108"/>
      <c r="F739" s="107"/>
      <c r="G739" s="107"/>
      <c r="H739" s="107"/>
      <c r="I739" s="107"/>
      <c r="J739" s="107"/>
      <c r="K739" s="107"/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  <c r="Z739" s="107"/>
      <c r="AA739" s="107"/>
      <c r="AB739" s="107"/>
      <c r="AC739" s="107"/>
      <c r="AD739" s="107"/>
      <c r="AE739" s="107"/>
      <c r="AF739" s="107"/>
      <c r="AG739" s="107"/>
      <c r="AH739" s="107"/>
    </row>
    <row r="740" spans="1:34">
      <c r="A740" s="106"/>
      <c r="B740" s="107"/>
      <c r="C740" s="107"/>
      <c r="D740" s="107"/>
      <c r="E740" s="108"/>
      <c r="F740" s="107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  <c r="Z740" s="107"/>
      <c r="AA740" s="107"/>
      <c r="AB740" s="107"/>
      <c r="AC740" s="107"/>
      <c r="AD740" s="107"/>
      <c r="AE740" s="107"/>
      <c r="AF740" s="107"/>
      <c r="AG740" s="107"/>
      <c r="AH740" s="107"/>
    </row>
    <row r="741" spans="1:34">
      <c r="A741" s="106"/>
      <c r="B741" s="107"/>
      <c r="C741" s="107"/>
      <c r="D741" s="107"/>
      <c r="E741" s="108"/>
      <c r="F741" s="107"/>
      <c r="G741" s="107"/>
      <c r="H741" s="107"/>
      <c r="I741" s="107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  <c r="AA741" s="107"/>
      <c r="AB741" s="107"/>
      <c r="AC741" s="107"/>
      <c r="AD741" s="107"/>
      <c r="AE741" s="107"/>
      <c r="AF741" s="107"/>
      <c r="AG741" s="107"/>
      <c r="AH741" s="107"/>
    </row>
    <row r="742" spans="1:34">
      <c r="A742" s="106"/>
      <c r="B742" s="107"/>
      <c r="C742" s="107"/>
      <c r="D742" s="107"/>
      <c r="E742" s="108"/>
      <c r="F742" s="107"/>
      <c r="G742" s="107"/>
      <c r="H742" s="107"/>
      <c r="I742" s="107"/>
      <c r="J742" s="107"/>
      <c r="K742" s="107"/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  <c r="Z742" s="107"/>
      <c r="AA742" s="107"/>
      <c r="AB742" s="107"/>
      <c r="AC742" s="107"/>
      <c r="AD742" s="107"/>
      <c r="AE742" s="107"/>
      <c r="AF742" s="107"/>
      <c r="AG742" s="107"/>
      <c r="AH742" s="107"/>
    </row>
    <row r="743" spans="1:34">
      <c r="A743" s="106"/>
      <c r="B743" s="107"/>
      <c r="C743" s="107"/>
      <c r="D743" s="107"/>
      <c r="E743" s="108"/>
      <c r="F743" s="107"/>
      <c r="G743" s="107"/>
      <c r="H743" s="107"/>
      <c r="I743" s="107"/>
      <c r="J743" s="107"/>
      <c r="K743" s="107"/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  <c r="Z743" s="107"/>
      <c r="AA743" s="107"/>
      <c r="AB743" s="107"/>
      <c r="AC743" s="107"/>
      <c r="AD743" s="107"/>
      <c r="AE743" s="107"/>
      <c r="AF743" s="107"/>
      <c r="AG743" s="107"/>
      <c r="AH743" s="107"/>
    </row>
    <row r="744" spans="1:34">
      <c r="A744" s="106"/>
      <c r="B744" s="107"/>
      <c r="C744" s="107"/>
      <c r="D744" s="107"/>
      <c r="E744" s="108"/>
      <c r="F744" s="107"/>
      <c r="G744" s="107"/>
      <c r="H744" s="107"/>
      <c r="I744" s="107"/>
      <c r="J744" s="107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  <c r="Z744" s="107"/>
      <c r="AA744" s="107"/>
      <c r="AB744" s="107"/>
      <c r="AC744" s="107"/>
      <c r="AD744" s="107"/>
      <c r="AE744" s="107"/>
      <c r="AF744" s="107"/>
      <c r="AG744" s="107"/>
      <c r="AH744" s="107"/>
    </row>
    <row r="745" spans="1:34">
      <c r="A745" s="106"/>
      <c r="B745" s="107"/>
      <c r="C745" s="107"/>
      <c r="D745" s="107"/>
      <c r="E745" s="108"/>
      <c r="F745" s="107"/>
      <c r="G745" s="107"/>
      <c r="H745" s="107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  <c r="Z745" s="107"/>
      <c r="AA745" s="107"/>
      <c r="AB745" s="107"/>
      <c r="AC745" s="107"/>
      <c r="AD745" s="107"/>
      <c r="AE745" s="107"/>
      <c r="AF745" s="107"/>
      <c r="AG745" s="107"/>
      <c r="AH745" s="107"/>
    </row>
    <row r="746" spans="1:34">
      <c r="A746" s="106"/>
      <c r="B746" s="107"/>
      <c r="C746" s="107"/>
      <c r="D746" s="107"/>
      <c r="E746" s="108"/>
      <c r="F746" s="107"/>
      <c r="G746" s="107"/>
      <c r="H746" s="107"/>
      <c r="I746" s="107"/>
      <c r="J746" s="107"/>
      <c r="K746" s="107"/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  <c r="Z746" s="107"/>
      <c r="AA746" s="107"/>
      <c r="AB746" s="107"/>
      <c r="AC746" s="107"/>
      <c r="AD746" s="107"/>
      <c r="AE746" s="107"/>
      <c r="AF746" s="107"/>
      <c r="AG746" s="107"/>
      <c r="AH746" s="107"/>
    </row>
    <row r="747" spans="1:34">
      <c r="A747" s="106"/>
      <c r="B747" s="107"/>
      <c r="C747" s="107"/>
      <c r="D747" s="107"/>
      <c r="E747" s="108"/>
      <c r="F747" s="107"/>
      <c r="G747" s="107"/>
      <c r="H747" s="107"/>
      <c r="I747" s="107"/>
      <c r="J747" s="107"/>
      <c r="K747" s="107"/>
      <c r="L747" s="107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  <c r="Z747" s="107"/>
      <c r="AA747" s="107"/>
      <c r="AB747" s="107"/>
      <c r="AC747" s="107"/>
      <c r="AD747" s="107"/>
      <c r="AE747" s="107"/>
      <c r="AF747" s="107"/>
      <c r="AG747" s="107"/>
      <c r="AH747" s="107"/>
    </row>
    <row r="748" spans="1:34">
      <c r="A748" s="106"/>
      <c r="B748" s="107"/>
      <c r="C748" s="107"/>
      <c r="D748" s="107"/>
      <c r="E748" s="108"/>
      <c r="F748" s="107"/>
      <c r="G748" s="107"/>
      <c r="H748" s="107"/>
      <c r="I748" s="107"/>
      <c r="J748" s="107"/>
      <c r="K748" s="107"/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  <c r="Z748" s="107"/>
      <c r="AA748" s="107"/>
      <c r="AB748" s="107"/>
      <c r="AC748" s="107"/>
      <c r="AD748" s="107"/>
      <c r="AE748" s="107"/>
      <c r="AF748" s="107"/>
      <c r="AG748" s="107"/>
      <c r="AH748" s="107"/>
    </row>
    <row r="749" spans="1:34">
      <c r="A749" s="106"/>
      <c r="B749" s="107"/>
      <c r="C749" s="107"/>
      <c r="D749" s="107"/>
      <c r="E749" s="108"/>
      <c r="F749" s="107"/>
      <c r="G749" s="107"/>
      <c r="H749" s="107"/>
      <c r="I749" s="107"/>
      <c r="J749" s="107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  <c r="Z749" s="107"/>
      <c r="AA749" s="107"/>
      <c r="AB749" s="107"/>
      <c r="AC749" s="107"/>
      <c r="AD749" s="107"/>
      <c r="AE749" s="107"/>
      <c r="AF749" s="107"/>
      <c r="AG749" s="107"/>
      <c r="AH749" s="107"/>
    </row>
    <row r="750" spans="1:34">
      <c r="A750" s="106"/>
      <c r="B750" s="107"/>
      <c r="C750" s="107"/>
      <c r="D750" s="107"/>
      <c r="E750" s="108"/>
      <c r="F750" s="107"/>
      <c r="G750" s="107"/>
      <c r="H750" s="107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  <c r="Z750" s="107"/>
      <c r="AA750" s="107"/>
      <c r="AB750" s="107"/>
      <c r="AC750" s="107"/>
      <c r="AD750" s="107"/>
      <c r="AE750" s="107"/>
      <c r="AF750" s="107"/>
      <c r="AG750" s="107"/>
      <c r="AH750" s="107"/>
    </row>
    <row r="751" spans="1:34">
      <c r="A751" s="106"/>
      <c r="B751" s="107"/>
      <c r="C751" s="107"/>
      <c r="D751" s="107"/>
      <c r="E751" s="108"/>
      <c r="F751" s="107"/>
      <c r="G751" s="107"/>
      <c r="H751" s="107"/>
      <c r="I751" s="107"/>
      <c r="J751" s="107"/>
      <c r="K751" s="107"/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  <c r="Z751" s="107"/>
      <c r="AA751" s="107"/>
      <c r="AB751" s="107"/>
      <c r="AC751" s="107"/>
      <c r="AD751" s="107"/>
      <c r="AE751" s="107"/>
      <c r="AF751" s="107"/>
      <c r="AG751" s="107"/>
      <c r="AH751" s="107"/>
    </row>
    <row r="752" spans="1:34">
      <c r="A752" s="106"/>
      <c r="B752" s="107"/>
      <c r="C752" s="107"/>
      <c r="D752" s="107"/>
      <c r="E752" s="108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  <c r="Z752" s="107"/>
      <c r="AA752" s="107"/>
      <c r="AB752" s="107"/>
      <c r="AC752" s="107"/>
      <c r="AD752" s="107"/>
      <c r="AE752" s="107"/>
      <c r="AF752" s="107"/>
      <c r="AG752" s="107"/>
      <c r="AH752" s="107"/>
    </row>
    <row r="753" spans="1:34">
      <c r="A753" s="106"/>
      <c r="B753" s="107"/>
      <c r="C753" s="107"/>
      <c r="D753" s="107"/>
      <c r="E753" s="108"/>
      <c r="F753" s="107"/>
      <c r="G753" s="107"/>
      <c r="H753" s="107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  <c r="AA753" s="107"/>
      <c r="AB753" s="107"/>
      <c r="AC753" s="107"/>
      <c r="AD753" s="107"/>
      <c r="AE753" s="107"/>
      <c r="AF753" s="107"/>
      <c r="AG753" s="107"/>
      <c r="AH753" s="107"/>
    </row>
    <row r="754" spans="1:34">
      <c r="A754" s="106"/>
      <c r="B754" s="107"/>
      <c r="C754" s="107"/>
      <c r="D754" s="107"/>
      <c r="E754" s="108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  <c r="AA754" s="107"/>
      <c r="AB754" s="107"/>
      <c r="AC754" s="107"/>
      <c r="AD754" s="107"/>
      <c r="AE754" s="107"/>
      <c r="AF754" s="107"/>
      <c r="AG754" s="107"/>
      <c r="AH754" s="107"/>
    </row>
    <row r="755" spans="1:34">
      <c r="A755" s="106"/>
      <c r="B755" s="107"/>
      <c r="C755" s="107"/>
      <c r="D755" s="107"/>
      <c r="E755" s="108"/>
      <c r="F755" s="107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  <c r="Z755" s="107"/>
      <c r="AA755" s="107"/>
      <c r="AB755" s="107"/>
      <c r="AC755" s="107"/>
      <c r="AD755" s="107"/>
      <c r="AE755" s="107"/>
      <c r="AF755" s="107"/>
      <c r="AG755" s="107"/>
      <c r="AH755" s="107"/>
    </row>
    <row r="756" spans="1:34">
      <c r="A756" s="106"/>
      <c r="B756" s="107"/>
      <c r="C756" s="107"/>
      <c r="D756" s="107"/>
      <c r="E756" s="108"/>
      <c r="F756" s="107"/>
      <c r="G756" s="107"/>
      <c r="H756" s="107"/>
      <c r="I756" s="107"/>
      <c r="J756" s="107"/>
      <c r="K756" s="107"/>
      <c r="L756" s="107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  <c r="Z756" s="107"/>
      <c r="AA756" s="107"/>
      <c r="AB756" s="107"/>
      <c r="AC756" s="107"/>
      <c r="AD756" s="107"/>
      <c r="AE756" s="107"/>
      <c r="AF756" s="107"/>
      <c r="AG756" s="107"/>
      <c r="AH756" s="107"/>
    </row>
    <row r="757" spans="1:34">
      <c r="A757" s="106"/>
      <c r="B757" s="107"/>
      <c r="C757" s="107"/>
      <c r="D757" s="107"/>
      <c r="E757" s="108"/>
      <c r="F757" s="107"/>
      <c r="G757" s="107"/>
      <c r="H757" s="107"/>
      <c r="I757" s="107"/>
      <c r="J757" s="107"/>
      <c r="K757" s="107"/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  <c r="Z757" s="107"/>
      <c r="AA757" s="107"/>
      <c r="AB757" s="107"/>
      <c r="AC757" s="107"/>
      <c r="AD757" s="107"/>
      <c r="AE757" s="107"/>
      <c r="AF757" s="107"/>
      <c r="AG757" s="107"/>
      <c r="AH757" s="107"/>
    </row>
    <row r="758" spans="1:34">
      <c r="A758" s="106"/>
      <c r="B758" s="107"/>
      <c r="C758" s="107"/>
      <c r="D758" s="107"/>
      <c r="E758" s="108"/>
      <c r="F758" s="107"/>
      <c r="G758" s="107"/>
      <c r="H758" s="107"/>
      <c r="I758" s="107"/>
      <c r="J758" s="107"/>
      <c r="K758" s="107"/>
      <c r="L758" s="107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  <c r="Z758" s="107"/>
      <c r="AA758" s="107"/>
      <c r="AB758" s="107"/>
      <c r="AC758" s="107"/>
      <c r="AD758" s="107"/>
      <c r="AE758" s="107"/>
      <c r="AF758" s="107"/>
      <c r="AG758" s="107"/>
      <c r="AH758" s="107"/>
    </row>
    <row r="759" spans="1:34">
      <c r="A759" s="106"/>
      <c r="B759" s="107"/>
      <c r="C759" s="107"/>
      <c r="D759" s="107"/>
      <c r="E759" s="108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  <c r="Z759" s="107"/>
      <c r="AA759" s="107"/>
      <c r="AB759" s="107"/>
      <c r="AC759" s="107"/>
      <c r="AD759" s="107"/>
      <c r="AE759" s="107"/>
      <c r="AF759" s="107"/>
      <c r="AG759" s="107"/>
      <c r="AH759" s="107"/>
    </row>
    <row r="760" spans="1:34">
      <c r="A760" s="106"/>
      <c r="B760" s="107"/>
      <c r="C760" s="107"/>
      <c r="D760" s="107"/>
      <c r="E760" s="108"/>
      <c r="F760" s="107"/>
      <c r="G760" s="107"/>
      <c r="H760" s="107"/>
      <c r="I760" s="107"/>
      <c r="J760" s="107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  <c r="Z760" s="107"/>
      <c r="AA760" s="107"/>
      <c r="AB760" s="107"/>
      <c r="AC760" s="107"/>
      <c r="AD760" s="107"/>
      <c r="AE760" s="107"/>
      <c r="AF760" s="107"/>
      <c r="AG760" s="107"/>
      <c r="AH760" s="107"/>
    </row>
    <row r="761" spans="1:34">
      <c r="A761" s="106"/>
      <c r="B761" s="107"/>
      <c r="C761" s="107"/>
      <c r="D761" s="107"/>
      <c r="E761" s="108"/>
      <c r="F761" s="107"/>
      <c r="G761" s="107"/>
      <c r="H761" s="107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  <c r="Z761" s="107"/>
      <c r="AA761" s="107"/>
      <c r="AB761" s="107"/>
      <c r="AC761" s="107"/>
      <c r="AD761" s="107"/>
      <c r="AE761" s="107"/>
      <c r="AF761" s="107"/>
      <c r="AG761" s="107"/>
      <c r="AH761" s="107"/>
    </row>
    <row r="762" spans="1:34">
      <c r="A762" s="106"/>
      <c r="B762" s="107"/>
      <c r="C762" s="107"/>
      <c r="D762" s="107"/>
      <c r="E762" s="108"/>
      <c r="F762" s="107"/>
      <c r="G762" s="107"/>
      <c r="H762" s="107"/>
      <c r="I762" s="107"/>
      <c r="J762" s="107"/>
      <c r="K762" s="107"/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  <c r="Z762" s="107"/>
      <c r="AA762" s="107"/>
      <c r="AB762" s="107"/>
      <c r="AC762" s="107"/>
      <c r="AD762" s="107"/>
      <c r="AE762" s="107"/>
      <c r="AF762" s="107"/>
      <c r="AG762" s="107"/>
      <c r="AH762" s="107"/>
    </row>
    <row r="763" spans="1:34">
      <c r="A763" s="106"/>
      <c r="B763" s="107"/>
      <c r="C763" s="107"/>
      <c r="D763" s="107"/>
      <c r="E763" s="108"/>
      <c r="F763" s="107"/>
      <c r="G763" s="107"/>
      <c r="H763" s="107"/>
      <c r="I763" s="107"/>
      <c r="J763" s="107"/>
      <c r="K763" s="107"/>
      <c r="L763" s="107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  <c r="Z763" s="107"/>
      <c r="AA763" s="107"/>
      <c r="AB763" s="107"/>
      <c r="AC763" s="107"/>
      <c r="AD763" s="107"/>
      <c r="AE763" s="107"/>
      <c r="AF763" s="107"/>
      <c r="AG763" s="107"/>
      <c r="AH763" s="107"/>
    </row>
    <row r="764" spans="1:34">
      <c r="A764" s="106"/>
      <c r="B764" s="107"/>
      <c r="C764" s="107"/>
      <c r="D764" s="107"/>
      <c r="E764" s="108"/>
      <c r="F764" s="107"/>
      <c r="G764" s="107"/>
      <c r="H764" s="107"/>
      <c r="I764" s="107"/>
      <c r="J764" s="107"/>
      <c r="K764" s="107"/>
      <c r="L764" s="107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  <c r="Z764" s="107"/>
      <c r="AA764" s="107"/>
      <c r="AB764" s="107"/>
      <c r="AC764" s="107"/>
      <c r="AD764" s="107"/>
      <c r="AE764" s="107"/>
      <c r="AF764" s="107"/>
      <c r="AG764" s="107"/>
      <c r="AH764" s="107"/>
    </row>
    <row r="765" spans="1:34">
      <c r="A765" s="106"/>
      <c r="B765" s="107"/>
      <c r="C765" s="107"/>
      <c r="D765" s="107"/>
      <c r="E765" s="108"/>
      <c r="F765" s="107"/>
      <c r="G765" s="107"/>
      <c r="H765" s="107"/>
      <c r="I765" s="107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  <c r="Z765" s="107"/>
      <c r="AA765" s="107"/>
      <c r="AB765" s="107"/>
      <c r="AC765" s="107"/>
      <c r="AD765" s="107"/>
      <c r="AE765" s="107"/>
      <c r="AF765" s="107"/>
      <c r="AG765" s="107"/>
      <c r="AH765" s="107"/>
    </row>
    <row r="766" spans="1:34">
      <c r="A766" s="106"/>
      <c r="B766" s="107"/>
      <c r="C766" s="107"/>
      <c r="D766" s="107"/>
      <c r="E766" s="108"/>
      <c r="F766" s="107"/>
      <c r="G766" s="107"/>
      <c r="H766" s="107"/>
      <c r="I766" s="107"/>
      <c r="J766" s="107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  <c r="Z766" s="107"/>
      <c r="AA766" s="107"/>
      <c r="AB766" s="107"/>
      <c r="AC766" s="107"/>
      <c r="AD766" s="107"/>
      <c r="AE766" s="107"/>
      <c r="AF766" s="107"/>
      <c r="AG766" s="107"/>
      <c r="AH766" s="107"/>
    </row>
    <row r="767" spans="1:34">
      <c r="A767" s="106"/>
      <c r="B767" s="107"/>
      <c r="C767" s="107"/>
      <c r="D767" s="107"/>
      <c r="E767" s="108"/>
      <c r="F767" s="107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  <c r="Z767" s="107"/>
      <c r="AA767" s="107"/>
      <c r="AB767" s="107"/>
      <c r="AC767" s="107"/>
      <c r="AD767" s="107"/>
      <c r="AE767" s="107"/>
      <c r="AF767" s="107"/>
      <c r="AG767" s="107"/>
      <c r="AH767" s="107"/>
    </row>
    <row r="768" spans="1:34">
      <c r="A768" s="106"/>
      <c r="B768" s="107"/>
      <c r="C768" s="107"/>
      <c r="D768" s="107"/>
      <c r="E768" s="108"/>
      <c r="F768" s="107"/>
      <c r="G768" s="107"/>
      <c r="H768" s="107"/>
      <c r="I768" s="107"/>
      <c r="J768" s="107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  <c r="Z768" s="107"/>
      <c r="AA768" s="107"/>
      <c r="AB768" s="107"/>
      <c r="AC768" s="107"/>
      <c r="AD768" s="107"/>
      <c r="AE768" s="107"/>
      <c r="AF768" s="107"/>
      <c r="AG768" s="107"/>
      <c r="AH768" s="107"/>
    </row>
    <row r="769" spans="1:34">
      <c r="A769" s="106"/>
      <c r="B769" s="107"/>
      <c r="C769" s="107"/>
      <c r="D769" s="107"/>
      <c r="E769" s="108"/>
      <c r="F769" s="107"/>
      <c r="G769" s="107"/>
      <c r="H769" s="107"/>
      <c r="I769" s="107"/>
      <c r="J769" s="107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  <c r="Z769" s="107"/>
      <c r="AA769" s="107"/>
      <c r="AB769" s="107"/>
      <c r="AC769" s="107"/>
      <c r="AD769" s="107"/>
      <c r="AE769" s="107"/>
      <c r="AF769" s="107"/>
      <c r="AG769" s="107"/>
      <c r="AH769" s="107"/>
    </row>
    <row r="770" spans="1:34">
      <c r="A770" s="106"/>
      <c r="B770" s="107"/>
      <c r="C770" s="107"/>
      <c r="D770" s="107"/>
      <c r="E770" s="108"/>
      <c r="F770" s="107"/>
      <c r="G770" s="107"/>
      <c r="H770" s="107"/>
      <c r="I770" s="107"/>
      <c r="J770" s="107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  <c r="Z770" s="107"/>
      <c r="AA770" s="107"/>
      <c r="AB770" s="107"/>
      <c r="AC770" s="107"/>
      <c r="AD770" s="107"/>
      <c r="AE770" s="107"/>
      <c r="AF770" s="107"/>
      <c r="AG770" s="107"/>
      <c r="AH770" s="107"/>
    </row>
    <row r="771" spans="1:34">
      <c r="A771" s="106"/>
      <c r="B771" s="107"/>
      <c r="C771" s="107"/>
      <c r="D771" s="107"/>
      <c r="E771" s="108"/>
      <c r="F771" s="107"/>
      <c r="G771" s="107"/>
      <c r="H771" s="107"/>
      <c r="I771" s="107"/>
      <c r="J771" s="107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  <c r="Z771" s="107"/>
      <c r="AA771" s="107"/>
      <c r="AB771" s="107"/>
      <c r="AC771" s="107"/>
      <c r="AD771" s="107"/>
      <c r="AE771" s="107"/>
      <c r="AF771" s="107"/>
      <c r="AG771" s="107"/>
      <c r="AH771" s="107"/>
    </row>
    <row r="772" spans="1:34">
      <c r="A772" s="106"/>
      <c r="B772" s="107"/>
      <c r="C772" s="107"/>
      <c r="D772" s="107"/>
      <c r="E772" s="108"/>
      <c r="F772" s="107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  <c r="Z772" s="107"/>
      <c r="AA772" s="107"/>
      <c r="AB772" s="107"/>
      <c r="AC772" s="107"/>
      <c r="AD772" s="107"/>
      <c r="AE772" s="107"/>
      <c r="AF772" s="107"/>
      <c r="AG772" s="107"/>
      <c r="AH772" s="107"/>
    </row>
    <row r="773" spans="1:34">
      <c r="A773" s="106"/>
      <c r="B773" s="107"/>
      <c r="C773" s="107"/>
      <c r="D773" s="107"/>
      <c r="E773" s="108"/>
      <c r="F773" s="107"/>
      <c r="G773" s="107"/>
      <c r="H773" s="107"/>
      <c r="I773" s="107"/>
      <c r="J773" s="107"/>
      <c r="K773" s="107"/>
      <c r="L773" s="107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  <c r="Z773" s="107"/>
      <c r="AA773" s="107"/>
      <c r="AB773" s="107"/>
      <c r="AC773" s="107"/>
      <c r="AD773" s="107"/>
      <c r="AE773" s="107"/>
      <c r="AF773" s="107"/>
      <c r="AG773" s="107"/>
      <c r="AH773" s="107"/>
    </row>
    <row r="774" spans="1:34">
      <c r="A774" s="106"/>
      <c r="B774" s="107"/>
      <c r="C774" s="107"/>
      <c r="D774" s="107"/>
      <c r="E774" s="108"/>
      <c r="F774" s="107"/>
      <c r="G774" s="107"/>
      <c r="H774" s="107"/>
      <c r="I774" s="107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  <c r="Z774" s="107"/>
      <c r="AA774" s="107"/>
      <c r="AB774" s="107"/>
      <c r="AC774" s="107"/>
      <c r="AD774" s="107"/>
      <c r="AE774" s="107"/>
      <c r="AF774" s="107"/>
      <c r="AG774" s="107"/>
      <c r="AH774" s="107"/>
    </row>
    <row r="775" spans="1:34">
      <c r="A775" s="106"/>
      <c r="B775" s="107"/>
      <c r="C775" s="107"/>
      <c r="D775" s="107"/>
      <c r="E775" s="108"/>
      <c r="F775" s="107"/>
      <c r="G775" s="107"/>
      <c r="H775" s="107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  <c r="Z775" s="107"/>
      <c r="AA775" s="107"/>
      <c r="AB775" s="107"/>
      <c r="AC775" s="107"/>
      <c r="AD775" s="107"/>
      <c r="AE775" s="107"/>
      <c r="AF775" s="107"/>
      <c r="AG775" s="107"/>
      <c r="AH775" s="107"/>
    </row>
    <row r="776" spans="1:34">
      <c r="A776" s="106"/>
      <c r="B776" s="107"/>
      <c r="C776" s="107"/>
      <c r="D776" s="107"/>
      <c r="E776" s="108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  <c r="AA776" s="107"/>
      <c r="AB776" s="107"/>
      <c r="AC776" s="107"/>
      <c r="AD776" s="107"/>
      <c r="AE776" s="107"/>
      <c r="AF776" s="107"/>
      <c r="AG776" s="107"/>
      <c r="AH776" s="107"/>
    </row>
    <row r="777" spans="1:34">
      <c r="A777" s="106"/>
      <c r="B777" s="107"/>
      <c r="C777" s="107"/>
      <c r="D777" s="107"/>
      <c r="E777" s="108"/>
      <c r="F777" s="107"/>
      <c r="G777" s="107"/>
      <c r="H777" s="107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  <c r="Z777" s="107"/>
      <c r="AA777" s="107"/>
      <c r="AB777" s="107"/>
      <c r="AC777" s="107"/>
      <c r="AD777" s="107"/>
      <c r="AE777" s="107"/>
      <c r="AF777" s="107"/>
      <c r="AG777" s="107"/>
      <c r="AH777" s="107"/>
    </row>
    <row r="778" spans="1:34">
      <c r="A778" s="106"/>
      <c r="B778" s="107"/>
      <c r="C778" s="107"/>
      <c r="D778" s="107"/>
      <c r="E778" s="108"/>
      <c r="F778" s="107"/>
      <c r="G778" s="107"/>
      <c r="H778" s="107"/>
      <c r="I778" s="107"/>
      <c r="J778" s="107"/>
      <c r="K778" s="107"/>
      <c r="L778" s="107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  <c r="Z778" s="107"/>
      <c r="AA778" s="107"/>
      <c r="AB778" s="107"/>
      <c r="AC778" s="107"/>
      <c r="AD778" s="107"/>
      <c r="AE778" s="107"/>
      <c r="AF778" s="107"/>
      <c r="AG778" s="107"/>
      <c r="AH778" s="107"/>
    </row>
    <row r="779" spans="1:34">
      <c r="A779" s="106"/>
      <c r="B779" s="107"/>
      <c r="C779" s="107"/>
      <c r="D779" s="107"/>
      <c r="E779" s="108"/>
      <c r="F779" s="107"/>
      <c r="G779" s="107"/>
      <c r="H779" s="107"/>
      <c r="I779" s="107"/>
      <c r="J779" s="107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  <c r="Z779" s="107"/>
      <c r="AA779" s="107"/>
      <c r="AB779" s="107"/>
      <c r="AC779" s="107"/>
      <c r="AD779" s="107"/>
      <c r="AE779" s="107"/>
      <c r="AF779" s="107"/>
      <c r="AG779" s="107"/>
      <c r="AH779" s="107"/>
    </row>
    <row r="780" spans="1:34">
      <c r="A780" s="106"/>
      <c r="B780" s="107"/>
      <c r="C780" s="107"/>
      <c r="D780" s="107"/>
      <c r="E780" s="108"/>
      <c r="F780" s="107"/>
      <c r="G780" s="107"/>
      <c r="H780" s="107"/>
      <c r="I780" s="107"/>
      <c r="J780" s="107"/>
      <c r="K780" s="107"/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  <c r="Z780" s="107"/>
      <c r="AA780" s="107"/>
      <c r="AB780" s="107"/>
      <c r="AC780" s="107"/>
      <c r="AD780" s="107"/>
      <c r="AE780" s="107"/>
      <c r="AF780" s="107"/>
      <c r="AG780" s="107"/>
      <c r="AH780" s="107"/>
    </row>
    <row r="781" spans="1:34">
      <c r="A781" s="106"/>
      <c r="B781" s="107"/>
      <c r="C781" s="107"/>
      <c r="D781" s="107"/>
      <c r="E781" s="108"/>
      <c r="F781" s="107"/>
      <c r="G781" s="107"/>
      <c r="H781" s="107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  <c r="Z781" s="107"/>
      <c r="AA781" s="107"/>
      <c r="AB781" s="107"/>
      <c r="AC781" s="107"/>
      <c r="AD781" s="107"/>
      <c r="AE781" s="107"/>
      <c r="AF781" s="107"/>
      <c r="AG781" s="107"/>
      <c r="AH781" s="107"/>
    </row>
    <row r="782" spans="1:34">
      <c r="A782" s="106"/>
      <c r="B782" s="107"/>
      <c r="C782" s="107"/>
      <c r="D782" s="107"/>
      <c r="E782" s="108"/>
      <c r="F782" s="107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  <c r="Z782" s="107"/>
      <c r="AA782" s="107"/>
      <c r="AB782" s="107"/>
      <c r="AC782" s="107"/>
      <c r="AD782" s="107"/>
      <c r="AE782" s="107"/>
      <c r="AF782" s="107"/>
      <c r="AG782" s="107"/>
      <c r="AH782" s="107"/>
    </row>
    <row r="783" spans="1:34">
      <c r="A783" s="106"/>
      <c r="B783" s="107"/>
      <c r="C783" s="107"/>
      <c r="D783" s="107"/>
      <c r="E783" s="108"/>
      <c r="F783" s="107"/>
      <c r="G783" s="107"/>
      <c r="H783" s="107"/>
      <c r="I783" s="107"/>
      <c r="J783" s="107"/>
      <c r="K783" s="107"/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  <c r="Z783" s="107"/>
      <c r="AA783" s="107"/>
      <c r="AB783" s="107"/>
      <c r="AC783" s="107"/>
      <c r="AD783" s="107"/>
      <c r="AE783" s="107"/>
      <c r="AF783" s="107"/>
      <c r="AG783" s="107"/>
      <c r="AH783" s="107"/>
    </row>
    <row r="784" spans="1:34">
      <c r="A784" s="106"/>
      <c r="B784" s="107"/>
      <c r="C784" s="107"/>
      <c r="D784" s="107"/>
      <c r="E784" s="108"/>
      <c r="F784" s="107"/>
      <c r="G784" s="107"/>
      <c r="H784" s="107"/>
      <c r="I784" s="107"/>
      <c r="J784" s="107"/>
      <c r="K784" s="107"/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  <c r="Z784" s="107"/>
      <c r="AA784" s="107"/>
      <c r="AB784" s="107"/>
      <c r="AC784" s="107"/>
      <c r="AD784" s="107"/>
      <c r="AE784" s="107"/>
      <c r="AF784" s="107"/>
      <c r="AG784" s="107"/>
      <c r="AH784" s="107"/>
    </row>
    <row r="785" spans="1:34">
      <c r="A785" s="106"/>
      <c r="B785" s="107"/>
      <c r="C785" s="107"/>
      <c r="D785" s="107"/>
      <c r="E785" s="108"/>
      <c r="F785" s="107"/>
      <c r="G785" s="107"/>
      <c r="H785" s="107"/>
      <c r="I785" s="107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  <c r="Z785" s="107"/>
      <c r="AA785" s="107"/>
      <c r="AB785" s="107"/>
      <c r="AC785" s="107"/>
      <c r="AD785" s="107"/>
      <c r="AE785" s="107"/>
      <c r="AF785" s="107"/>
      <c r="AG785" s="107"/>
      <c r="AH785" s="107"/>
    </row>
    <row r="786" spans="1:34">
      <c r="A786" s="106"/>
      <c r="B786" s="107"/>
      <c r="C786" s="107"/>
      <c r="D786" s="107"/>
      <c r="E786" s="108"/>
      <c r="F786" s="107"/>
      <c r="G786" s="107"/>
      <c r="H786" s="107"/>
      <c r="I786" s="107"/>
      <c r="J786" s="107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  <c r="Z786" s="107"/>
      <c r="AA786" s="107"/>
      <c r="AB786" s="107"/>
      <c r="AC786" s="107"/>
      <c r="AD786" s="107"/>
      <c r="AE786" s="107"/>
      <c r="AF786" s="107"/>
      <c r="AG786" s="107"/>
      <c r="AH786" s="107"/>
    </row>
    <row r="787" spans="1:34">
      <c r="A787" s="106"/>
      <c r="B787" s="107"/>
      <c r="C787" s="107"/>
      <c r="D787" s="107"/>
      <c r="E787" s="108"/>
      <c r="F787" s="107"/>
      <c r="G787" s="107"/>
      <c r="H787" s="107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  <c r="Z787" s="107"/>
      <c r="AA787" s="107"/>
      <c r="AB787" s="107"/>
      <c r="AC787" s="107"/>
      <c r="AD787" s="107"/>
      <c r="AE787" s="107"/>
      <c r="AF787" s="107"/>
      <c r="AG787" s="107"/>
      <c r="AH787" s="107"/>
    </row>
    <row r="788" spans="1:34">
      <c r="A788" s="106"/>
      <c r="B788" s="107"/>
      <c r="C788" s="107"/>
      <c r="D788" s="107"/>
      <c r="E788" s="108"/>
      <c r="F788" s="107"/>
      <c r="G788" s="107"/>
      <c r="H788" s="107"/>
      <c r="I788" s="107"/>
      <c r="J788" s="107"/>
      <c r="K788" s="107"/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  <c r="Z788" s="107"/>
      <c r="AA788" s="107"/>
      <c r="AB788" s="107"/>
      <c r="AC788" s="107"/>
      <c r="AD788" s="107"/>
      <c r="AE788" s="107"/>
      <c r="AF788" s="107"/>
      <c r="AG788" s="107"/>
      <c r="AH788" s="107"/>
    </row>
    <row r="789" spans="1:34">
      <c r="A789" s="106"/>
      <c r="B789" s="107"/>
      <c r="C789" s="107"/>
      <c r="D789" s="107"/>
      <c r="E789" s="108"/>
      <c r="F789" s="107"/>
      <c r="G789" s="107"/>
      <c r="H789" s="107"/>
      <c r="I789" s="107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  <c r="Z789" s="107"/>
      <c r="AA789" s="107"/>
      <c r="AB789" s="107"/>
      <c r="AC789" s="107"/>
      <c r="AD789" s="107"/>
      <c r="AE789" s="107"/>
      <c r="AF789" s="107"/>
      <c r="AG789" s="107"/>
      <c r="AH789" s="107"/>
    </row>
    <row r="790" spans="1:34">
      <c r="A790" s="106"/>
      <c r="B790" s="107"/>
      <c r="C790" s="107"/>
      <c r="D790" s="107"/>
      <c r="E790" s="108"/>
      <c r="F790" s="107"/>
      <c r="G790" s="107"/>
      <c r="H790" s="107"/>
      <c r="I790" s="107"/>
      <c r="J790" s="107"/>
      <c r="K790" s="107"/>
      <c r="L790" s="107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  <c r="Z790" s="107"/>
      <c r="AA790" s="107"/>
      <c r="AB790" s="107"/>
      <c r="AC790" s="107"/>
      <c r="AD790" s="107"/>
      <c r="AE790" s="107"/>
      <c r="AF790" s="107"/>
      <c r="AG790" s="107"/>
      <c r="AH790" s="107"/>
    </row>
    <row r="791" spans="1:34">
      <c r="A791" s="106"/>
      <c r="B791" s="107"/>
      <c r="C791" s="107"/>
      <c r="D791" s="107"/>
      <c r="E791" s="108"/>
      <c r="F791" s="107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  <c r="Z791" s="107"/>
      <c r="AA791" s="107"/>
      <c r="AB791" s="107"/>
      <c r="AC791" s="107"/>
      <c r="AD791" s="107"/>
      <c r="AE791" s="107"/>
      <c r="AF791" s="107"/>
      <c r="AG791" s="107"/>
      <c r="AH791" s="107"/>
    </row>
    <row r="792" spans="1:34">
      <c r="A792" s="106"/>
      <c r="B792" s="107"/>
      <c r="C792" s="107"/>
      <c r="D792" s="107"/>
      <c r="E792" s="108"/>
      <c r="F792" s="107"/>
      <c r="G792" s="107"/>
      <c r="H792" s="107"/>
      <c r="I792" s="107"/>
      <c r="J792" s="107"/>
      <c r="K792" s="107"/>
      <c r="L792" s="107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  <c r="Z792" s="107"/>
      <c r="AA792" s="107"/>
      <c r="AB792" s="107"/>
      <c r="AC792" s="107"/>
      <c r="AD792" s="107"/>
      <c r="AE792" s="107"/>
      <c r="AF792" s="107"/>
      <c r="AG792" s="107"/>
      <c r="AH792" s="107"/>
    </row>
    <row r="793" spans="1:34">
      <c r="A793" s="106"/>
      <c r="B793" s="107"/>
      <c r="C793" s="107"/>
      <c r="D793" s="107"/>
      <c r="E793" s="108"/>
      <c r="F793" s="107"/>
      <c r="G793" s="107"/>
      <c r="H793" s="107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  <c r="Z793" s="107"/>
      <c r="AA793" s="107"/>
      <c r="AB793" s="107"/>
      <c r="AC793" s="107"/>
      <c r="AD793" s="107"/>
      <c r="AE793" s="107"/>
      <c r="AF793" s="107"/>
      <c r="AG793" s="107"/>
      <c r="AH793" s="107"/>
    </row>
    <row r="794" spans="1:34">
      <c r="A794" s="106"/>
      <c r="B794" s="107"/>
      <c r="C794" s="107"/>
      <c r="D794" s="107"/>
      <c r="E794" s="108"/>
      <c r="F794" s="107"/>
      <c r="G794" s="107"/>
      <c r="H794" s="107"/>
      <c r="I794" s="107"/>
      <c r="J794" s="107"/>
      <c r="K794" s="107"/>
      <c r="L794" s="107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  <c r="Z794" s="107"/>
      <c r="AA794" s="107"/>
      <c r="AB794" s="107"/>
      <c r="AC794" s="107"/>
      <c r="AD794" s="107"/>
      <c r="AE794" s="107"/>
      <c r="AF794" s="107"/>
      <c r="AG794" s="107"/>
      <c r="AH794" s="107"/>
    </row>
    <row r="795" spans="1:34">
      <c r="A795" s="106"/>
      <c r="B795" s="107"/>
      <c r="C795" s="107"/>
      <c r="D795" s="107"/>
      <c r="E795" s="108"/>
      <c r="F795" s="107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  <c r="Z795" s="107"/>
      <c r="AA795" s="107"/>
      <c r="AB795" s="107"/>
      <c r="AC795" s="107"/>
      <c r="AD795" s="107"/>
      <c r="AE795" s="107"/>
      <c r="AF795" s="107"/>
      <c r="AG795" s="107"/>
      <c r="AH795" s="107"/>
    </row>
    <row r="796" spans="1:34">
      <c r="A796" s="106"/>
      <c r="B796" s="107"/>
      <c r="C796" s="107"/>
      <c r="D796" s="107"/>
      <c r="E796" s="108"/>
      <c r="F796" s="107"/>
      <c r="G796" s="107"/>
      <c r="H796" s="107"/>
      <c r="I796" s="107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  <c r="AA796" s="107"/>
      <c r="AB796" s="107"/>
      <c r="AC796" s="107"/>
      <c r="AD796" s="107"/>
      <c r="AE796" s="107"/>
      <c r="AF796" s="107"/>
      <c r="AG796" s="107"/>
      <c r="AH796" s="107"/>
    </row>
    <row r="797" spans="1:34">
      <c r="A797" s="106"/>
      <c r="B797" s="107"/>
      <c r="C797" s="107"/>
      <c r="D797" s="107"/>
      <c r="E797" s="108"/>
      <c r="F797" s="107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  <c r="AA797" s="107"/>
      <c r="AB797" s="107"/>
      <c r="AC797" s="107"/>
      <c r="AD797" s="107"/>
      <c r="AE797" s="107"/>
      <c r="AF797" s="107"/>
      <c r="AG797" s="107"/>
      <c r="AH797" s="107"/>
    </row>
    <row r="798" spans="1:34">
      <c r="A798" s="106"/>
      <c r="B798" s="107"/>
      <c r="C798" s="107"/>
      <c r="D798" s="107"/>
      <c r="E798" s="108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  <c r="AA798" s="107"/>
      <c r="AB798" s="107"/>
      <c r="AC798" s="107"/>
      <c r="AD798" s="107"/>
      <c r="AE798" s="107"/>
      <c r="AF798" s="107"/>
      <c r="AG798" s="107"/>
      <c r="AH798" s="107"/>
    </row>
    <row r="799" spans="1:34">
      <c r="A799" s="106"/>
      <c r="B799" s="107"/>
      <c r="C799" s="107"/>
      <c r="D799" s="107"/>
      <c r="E799" s="108"/>
      <c r="F799" s="107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  <c r="Z799" s="107"/>
      <c r="AA799" s="107"/>
      <c r="AB799" s="107"/>
      <c r="AC799" s="107"/>
      <c r="AD799" s="107"/>
      <c r="AE799" s="107"/>
      <c r="AF799" s="107"/>
      <c r="AG799" s="107"/>
      <c r="AH799" s="107"/>
    </row>
    <row r="800" spans="1:34">
      <c r="A800" s="106"/>
      <c r="B800" s="107"/>
      <c r="C800" s="107"/>
      <c r="D800" s="107"/>
      <c r="E800" s="108"/>
      <c r="F800" s="107"/>
      <c r="G800" s="107"/>
      <c r="H800" s="107"/>
      <c r="I800" s="107"/>
      <c r="J800" s="107"/>
      <c r="K800" s="107"/>
      <c r="L800" s="107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  <c r="Z800" s="107"/>
      <c r="AA800" s="107"/>
      <c r="AB800" s="107"/>
      <c r="AC800" s="107"/>
      <c r="AD800" s="107"/>
      <c r="AE800" s="107"/>
      <c r="AF800" s="107"/>
      <c r="AG800" s="107"/>
      <c r="AH800" s="107"/>
    </row>
    <row r="801" spans="1:34">
      <c r="A801" s="106"/>
      <c r="B801" s="107"/>
      <c r="C801" s="107"/>
      <c r="D801" s="107"/>
      <c r="E801" s="108"/>
      <c r="F801" s="107"/>
      <c r="G801" s="107"/>
      <c r="H801" s="107"/>
      <c r="I801" s="107"/>
      <c r="J801" s="107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  <c r="Z801" s="107"/>
      <c r="AA801" s="107"/>
      <c r="AB801" s="107"/>
      <c r="AC801" s="107"/>
      <c r="AD801" s="107"/>
      <c r="AE801" s="107"/>
      <c r="AF801" s="107"/>
      <c r="AG801" s="107"/>
      <c r="AH801" s="107"/>
    </row>
    <row r="802" spans="1:34">
      <c r="A802" s="106"/>
      <c r="B802" s="107"/>
      <c r="C802" s="107"/>
      <c r="D802" s="107"/>
      <c r="E802" s="108"/>
      <c r="F802" s="107"/>
      <c r="G802" s="107"/>
      <c r="H802" s="107"/>
      <c r="I802" s="107"/>
      <c r="J802" s="107"/>
      <c r="K802" s="107"/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  <c r="Z802" s="107"/>
      <c r="AA802" s="107"/>
      <c r="AB802" s="107"/>
      <c r="AC802" s="107"/>
      <c r="AD802" s="107"/>
      <c r="AE802" s="107"/>
      <c r="AF802" s="107"/>
      <c r="AG802" s="107"/>
      <c r="AH802" s="107"/>
    </row>
    <row r="803" spans="1:34">
      <c r="A803" s="106"/>
      <c r="B803" s="107"/>
      <c r="C803" s="107"/>
      <c r="D803" s="107"/>
      <c r="E803" s="108"/>
      <c r="F803" s="107"/>
      <c r="G803" s="107"/>
      <c r="H803" s="107"/>
      <c r="I803" s="107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  <c r="Z803" s="107"/>
      <c r="AA803" s="107"/>
      <c r="AB803" s="107"/>
      <c r="AC803" s="107"/>
      <c r="AD803" s="107"/>
      <c r="AE803" s="107"/>
      <c r="AF803" s="107"/>
      <c r="AG803" s="107"/>
      <c r="AH803" s="107"/>
    </row>
    <row r="804" spans="1:34">
      <c r="A804" s="106"/>
      <c r="B804" s="107"/>
      <c r="C804" s="107"/>
      <c r="D804" s="107"/>
      <c r="E804" s="108"/>
      <c r="F804" s="107"/>
      <c r="G804" s="107"/>
      <c r="H804" s="107"/>
      <c r="I804" s="107"/>
      <c r="J804" s="107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  <c r="Z804" s="107"/>
      <c r="AA804" s="107"/>
      <c r="AB804" s="107"/>
      <c r="AC804" s="107"/>
      <c r="AD804" s="107"/>
      <c r="AE804" s="107"/>
      <c r="AF804" s="107"/>
      <c r="AG804" s="107"/>
      <c r="AH804" s="107"/>
    </row>
    <row r="805" spans="1:34">
      <c r="A805" s="106"/>
      <c r="B805" s="107"/>
      <c r="C805" s="107"/>
      <c r="D805" s="107"/>
      <c r="E805" s="108"/>
      <c r="F805" s="107"/>
      <c r="G805" s="107"/>
      <c r="H805" s="107"/>
      <c r="I805" s="107"/>
      <c r="J805" s="107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  <c r="Z805" s="107"/>
      <c r="AA805" s="107"/>
      <c r="AB805" s="107"/>
      <c r="AC805" s="107"/>
      <c r="AD805" s="107"/>
      <c r="AE805" s="107"/>
      <c r="AF805" s="107"/>
      <c r="AG805" s="107"/>
      <c r="AH805" s="107"/>
    </row>
    <row r="806" spans="1:34">
      <c r="A806" s="106"/>
      <c r="B806" s="107"/>
      <c r="C806" s="107"/>
      <c r="D806" s="107"/>
      <c r="E806" s="108"/>
      <c r="F806" s="107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  <c r="Z806" s="107"/>
      <c r="AA806" s="107"/>
      <c r="AB806" s="107"/>
      <c r="AC806" s="107"/>
      <c r="AD806" s="107"/>
      <c r="AE806" s="107"/>
      <c r="AF806" s="107"/>
      <c r="AG806" s="107"/>
      <c r="AH806" s="107"/>
    </row>
    <row r="807" spans="1:34">
      <c r="A807" s="106"/>
      <c r="B807" s="107"/>
      <c r="C807" s="107"/>
      <c r="D807" s="107"/>
      <c r="E807" s="108"/>
      <c r="F807" s="107"/>
      <c r="G807" s="107"/>
      <c r="H807" s="107"/>
      <c r="I807" s="107"/>
      <c r="J807" s="107"/>
      <c r="K807" s="107"/>
      <c r="L807" s="107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  <c r="Z807" s="107"/>
      <c r="AA807" s="107"/>
      <c r="AB807" s="107"/>
      <c r="AC807" s="107"/>
      <c r="AD807" s="107"/>
      <c r="AE807" s="107"/>
      <c r="AF807" s="107"/>
      <c r="AG807" s="107"/>
      <c r="AH807" s="107"/>
    </row>
    <row r="808" spans="1:34">
      <c r="A808" s="106"/>
      <c r="B808" s="107"/>
      <c r="C808" s="107"/>
      <c r="D808" s="107"/>
      <c r="E808" s="108"/>
      <c r="F808" s="107"/>
      <c r="G808" s="107"/>
      <c r="H808" s="107"/>
      <c r="I808" s="107"/>
      <c r="J808" s="107"/>
      <c r="K808" s="107"/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  <c r="Z808" s="107"/>
      <c r="AA808" s="107"/>
      <c r="AB808" s="107"/>
      <c r="AC808" s="107"/>
      <c r="AD808" s="107"/>
      <c r="AE808" s="107"/>
      <c r="AF808" s="107"/>
      <c r="AG808" s="107"/>
      <c r="AH808" s="107"/>
    </row>
    <row r="809" spans="1:34">
      <c r="A809" s="106"/>
      <c r="B809" s="107"/>
      <c r="C809" s="107"/>
      <c r="D809" s="107"/>
      <c r="E809" s="108"/>
      <c r="F809" s="107"/>
      <c r="G809" s="107"/>
      <c r="H809" s="107"/>
      <c r="I809" s="107"/>
      <c r="J809" s="107"/>
      <c r="K809" s="107"/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  <c r="Z809" s="107"/>
      <c r="AA809" s="107"/>
      <c r="AB809" s="107"/>
      <c r="AC809" s="107"/>
      <c r="AD809" s="107"/>
      <c r="AE809" s="107"/>
      <c r="AF809" s="107"/>
      <c r="AG809" s="107"/>
      <c r="AH809" s="107"/>
    </row>
    <row r="810" spans="1:34">
      <c r="A810" s="106"/>
      <c r="B810" s="107"/>
      <c r="C810" s="107"/>
      <c r="D810" s="107"/>
      <c r="E810" s="108"/>
      <c r="F810" s="107"/>
      <c r="G810" s="107"/>
      <c r="H810" s="107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  <c r="Z810" s="107"/>
      <c r="AA810" s="107"/>
      <c r="AB810" s="107"/>
      <c r="AC810" s="107"/>
      <c r="AD810" s="107"/>
      <c r="AE810" s="107"/>
      <c r="AF810" s="107"/>
      <c r="AG810" s="107"/>
      <c r="AH810" s="107"/>
    </row>
    <row r="811" spans="1:34">
      <c r="A811" s="106"/>
      <c r="B811" s="107"/>
      <c r="C811" s="107"/>
      <c r="D811" s="107"/>
      <c r="E811" s="108"/>
      <c r="F811" s="107"/>
      <c r="G811" s="107"/>
      <c r="H811" s="107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  <c r="Z811" s="107"/>
      <c r="AA811" s="107"/>
      <c r="AB811" s="107"/>
      <c r="AC811" s="107"/>
      <c r="AD811" s="107"/>
      <c r="AE811" s="107"/>
      <c r="AF811" s="107"/>
      <c r="AG811" s="107"/>
      <c r="AH811" s="107"/>
    </row>
    <row r="812" spans="1:34">
      <c r="A812" s="106"/>
      <c r="B812" s="107"/>
      <c r="C812" s="107"/>
      <c r="D812" s="107"/>
      <c r="E812" s="108"/>
      <c r="F812" s="107"/>
      <c r="G812" s="107"/>
      <c r="H812" s="107"/>
      <c r="I812" s="107"/>
      <c r="J812" s="107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  <c r="Z812" s="107"/>
      <c r="AA812" s="107"/>
      <c r="AB812" s="107"/>
      <c r="AC812" s="107"/>
      <c r="AD812" s="107"/>
      <c r="AE812" s="107"/>
      <c r="AF812" s="107"/>
      <c r="AG812" s="107"/>
      <c r="AH812" s="107"/>
    </row>
    <row r="813" spans="1:34">
      <c r="A813" s="106"/>
      <c r="B813" s="107"/>
      <c r="C813" s="107"/>
      <c r="D813" s="107"/>
      <c r="E813" s="108"/>
      <c r="F813" s="107"/>
      <c r="G813" s="107"/>
      <c r="H813" s="107"/>
      <c r="I813" s="107"/>
      <c r="J813" s="107"/>
      <c r="K813" s="107"/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  <c r="Z813" s="107"/>
      <c r="AA813" s="107"/>
      <c r="AB813" s="107"/>
      <c r="AC813" s="107"/>
      <c r="AD813" s="107"/>
      <c r="AE813" s="107"/>
      <c r="AF813" s="107"/>
      <c r="AG813" s="107"/>
      <c r="AH813" s="107"/>
    </row>
    <row r="814" spans="1:34">
      <c r="A814" s="106"/>
      <c r="B814" s="107"/>
      <c r="C814" s="107"/>
      <c r="D814" s="107"/>
      <c r="E814" s="108"/>
      <c r="F814" s="107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  <c r="Z814" s="107"/>
      <c r="AA814" s="107"/>
      <c r="AB814" s="107"/>
      <c r="AC814" s="107"/>
      <c r="AD814" s="107"/>
      <c r="AE814" s="107"/>
      <c r="AF814" s="107"/>
      <c r="AG814" s="107"/>
      <c r="AH814" s="107"/>
    </row>
    <row r="815" spans="1:34">
      <c r="A815" s="106"/>
      <c r="B815" s="107"/>
      <c r="C815" s="107"/>
      <c r="D815" s="107"/>
      <c r="E815" s="108"/>
      <c r="F815" s="107"/>
      <c r="G815" s="107"/>
      <c r="H815" s="107"/>
      <c r="I815" s="107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  <c r="Z815" s="107"/>
      <c r="AA815" s="107"/>
      <c r="AB815" s="107"/>
      <c r="AC815" s="107"/>
      <c r="AD815" s="107"/>
      <c r="AE815" s="107"/>
      <c r="AF815" s="107"/>
      <c r="AG815" s="107"/>
      <c r="AH815" s="107"/>
    </row>
    <row r="816" spans="1:34">
      <c r="A816" s="106"/>
      <c r="B816" s="107"/>
      <c r="C816" s="107"/>
      <c r="D816" s="107"/>
      <c r="E816" s="108"/>
      <c r="F816" s="107"/>
      <c r="G816" s="107"/>
      <c r="H816" s="107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  <c r="AA816" s="107"/>
      <c r="AB816" s="107"/>
      <c r="AC816" s="107"/>
      <c r="AD816" s="107"/>
      <c r="AE816" s="107"/>
      <c r="AF816" s="107"/>
      <c r="AG816" s="107"/>
      <c r="AH816" s="107"/>
    </row>
    <row r="817" spans="1:34">
      <c r="A817" s="106"/>
      <c r="B817" s="107"/>
      <c r="C817" s="107"/>
      <c r="D817" s="107"/>
      <c r="E817" s="108"/>
      <c r="F817" s="107"/>
      <c r="G817" s="107"/>
      <c r="H817" s="107"/>
      <c r="I817" s="107"/>
      <c r="J817" s="107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  <c r="Z817" s="107"/>
      <c r="AA817" s="107"/>
      <c r="AB817" s="107"/>
      <c r="AC817" s="107"/>
      <c r="AD817" s="107"/>
      <c r="AE817" s="107"/>
      <c r="AF817" s="107"/>
      <c r="AG817" s="107"/>
      <c r="AH817" s="107"/>
    </row>
    <row r="818" spans="1:34">
      <c r="A818" s="106"/>
      <c r="B818" s="107"/>
      <c r="C818" s="107"/>
      <c r="D818" s="107"/>
      <c r="E818" s="108"/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  <c r="AA818" s="107"/>
      <c r="AB818" s="107"/>
      <c r="AC818" s="107"/>
      <c r="AD818" s="107"/>
      <c r="AE818" s="107"/>
      <c r="AF818" s="107"/>
      <c r="AG818" s="107"/>
      <c r="AH818" s="107"/>
    </row>
    <row r="819" spans="1:34">
      <c r="A819" s="106"/>
      <c r="B819" s="107"/>
      <c r="C819" s="107"/>
      <c r="D819" s="107"/>
      <c r="E819" s="108"/>
      <c r="F819" s="107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  <c r="Z819" s="107"/>
      <c r="AA819" s="107"/>
      <c r="AB819" s="107"/>
      <c r="AC819" s="107"/>
      <c r="AD819" s="107"/>
      <c r="AE819" s="107"/>
      <c r="AF819" s="107"/>
      <c r="AG819" s="107"/>
      <c r="AH819" s="107"/>
    </row>
    <row r="820" spans="1:34">
      <c r="A820" s="106"/>
      <c r="B820" s="107"/>
      <c r="C820" s="107"/>
      <c r="D820" s="107"/>
      <c r="E820" s="108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  <c r="AA820" s="107"/>
      <c r="AB820" s="107"/>
      <c r="AC820" s="107"/>
      <c r="AD820" s="107"/>
      <c r="AE820" s="107"/>
      <c r="AF820" s="107"/>
      <c r="AG820" s="107"/>
      <c r="AH820" s="107"/>
    </row>
    <row r="821" spans="1:34">
      <c r="A821" s="106"/>
      <c r="B821" s="107"/>
      <c r="C821" s="107"/>
      <c r="D821" s="107"/>
      <c r="E821" s="108"/>
      <c r="F821" s="107"/>
      <c r="G821" s="107"/>
      <c r="H821" s="107"/>
      <c r="I821" s="107"/>
      <c r="J821" s="107"/>
      <c r="K821" s="107"/>
      <c r="L821" s="107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  <c r="Z821" s="107"/>
      <c r="AA821" s="107"/>
      <c r="AB821" s="107"/>
      <c r="AC821" s="107"/>
      <c r="AD821" s="107"/>
      <c r="AE821" s="107"/>
      <c r="AF821" s="107"/>
      <c r="AG821" s="107"/>
      <c r="AH821" s="107"/>
    </row>
    <row r="822" spans="1:34">
      <c r="A822" s="106"/>
      <c r="B822" s="107"/>
      <c r="C822" s="107"/>
      <c r="D822" s="107"/>
      <c r="E822" s="108"/>
      <c r="F822" s="107"/>
      <c r="G822" s="107"/>
      <c r="H822" s="107"/>
      <c r="I822" s="107"/>
      <c r="J822" s="107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  <c r="Z822" s="107"/>
      <c r="AA822" s="107"/>
      <c r="AB822" s="107"/>
      <c r="AC822" s="107"/>
      <c r="AD822" s="107"/>
      <c r="AE822" s="107"/>
      <c r="AF822" s="107"/>
      <c r="AG822" s="107"/>
      <c r="AH822" s="107"/>
    </row>
    <row r="823" spans="1:34">
      <c r="A823" s="106"/>
      <c r="B823" s="107"/>
      <c r="C823" s="107"/>
      <c r="D823" s="107"/>
      <c r="E823" s="108"/>
      <c r="F823" s="107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  <c r="Z823" s="107"/>
      <c r="AA823" s="107"/>
      <c r="AB823" s="107"/>
      <c r="AC823" s="107"/>
      <c r="AD823" s="107"/>
      <c r="AE823" s="107"/>
      <c r="AF823" s="107"/>
      <c r="AG823" s="107"/>
      <c r="AH823" s="107"/>
    </row>
    <row r="824" spans="1:34">
      <c r="A824" s="106"/>
      <c r="B824" s="107"/>
      <c r="C824" s="107"/>
      <c r="D824" s="107"/>
      <c r="E824" s="108"/>
      <c r="F824" s="107"/>
      <c r="G824" s="107"/>
      <c r="H824" s="107"/>
      <c r="I824" s="107"/>
      <c r="J824" s="107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  <c r="Z824" s="107"/>
      <c r="AA824" s="107"/>
      <c r="AB824" s="107"/>
      <c r="AC824" s="107"/>
      <c r="AD824" s="107"/>
      <c r="AE824" s="107"/>
      <c r="AF824" s="107"/>
      <c r="AG824" s="107"/>
      <c r="AH824" s="107"/>
    </row>
    <row r="825" spans="1:34">
      <c r="A825" s="106"/>
      <c r="B825" s="107"/>
      <c r="C825" s="107"/>
      <c r="D825" s="107"/>
      <c r="E825" s="108"/>
      <c r="F825" s="107"/>
      <c r="G825" s="107"/>
      <c r="H825" s="107"/>
      <c r="I825" s="107"/>
      <c r="J825" s="107"/>
      <c r="K825" s="107"/>
      <c r="L825" s="107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  <c r="Z825" s="107"/>
      <c r="AA825" s="107"/>
      <c r="AB825" s="107"/>
      <c r="AC825" s="107"/>
      <c r="AD825" s="107"/>
      <c r="AE825" s="107"/>
      <c r="AF825" s="107"/>
      <c r="AG825" s="107"/>
      <c r="AH825" s="107"/>
    </row>
    <row r="826" spans="1:34">
      <c r="A826" s="106"/>
      <c r="B826" s="107"/>
      <c r="C826" s="107"/>
      <c r="D826" s="107"/>
      <c r="E826" s="108"/>
      <c r="F826" s="107"/>
      <c r="G826" s="107"/>
      <c r="H826" s="107"/>
      <c r="I826" s="107"/>
      <c r="J826" s="107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  <c r="Z826" s="107"/>
      <c r="AA826" s="107"/>
      <c r="AB826" s="107"/>
      <c r="AC826" s="107"/>
      <c r="AD826" s="107"/>
      <c r="AE826" s="107"/>
      <c r="AF826" s="107"/>
      <c r="AG826" s="107"/>
      <c r="AH826" s="107"/>
    </row>
    <row r="827" spans="1:34">
      <c r="A827" s="106"/>
      <c r="B827" s="107"/>
      <c r="C827" s="107"/>
      <c r="D827" s="107"/>
      <c r="E827" s="108"/>
      <c r="F827" s="107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  <c r="Z827" s="107"/>
      <c r="AA827" s="107"/>
      <c r="AB827" s="107"/>
      <c r="AC827" s="107"/>
      <c r="AD827" s="107"/>
      <c r="AE827" s="107"/>
      <c r="AF827" s="107"/>
      <c r="AG827" s="107"/>
      <c r="AH827" s="107"/>
    </row>
    <row r="828" spans="1:34">
      <c r="A828" s="106"/>
      <c r="B828" s="107"/>
      <c r="C828" s="107"/>
      <c r="D828" s="107"/>
      <c r="E828" s="108"/>
      <c r="F828" s="107"/>
      <c r="G828" s="107"/>
      <c r="H828" s="107"/>
      <c r="I828" s="107"/>
      <c r="J828" s="107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  <c r="Z828" s="107"/>
      <c r="AA828" s="107"/>
      <c r="AB828" s="107"/>
      <c r="AC828" s="107"/>
      <c r="AD828" s="107"/>
      <c r="AE828" s="107"/>
      <c r="AF828" s="107"/>
      <c r="AG828" s="107"/>
      <c r="AH828" s="107"/>
    </row>
    <row r="829" spans="1:34">
      <c r="A829" s="106"/>
      <c r="B829" s="107"/>
      <c r="C829" s="107"/>
      <c r="D829" s="107"/>
      <c r="E829" s="108"/>
      <c r="F829" s="107"/>
      <c r="G829" s="107"/>
      <c r="H829" s="107"/>
      <c r="I829" s="107"/>
      <c r="J829" s="107"/>
      <c r="K829" s="107"/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  <c r="Z829" s="107"/>
      <c r="AA829" s="107"/>
      <c r="AB829" s="107"/>
      <c r="AC829" s="107"/>
      <c r="AD829" s="107"/>
      <c r="AE829" s="107"/>
      <c r="AF829" s="107"/>
      <c r="AG829" s="107"/>
      <c r="AH829" s="107"/>
    </row>
    <row r="830" spans="1:34">
      <c r="A830" s="106"/>
      <c r="B830" s="107"/>
      <c r="C830" s="107"/>
      <c r="D830" s="107"/>
      <c r="E830" s="108"/>
      <c r="F830" s="107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  <c r="Z830" s="107"/>
      <c r="AA830" s="107"/>
      <c r="AB830" s="107"/>
      <c r="AC830" s="107"/>
      <c r="AD830" s="107"/>
      <c r="AE830" s="107"/>
      <c r="AF830" s="107"/>
      <c r="AG830" s="107"/>
      <c r="AH830" s="107"/>
    </row>
    <row r="831" spans="1:34">
      <c r="A831" s="106"/>
      <c r="B831" s="107"/>
      <c r="C831" s="107"/>
      <c r="D831" s="107"/>
      <c r="E831" s="108"/>
      <c r="F831" s="107"/>
      <c r="G831" s="107"/>
      <c r="H831" s="107"/>
      <c r="I831" s="107"/>
      <c r="J831" s="107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  <c r="Z831" s="107"/>
      <c r="AA831" s="107"/>
      <c r="AB831" s="107"/>
      <c r="AC831" s="107"/>
      <c r="AD831" s="107"/>
      <c r="AE831" s="107"/>
      <c r="AF831" s="107"/>
      <c r="AG831" s="107"/>
      <c r="AH831" s="107"/>
    </row>
    <row r="832" spans="1:34">
      <c r="A832" s="106"/>
      <c r="B832" s="107"/>
      <c r="C832" s="107"/>
      <c r="D832" s="107"/>
      <c r="E832" s="108"/>
      <c r="F832" s="107"/>
      <c r="G832" s="107"/>
      <c r="H832" s="107"/>
      <c r="I832" s="107"/>
      <c r="J832" s="107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  <c r="Z832" s="107"/>
      <c r="AA832" s="107"/>
      <c r="AB832" s="107"/>
      <c r="AC832" s="107"/>
      <c r="AD832" s="107"/>
      <c r="AE832" s="107"/>
      <c r="AF832" s="107"/>
      <c r="AG832" s="107"/>
      <c r="AH832" s="107"/>
    </row>
    <row r="833" spans="1:34">
      <c r="A833" s="106"/>
      <c r="B833" s="107"/>
      <c r="C833" s="107"/>
      <c r="D833" s="107"/>
      <c r="E833" s="108"/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  <c r="Z833" s="107"/>
      <c r="AA833" s="107"/>
      <c r="AB833" s="107"/>
      <c r="AC833" s="107"/>
      <c r="AD833" s="107"/>
      <c r="AE833" s="107"/>
      <c r="AF833" s="107"/>
      <c r="AG833" s="107"/>
      <c r="AH833" s="107"/>
    </row>
    <row r="834" spans="1:34">
      <c r="A834" s="106"/>
      <c r="B834" s="107"/>
      <c r="C834" s="107"/>
      <c r="D834" s="107"/>
      <c r="E834" s="108"/>
      <c r="F834" s="107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  <c r="Z834" s="107"/>
      <c r="AA834" s="107"/>
      <c r="AB834" s="107"/>
      <c r="AC834" s="107"/>
      <c r="AD834" s="107"/>
      <c r="AE834" s="107"/>
      <c r="AF834" s="107"/>
      <c r="AG834" s="107"/>
      <c r="AH834" s="107"/>
    </row>
    <row r="835" spans="1:34">
      <c r="A835" s="106"/>
      <c r="B835" s="107"/>
      <c r="C835" s="107"/>
      <c r="D835" s="107"/>
      <c r="E835" s="108"/>
      <c r="F835" s="107"/>
      <c r="G835" s="107"/>
      <c r="H835" s="107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  <c r="Z835" s="107"/>
      <c r="AA835" s="107"/>
      <c r="AB835" s="107"/>
      <c r="AC835" s="107"/>
      <c r="AD835" s="107"/>
      <c r="AE835" s="107"/>
      <c r="AF835" s="107"/>
      <c r="AG835" s="107"/>
      <c r="AH835" s="107"/>
    </row>
    <row r="836" spans="1:34">
      <c r="A836" s="106"/>
      <c r="B836" s="107"/>
      <c r="C836" s="107"/>
      <c r="D836" s="107"/>
      <c r="E836" s="108"/>
      <c r="F836" s="107"/>
      <c r="G836" s="107"/>
      <c r="H836" s="107"/>
      <c r="I836" s="107"/>
      <c r="J836" s="107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  <c r="Z836" s="107"/>
      <c r="AA836" s="107"/>
      <c r="AB836" s="107"/>
      <c r="AC836" s="107"/>
      <c r="AD836" s="107"/>
      <c r="AE836" s="107"/>
      <c r="AF836" s="107"/>
      <c r="AG836" s="107"/>
      <c r="AH836" s="107"/>
    </row>
    <row r="837" spans="1:34">
      <c r="A837" s="106"/>
      <c r="B837" s="107"/>
      <c r="C837" s="107"/>
      <c r="D837" s="107"/>
      <c r="E837" s="108"/>
      <c r="F837" s="107"/>
      <c r="G837" s="107"/>
      <c r="H837" s="107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  <c r="Z837" s="107"/>
      <c r="AA837" s="107"/>
      <c r="AB837" s="107"/>
      <c r="AC837" s="107"/>
      <c r="AD837" s="107"/>
      <c r="AE837" s="107"/>
      <c r="AF837" s="107"/>
      <c r="AG837" s="107"/>
      <c r="AH837" s="107"/>
    </row>
    <row r="838" spans="1:34">
      <c r="A838" s="106"/>
      <c r="B838" s="107"/>
      <c r="C838" s="107"/>
      <c r="D838" s="107"/>
      <c r="E838" s="108"/>
      <c r="F838" s="107"/>
      <c r="G838" s="107"/>
      <c r="H838" s="107"/>
      <c r="I838" s="107"/>
      <c r="J838" s="107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  <c r="Z838" s="107"/>
      <c r="AA838" s="107"/>
      <c r="AB838" s="107"/>
      <c r="AC838" s="107"/>
      <c r="AD838" s="107"/>
      <c r="AE838" s="107"/>
      <c r="AF838" s="107"/>
      <c r="AG838" s="107"/>
      <c r="AH838" s="107"/>
    </row>
    <row r="839" spans="1:34">
      <c r="A839" s="106"/>
      <c r="B839" s="107"/>
      <c r="C839" s="107"/>
      <c r="D839" s="107"/>
      <c r="E839" s="108"/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  <c r="AH839" s="107"/>
    </row>
    <row r="840" spans="1:34">
      <c r="A840" s="106"/>
      <c r="B840" s="107"/>
      <c r="C840" s="107"/>
      <c r="D840" s="107"/>
      <c r="E840" s="108"/>
      <c r="F840" s="107"/>
      <c r="G840" s="107"/>
      <c r="H840" s="107"/>
      <c r="I840" s="107"/>
      <c r="J840" s="107"/>
      <c r="K840" s="107"/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  <c r="Z840" s="107"/>
      <c r="AA840" s="107"/>
      <c r="AB840" s="107"/>
      <c r="AC840" s="107"/>
      <c r="AD840" s="107"/>
      <c r="AE840" s="107"/>
      <c r="AF840" s="107"/>
      <c r="AG840" s="107"/>
      <c r="AH840" s="107"/>
    </row>
    <row r="841" spans="1:34">
      <c r="A841" s="106"/>
      <c r="B841" s="107"/>
      <c r="C841" s="107"/>
      <c r="D841" s="107"/>
      <c r="E841" s="108"/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</row>
    <row r="842" spans="1:34">
      <c r="A842" s="106"/>
      <c r="B842" s="107"/>
      <c r="C842" s="107"/>
      <c r="D842" s="107"/>
      <c r="E842" s="108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  <c r="AA842" s="107"/>
      <c r="AB842" s="107"/>
      <c r="AC842" s="107"/>
      <c r="AD842" s="107"/>
      <c r="AE842" s="107"/>
      <c r="AF842" s="107"/>
      <c r="AG842" s="107"/>
      <c r="AH842" s="107"/>
    </row>
    <row r="843" spans="1:34">
      <c r="A843" s="106"/>
      <c r="B843" s="107"/>
      <c r="C843" s="107"/>
      <c r="D843" s="107"/>
      <c r="E843" s="108"/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  <c r="AA843" s="107"/>
      <c r="AB843" s="107"/>
      <c r="AC843" s="107"/>
      <c r="AD843" s="107"/>
      <c r="AE843" s="107"/>
      <c r="AF843" s="107"/>
      <c r="AG843" s="107"/>
      <c r="AH843" s="107"/>
    </row>
    <row r="844" spans="1:34">
      <c r="A844" s="106"/>
      <c r="B844" s="107"/>
      <c r="C844" s="107"/>
      <c r="D844" s="107"/>
      <c r="E844" s="108"/>
      <c r="F844" s="107"/>
      <c r="G844" s="107"/>
      <c r="H844" s="107"/>
      <c r="I844" s="107"/>
      <c r="J844" s="107"/>
      <c r="K844" s="107"/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  <c r="Z844" s="107"/>
      <c r="AA844" s="107"/>
      <c r="AB844" s="107"/>
      <c r="AC844" s="107"/>
      <c r="AD844" s="107"/>
      <c r="AE844" s="107"/>
      <c r="AF844" s="107"/>
      <c r="AG844" s="107"/>
      <c r="AH844" s="107"/>
    </row>
    <row r="845" spans="1:34">
      <c r="A845" s="106"/>
      <c r="B845" s="107"/>
      <c r="C845" s="107"/>
      <c r="D845" s="107"/>
      <c r="E845" s="108"/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  <c r="AH845" s="107"/>
    </row>
    <row r="846" spans="1:34">
      <c r="A846" s="106"/>
      <c r="B846" s="107"/>
      <c r="C846" s="107"/>
      <c r="D846" s="107"/>
      <c r="E846" s="108"/>
      <c r="F846" s="107"/>
      <c r="G846" s="107"/>
      <c r="H846" s="107"/>
      <c r="I846" s="107"/>
      <c r="J846" s="107"/>
      <c r="K846" s="107"/>
      <c r="L846" s="107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  <c r="Z846" s="107"/>
      <c r="AA846" s="107"/>
      <c r="AB846" s="107"/>
      <c r="AC846" s="107"/>
      <c r="AD846" s="107"/>
      <c r="AE846" s="107"/>
      <c r="AF846" s="107"/>
      <c r="AG846" s="107"/>
      <c r="AH846" s="107"/>
    </row>
    <row r="847" spans="1:34">
      <c r="A847" s="106"/>
      <c r="B847" s="107"/>
      <c r="C847" s="107"/>
      <c r="D847" s="107"/>
      <c r="E847" s="108"/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  <c r="AH847" s="107"/>
    </row>
    <row r="848" spans="1:34">
      <c r="A848" s="106"/>
      <c r="B848" s="107"/>
      <c r="C848" s="107"/>
      <c r="D848" s="107"/>
      <c r="E848" s="108"/>
      <c r="F848" s="107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  <c r="Z848" s="107"/>
      <c r="AA848" s="107"/>
      <c r="AB848" s="107"/>
      <c r="AC848" s="107"/>
      <c r="AD848" s="107"/>
      <c r="AE848" s="107"/>
      <c r="AF848" s="107"/>
      <c r="AG848" s="107"/>
      <c r="AH848" s="107"/>
    </row>
    <row r="849" spans="1:34">
      <c r="A849" s="106"/>
      <c r="B849" s="107"/>
      <c r="C849" s="107"/>
      <c r="D849" s="107"/>
      <c r="E849" s="108"/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07"/>
      <c r="AE849" s="107"/>
      <c r="AF849" s="107"/>
      <c r="AG849" s="107"/>
      <c r="AH849" s="107"/>
    </row>
    <row r="850" spans="1:34">
      <c r="A850" s="106"/>
      <c r="B850" s="107"/>
      <c r="C850" s="107"/>
      <c r="D850" s="107"/>
      <c r="E850" s="108"/>
      <c r="F850" s="107"/>
      <c r="G850" s="107"/>
      <c r="H850" s="107"/>
      <c r="I850" s="107"/>
      <c r="J850" s="107"/>
      <c r="K850" s="107"/>
      <c r="L850" s="107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  <c r="Z850" s="107"/>
      <c r="AA850" s="107"/>
      <c r="AB850" s="107"/>
      <c r="AC850" s="107"/>
      <c r="AD850" s="107"/>
      <c r="AE850" s="107"/>
      <c r="AF850" s="107"/>
      <c r="AG850" s="107"/>
      <c r="AH850" s="107"/>
    </row>
    <row r="851" spans="1:34">
      <c r="A851" s="106"/>
      <c r="B851" s="107"/>
      <c r="C851" s="107"/>
      <c r="D851" s="107"/>
      <c r="E851" s="108"/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  <c r="AH851" s="107"/>
    </row>
    <row r="852" spans="1:34">
      <c r="A852" s="106"/>
      <c r="B852" s="107"/>
      <c r="C852" s="107"/>
      <c r="D852" s="107"/>
      <c r="E852" s="108"/>
      <c r="F852" s="107"/>
      <c r="G852" s="107"/>
      <c r="H852" s="107"/>
      <c r="I852" s="107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  <c r="Z852" s="107"/>
      <c r="AA852" s="107"/>
      <c r="AB852" s="107"/>
      <c r="AC852" s="107"/>
      <c r="AD852" s="107"/>
      <c r="AE852" s="107"/>
      <c r="AF852" s="107"/>
      <c r="AG852" s="107"/>
      <c r="AH852" s="107"/>
    </row>
    <row r="853" spans="1:34">
      <c r="A853" s="106"/>
      <c r="B853" s="107"/>
      <c r="C853" s="107"/>
      <c r="D853" s="107"/>
      <c r="E853" s="108"/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07"/>
      <c r="AE853" s="107"/>
      <c r="AF853" s="107"/>
      <c r="AG853" s="107"/>
      <c r="AH853" s="107"/>
    </row>
    <row r="854" spans="1:34">
      <c r="A854" s="106"/>
      <c r="B854" s="107"/>
      <c r="C854" s="107"/>
      <c r="D854" s="107"/>
      <c r="E854" s="108"/>
      <c r="F854" s="107"/>
      <c r="G854" s="107"/>
      <c r="H854" s="107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  <c r="Z854" s="107"/>
      <c r="AA854" s="107"/>
      <c r="AB854" s="107"/>
      <c r="AC854" s="107"/>
      <c r="AD854" s="107"/>
      <c r="AE854" s="107"/>
      <c r="AF854" s="107"/>
      <c r="AG854" s="107"/>
      <c r="AH854" s="107"/>
    </row>
    <row r="855" spans="1:34">
      <c r="A855" s="106"/>
      <c r="B855" s="107"/>
      <c r="C855" s="107"/>
      <c r="D855" s="107"/>
      <c r="E855" s="108"/>
      <c r="F855" s="107"/>
      <c r="G855" s="107"/>
      <c r="H855" s="107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  <c r="Z855" s="107"/>
      <c r="AA855" s="107"/>
      <c r="AB855" s="107"/>
      <c r="AC855" s="107"/>
      <c r="AD855" s="107"/>
      <c r="AE855" s="107"/>
      <c r="AF855" s="107"/>
      <c r="AG855" s="107"/>
      <c r="AH855" s="107"/>
    </row>
    <row r="856" spans="1:34">
      <c r="A856" s="106"/>
      <c r="B856" s="107"/>
      <c r="C856" s="107"/>
      <c r="D856" s="107"/>
      <c r="E856" s="108"/>
      <c r="F856" s="107"/>
      <c r="G856" s="107"/>
      <c r="H856" s="107"/>
      <c r="I856" s="107"/>
      <c r="J856" s="107"/>
      <c r="K856" s="107"/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  <c r="Z856" s="107"/>
      <c r="AA856" s="107"/>
      <c r="AB856" s="107"/>
      <c r="AC856" s="107"/>
      <c r="AD856" s="107"/>
      <c r="AE856" s="107"/>
      <c r="AF856" s="107"/>
      <c r="AG856" s="107"/>
      <c r="AH856" s="107"/>
    </row>
    <row r="857" spans="1:34">
      <c r="A857" s="106"/>
      <c r="B857" s="107"/>
      <c r="C857" s="107"/>
      <c r="D857" s="107"/>
      <c r="E857" s="108"/>
      <c r="F857" s="107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  <c r="Z857" s="107"/>
      <c r="AA857" s="107"/>
      <c r="AB857" s="107"/>
      <c r="AC857" s="107"/>
      <c r="AD857" s="107"/>
      <c r="AE857" s="107"/>
      <c r="AF857" s="107"/>
      <c r="AG857" s="107"/>
      <c r="AH857" s="107"/>
    </row>
    <row r="858" spans="1:34">
      <c r="A858" s="106"/>
      <c r="B858" s="107"/>
      <c r="C858" s="107"/>
      <c r="D858" s="107"/>
      <c r="E858" s="108"/>
      <c r="F858" s="107"/>
      <c r="G858" s="107"/>
      <c r="H858" s="107"/>
      <c r="I858" s="107"/>
      <c r="J858" s="107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  <c r="Z858" s="107"/>
      <c r="AA858" s="107"/>
      <c r="AB858" s="107"/>
      <c r="AC858" s="107"/>
      <c r="AD858" s="107"/>
      <c r="AE858" s="107"/>
      <c r="AF858" s="107"/>
      <c r="AG858" s="107"/>
      <c r="AH858" s="107"/>
    </row>
    <row r="859" spans="1:34">
      <c r="A859" s="106"/>
      <c r="B859" s="107"/>
      <c r="C859" s="107"/>
      <c r="D859" s="107"/>
      <c r="E859" s="108"/>
      <c r="F859" s="107"/>
      <c r="G859" s="107"/>
      <c r="H859" s="107"/>
      <c r="I859" s="107"/>
      <c r="J859" s="107"/>
      <c r="K859" s="107"/>
      <c r="L859" s="107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  <c r="Z859" s="107"/>
      <c r="AA859" s="107"/>
      <c r="AB859" s="107"/>
      <c r="AC859" s="107"/>
      <c r="AD859" s="107"/>
      <c r="AE859" s="107"/>
      <c r="AF859" s="107"/>
      <c r="AG859" s="107"/>
      <c r="AH859" s="107"/>
    </row>
    <row r="860" spans="1:34">
      <c r="A860" s="106"/>
      <c r="B860" s="107"/>
      <c r="C860" s="107"/>
      <c r="D860" s="107"/>
      <c r="E860" s="108"/>
      <c r="F860" s="107"/>
      <c r="G860" s="107"/>
      <c r="H860" s="107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  <c r="Z860" s="107"/>
      <c r="AA860" s="107"/>
      <c r="AB860" s="107"/>
      <c r="AC860" s="107"/>
      <c r="AD860" s="107"/>
      <c r="AE860" s="107"/>
      <c r="AF860" s="107"/>
      <c r="AG860" s="107"/>
      <c r="AH860" s="107"/>
    </row>
    <row r="861" spans="1:34">
      <c r="A861" s="106"/>
      <c r="B861" s="107"/>
      <c r="C861" s="107"/>
      <c r="D861" s="107"/>
      <c r="E861" s="108"/>
      <c r="F861" s="107"/>
      <c r="G861" s="107"/>
      <c r="H861" s="107"/>
      <c r="I861" s="107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  <c r="Z861" s="107"/>
      <c r="AA861" s="107"/>
      <c r="AB861" s="107"/>
      <c r="AC861" s="107"/>
      <c r="AD861" s="107"/>
      <c r="AE861" s="107"/>
      <c r="AF861" s="107"/>
      <c r="AG861" s="107"/>
      <c r="AH861" s="107"/>
    </row>
    <row r="862" spans="1:34">
      <c r="A862" s="106"/>
      <c r="B862" s="107"/>
      <c r="C862" s="107"/>
      <c r="D862" s="107"/>
      <c r="E862" s="108"/>
      <c r="F862" s="107"/>
      <c r="G862" s="107"/>
      <c r="H862" s="107"/>
      <c r="I862" s="107"/>
      <c r="J862" s="107"/>
      <c r="K862" s="107"/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  <c r="Z862" s="107"/>
      <c r="AA862" s="107"/>
      <c r="AB862" s="107"/>
      <c r="AC862" s="107"/>
      <c r="AD862" s="107"/>
      <c r="AE862" s="107"/>
      <c r="AF862" s="107"/>
      <c r="AG862" s="107"/>
      <c r="AH862" s="107"/>
    </row>
    <row r="863" spans="1:34">
      <c r="A863" s="106"/>
      <c r="B863" s="107"/>
      <c r="C863" s="107"/>
      <c r="D863" s="107"/>
      <c r="E863" s="108"/>
      <c r="F863" s="107"/>
      <c r="G863" s="107"/>
      <c r="H863" s="107"/>
      <c r="I863" s="107"/>
      <c r="J863" s="107"/>
      <c r="K863" s="107"/>
      <c r="L863" s="107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  <c r="Z863" s="107"/>
      <c r="AA863" s="107"/>
      <c r="AB863" s="107"/>
      <c r="AC863" s="107"/>
      <c r="AD863" s="107"/>
      <c r="AE863" s="107"/>
      <c r="AF863" s="107"/>
      <c r="AG863" s="107"/>
      <c r="AH863" s="107"/>
    </row>
    <row r="864" spans="1:34">
      <c r="A864" s="106"/>
      <c r="B864" s="107"/>
      <c r="C864" s="107"/>
      <c r="D864" s="107"/>
      <c r="E864" s="108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  <c r="AA864" s="107"/>
      <c r="AB864" s="107"/>
      <c r="AC864" s="107"/>
      <c r="AD864" s="107"/>
      <c r="AE864" s="107"/>
      <c r="AF864" s="107"/>
      <c r="AG864" s="107"/>
      <c r="AH864" s="107"/>
    </row>
    <row r="865" spans="1:34">
      <c r="A865" s="106"/>
      <c r="B865" s="107"/>
      <c r="C865" s="107"/>
      <c r="D865" s="107"/>
      <c r="E865" s="108"/>
      <c r="F865" s="107"/>
      <c r="G865" s="107"/>
      <c r="H865" s="107"/>
      <c r="I865" s="107"/>
      <c r="J865" s="107"/>
      <c r="K865" s="107"/>
      <c r="L865" s="107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  <c r="Z865" s="107"/>
      <c r="AA865" s="107"/>
      <c r="AB865" s="107"/>
      <c r="AC865" s="107"/>
      <c r="AD865" s="107"/>
      <c r="AE865" s="107"/>
      <c r="AF865" s="107"/>
      <c r="AG865" s="107"/>
      <c r="AH865" s="107"/>
    </row>
    <row r="866" spans="1:34">
      <c r="A866" s="106"/>
      <c r="B866" s="107"/>
      <c r="C866" s="107"/>
      <c r="D866" s="107"/>
      <c r="E866" s="108"/>
      <c r="F866" s="107"/>
      <c r="G866" s="107"/>
      <c r="H866" s="107"/>
      <c r="I866" s="107"/>
      <c r="J866" s="107"/>
      <c r="K866" s="107"/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  <c r="Z866" s="107"/>
      <c r="AA866" s="107"/>
      <c r="AB866" s="107"/>
      <c r="AC866" s="107"/>
      <c r="AD866" s="107"/>
      <c r="AE866" s="107"/>
      <c r="AF866" s="107"/>
      <c r="AG866" s="107"/>
      <c r="AH866" s="107"/>
    </row>
    <row r="867" spans="1:34">
      <c r="A867" s="106"/>
      <c r="B867" s="107"/>
      <c r="C867" s="107"/>
      <c r="D867" s="107"/>
      <c r="E867" s="108"/>
      <c r="F867" s="107"/>
      <c r="G867" s="107"/>
      <c r="H867" s="107"/>
      <c r="I867" s="107"/>
      <c r="J867" s="107"/>
      <c r="K867" s="107"/>
      <c r="L867" s="107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  <c r="Z867" s="107"/>
      <c r="AA867" s="107"/>
      <c r="AB867" s="107"/>
      <c r="AC867" s="107"/>
      <c r="AD867" s="107"/>
      <c r="AE867" s="107"/>
      <c r="AF867" s="107"/>
      <c r="AG867" s="107"/>
      <c r="AH867" s="107"/>
    </row>
    <row r="868" spans="1:34">
      <c r="A868" s="106"/>
      <c r="B868" s="107"/>
      <c r="C868" s="107"/>
      <c r="D868" s="107"/>
      <c r="E868" s="108"/>
      <c r="F868" s="107"/>
      <c r="G868" s="107"/>
      <c r="H868" s="107"/>
      <c r="I868" s="107"/>
      <c r="J868" s="107"/>
      <c r="K868" s="107"/>
      <c r="L868" s="107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  <c r="Z868" s="107"/>
      <c r="AA868" s="107"/>
      <c r="AB868" s="107"/>
      <c r="AC868" s="107"/>
      <c r="AD868" s="107"/>
      <c r="AE868" s="107"/>
      <c r="AF868" s="107"/>
      <c r="AG868" s="107"/>
      <c r="AH868" s="107"/>
    </row>
    <row r="869" spans="1:34">
      <c r="A869" s="106"/>
      <c r="B869" s="107"/>
      <c r="C869" s="107"/>
      <c r="D869" s="107"/>
      <c r="E869" s="108"/>
      <c r="F869" s="107"/>
      <c r="G869" s="107"/>
      <c r="H869" s="107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  <c r="Z869" s="107"/>
      <c r="AA869" s="107"/>
      <c r="AB869" s="107"/>
      <c r="AC869" s="107"/>
      <c r="AD869" s="107"/>
      <c r="AE869" s="107"/>
      <c r="AF869" s="107"/>
      <c r="AG869" s="107"/>
      <c r="AH869" s="107"/>
    </row>
    <row r="870" spans="1:34">
      <c r="A870" s="106"/>
      <c r="B870" s="107"/>
      <c r="C870" s="107"/>
      <c r="D870" s="107"/>
      <c r="E870" s="108"/>
      <c r="F870" s="107"/>
      <c r="G870" s="107"/>
      <c r="H870" s="107"/>
      <c r="I870" s="107"/>
      <c r="J870" s="107"/>
      <c r="K870" s="107"/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  <c r="Z870" s="107"/>
      <c r="AA870" s="107"/>
      <c r="AB870" s="107"/>
      <c r="AC870" s="107"/>
      <c r="AD870" s="107"/>
      <c r="AE870" s="107"/>
      <c r="AF870" s="107"/>
      <c r="AG870" s="107"/>
      <c r="AH870" s="107"/>
    </row>
    <row r="871" spans="1:34">
      <c r="A871" s="106"/>
      <c r="B871" s="107"/>
      <c r="C871" s="107"/>
      <c r="D871" s="107"/>
      <c r="E871" s="108"/>
      <c r="F871" s="107"/>
      <c r="G871" s="107"/>
      <c r="H871" s="107"/>
      <c r="I871" s="107"/>
      <c r="J871" s="107"/>
      <c r="K871" s="107"/>
      <c r="L871" s="107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  <c r="Z871" s="107"/>
      <c r="AA871" s="107"/>
      <c r="AB871" s="107"/>
      <c r="AC871" s="107"/>
      <c r="AD871" s="107"/>
      <c r="AE871" s="107"/>
      <c r="AF871" s="107"/>
      <c r="AG871" s="107"/>
      <c r="AH871" s="107"/>
    </row>
    <row r="872" spans="1:34">
      <c r="A872" s="106"/>
      <c r="B872" s="107"/>
      <c r="C872" s="107"/>
      <c r="D872" s="107"/>
      <c r="E872" s="108"/>
      <c r="F872" s="107"/>
      <c r="G872" s="107"/>
      <c r="H872" s="107"/>
      <c r="I872" s="107"/>
      <c r="J872" s="107"/>
      <c r="K872" s="107"/>
      <c r="L872" s="107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  <c r="Z872" s="107"/>
      <c r="AA872" s="107"/>
      <c r="AB872" s="107"/>
      <c r="AC872" s="107"/>
      <c r="AD872" s="107"/>
      <c r="AE872" s="107"/>
      <c r="AF872" s="107"/>
      <c r="AG872" s="107"/>
      <c r="AH872" s="107"/>
    </row>
  </sheetData>
  <mergeCells count="35">
    <mergeCell ref="CH5:CI5"/>
    <mergeCell ref="AP80:AQ80"/>
    <mergeCell ref="A3:B3"/>
    <mergeCell ref="BO5:BR5"/>
    <mergeCell ref="C86:F86"/>
    <mergeCell ref="X4:Y4"/>
    <mergeCell ref="L5:M5"/>
    <mergeCell ref="N5:O5"/>
    <mergeCell ref="P5:Q5"/>
    <mergeCell ref="R5:S5"/>
    <mergeCell ref="Z5:AA5"/>
    <mergeCell ref="AH5:AI5"/>
    <mergeCell ref="AJ5:AK5"/>
    <mergeCell ref="A1:B1"/>
    <mergeCell ref="A2:B2"/>
    <mergeCell ref="BK5:BN5"/>
    <mergeCell ref="H1:M4"/>
    <mergeCell ref="N1:S4"/>
    <mergeCell ref="AB4:AF4"/>
    <mergeCell ref="Z4:AA4"/>
    <mergeCell ref="AH1:AK1"/>
    <mergeCell ref="AL1:AM1"/>
    <mergeCell ref="AB1:AF1"/>
    <mergeCell ref="X1:AA1"/>
    <mergeCell ref="D5:E5"/>
    <mergeCell ref="F5:G5"/>
    <mergeCell ref="D1:E4"/>
    <mergeCell ref="H5:I5"/>
    <mergeCell ref="J5:K5"/>
    <mergeCell ref="BS91:BV91"/>
    <mergeCell ref="T1:W1"/>
    <mergeCell ref="T4:W4"/>
    <mergeCell ref="T5:U5"/>
    <mergeCell ref="V5:W5"/>
    <mergeCell ref="X5:Y5"/>
  </mergeCells>
  <phoneticPr fontId="0" type="noConversion"/>
  <conditionalFormatting sqref="BS9:BV77">
    <cfRule type="cellIs" dxfId="0" priority="1" operator="between">
      <formula>-8000000</formula>
      <formula>0</formula>
    </cfRule>
  </conditionalFormatting>
  <printOptions horizontalCentered="1"/>
  <pageMargins left="0.25" right="0.25" top="0.98" bottom="0.42" header="0.27" footer="0.16"/>
  <pageSetup paperSize="5" scale="66" firstPageNumber="24" fitToWidth="14" orientation="portrait" useFirstPageNumber="1" r:id="rId1"/>
  <headerFooter alignWithMargins="0">
    <oddHeader xml:space="preserve">&amp;L&amp;"Arial,Bold"&amp;16TABLE 3: FY2013-14 Budget Letter (Projection) &amp;20
&amp;16LEVEL 1 BASE PER PUPIL AND LEVEL 2 LOCAL INCENTIVE </oddHeader>
    <oddFooter>&amp;R&amp;12&amp;P</oddFooter>
  </headerFooter>
  <colBreaks count="15" manualBreakCount="15">
    <brk id="7" max="78" man="1"/>
    <brk id="13" max="78" man="1"/>
    <brk id="19" max="78" man="1"/>
    <brk id="23" max="78" man="1"/>
    <brk id="27" max="78" man="1"/>
    <brk id="33" max="78" man="1"/>
    <brk id="39" max="78" man="1"/>
    <brk id="45" max="78" man="1"/>
    <brk id="52" max="78" man="1"/>
    <brk id="59" max="78" man="1"/>
    <brk id="66" max="78" man="1"/>
    <brk id="70" max="78" man="1"/>
    <brk id="78" max="78" man="1"/>
    <brk id="85" max="78" man="1"/>
    <brk id="97" max="8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U85"/>
  <sheetViews>
    <sheetView view="pageBreakPreview" topLeftCell="A2" zoomScale="90" zoomScaleNormal="100" zoomScaleSheetLayoutView="90" workbookViewId="0">
      <pane xSplit="2" ySplit="4" topLeftCell="C6" activePane="bottomRight" state="frozen"/>
      <selection activeCell="B3" sqref="B3:B5"/>
      <selection pane="topRight" activeCell="B3" sqref="B3:B5"/>
      <selection pane="bottomLeft" activeCell="B3" sqref="B3:B5"/>
      <selection pane="bottomRight" activeCell="B2" sqref="B2:B4"/>
    </sheetView>
  </sheetViews>
  <sheetFormatPr defaultColWidth="12.5703125" defaultRowHeight="12.75"/>
  <cols>
    <col min="1" max="1" width="4.28515625" style="2" customWidth="1"/>
    <col min="2" max="2" width="17.140625" style="2" customWidth="1"/>
    <col min="3" max="3" width="13.5703125" style="2" customWidth="1"/>
    <col min="4" max="4" width="13.42578125" style="2" customWidth="1"/>
    <col min="5" max="5" width="13.140625" style="2" customWidth="1"/>
    <col min="6" max="6" width="13.85546875" style="2" customWidth="1"/>
    <col min="7" max="7" width="13.7109375" style="2" customWidth="1"/>
    <col min="8" max="8" width="13.5703125" style="2" customWidth="1"/>
    <col min="9" max="9" width="10.7109375" style="2" customWidth="1"/>
    <col min="10" max="10" width="16.140625" style="2" customWidth="1"/>
    <col min="11" max="11" width="14" style="2" customWidth="1"/>
    <col min="12" max="12" width="13.7109375" style="2" customWidth="1"/>
    <col min="13" max="13" width="15.28515625" style="2" customWidth="1"/>
    <col min="14" max="14" width="26.42578125" style="2" customWidth="1"/>
    <col min="15" max="15" width="28.28515625" style="2" customWidth="1"/>
    <col min="16" max="16" width="21" style="2" customWidth="1"/>
    <col min="17" max="17" width="2" style="2" customWidth="1"/>
    <col min="18" max="19" width="12.5703125" style="2"/>
    <col min="20" max="20" width="16" style="2" bestFit="1" customWidth="1"/>
    <col min="21" max="16384" width="12.5703125" style="2"/>
  </cols>
  <sheetData>
    <row r="1" spans="1:21" ht="40.5" hidden="1">
      <c r="A1" s="80" t="s">
        <v>203</v>
      </c>
      <c r="B1" s="125"/>
      <c r="C1" s="124" t="s">
        <v>75</v>
      </c>
      <c r="D1" s="124" t="s">
        <v>66</v>
      </c>
      <c r="E1" s="124" t="s">
        <v>75</v>
      </c>
      <c r="F1" s="124" t="s">
        <v>67</v>
      </c>
      <c r="G1" s="124"/>
      <c r="H1" s="124"/>
      <c r="I1" s="124"/>
      <c r="J1" s="124"/>
      <c r="K1" s="124"/>
      <c r="L1" s="124"/>
      <c r="M1" s="481"/>
    </row>
    <row r="2" spans="1:21" ht="74.25" customHeight="1">
      <c r="A2" s="1950" t="s">
        <v>190</v>
      </c>
      <c r="B2" s="1952" t="s">
        <v>255</v>
      </c>
      <c r="C2" s="1959" t="s">
        <v>1164</v>
      </c>
      <c r="D2" s="1960"/>
      <c r="E2" s="1960"/>
      <c r="F2" s="1960"/>
      <c r="G2" s="1960"/>
      <c r="H2" s="1960"/>
      <c r="I2" s="1960"/>
      <c r="J2" s="1961"/>
      <c r="K2" s="1967" t="s">
        <v>392</v>
      </c>
      <c r="L2" s="1968"/>
      <c r="M2" s="1958" t="s">
        <v>1165</v>
      </c>
      <c r="N2" s="1962" t="s">
        <v>400</v>
      </c>
      <c r="O2" s="1963"/>
      <c r="P2" s="1859" t="s">
        <v>1166</v>
      </c>
    </row>
    <row r="3" spans="1:21" ht="97.5" customHeight="1">
      <c r="A3" s="1951"/>
      <c r="B3" s="1951"/>
      <c r="C3" s="1862" t="s">
        <v>1</v>
      </c>
      <c r="D3" s="1862" t="s">
        <v>0</v>
      </c>
      <c r="E3" s="1862" t="s">
        <v>230</v>
      </c>
      <c r="F3" s="1862" t="s">
        <v>1048</v>
      </c>
      <c r="G3" s="1862" t="s">
        <v>772</v>
      </c>
      <c r="H3" s="1956" t="s">
        <v>1047</v>
      </c>
      <c r="I3" s="1956" t="s">
        <v>1183</v>
      </c>
      <c r="J3" s="67" t="s">
        <v>427</v>
      </c>
      <c r="K3" s="1862" t="s">
        <v>1182</v>
      </c>
      <c r="L3" s="67" t="s">
        <v>388</v>
      </c>
      <c r="M3" s="1860"/>
      <c r="N3" s="1953" t="s">
        <v>707</v>
      </c>
      <c r="O3" s="1862" t="s">
        <v>1050</v>
      </c>
      <c r="P3" s="1860"/>
      <c r="S3" s="1317"/>
    </row>
    <row r="4" spans="1:21" ht="25.5" customHeight="1">
      <c r="A4" s="1951"/>
      <c r="B4" s="1951"/>
      <c r="C4" s="1864"/>
      <c r="D4" s="1864"/>
      <c r="E4" s="1864"/>
      <c r="F4" s="1864"/>
      <c r="G4" s="1864"/>
      <c r="H4" s="1957"/>
      <c r="I4" s="1957"/>
      <c r="J4" s="307">
        <f>-(F75-(H75))/I75</f>
        <v>35.357245237531401</v>
      </c>
      <c r="K4" s="1864"/>
      <c r="L4" s="306">
        <v>100</v>
      </c>
      <c r="M4" s="1861"/>
      <c r="N4" s="1954"/>
      <c r="O4" s="1955"/>
      <c r="P4" s="1861"/>
    </row>
    <row r="5" spans="1:21" s="212" customFormat="1" ht="14.25" customHeight="1">
      <c r="A5" s="223"/>
      <c r="B5" s="300"/>
      <c r="C5" s="309">
        <v>1</v>
      </c>
      <c r="D5" s="309">
        <f t="shared" ref="D5:J5" si="0">C5+1</f>
        <v>2</v>
      </c>
      <c r="E5" s="309">
        <f t="shared" si="0"/>
        <v>3</v>
      </c>
      <c r="F5" s="309">
        <f t="shared" si="0"/>
        <v>4</v>
      </c>
      <c r="G5" s="309">
        <f t="shared" si="0"/>
        <v>5</v>
      </c>
      <c r="H5" s="309">
        <f t="shared" si="0"/>
        <v>6</v>
      </c>
      <c r="I5" s="309">
        <f t="shared" si="0"/>
        <v>7</v>
      </c>
      <c r="J5" s="309">
        <f t="shared" si="0"/>
        <v>8</v>
      </c>
      <c r="K5" s="309">
        <f t="shared" ref="K5" si="1">J5+1</f>
        <v>9</v>
      </c>
      <c r="L5" s="309">
        <f t="shared" ref="L5" si="2">K5+1</f>
        <v>10</v>
      </c>
      <c r="M5" s="309">
        <f t="shared" ref="M5" si="3">L5+1</f>
        <v>11</v>
      </c>
      <c r="N5" s="309">
        <f t="shared" ref="N5" si="4">M5+1</f>
        <v>12</v>
      </c>
      <c r="O5" s="309">
        <f t="shared" ref="O5" si="5">N5+1</f>
        <v>13</v>
      </c>
      <c r="P5" s="309">
        <f t="shared" ref="P5" si="6">O5+1</f>
        <v>14</v>
      </c>
    </row>
    <row r="6" spans="1:21">
      <c r="A6" s="99">
        <v>1</v>
      </c>
      <c r="B6" s="301" t="s">
        <v>95</v>
      </c>
      <c r="C6" s="317">
        <v>0</v>
      </c>
      <c r="D6" s="317">
        <v>0</v>
      </c>
      <c r="E6" s="317">
        <f>C6-D6</f>
        <v>0</v>
      </c>
      <c r="F6" s="318">
        <f>'[14]Table 4 Level 3'!F6+'[14]Table 4 Level 3'!H6</f>
        <v>0</v>
      </c>
      <c r="G6" s="318">
        <f t="shared" ref="G6:G37" si="7">SUM(E6:F6)</f>
        <v>0</v>
      </c>
      <c r="H6" s="318">
        <f>ROUND(-G6/4,0)</f>
        <v>0</v>
      </c>
      <c r="I6" s="316">
        <f>IF(F6&lt;0,0,'Table 3 Levels 1&amp;2'!C9)</f>
        <v>9601</v>
      </c>
      <c r="J6" s="313">
        <f t="shared" ref="J6:J37" si="8">ROUND($J$4*I6,0)</f>
        <v>339465</v>
      </c>
      <c r="K6" s="316">
        <f>'Table 3 Levels 1&amp;2'!C9</f>
        <v>9601</v>
      </c>
      <c r="L6" s="313">
        <f t="shared" ref="L6:L37" si="9">ROUND(K6*$L$4,0)</f>
        <v>960100</v>
      </c>
      <c r="M6" s="313">
        <f>D6+E6+F6+H6+J6+L6</f>
        <v>1299565</v>
      </c>
      <c r="N6" s="310">
        <v>777.48</v>
      </c>
      <c r="O6" s="311">
        <f>(('[2]ALL-Reformatted'!C6+'[2]ALL-Reformatted'!D6+'[2]ALL-Reformatted'!E6+'[2]ALL-Reformatted'!F6)*N6)+'Table 5A2 LSMSA'!G7+'Table 5A3 NOCCA'!G7+'Table 5A4_LSDVI'!G7+'Table 5A5_SSD'!G7+'Table 5C1A-Madison Prep'!G7+'Table 5C1B-DArbonne'!G7+'Table 5C1C-Intl_VIBE'!G7+'Table 5C1D-NOMMA'!G7+'Table 5C1E-LFNO'!G7+'Table 5C1F-Lake Charles Charter'!G7+'Table 5C1G-JS Clark Academy'!G7+'Table 5C1H-Southwest LA Charter'!G7+'Table 5C2 - LA Virtual Admy'!G4+'Table 5C3 - LA Connections EBR'!G4+'Table 5D1 - New Vision'!F7+'Table 5D2 - Glencoe'!F7+'Table 5D3 - International'!F7+'Table 5D4 - Avoyelles'!F7+'Table 5D5 - Delhi'!F7+'Table 5D6 - Milestone'!F7+'Table 5D7 - Max'!F7+'Table 5D8 - Belle Chasse'!H7</f>
        <v>7462097.5440000007</v>
      </c>
      <c r="P6" s="313">
        <f>M6+O6</f>
        <v>8761662.5439999998</v>
      </c>
      <c r="R6" s="23"/>
      <c r="S6" s="1790"/>
      <c r="T6" s="1784"/>
      <c r="U6" s="64"/>
    </row>
    <row r="7" spans="1:21">
      <c r="A7" s="99">
        <v>2</v>
      </c>
      <c r="B7" s="301" t="s">
        <v>96</v>
      </c>
      <c r="C7" s="317">
        <v>0</v>
      </c>
      <c r="D7" s="317">
        <v>0</v>
      </c>
      <c r="E7" s="317">
        <f t="shared" ref="E7:E70" si="10">C7-D7</f>
        <v>0</v>
      </c>
      <c r="F7" s="318">
        <f>'[15]Table 4 Level 3'!F7+'[15]Table 4 Level 3'!H7</f>
        <v>0</v>
      </c>
      <c r="G7" s="318">
        <f t="shared" si="7"/>
        <v>0</v>
      </c>
      <c r="H7" s="318">
        <f t="shared" ref="H7:H70" si="11">ROUND(-G7/4,0)</f>
        <v>0</v>
      </c>
      <c r="I7" s="316">
        <f>IF(F7&lt;0,0,'Table 3 Levels 1&amp;2'!C10)</f>
        <v>4083</v>
      </c>
      <c r="J7" s="313">
        <f t="shared" si="8"/>
        <v>144364</v>
      </c>
      <c r="K7" s="316">
        <f>'Table 3 Levels 1&amp;2'!C10</f>
        <v>4083</v>
      </c>
      <c r="L7" s="313">
        <f t="shared" si="9"/>
        <v>408300</v>
      </c>
      <c r="M7" s="313">
        <f t="shared" ref="M7:M70" si="12">D7+E7+F7+H7+J7+L7</f>
        <v>552664</v>
      </c>
      <c r="N7" s="310">
        <v>842.32</v>
      </c>
      <c r="O7" s="313">
        <f>(('[2]ALL-Reformatted'!C7+'[2]ALL-Reformatted'!D7+'[2]ALL-Reformatted'!E7+'[2]ALL-Reformatted'!F7)*N7)+'Table 5A2 LSMSA'!G8+'Table 5A3 NOCCA'!G8+'Table 5A4_LSDVI'!G8+'Table 5A5_SSD'!G8+'Table 5C1A-Madison Prep'!G8+'Table 5C1B-DArbonne'!G8+'Table 5C1C-Intl_VIBE'!G8+'Table 5C1D-NOMMA'!G8+'Table 5C1E-LFNO'!G8+'Table 5C1F-Lake Charles Charter'!G8+'Table 5C1G-JS Clark Academy'!G8+'Table 5C1H-Southwest LA Charter'!G8+'Table 5C2 - LA Virtual Admy'!G5+'Table 5C3 - LA Connections EBR'!G5+'Table 5D1 - New Vision'!F8+'Table 5D2 - Glencoe'!F8+'Table 5D3 - International'!F8+'Table 5D4 - Avoyelles'!F8+'Table 5D5 - Delhi'!F8+'Table 5D6 - Milestone'!F8+'Table 5D7 - Max'!F8+'Table 5D8 - Belle Chasse'!H8</f>
        <v>3438687.1680000001</v>
      </c>
      <c r="P7" s="313">
        <f t="shared" ref="P7:P70" si="13">M7+O7</f>
        <v>3991351.1680000001</v>
      </c>
      <c r="R7" s="23"/>
      <c r="S7" s="1790"/>
      <c r="T7" s="1784"/>
      <c r="U7" s="64"/>
    </row>
    <row r="8" spans="1:21">
      <c r="A8" s="99">
        <v>3</v>
      </c>
      <c r="B8" s="301" t="s">
        <v>97</v>
      </c>
      <c r="C8" s="317">
        <v>0</v>
      </c>
      <c r="D8" s="317">
        <v>0</v>
      </c>
      <c r="E8" s="317">
        <f t="shared" si="10"/>
        <v>0</v>
      </c>
      <c r="F8" s="318">
        <f>'[15]Table 4 Level 3'!F8+'[15]Table 4 Level 3'!H8</f>
        <v>0</v>
      </c>
      <c r="G8" s="318">
        <f t="shared" si="7"/>
        <v>0</v>
      </c>
      <c r="H8" s="318">
        <f t="shared" si="11"/>
        <v>0</v>
      </c>
      <c r="I8" s="316">
        <f>IF(F8&lt;0,0,'Table 3 Levels 1&amp;2'!C11)</f>
        <v>20690</v>
      </c>
      <c r="J8" s="313">
        <f t="shared" si="8"/>
        <v>731541</v>
      </c>
      <c r="K8" s="316">
        <f>'Table 3 Levels 1&amp;2'!C11</f>
        <v>20690</v>
      </c>
      <c r="L8" s="313">
        <f t="shared" si="9"/>
        <v>2069000</v>
      </c>
      <c r="M8" s="313">
        <f t="shared" si="12"/>
        <v>2800541</v>
      </c>
      <c r="N8" s="310">
        <v>596.84</v>
      </c>
      <c r="O8" s="313">
        <f>(('[2]ALL-Reformatted'!C8+'[2]ALL-Reformatted'!D8+'[2]ALL-Reformatted'!E8+'[2]ALL-Reformatted'!F8)*N8)+'Table 5A2 LSMSA'!G9+'Table 5A3 NOCCA'!G9+'Table 5A4_LSDVI'!G9+'Table 5A5_SSD'!G9+'Table 5C1A-Madison Prep'!G9+'Table 5C1B-DArbonne'!G9+'Table 5C1C-Intl_VIBE'!G9+'Table 5C1D-NOMMA'!G9+'Table 5C1E-LFNO'!G9+'Table 5C1F-Lake Charles Charter'!G9+'Table 5C1G-JS Clark Academy'!G9+'Table 5C1H-Southwest LA Charter'!G9+'Table 5C2 - LA Virtual Admy'!G6+'Table 5C3 - LA Connections EBR'!G6+'Table 5D1 - New Vision'!F9+'Table 5D2 - Glencoe'!F9+'Table 5D3 - International'!F9+'Table 5D4 - Avoyelles'!F9+'Table 5D5 - Delhi'!F9+'Table 5D6 - Milestone'!F9+'Table 5D7 - Max'!F9+'Table 5D8 - Belle Chasse'!H9</f>
        <v>12344683.143809985</v>
      </c>
      <c r="P8" s="313">
        <f t="shared" si="13"/>
        <v>15145224.143809985</v>
      </c>
      <c r="R8" s="23"/>
      <c r="S8" s="1790"/>
      <c r="T8" s="1784"/>
      <c r="U8" s="64"/>
    </row>
    <row r="9" spans="1:21">
      <c r="A9" s="99">
        <v>4</v>
      </c>
      <c r="B9" s="301" t="s">
        <v>98</v>
      </c>
      <c r="C9" s="317">
        <v>0</v>
      </c>
      <c r="D9" s="317">
        <v>0</v>
      </c>
      <c r="E9" s="317">
        <f t="shared" si="10"/>
        <v>0</v>
      </c>
      <c r="F9" s="318">
        <f>'[15]Table 4 Level 3'!F9+'[15]Table 4 Level 3'!H9</f>
        <v>0</v>
      </c>
      <c r="G9" s="318">
        <f t="shared" si="7"/>
        <v>0</v>
      </c>
      <c r="H9" s="318">
        <f t="shared" si="11"/>
        <v>0</v>
      </c>
      <c r="I9" s="316">
        <f>IF(F9&lt;0,0,'Table 3 Levels 1&amp;2'!C12)</f>
        <v>3564</v>
      </c>
      <c r="J9" s="313">
        <f t="shared" si="8"/>
        <v>126013</v>
      </c>
      <c r="K9" s="316">
        <f>'Table 3 Levels 1&amp;2'!C12</f>
        <v>3564</v>
      </c>
      <c r="L9" s="313">
        <f t="shared" si="9"/>
        <v>356400</v>
      </c>
      <c r="M9" s="313">
        <f t="shared" si="12"/>
        <v>482413</v>
      </c>
      <c r="N9" s="310">
        <v>585.76</v>
      </c>
      <c r="O9" s="313">
        <f>(('[2]ALL-Reformatted'!C9+'[2]ALL-Reformatted'!D9+'[2]ALL-Reformatted'!E9+'[2]ALL-Reformatted'!F9)*N9)+'Table 5A2 LSMSA'!G10+'Table 5A3 NOCCA'!G10+'Table 5A4_LSDVI'!G10+'Table 5A5_SSD'!G10+'Table 5C1A-Madison Prep'!G10+'Table 5C1B-DArbonne'!G10+'Table 5C1C-Intl_VIBE'!G10+'Table 5C1D-NOMMA'!G10+'Table 5C1E-LFNO'!G10+'Table 5C1F-Lake Charles Charter'!G10+'Table 5C1G-JS Clark Academy'!G10+'Table 5C1H-Southwest LA Charter'!G10+'Table 5C2 - LA Virtual Admy'!G7+'Table 5C3 - LA Connections EBR'!G7+'Table 5D1 - New Vision'!F10+'Table 5D2 - Glencoe'!F10+'Table 5D3 - International'!F10+'Table 5D4 - Avoyelles'!F10+'Table 5D5 - Delhi'!F10+'Table 5D6 - Milestone'!F10+'Table 5D7 - Max'!F10+'Table 5D8 - Belle Chasse'!H10</f>
        <v>2087444.0876199699</v>
      </c>
      <c r="P9" s="313">
        <f t="shared" si="13"/>
        <v>2569857.0876199696</v>
      </c>
      <c r="R9" s="23"/>
      <c r="S9" s="1790"/>
      <c r="T9" s="1784"/>
      <c r="U9" s="64"/>
    </row>
    <row r="10" spans="1:21">
      <c r="A10" s="100">
        <v>5</v>
      </c>
      <c r="B10" s="302" t="s">
        <v>99</v>
      </c>
      <c r="C10" s="324">
        <v>0</v>
      </c>
      <c r="D10" s="324">
        <v>0</v>
      </c>
      <c r="E10" s="324">
        <f t="shared" si="10"/>
        <v>0</v>
      </c>
      <c r="F10" s="325">
        <f>'[15]Table 4 Level 3'!F10+'[15]Table 4 Level 3'!H10</f>
        <v>0</v>
      </c>
      <c r="G10" s="325">
        <f t="shared" si="7"/>
        <v>0</v>
      </c>
      <c r="H10" s="325">
        <f t="shared" si="11"/>
        <v>0</v>
      </c>
      <c r="I10" s="323">
        <f>IF(F10&lt;0,0,'Table 3 Levels 1&amp;2'!C13)</f>
        <v>6451</v>
      </c>
      <c r="J10" s="320">
        <f t="shared" si="8"/>
        <v>228090</v>
      </c>
      <c r="K10" s="323">
        <f>'Table 3 Levels 1&amp;2'!C13</f>
        <v>6451</v>
      </c>
      <c r="L10" s="320">
        <f t="shared" si="9"/>
        <v>645100</v>
      </c>
      <c r="M10" s="320">
        <f t="shared" si="12"/>
        <v>873190</v>
      </c>
      <c r="N10" s="319">
        <v>555.91</v>
      </c>
      <c r="O10" s="320">
        <f>(('[2]ALL-Reformatted'!C10+'[2]ALL-Reformatted'!D10+'[2]ALL-Reformatted'!E10+'[2]ALL-Reformatted'!F10)*N10)+'Table 5A2 LSMSA'!G11+'Table 5A3 NOCCA'!G11+'Table 5A4_LSDVI'!G11+'Table 5A5_SSD'!G11+'Table 5C1A-Madison Prep'!G11+'Table 5C1B-DArbonne'!G11+'Table 5C1C-Intl_VIBE'!G11+'Table 5C1D-NOMMA'!G11+'Table 5C1E-LFNO'!G11+'Table 5C1F-Lake Charles Charter'!G11+'Table 5C1G-JS Clark Academy'!G11+'Table 5C1H-Southwest LA Charter'!G11+'Table 5C2 - LA Virtual Admy'!G8+'Table 5C3 - LA Connections EBR'!G8+'Table 5D1 - New Vision'!F11+'Table 5D2 - Glencoe'!F11+'Table 5D3 - International'!F11+'Table 5D4 - Avoyelles'!F11+'Table 5D5 - Delhi'!F11+'Table 5D6 - Milestone'!F11+'Table 5D7 - Max'!F11+'Table 5D8 - Belle Chasse'!H11</f>
        <v>3570692.4270495623</v>
      </c>
      <c r="P10" s="320">
        <f t="shared" si="13"/>
        <v>4443882.4270495623</v>
      </c>
      <c r="R10" s="23"/>
      <c r="S10" s="1790"/>
      <c r="T10" s="1784"/>
      <c r="U10" s="64"/>
    </row>
    <row r="11" spans="1:21">
      <c r="A11" s="99">
        <v>6</v>
      </c>
      <c r="B11" s="301" t="s">
        <v>100</v>
      </c>
      <c r="C11" s="317">
        <v>0</v>
      </c>
      <c r="D11" s="317">
        <v>0</v>
      </c>
      <c r="E11" s="317">
        <f t="shared" si="10"/>
        <v>0</v>
      </c>
      <c r="F11" s="318">
        <f>'[15]Table 4 Level 3'!F11+'[15]Table 4 Level 3'!H11</f>
        <v>0</v>
      </c>
      <c r="G11" s="318">
        <f t="shared" si="7"/>
        <v>0</v>
      </c>
      <c r="H11" s="318">
        <f t="shared" si="11"/>
        <v>0</v>
      </c>
      <c r="I11" s="316">
        <f>IF(F11&lt;0,0,'Table 3 Levels 1&amp;2'!C14)</f>
        <v>6064</v>
      </c>
      <c r="J11" s="313">
        <f t="shared" si="8"/>
        <v>214406</v>
      </c>
      <c r="K11" s="316">
        <f>'Table 3 Levels 1&amp;2'!C14</f>
        <v>6064</v>
      </c>
      <c r="L11" s="313">
        <f t="shared" si="9"/>
        <v>606400</v>
      </c>
      <c r="M11" s="313">
        <f t="shared" si="12"/>
        <v>820806</v>
      </c>
      <c r="N11" s="310">
        <v>545.4799999999999</v>
      </c>
      <c r="O11" s="313">
        <f>(('[2]ALL-Reformatted'!C11+'[2]ALL-Reformatted'!D11+'[2]ALL-Reformatted'!E11+'[2]ALL-Reformatted'!F11)*N11)+'Table 5A2 LSMSA'!G12+'Table 5A3 NOCCA'!G12+'Table 5A4_LSDVI'!G12+'Table 5A5_SSD'!G12+'Table 5C1A-Madison Prep'!G12+'Table 5C1B-DArbonne'!G12+'Table 5C1C-Intl_VIBE'!G12+'Table 5C1D-NOMMA'!G12+'Table 5C1E-LFNO'!G12+'Table 5C1F-Lake Charles Charter'!G12+'Table 5C1G-JS Clark Academy'!G12+'Table 5C1H-Southwest LA Charter'!G12+'Table 5C2 - LA Virtual Admy'!G9+'Table 5C3 - LA Connections EBR'!G9+'Table 5D1 - New Vision'!F12+'Table 5D2 - Glencoe'!F12+'Table 5D3 - International'!F12+'Table 5D4 - Avoyelles'!F12+'Table 5D5 - Delhi'!F12+'Table 5D6 - Milestone'!F12+'Table 5D7 - Max'!F12+'Table 5D8 - Belle Chasse'!H12</f>
        <v>3305663.3479999993</v>
      </c>
      <c r="P11" s="313">
        <f t="shared" si="13"/>
        <v>4126469.3479999993</v>
      </c>
      <c r="R11" s="23"/>
      <c r="S11" s="1790"/>
      <c r="T11" s="1784"/>
      <c r="U11" s="64"/>
    </row>
    <row r="12" spans="1:21">
      <c r="A12" s="99">
        <v>7</v>
      </c>
      <c r="B12" s="301" t="s">
        <v>101</v>
      </c>
      <c r="C12" s="317">
        <v>0</v>
      </c>
      <c r="D12" s="317">
        <v>0</v>
      </c>
      <c r="E12" s="317">
        <f t="shared" si="10"/>
        <v>0</v>
      </c>
      <c r="F12" s="318">
        <f>'[15]Table 4 Level 3'!F12+'[15]Table 4 Level 3'!H12</f>
        <v>0</v>
      </c>
      <c r="G12" s="318">
        <f t="shared" si="7"/>
        <v>0</v>
      </c>
      <c r="H12" s="318">
        <f t="shared" si="11"/>
        <v>0</v>
      </c>
      <c r="I12" s="316">
        <f>IF(F12&lt;0,0,'Table 3 Levels 1&amp;2'!C15)</f>
        <v>2211</v>
      </c>
      <c r="J12" s="313">
        <f t="shared" si="8"/>
        <v>78175</v>
      </c>
      <c r="K12" s="316">
        <f>'Table 3 Levels 1&amp;2'!C15</f>
        <v>2211</v>
      </c>
      <c r="L12" s="313">
        <f t="shared" si="9"/>
        <v>221100</v>
      </c>
      <c r="M12" s="313">
        <f t="shared" si="12"/>
        <v>299275</v>
      </c>
      <c r="N12" s="310">
        <v>756.91999999999985</v>
      </c>
      <c r="O12" s="313">
        <f>(('[2]ALL-Reformatted'!C12+'[2]ALL-Reformatted'!D12+'[2]ALL-Reformatted'!E12+'[2]ALL-Reformatted'!F12)*N12)+'Table 5A2 LSMSA'!G13+'Table 5A3 NOCCA'!G13+'Table 5A4_LSDVI'!G13+'Table 5A5_SSD'!G13+'Table 5C1A-Madison Prep'!G13+'Table 5C1B-DArbonne'!G13+'Table 5C1C-Intl_VIBE'!G13+'Table 5C1D-NOMMA'!G13+'Table 5C1E-LFNO'!G13+'Table 5C1F-Lake Charles Charter'!G13+'Table 5C1G-JS Clark Academy'!G13+'Table 5C1H-Southwest LA Charter'!G13+'Table 5C2 - LA Virtual Admy'!G10+'Table 5C3 - LA Connections EBR'!G10+'Table 5D1 - New Vision'!F13+'Table 5D2 - Glencoe'!F13+'Table 5D3 - International'!F13+'Table 5D4 - Avoyelles'!F13+'Table 5D5 - Delhi'!F13+'Table 5D6 - Milestone'!F13+'Table 5D7 - Max'!F13+'Table 5D8 - Belle Chasse'!H13</f>
        <v>1672641.8159999996</v>
      </c>
      <c r="P12" s="313">
        <f t="shared" si="13"/>
        <v>1971916.8159999996</v>
      </c>
      <c r="R12" s="23"/>
      <c r="S12" s="1790"/>
      <c r="T12" s="1784"/>
      <c r="U12" s="64"/>
    </row>
    <row r="13" spans="1:21">
      <c r="A13" s="99">
        <v>8</v>
      </c>
      <c r="B13" s="301" t="s">
        <v>102</v>
      </c>
      <c r="C13" s="317">
        <v>0</v>
      </c>
      <c r="D13" s="317">
        <v>0</v>
      </c>
      <c r="E13" s="317">
        <f t="shared" si="10"/>
        <v>0</v>
      </c>
      <c r="F13" s="318">
        <f>'[15]Table 4 Level 3'!F13+'[15]Table 4 Level 3'!H13</f>
        <v>0</v>
      </c>
      <c r="G13" s="318">
        <f t="shared" si="7"/>
        <v>0</v>
      </c>
      <c r="H13" s="318">
        <f t="shared" si="11"/>
        <v>0</v>
      </c>
      <c r="I13" s="316">
        <f>IF(F13&lt;0,0,'Table 3 Levels 1&amp;2'!C16)</f>
        <v>21213</v>
      </c>
      <c r="J13" s="313">
        <f t="shared" si="8"/>
        <v>750033</v>
      </c>
      <c r="K13" s="316">
        <f>'Table 3 Levels 1&amp;2'!C16</f>
        <v>21213</v>
      </c>
      <c r="L13" s="313">
        <f t="shared" si="9"/>
        <v>2121300</v>
      </c>
      <c r="M13" s="313">
        <f t="shared" si="12"/>
        <v>2871333</v>
      </c>
      <c r="N13" s="310">
        <v>725.76</v>
      </c>
      <c r="O13" s="313">
        <f>(('[2]ALL-Reformatted'!C13+'[2]ALL-Reformatted'!D13+'[2]ALL-Reformatted'!E13+'[2]ALL-Reformatted'!F13)*N13)+'Table 5A2 LSMSA'!G14+'Table 5A3 NOCCA'!G14+'Table 5A4_LSDVI'!G14+'Table 5A5_SSD'!G14+'Table 5C1A-Madison Prep'!G14+'Table 5C1B-DArbonne'!G14+'Table 5C1C-Intl_VIBE'!G14+'Table 5C1D-NOMMA'!G14+'Table 5C1E-LFNO'!G14+'Table 5C1F-Lake Charles Charter'!G14+'Table 5C1G-JS Clark Academy'!G14+'Table 5C1H-Southwest LA Charter'!G14+'Table 5C2 - LA Virtual Admy'!G11+'Table 5C3 - LA Connections EBR'!G11+'Table 5D1 - New Vision'!F14+'Table 5D2 - Glencoe'!F14+'Table 5D3 - International'!F14+'Table 5D4 - Avoyelles'!F14+'Table 5D5 - Delhi'!F14+'Table 5D6 - Milestone'!F14+'Table 5D7 - Max'!F14+'Table 5D8 - Belle Chasse'!H14</f>
        <v>15389740.799999997</v>
      </c>
      <c r="P13" s="313">
        <f t="shared" si="13"/>
        <v>18261073.799999997</v>
      </c>
      <c r="R13" s="23"/>
      <c r="S13" s="1790"/>
      <c r="T13" s="1784"/>
      <c r="U13" s="64"/>
    </row>
    <row r="14" spans="1:21">
      <c r="A14" s="99">
        <v>9</v>
      </c>
      <c r="B14" s="301" t="s">
        <v>103</v>
      </c>
      <c r="C14" s="317">
        <v>0</v>
      </c>
      <c r="D14" s="317">
        <v>0</v>
      </c>
      <c r="E14" s="317">
        <f t="shared" si="10"/>
        <v>0</v>
      </c>
      <c r="F14" s="318">
        <f>'[15]Table 4 Level 3'!F14+'[15]Table 4 Level 3'!H14</f>
        <v>0</v>
      </c>
      <c r="G14" s="318">
        <f t="shared" si="7"/>
        <v>0</v>
      </c>
      <c r="H14" s="318">
        <f t="shared" si="11"/>
        <v>0</v>
      </c>
      <c r="I14" s="316">
        <f>IF(F14&lt;0,0,'Table 3 Levels 1&amp;2'!C17)</f>
        <v>40999</v>
      </c>
      <c r="J14" s="313">
        <f t="shared" si="8"/>
        <v>1449612</v>
      </c>
      <c r="K14" s="316">
        <f>'Table 3 Levels 1&amp;2'!C17</f>
        <v>40999</v>
      </c>
      <c r="L14" s="313">
        <f t="shared" si="9"/>
        <v>4099900</v>
      </c>
      <c r="M14" s="313">
        <f t="shared" si="12"/>
        <v>5549512</v>
      </c>
      <c r="N14" s="310">
        <v>744.76</v>
      </c>
      <c r="O14" s="313">
        <f>(('[2]ALL-Reformatted'!C14+'[2]ALL-Reformatted'!D14+'[2]ALL-Reformatted'!E14+'[2]ALL-Reformatted'!F14)*N14)+'Table 5A2 LSMSA'!G15+'Table 5A3 NOCCA'!G15+'Table 5A4_LSDVI'!G15+'Table 5A5_SSD'!G15+'Table 5C1A-Madison Prep'!G15+'Table 5C1B-DArbonne'!G15+'Table 5C1C-Intl_VIBE'!G15+'Table 5C1D-NOMMA'!G15+'Table 5C1E-LFNO'!G15+'Table 5C1F-Lake Charles Charter'!G15+'Table 5C1G-JS Clark Academy'!G15+'Table 5C1H-Southwest LA Charter'!G15+'Table 5C2 - LA Virtual Admy'!G12+'Table 5C3 - LA Connections EBR'!G12+'Table 5D1 - New Vision'!F15+'Table 5D2 - Glencoe'!F15+'Table 5D3 - International'!F15+'Table 5D4 - Avoyelles'!F15+'Table 5D5 - Delhi'!F15+'Table 5D6 - Milestone'!F15+'Table 5D7 - Max'!F15+'Table 5D8 - Belle Chasse'!H15</f>
        <v>30523094.888</v>
      </c>
      <c r="P14" s="313">
        <f t="shared" si="13"/>
        <v>36072606.887999997</v>
      </c>
      <c r="R14" s="23"/>
      <c r="S14" s="1790"/>
      <c r="T14" s="1784"/>
      <c r="U14" s="64"/>
    </row>
    <row r="15" spans="1:21">
      <c r="A15" s="100">
        <v>10</v>
      </c>
      <c r="B15" s="302" t="s">
        <v>104</v>
      </c>
      <c r="C15" s="324">
        <v>0</v>
      </c>
      <c r="D15" s="324">
        <v>0</v>
      </c>
      <c r="E15" s="324">
        <f t="shared" si="10"/>
        <v>0</v>
      </c>
      <c r="F15" s="325">
        <f>'[15]Table 4 Level 3'!F15+'[15]Table 4 Level 3'!H15</f>
        <v>0</v>
      </c>
      <c r="G15" s="325">
        <f t="shared" si="7"/>
        <v>0</v>
      </c>
      <c r="H15" s="325">
        <f t="shared" si="11"/>
        <v>0</v>
      </c>
      <c r="I15" s="323">
        <f>IF(F15&lt;0,0,'Table 3 Levels 1&amp;2'!C18)</f>
        <v>32094</v>
      </c>
      <c r="J15" s="320">
        <f t="shared" si="8"/>
        <v>1134755</v>
      </c>
      <c r="K15" s="323">
        <f>'Table 3 Levels 1&amp;2'!C18</f>
        <v>32094</v>
      </c>
      <c r="L15" s="320">
        <f t="shared" si="9"/>
        <v>3209400</v>
      </c>
      <c r="M15" s="320">
        <f t="shared" si="12"/>
        <v>4344155</v>
      </c>
      <c r="N15" s="319">
        <v>608.04000000000008</v>
      </c>
      <c r="O15" s="320">
        <f>(('[2]ALL-Reformatted'!C15+'[2]ALL-Reformatted'!D15+'[2]ALL-Reformatted'!E15+'[2]ALL-Reformatted'!F15)*N15)+'Table 5A2 LSMSA'!G16+'Table 5A3 NOCCA'!G16+'Table 5A4_LSDVI'!G16+'Table 5A5_SSD'!G16+'Table 5C1A-Madison Prep'!G16+'Table 5C1B-DArbonne'!G16+'Table 5C1C-Intl_VIBE'!G16+'Table 5C1D-NOMMA'!G16+'Table 5C1E-LFNO'!G16+'Table 5C1F-Lake Charles Charter'!G16+'Table 5C1G-JS Clark Academy'!G16+'Table 5C1H-Southwest LA Charter'!G16+'Table 5C2 - LA Virtual Admy'!G13+'Table 5C3 - LA Connections EBR'!G13+'Table 5D1 - New Vision'!F16+'Table 5D2 - Glencoe'!F16+'Table 5D3 - International'!F16+'Table 5D4 - Avoyelles'!F16+'Table 5D5 - Delhi'!F16+'Table 5D6 - Milestone'!F16+'Table 5D7 - Max'!F16+'Table 5D8 - Belle Chasse'!H16</f>
        <v>19507747.320000008</v>
      </c>
      <c r="P15" s="320">
        <f t="shared" si="13"/>
        <v>23851902.320000008</v>
      </c>
      <c r="R15" s="23"/>
      <c r="S15" s="1790"/>
      <c r="T15" s="1784"/>
      <c r="U15" s="64"/>
    </row>
    <row r="16" spans="1:21">
      <c r="A16" s="99">
        <v>11</v>
      </c>
      <c r="B16" s="301" t="s">
        <v>105</v>
      </c>
      <c r="C16" s="317">
        <v>0</v>
      </c>
      <c r="D16" s="317">
        <v>0</v>
      </c>
      <c r="E16" s="317">
        <f t="shared" si="10"/>
        <v>0</v>
      </c>
      <c r="F16" s="318">
        <f>'[15]Table 4 Level 3'!F16+'[15]Table 4 Level 3'!H16</f>
        <v>0</v>
      </c>
      <c r="G16" s="318">
        <f t="shared" si="7"/>
        <v>0</v>
      </c>
      <c r="H16" s="318">
        <f t="shared" si="11"/>
        <v>0</v>
      </c>
      <c r="I16" s="316">
        <f>IF(F16&lt;0,0,'Table 3 Levels 1&amp;2'!C19)</f>
        <v>1567</v>
      </c>
      <c r="J16" s="313">
        <f t="shared" si="8"/>
        <v>55405</v>
      </c>
      <c r="K16" s="316">
        <f>'Table 3 Levels 1&amp;2'!C19</f>
        <v>1567</v>
      </c>
      <c r="L16" s="313">
        <f t="shared" si="9"/>
        <v>156700</v>
      </c>
      <c r="M16" s="313">
        <f t="shared" si="12"/>
        <v>212105</v>
      </c>
      <c r="N16" s="310">
        <v>706.55</v>
      </c>
      <c r="O16" s="313">
        <f>(('[2]ALL-Reformatted'!C16+'[2]ALL-Reformatted'!D16+'[2]ALL-Reformatted'!E16+'[2]ALL-Reformatted'!F16)*N16)+'Table 5A2 LSMSA'!G17+'Table 5A3 NOCCA'!G17+'Table 5A4_LSDVI'!G17+'Table 5A5_SSD'!G17+'Table 5C1A-Madison Prep'!G17+'Table 5C1B-DArbonne'!G17+'Table 5C1C-Intl_VIBE'!G17+'Table 5C1D-NOMMA'!G17+'Table 5C1E-LFNO'!G17+'Table 5C1F-Lake Charles Charter'!G17+'Table 5C1G-JS Clark Academy'!G17+'Table 5C1H-Southwest LA Charter'!G17+'Table 5C2 - LA Virtual Admy'!G14+'Table 5C3 - LA Connections EBR'!G14+'Table 5D1 - New Vision'!F17+'Table 5D2 - Glencoe'!F17+'Table 5D3 - International'!F17+'Table 5D4 - Avoyelles'!F17+'Table 5D5 - Delhi'!F17+'Table 5D6 - Milestone'!F17+'Table 5D7 - Max'!F17+'Table 5D8 - Belle Chasse'!H17</f>
        <v>1106527.9550000001</v>
      </c>
      <c r="P16" s="313">
        <f t="shared" si="13"/>
        <v>1318632.9550000001</v>
      </c>
      <c r="R16" s="23"/>
      <c r="S16" s="1790"/>
      <c r="T16" s="1784"/>
      <c r="U16" s="64"/>
    </row>
    <row r="17" spans="1:21">
      <c r="A17" s="99">
        <v>12</v>
      </c>
      <c r="B17" s="301" t="s">
        <v>106</v>
      </c>
      <c r="C17" s="317">
        <v>0</v>
      </c>
      <c r="D17" s="317">
        <v>0</v>
      </c>
      <c r="E17" s="317">
        <f t="shared" si="10"/>
        <v>0</v>
      </c>
      <c r="F17" s="318">
        <f>'[15]Table 4 Level 3'!F17+'[15]Table 4 Level 3'!H17</f>
        <v>0</v>
      </c>
      <c r="G17" s="318">
        <f t="shared" si="7"/>
        <v>0</v>
      </c>
      <c r="H17" s="318">
        <f t="shared" si="11"/>
        <v>0</v>
      </c>
      <c r="I17" s="316">
        <f>IF(F17&lt;0,0,'Table 3 Levels 1&amp;2'!C20)</f>
        <v>1214</v>
      </c>
      <c r="J17" s="313">
        <f t="shared" si="8"/>
        <v>42924</v>
      </c>
      <c r="K17" s="316">
        <f>'Table 3 Levels 1&amp;2'!C20</f>
        <v>1214</v>
      </c>
      <c r="L17" s="313">
        <f t="shared" si="9"/>
        <v>121400</v>
      </c>
      <c r="M17" s="313">
        <f t="shared" si="12"/>
        <v>164324</v>
      </c>
      <c r="N17" s="310">
        <v>1063.31</v>
      </c>
      <c r="O17" s="313">
        <f>(('[2]ALL-Reformatted'!C17+'[2]ALL-Reformatted'!D17+'[2]ALL-Reformatted'!E17+'[2]ALL-Reformatted'!F17)*N17)+'Table 5A2 LSMSA'!G18+'Table 5A3 NOCCA'!G18+'Table 5A4_LSDVI'!G18+'Table 5A5_SSD'!G18+'Table 5C1A-Madison Prep'!G18+'Table 5C1B-DArbonne'!G18+'Table 5C1C-Intl_VIBE'!G18+'Table 5C1D-NOMMA'!G18+'Table 5C1E-LFNO'!G18+'Table 5C1F-Lake Charles Charter'!G18+'Table 5C1G-JS Clark Academy'!G18+'Table 5C1H-Southwest LA Charter'!G18+'Table 5C2 - LA Virtual Admy'!G15+'Table 5C3 - LA Connections EBR'!G15+'Table 5D1 - New Vision'!F18+'Table 5D2 - Glencoe'!F18+'Table 5D3 - International'!F18+'Table 5D4 - Avoyelles'!F18+'Table 5D5 - Delhi'!F18+'Table 5D6 - Milestone'!F18+'Table 5D7 - Max'!F18+'Table 5D8 - Belle Chasse'!H18</f>
        <v>1290752.0090000001</v>
      </c>
      <c r="P17" s="313">
        <f t="shared" si="13"/>
        <v>1455076.0090000001</v>
      </c>
      <c r="R17" s="23"/>
      <c r="S17" s="1790"/>
      <c r="T17" s="1784"/>
      <c r="U17" s="64"/>
    </row>
    <row r="18" spans="1:21">
      <c r="A18" s="99">
        <v>13</v>
      </c>
      <c r="B18" s="301" t="s">
        <v>107</v>
      </c>
      <c r="C18" s="317">
        <v>0</v>
      </c>
      <c r="D18" s="317">
        <v>0</v>
      </c>
      <c r="E18" s="317">
        <f t="shared" si="10"/>
        <v>0</v>
      </c>
      <c r="F18" s="318">
        <f>'[15]Table 4 Level 3'!F18+'[15]Table 4 Level 3'!H18</f>
        <v>0</v>
      </c>
      <c r="G18" s="318">
        <f t="shared" si="7"/>
        <v>0</v>
      </c>
      <c r="H18" s="318">
        <f t="shared" si="11"/>
        <v>0</v>
      </c>
      <c r="I18" s="316">
        <f>IF(F18&lt;0,0,'Table 3 Levels 1&amp;2'!C21)</f>
        <v>1518</v>
      </c>
      <c r="J18" s="313">
        <f t="shared" si="8"/>
        <v>53672</v>
      </c>
      <c r="K18" s="316">
        <f>'Table 3 Levels 1&amp;2'!C21</f>
        <v>1518</v>
      </c>
      <c r="L18" s="313">
        <f t="shared" si="9"/>
        <v>151800</v>
      </c>
      <c r="M18" s="313">
        <f t="shared" si="12"/>
        <v>205472</v>
      </c>
      <c r="N18" s="310">
        <v>749.43000000000006</v>
      </c>
      <c r="O18" s="313">
        <f>(('[2]ALL-Reformatted'!C18+'[2]ALL-Reformatted'!D18+'[2]ALL-Reformatted'!E18+'[2]ALL-Reformatted'!F18)*N18)+'Table 5A2 LSMSA'!G19+'Table 5A3 NOCCA'!G19+'Table 5A4_LSDVI'!G19+'Table 5A5_SSD'!G19+'Table 5C1A-Madison Prep'!G19+'Table 5C1B-DArbonne'!G19+'Table 5C1C-Intl_VIBE'!G19+'Table 5C1D-NOMMA'!G19+'Table 5C1E-LFNO'!G19+'Table 5C1F-Lake Charles Charter'!G19+'Table 5C1G-JS Clark Academy'!G19+'Table 5C1H-Southwest LA Charter'!G19+'Table 5C2 - LA Virtual Admy'!G16+'Table 5C3 - LA Connections EBR'!G16+'Table 5D1 - New Vision'!F19+'Table 5D2 - Glencoe'!F19+'Table 5D3 - International'!F19+'Table 5D4 - Avoyelles'!F19+'Table 5D5 - Delhi'!F19+'Table 5D6 - Milestone'!F19+'Table 5D7 - Max'!F19+'Table 5D8 - Belle Chasse'!H19</f>
        <v>1136660.4810000001</v>
      </c>
      <c r="P18" s="313">
        <f t="shared" si="13"/>
        <v>1342132.4810000001</v>
      </c>
      <c r="R18" s="23"/>
      <c r="S18" s="1790"/>
      <c r="T18" s="1784"/>
      <c r="U18" s="64"/>
    </row>
    <row r="19" spans="1:21">
      <c r="A19" s="99">
        <v>14</v>
      </c>
      <c r="B19" s="301" t="s">
        <v>108</v>
      </c>
      <c r="C19" s="317">
        <v>0</v>
      </c>
      <c r="D19" s="317">
        <v>0</v>
      </c>
      <c r="E19" s="317">
        <f t="shared" si="10"/>
        <v>0</v>
      </c>
      <c r="F19" s="318">
        <f>'[15]Table 4 Level 3'!F19+'[15]Table 4 Level 3'!H19</f>
        <v>0</v>
      </c>
      <c r="G19" s="318">
        <f t="shared" si="7"/>
        <v>0</v>
      </c>
      <c r="H19" s="318">
        <f t="shared" si="11"/>
        <v>0</v>
      </c>
      <c r="I19" s="316">
        <f>IF(F19&lt;0,0,'Table 3 Levels 1&amp;2'!C22)</f>
        <v>1871</v>
      </c>
      <c r="J19" s="313">
        <f t="shared" si="8"/>
        <v>66153</v>
      </c>
      <c r="K19" s="316">
        <f>'Table 3 Levels 1&amp;2'!C22</f>
        <v>1871</v>
      </c>
      <c r="L19" s="313">
        <f t="shared" si="9"/>
        <v>187100</v>
      </c>
      <c r="M19" s="313">
        <f t="shared" si="12"/>
        <v>253253</v>
      </c>
      <c r="N19" s="310">
        <v>809.9799999999999</v>
      </c>
      <c r="O19" s="313">
        <f>(('[2]ALL-Reformatted'!C19+'[2]ALL-Reformatted'!D19+'[2]ALL-Reformatted'!E19+'[2]ALL-Reformatted'!F19)*N19)+'Table 5A2 LSMSA'!G20+'Table 5A3 NOCCA'!G20+'Table 5A4_LSDVI'!G20+'Table 5A5_SSD'!G20+'Table 5C1A-Madison Prep'!G20+'Table 5C1B-DArbonne'!G20+'Table 5C1C-Intl_VIBE'!G20+'Table 5C1D-NOMMA'!G20+'Table 5C1E-LFNO'!G20+'Table 5C1F-Lake Charles Charter'!G20+'Table 5C1G-JS Clark Academy'!G20+'Table 5C1H-Southwest LA Charter'!G20+'Table 5C2 - LA Virtual Admy'!G17+'Table 5C3 - LA Connections EBR'!G17+'Table 5D1 - New Vision'!F20+'Table 5D2 - Glencoe'!F20+'Table 5D3 - International'!F20+'Table 5D4 - Avoyelles'!F20+'Table 5D5 - Delhi'!F20+'Table 5D6 - Milestone'!F20+'Table 5D7 - Max'!F20+'Table 5D8 - Belle Chasse'!H20</f>
        <v>1514500.6039999998</v>
      </c>
      <c r="P19" s="313">
        <f t="shared" si="13"/>
        <v>1767753.6039999998</v>
      </c>
      <c r="R19" s="23"/>
      <c r="S19" s="1790"/>
      <c r="T19" s="1784"/>
      <c r="U19" s="64"/>
    </row>
    <row r="20" spans="1:21">
      <c r="A20" s="100">
        <v>15</v>
      </c>
      <c r="B20" s="302" t="s">
        <v>109</v>
      </c>
      <c r="C20" s="324">
        <v>224419</v>
      </c>
      <c r="D20" s="326">
        <v>0</v>
      </c>
      <c r="E20" s="324">
        <f t="shared" si="10"/>
        <v>224419</v>
      </c>
      <c r="F20" s="325">
        <f>'[15]Table 4 Level 3'!F20+'[15]Table 4 Level 3'!H20</f>
        <v>-134652</v>
      </c>
      <c r="G20" s="325">
        <f t="shared" si="7"/>
        <v>89767</v>
      </c>
      <c r="H20" s="325">
        <f t="shared" si="11"/>
        <v>-22442</v>
      </c>
      <c r="I20" s="323">
        <f>IF(F20&lt;0,0,'Table 3 Levels 1&amp;2'!C23)</f>
        <v>0</v>
      </c>
      <c r="J20" s="320">
        <f t="shared" si="8"/>
        <v>0</v>
      </c>
      <c r="K20" s="323">
        <f>'Table 3 Levels 1&amp;2'!C23</f>
        <v>3628</v>
      </c>
      <c r="L20" s="320">
        <f t="shared" si="9"/>
        <v>362800</v>
      </c>
      <c r="M20" s="320">
        <f t="shared" si="12"/>
        <v>430125</v>
      </c>
      <c r="N20" s="319">
        <v>553.79999999999995</v>
      </c>
      <c r="O20" s="320">
        <f>(('[2]ALL-Reformatted'!C20+'[2]ALL-Reformatted'!D20+'[2]ALL-Reformatted'!E20+'[2]ALL-Reformatted'!F20)*N20)+'Table 5A2 LSMSA'!G21+'Table 5A3 NOCCA'!G21+'Table 5A4_LSDVI'!G21+'Table 5A5_SSD'!G21+'Table 5C1A-Madison Prep'!G21+'Table 5C1B-DArbonne'!G21+'Table 5C1C-Intl_VIBE'!G21+'Table 5C1D-NOMMA'!G21+'Table 5C1E-LFNO'!G21+'Table 5C1F-Lake Charles Charter'!G21+'Table 5C1G-JS Clark Academy'!G21+'Table 5C1H-Southwest LA Charter'!G21+'Table 5C2 - LA Virtual Admy'!G18+'Table 5C3 - LA Connections EBR'!G18+'Table 5D1 - New Vision'!F21+'Table 5D2 - Glencoe'!F21+'Table 5D3 - International'!F21+'Table 5D4 - Avoyelles'!F21+'Table 5D5 - Delhi'!F21+'Table 5D6 - Milestone'!F21+'Table 5D7 - Max'!F21+'Table 5D8 - Belle Chasse'!H21</f>
        <v>2008798.7399999998</v>
      </c>
      <c r="P20" s="320">
        <f t="shared" si="13"/>
        <v>2438923.7399999998</v>
      </c>
      <c r="R20" s="23"/>
      <c r="S20" s="1790"/>
      <c r="T20" s="1784"/>
      <c r="U20" s="64"/>
    </row>
    <row r="21" spans="1:21">
      <c r="A21" s="99">
        <v>16</v>
      </c>
      <c r="B21" s="301" t="s">
        <v>110</v>
      </c>
      <c r="C21" s="317">
        <v>0</v>
      </c>
      <c r="D21" s="317">
        <v>0</v>
      </c>
      <c r="E21" s="317">
        <f t="shared" si="10"/>
        <v>0</v>
      </c>
      <c r="F21" s="318">
        <f>'[15]Table 4 Level 3'!F21+'[15]Table 4 Level 3'!H21</f>
        <v>0</v>
      </c>
      <c r="G21" s="318">
        <f t="shared" si="7"/>
        <v>0</v>
      </c>
      <c r="H21" s="318">
        <f t="shared" si="11"/>
        <v>0</v>
      </c>
      <c r="I21" s="316">
        <f>IF(F21&lt;0,0,'Table 3 Levels 1&amp;2'!C24)</f>
        <v>4959</v>
      </c>
      <c r="J21" s="313">
        <f t="shared" si="8"/>
        <v>175337</v>
      </c>
      <c r="K21" s="316">
        <f>'Table 3 Levels 1&amp;2'!C24</f>
        <v>4959</v>
      </c>
      <c r="L21" s="313">
        <f t="shared" si="9"/>
        <v>495900</v>
      </c>
      <c r="M21" s="313">
        <f t="shared" si="12"/>
        <v>671237</v>
      </c>
      <c r="N21" s="310">
        <v>686.73</v>
      </c>
      <c r="O21" s="313">
        <f>(('[2]ALL-Reformatted'!C21+'[2]ALL-Reformatted'!D21+'[2]ALL-Reformatted'!E21+'[2]ALL-Reformatted'!F21)*N21)+'Table 5A2 LSMSA'!G22+'Table 5A3 NOCCA'!G22+'Table 5A4_LSDVI'!G22+'Table 5A5_SSD'!G22+'Table 5C1A-Madison Prep'!G22+'Table 5C1B-DArbonne'!G22+'Table 5C1C-Intl_VIBE'!G22+'Table 5C1D-NOMMA'!G22+'Table 5C1E-LFNO'!G22+'Table 5C1F-Lake Charles Charter'!G22+'Table 5C1G-JS Clark Academy'!G22+'Table 5C1H-Southwest LA Charter'!G22+'Table 5C2 - LA Virtual Admy'!G19+'Table 5C3 - LA Connections EBR'!G19+'Table 5D1 - New Vision'!F22+'Table 5D2 - Glencoe'!F22+'Table 5D3 - International'!F22+'Table 5D4 - Avoyelles'!F22+'Table 5D5 - Delhi'!F22+'Table 5D6 - Milestone'!F22+'Table 5D7 - Max'!F22+'Table 5D8 - Belle Chasse'!H22</f>
        <v>3404326.6290000002</v>
      </c>
      <c r="P21" s="313">
        <f t="shared" si="13"/>
        <v>4075563.6290000002</v>
      </c>
      <c r="R21" s="23"/>
      <c r="S21" s="1790"/>
      <c r="T21" s="1784"/>
      <c r="U21" s="64"/>
    </row>
    <row r="22" spans="1:21">
      <c r="A22" s="99">
        <v>17</v>
      </c>
      <c r="B22" s="301" t="s">
        <v>111</v>
      </c>
      <c r="C22" s="317">
        <v>25595514</v>
      </c>
      <c r="D22" s="317">
        <v>13580692</v>
      </c>
      <c r="E22" s="317">
        <f t="shared" si="10"/>
        <v>12014822</v>
      </c>
      <c r="F22" s="318">
        <f>'[15]Table 4 Level 3'!F22+'[15]Table 4 Level 3'!H22</f>
        <v>-7208892</v>
      </c>
      <c r="G22" s="318">
        <f t="shared" si="7"/>
        <v>4805930</v>
      </c>
      <c r="H22" s="318">
        <f t="shared" si="11"/>
        <v>-1201483</v>
      </c>
      <c r="I22" s="316">
        <f>IF(F22&lt;0,0,'Table 3 Levels 1&amp;2'!C25)</f>
        <v>0</v>
      </c>
      <c r="J22" s="313">
        <f t="shared" si="8"/>
        <v>0</v>
      </c>
      <c r="K22" s="316">
        <f>'Table 3 Levels 1&amp;2'!C25</f>
        <v>43751</v>
      </c>
      <c r="L22" s="313">
        <f t="shared" si="9"/>
        <v>4375100</v>
      </c>
      <c r="M22" s="313">
        <f t="shared" si="12"/>
        <v>21560239</v>
      </c>
      <c r="N22" s="310">
        <f>'Table 5B2_RSD_LA'!F7</f>
        <v>801.47762416806802</v>
      </c>
      <c r="O22" s="313">
        <f>(('[2]ALL-Reformatted'!C22+'[2]ALL-Reformatted'!D22+'[2]ALL-Reformatted'!E22+'[2]ALL-Reformatted'!F22)*N22)+'Table 5A2 LSMSA'!G23+'Table 5A3 NOCCA'!G23+'Table 5A4_LSDVI'!G23+'Table 5A5_SSD'!G23+'Table 5C1A-Madison Prep'!G23+'Table 5C1B-DArbonne'!G23+'Table 5C1C-Intl_VIBE'!G23+'Table 5C1D-NOMMA'!G23+'Table 5C1E-LFNO'!G23+'Table 5C1F-Lake Charles Charter'!G23+'Table 5C1G-JS Clark Academy'!G23+'Table 5C1H-Southwest LA Charter'!G23+'Table 5C2 - LA Virtual Admy'!G20+'Table 5C3 - LA Connections EBR'!G20+'Table 5D1 - New Vision'!F23+'Table 5D2 - Glencoe'!F23+'Table 5D3 - International'!F23+'Table 5D4 - Avoyelles'!F23+'Table 5D5 - Delhi'!F23+'Table 5D6 - Milestone'!F23+'Table 5D7 - Max'!F23+'Table 5D8 - Belle Chasse'!H23</f>
        <v>35053826.1094267</v>
      </c>
      <c r="P22" s="313">
        <f t="shared" si="13"/>
        <v>56614065.1094267</v>
      </c>
      <c r="R22" s="23"/>
      <c r="S22" s="1790"/>
      <c r="T22" s="1784"/>
      <c r="U22" s="64"/>
    </row>
    <row r="23" spans="1:21">
      <c r="A23" s="99">
        <v>18</v>
      </c>
      <c r="B23" s="301" t="s">
        <v>112</v>
      </c>
      <c r="C23" s="317">
        <v>0</v>
      </c>
      <c r="D23" s="317">
        <v>0</v>
      </c>
      <c r="E23" s="317">
        <f t="shared" si="10"/>
        <v>0</v>
      </c>
      <c r="F23" s="318">
        <f>'[15]Table 4 Level 3'!F23+'[15]Table 4 Level 3'!H23</f>
        <v>0</v>
      </c>
      <c r="G23" s="318">
        <f t="shared" si="7"/>
        <v>0</v>
      </c>
      <c r="H23" s="318">
        <f t="shared" si="11"/>
        <v>0</v>
      </c>
      <c r="I23" s="316">
        <f>IF(F23&lt;0,0,'Table 3 Levels 1&amp;2'!C26)</f>
        <v>1122</v>
      </c>
      <c r="J23" s="313">
        <f t="shared" si="8"/>
        <v>39671</v>
      </c>
      <c r="K23" s="316">
        <f>'Table 3 Levels 1&amp;2'!C26</f>
        <v>1122</v>
      </c>
      <c r="L23" s="313">
        <f t="shared" si="9"/>
        <v>112200</v>
      </c>
      <c r="M23" s="313">
        <f t="shared" si="12"/>
        <v>151871</v>
      </c>
      <c r="N23" s="310">
        <v>845.94999999999993</v>
      </c>
      <c r="O23" s="313">
        <f>(('[2]ALL-Reformatted'!C23+'[2]ALL-Reformatted'!D23+'[2]ALL-Reformatted'!E23+'[2]ALL-Reformatted'!F23)*N23)+'Table 5A2 LSMSA'!G24+'Table 5A3 NOCCA'!G24+'Table 5A4_LSDVI'!G24+'Table 5A5_SSD'!G24+'Table 5C1A-Madison Prep'!G24+'Table 5C1B-DArbonne'!G24+'Table 5C1C-Intl_VIBE'!G24+'Table 5C1D-NOMMA'!G24+'Table 5C1E-LFNO'!G24+'Table 5C1F-Lake Charles Charter'!G24+'Table 5C1G-JS Clark Academy'!G24+'Table 5C1H-Southwest LA Charter'!G24+'Table 5C2 - LA Virtual Admy'!G21+'Table 5C3 - LA Connections EBR'!G21+'Table 5D1 - New Vision'!F24+'Table 5D2 - Glencoe'!F24+'Table 5D3 - International'!F24+'Table 5D4 - Avoyelles'!F24+'Table 5D5 - Delhi'!F24+'Table 5D6 - Milestone'!F24+'Table 5D7 - Max'!F24+'Table 5D8 - Belle Chasse'!H24</f>
        <v>946838.81980899069</v>
      </c>
      <c r="P23" s="313">
        <f t="shared" si="13"/>
        <v>1098709.8198089907</v>
      </c>
      <c r="R23" s="23"/>
      <c r="S23" s="1790"/>
      <c r="T23" s="1784"/>
      <c r="U23" s="64"/>
    </row>
    <row r="24" spans="1:21">
      <c r="A24" s="99">
        <v>19</v>
      </c>
      <c r="B24" s="301" t="s">
        <v>113</v>
      </c>
      <c r="C24" s="317">
        <v>0</v>
      </c>
      <c r="D24" s="317">
        <v>0</v>
      </c>
      <c r="E24" s="317">
        <f t="shared" si="10"/>
        <v>0</v>
      </c>
      <c r="F24" s="318">
        <f>'[15]Table 4 Level 3'!F24+'[15]Table 4 Level 3'!H24</f>
        <v>0</v>
      </c>
      <c r="G24" s="318">
        <f t="shared" si="7"/>
        <v>0</v>
      </c>
      <c r="H24" s="318">
        <f t="shared" si="11"/>
        <v>0</v>
      </c>
      <c r="I24" s="316">
        <f>IF(F24&lt;0,0,'Table 3 Levels 1&amp;2'!C27)</f>
        <v>1922</v>
      </c>
      <c r="J24" s="313">
        <f t="shared" si="8"/>
        <v>67957</v>
      </c>
      <c r="K24" s="316">
        <f>'Table 3 Levels 1&amp;2'!C27</f>
        <v>1922</v>
      </c>
      <c r="L24" s="313">
        <f t="shared" si="9"/>
        <v>192200</v>
      </c>
      <c r="M24" s="313">
        <f t="shared" si="12"/>
        <v>260157</v>
      </c>
      <c r="N24" s="310">
        <v>905.43</v>
      </c>
      <c r="O24" s="313">
        <f>(('[2]ALL-Reformatted'!C24+'[2]ALL-Reformatted'!D24+'[2]ALL-Reformatted'!E24+'[2]ALL-Reformatted'!F24)*N24)+'Table 5A2 LSMSA'!G25+'Table 5A3 NOCCA'!G25+'Table 5A4_LSDVI'!G25+'Table 5A5_SSD'!G25+'Table 5C1A-Madison Prep'!G25+'Table 5C1B-DArbonne'!G25+'Table 5C1C-Intl_VIBE'!G25+'Table 5C1D-NOMMA'!G25+'Table 5C1E-LFNO'!G25+'Table 5C1F-Lake Charles Charter'!G25+'Table 5C1G-JS Clark Academy'!G25+'Table 5C1H-Southwest LA Charter'!G25+'Table 5C2 - LA Virtual Admy'!G22+'Table 5C3 - LA Connections EBR'!G22+'Table 5D1 - New Vision'!F25+'Table 5D2 - Glencoe'!F25+'Table 5D3 - International'!F25+'Table 5D4 - Avoyelles'!F25+'Table 5D5 - Delhi'!F25+'Table 5D6 - Milestone'!F25+'Table 5D7 - Max'!F25+'Table 5D8 - Belle Chasse'!H25</f>
        <v>1739240.487</v>
      </c>
      <c r="P24" s="313">
        <f t="shared" si="13"/>
        <v>1999397.487</v>
      </c>
      <c r="R24" s="23"/>
      <c r="S24" s="1790"/>
      <c r="T24" s="1784"/>
      <c r="U24" s="64"/>
    </row>
    <row r="25" spans="1:21">
      <c r="A25" s="100">
        <v>20</v>
      </c>
      <c r="B25" s="302" t="s">
        <v>114</v>
      </c>
      <c r="C25" s="324">
        <v>175620</v>
      </c>
      <c r="D25" s="324">
        <v>0</v>
      </c>
      <c r="E25" s="324">
        <f t="shared" si="10"/>
        <v>175620</v>
      </c>
      <c r="F25" s="325">
        <f>'[15]Table 4 Level 3'!F25+'[15]Table 4 Level 3'!H25</f>
        <v>-105372</v>
      </c>
      <c r="G25" s="325">
        <f t="shared" si="7"/>
        <v>70248</v>
      </c>
      <c r="H25" s="325">
        <f t="shared" si="11"/>
        <v>-17562</v>
      </c>
      <c r="I25" s="323">
        <f>IF(F25&lt;0,0,'Table 3 Levels 1&amp;2'!C28)</f>
        <v>0</v>
      </c>
      <c r="J25" s="320">
        <f t="shared" si="8"/>
        <v>0</v>
      </c>
      <c r="K25" s="323">
        <f>'Table 3 Levels 1&amp;2'!C28</f>
        <v>5902</v>
      </c>
      <c r="L25" s="320">
        <f t="shared" si="9"/>
        <v>590200</v>
      </c>
      <c r="M25" s="320">
        <f t="shared" si="12"/>
        <v>642886</v>
      </c>
      <c r="N25" s="319">
        <v>586.16999999999996</v>
      </c>
      <c r="O25" s="320">
        <f>(('[2]ALL-Reformatted'!C25+'[2]ALL-Reformatted'!D25+'[2]ALL-Reformatted'!E25+'[2]ALL-Reformatted'!F25)*N25)+'Table 5A2 LSMSA'!G26+'Table 5A3 NOCCA'!G26+'Table 5A4_LSDVI'!G26+'Table 5A5_SSD'!G26+'Table 5C1A-Madison Prep'!G26+'Table 5C1B-DArbonne'!G26+'Table 5C1C-Intl_VIBE'!G26+'Table 5C1D-NOMMA'!G26+'Table 5C1E-LFNO'!G26+'Table 5C1F-Lake Charles Charter'!G26+'Table 5C1G-JS Clark Academy'!G26+'Table 5C1H-Southwest LA Charter'!G26+'Table 5C2 - LA Virtual Admy'!G23+'Table 5C3 - LA Connections EBR'!G23+'Table 5D1 - New Vision'!F26+'Table 5D2 - Glencoe'!F26+'Table 5D3 - International'!F26+'Table 5D4 - Avoyelles'!F26+'Table 5D5 - Delhi'!F26+'Table 5D6 - Milestone'!F26+'Table 5D7 - Max'!F26+'Table 5D8 - Belle Chasse'!H26</f>
        <v>3458989.1699999995</v>
      </c>
      <c r="P25" s="320">
        <f t="shared" si="13"/>
        <v>4101875.1699999995</v>
      </c>
      <c r="R25" s="23"/>
      <c r="S25" s="1790"/>
      <c r="T25" s="1784"/>
      <c r="U25" s="64"/>
    </row>
    <row r="26" spans="1:21">
      <c r="A26" s="99">
        <v>21</v>
      </c>
      <c r="B26" s="301" t="s">
        <v>115</v>
      </c>
      <c r="C26" s="317">
        <v>0</v>
      </c>
      <c r="D26" s="317">
        <v>0</v>
      </c>
      <c r="E26" s="317">
        <f t="shared" si="10"/>
        <v>0</v>
      </c>
      <c r="F26" s="318">
        <f>'[15]Table 4 Level 3'!F26+'[15]Table 4 Level 3'!H26</f>
        <v>0</v>
      </c>
      <c r="G26" s="318">
        <f t="shared" si="7"/>
        <v>0</v>
      </c>
      <c r="H26" s="318">
        <f t="shared" si="11"/>
        <v>0</v>
      </c>
      <c r="I26" s="316">
        <f>IF(F26&lt;0,0,'Table 3 Levels 1&amp;2'!C29)</f>
        <v>3076</v>
      </c>
      <c r="J26" s="313">
        <f t="shared" si="8"/>
        <v>108759</v>
      </c>
      <c r="K26" s="316">
        <f>'Table 3 Levels 1&amp;2'!C29</f>
        <v>3076</v>
      </c>
      <c r="L26" s="313">
        <f t="shared" si="9"/>
        <v>307600</v>
      </c>
      <c r="M26" s="313">
        <f t="shared" si="12"/>
        <v>416359</v>
      </c>
      <c r="N26" s="310">
        <v>610.35</v>
      </c>
      <c r="O26" s="313">
        <f>(('[2]ALL-Reformatted'!C26+'[2]ALL-Reformatted'!D26+'[2]ALL-Reformatted'!E26+'[2]ALL-Reformatted'!F26)*N26)+'Table 5A2 LSMSA'!G27+'Table 5A3 NOCCA'!G27+'Table 5A4_LSDVI'!G27+'Table 5A5_SSD'!G27+'Table 5C1A-Madison Prep'!G27+'Table 5C1B-DArbonne'!G27+'Table 5C1C-Intl_VIBE'!G27+'Table 5C1D-NOMMA'!G27+'Table 5C1E-LFNO'!G27+'Table 5C1F-Lake Charles Charter'!G27+'Table 5C1G-JS Clark Academy'!G27+'Table 5C1H-Southwest LA Charter'!G27+'Table 5C2 - LA Virtual Admy'!G24+'Table 5C3 - LA Connections EBR'!G24+'Table 5D1 - New Vision'!F27+'Table 5D2 - Glencoe'!F27+'Table 5D3 - International'!F27+'Table 5D4 - Avoyelles'!F27+'Table 5D5 - Delhi'!F27+'Table 5D6 - Milestone'!F27+'Table 5D7 - Max'!F27+'Table 5D8 - Belle Chasse'!H27</f>
        <v>1870893.6195457659</v>
      </c>
      <c r="P26" s="313">
        <f t="shared" si="13"/>
        <v>2287252.6195457662</v>
      </c>
      <c r="R26" s="23"/>
      <c r="S26" s="1790"/>
      <c r="T26" s="1784"/>
      <c r="U26" s="64"/>
    </row>
    <row r="27" spans="1:21">
      <c r="A27" s="99">
        <v>22</v>
      </c>
      <c r="B27" s="301" t="s">
        <v>116</v>
      </c>
      <c r="C27" s="317">
        <v>0</v>
      </c>
      <c r="D27" s="317">
        <v>0</v>
      </c>
      <c r="E27" s="317">
        <f t="shared" si="10"/>
        <v>0</v>
      </c>
      <c r="F27" s="318">
        <f>'[15]Table 4 Level 3'!F27+'[15]Table 4 Level 3'!H27</f>
        <v>0</v>
      </c>
      <c r="G27" s="318">
        <f t="shared" si="7"/>
        <v>0</v>
      </c>
      <c r="H27" s="318">
        <f t="shared" si="11"/>
        <v>0</v>
      </c>
      <c r="I27" s="316">
        <f>IF(F27&lt;0,0,'Table 3 Levels 1&amp;2'!C30)</f>
        <v>3214</v>
      </c>
      <c r="J27" s="313">
        <f t="shared" si="8"/>
        <v>113638</v>
      </c>
      <c r="K27" s="316">
        <f>'Table 3 Levels 1&amp;2'!C30</f>
        <v>3214</v>
      </c>
      <c r="L27" s="313">
        <f t="shared" si="9"/>
        <v>321400</v>
      </c>
      <c r="M27" s="313">
        <f t="shared" si="12"/>
        <v>435038</v>
      </c>
      <c r="N27" s="310">
        <v>496.36</v>
      </c>
      <c r="O27" s="313">
        <f>(('[2]ALL-Reformatted'!C27+'[2]ALL-Reformatted'!D27+'[2]ALL-Reformatted'!E27+'[2]ALL-Reformatted'!F27)*N27)+'Table 5A2 LSMSA'!G28+'Table 5A3 NOCCA'!G28+'Table 5A4_LSDVI'!G28+'Table 5A5_SSD'!G28+'Table 5C1A-Madison Prep'!G28+'Table 5C1B-DArbonne'!G28+'Table 5C1C-Intl_VIBE'!G28+'Table 5C1D-NOMMA'!G28+'Table 5C1E-LFNO'!G28+'Table 5C1F-Lake Charles Charter'!G28+'Table 5C1G-JS Clark Academy'!G28+'Table 5C1H-Southwest LA Charter'!G28+'Table 5C2 - LA Virtual Admy'!G25+'Table 5C3 - LA Connections EBR'!G25+'Table 5D1 - New Vision'!F28+'Table 5D2 - Glencoe'!F28+'Table 5D3 - International'!F28+'Table 5D4 - Avoyelles'!F28+'Table 5D5 - Delhi'!F28+'Table 5D6 - Milestone'!F28+'Table 5D7 - Max'!F28+'Table 5D8 - Belle Chasse'!H28</f>
        <v>1594953.5880000002</v>
      </c>
      <c r="P27" s="313">
        <f t="shared" si="13"/>
        <v>2029991.5880000002</v>
      </c>
      <c r="R27" s="23"/>
      <c r="S27" s="1790"/>
      <c r="T27" s="1784"/>
      <c r="U27" s="64"/>
    </row>
    <row r="28" spans="1:21">
      <c r="A28" s="99">
        <v>23</v>
      </c>
      <c r="B28" s="301" t="s">
        <v>117</v>
      </c>
      <c r="C28" s="317">
        <v>0</v>
      </c>
      <c r="D28" s="317">
        <v>0</v>
      </c>
      <c r="E28" s="317">
        <f t="shared" si="10"/>
        <v>0</v>
      </c>
      <c r="F28" s="318">
        <f>'[15]Table 4 Level 3'!F28+'[15]Table 4 Level 3'!H28</f>
        <v>0</v>
      </c>
      <c r="G28" s="318">
        <f t="shared" si="7"/>
        <v>0</v>
      </c>
      <c r="H28" s="318">
        <f t="shared" si="11"/>
        <v>0</v>
      </c>
      <c r="I28" s="316">
        <f>IF(F28&lt;0,0,'Table 3 Levels 1&amp;2'!C31)</f>
        <v>13516</v>
      </c>
      <c r="J28" s="313">
        <f t="shared" si="8"/>
        <v>477889</v>
      </c>
      <c r="K28" s="316">
        <f>'Table 3 Levels 1&amp;2'!C31</f>
        <v>13516</v>
      </c>
      <c r="L28" s="313">
        <f t="shared" si="9"/>
        <v>1351600</v>
      </c>
      <c r="M28" s="313">
        <f t="shared" si="12"/>
        <v>1829489</v>
      </c>
      <c r="N28" s="310">
        <v>688.58</v>
      </c>
      <c r="O28" s="313">
        <f>(('[2]ALL-Reformatted'!C28+'[2]ALL-Reformatted'!D28+'[2]ALL-Reformatted'!E28+'[2]ALL-Reformatted'!F28)*N28)+'Table 5A2 LSMSA'!G29+'Table 5A3 NOCCA'!G29+'Table 5A4_LSDVI'!G29+'Table 5A5_SSD'!G29+'Table 5C1A-Madison Prep'!G29+'Table 5C1B-DArbonne'!G29+'Table 5C1C-Intl_VIBE'!G29+'Table 5C1D-NOMMA'!G29+'Table 5C1E-LFNO'!G29+'Table 5C1F-Lake Charles Charter'!G29+'Table 5C1G-JS Clark Academy'!G29+'Table 5C1H-Southwest LA Charter'!G29+'Table 5C2 - LA Virtual Admy'!G26+'Table 5C3 - LA Connections EBR'!G26+'Table 5D1 - New Vision'!F29+'Table 5D2 - Glencoe'!F29+'Table 5D3 - International'!F29+'Table 5D4 - Avoyelles'!F29+'Table 5D5 - Delhi'!F29+'Table 5D6 - Milestone'!F29+'Table 5D7 - Max'!F29+'Table 5D8 - Belle Chasse'!H29</f>
        <v>9298108.4889460169</v>
      </c>
      <c r="P28" s="313">
        <f t="shared" si="13"/>
        <v>11127597.488946017</v>
      </c>
      <c r="R28" s="23"/>
      <c r="S28" s="1790"/>
      <c r="T28" s="1784"/>
      <c r="U28" s="64"/>
    </row>
    <row r="29" spans="1:21">
      <c r="A29" s="99">
        <v>24</v>
      </c>
      <c r="B29" s="301" t="s">
        <v>118</v>
      </c>
      <c r="C29" s="317">
        <v>2421938</v>
      </c>
      <c r="D29" s="317">
        <v>1654734</v>
      </c>
      <c r="E29" s="317">
        <f t="shared" si="10"/>
        <v>767204</v>
      </c>
      <c r="F29" s="318">
        <f>'[15]Table 4 Level 3'!F29+'[15]Table 4 Level 3'!H29</f>
        <v>-460322</v>
      </c>
      <c r="G29" s="318">
        <f t="shared" si="7"/>
        <v>306882</v>
      </c>
      <c r="H29" s="318">
        <f t="shared" si="11"/>
        <v>-76721</v>
      </c>
      <c r="I29" s="316">
        <f>IF(F29&lt;0,0,'Table 3 Levels 1&amp;2'!C32)</f>
        <v>0</v>
      </c>
      <c r="J29" s="313">
        <f t="shared" si="8"/>
        <v>0</v>
      </c>
      <c r="K29" s="316">
        <f>'Table 3 Levels 1&amp;2'!C32</f>
        <v>4550</v>
      </c>
      <c r="L29" s="313">
        <f t="shared" si="9"/>
        <v>455000</v>
      </c>
      <c r="M29" s="313">
        <f t="shared" si="12"/>
        <v>2339895</v>
      </c>
      <c r="N29" s="310">
        <v>854.24999999999989</v>
      </c>
      <c r="O29" s="313">
        <f>(('[2]ALL-Reformatted'!C29+'[2]ALL-Reformatted'!D29+'[2]ALL-Reformatted'!E29+'[2]ALL-Reformatted'!F29)*N29)+'Table 5A2 LSMSA'!G30+'Table 5A3 NOCCA'!G30+'Table 5A4_LSDVI'!G30+'Table 5A5_SSD'!G30+'Table 5C1A-Madison Prep'!G30+'Table 5C1B-DArbonne'!G30+'Table 5C1C-Intl_VIBE'!G30+'Table 5C1D-NOMMA'!G30+'Table 5C1E-LFNO'!G30+'Table 5C1F-Lake Charles Charter'!G30+'Table 5C1G-JS Clark Academy'!G30+'Table 5C1H-Southwest LA Charter'!G30+'Table 5C2 - LA Virtual Admy'!G27+'Table 5C3 - LA Connections EBR'!G27+'Table 5D1 - New Vision'!F30+'Table 5D2 - Glencoe'!F30+'Table 5D3 - International'!F30+'Table 5D4 - Avoyelles'!F30+'Table 5D5 - Delhi'!F30+'Table 5D6 - Milestone'!F30+'Table 5D7 - Max'!F30+'Table 5D8 - Belle Chasse'!H30</f>
        <v>3885897.8249999997</v>
      </c>
      <c r="P29" s="313">
        <f t="shared" si="13"/>
        <v>6225792.8249999993</v>
      </c>
      <c r="R29" s="23"/>
      <c r="S29" s="1790"/>
      <c r="T29" s="1784"/>
      <c r="U29" s="64"/>
    </row>
    <row r="30" spans="1:21">
      <c r="A30" s="100">
        <v>25</v>
      </c>
      <c r="B30" s="302" t="s">
        <v>119</v>
      </c>
      <c r="C30" s="324">
        <v>0</v>
      </c>
      <c r="D30" s="324">
        <v>0</v>
      </c>
      <c r="E30" s="324">
        <f t="shared" si="10"/>
        <v>0</v>
      </c>
      <c r="F30" s="325">
        <f>'[15]Table 4 Level 3'!F30+'[15]Table 4 Level 3'!H30</f>
        <v>0</v>
      </c>
      <c r="G30" s="325">
        <f t="shared" si="7"/>
        <v>0</v>
      </c>
      <c r="H30" s="325">
        <f t="shared" si="11"/>
        <v>0</v>
      </c>
      <c r="I30" s="323">
        <f>IF(F30&lt;0,0,'Table 3 Levels 1&amp;2'!C33)</f>
        <v>2230</v>
      </c>
      <c r="J30" s="320">
        <f t="shared" si="8"/>
        <v>78847</v>
      </c>
      <c r="K30" s="323">
        <f>'Table 3 Levels 1&amp;2'!C33</f>
        <v>2230</v>
      </c>
      <c r="L30" s="320">
        <f t="shared" si="9"/>
        <v>223000</v>
      </c>
      <c r="M30" s="320">
        <f t="shared" si="12"/>
        <v>301847</v>
      </c>
      <c r="N30" s="319">
        <v>653.73</v>
      </c>
      <c r="O30" s="320">
        <f>(('[2]ALL-Reformatted'!C30+'[2]ALL-Reformatted'!D30+'[2]ALL-Reformatted'!E30+'[2]ALL-Reformatted'!F30)*N30)+'Table 5A2 LSMSA'!G31+'Table 5A3 NOCCA'!G31+'Table 5A4_LSDVI'!G31+'Table 5A5_SSD'!G31+'Table 5C1A-Madison Prep'!G31+'Table 5C1B-DArbonne'!G31+'Table 5C1C-Intl_VIBE'!G31+'Table 5C1D-NOMMA'!G31+'Table 5C1E-LFNO'!G31+'Table 5C1F-Lake Charles Charter'!G31+'Table 5C1G-JS Clark Academy'!G31+'Table 5C1H-Southwest LA Charter'!G31+'Table 5C2 - LA Virtual Admy'!G28+'Table 5C3 - LA Connections EBR'!G28+'Table 5D1 - New Vision'!F31+'Table 5D2 - Glencoe'!F31+'Table 5D3 - International'!F31+'Table 5D4 - Avoyelles'!F31+'Table 5D5 - Delhi'!F31+'Table 5D6 - Milestone'!F31+'Table 5D7 - Max'!F31+'Table 5D8 - Belle Chasse'!H31</f>
        <v>1457491.0350000001</v>
      </c>
      <c r="P30" s="320">
        <f t="shared" si="13"/>
        <v>1759338.0350000001</v>
      </c>
      <c r="R30" s="23"/>
      <c r="S30" s="1790"/>
      <c r="T30" s="1784"/>
      <c r="U30" s="64"/>
    </row>
    <row r="31" spans="1:21">
      <c r="A31" s="99">
        <v>26</v>
      </c>
      <c r="B31" s="301" t="s">
        <v>120</v>
      </c>
      <c r="C31" s="317">
        <v>23386991</v>
      </c>
      <c r="D31" s="317">
        <v>14897747</v>
      </c>
      <c r="E31" s="317">
        <f t="shared" si="10"/>
        <v>8489244</v>
      </c>
      <c r="F31" s="318">
        <f>'[15]Table 4 Level 3'!F31+'[15]Table 4 Level 3'!H31</f>
        <v>-5093546</v>
      </c>
      <c r="G31" s="318">
        <f t="shared" si="7"/>
        <v>3395698</v>
      </c>
      <c r="H31" s="318">
        <f t="shared" si="11"/>
        <v>-848925</v>
      </c>
      <c r="I31" s="316">
        <f>IF(F31&lt;0,0,'Table 3 Levels 1&amp;2'!C34)</f>
        <v>0</v>
      </c>
      <c r="J31" s="313">
        <f t="shared" si="8"/>
        <v>0</v>
      </c>
      <c r="K31" s="316">
        <f>'Table 3 Levels 1&amp;2'!C34</f>
        <v>45091</v>
      </c>
      <c r="L31" s="313">
        <f t="shared" si="9"/>
        <v>4509100</v>
      </c>
      <c r="M31" s="313">
        <f t="shared" si="12"/>
        <v>21953620</v>
      </c>
      <c r="N31" s="310">
        <v>836.83</v>
      </c>
      <c r="O31" s="313">
        <f>(('[2]ALL-Reformatted'!C31+'[2]ALL-Reformatted'!D31+'[2]ALL-Reformatted'!E31+'[2]ALL-Reformatted'!F31)*N31)+'Table 5A2 LSMSA'!G32+'Table 5A3 NOCCA'!G32+'Table 5A4_LSDVI'!G32+'Table 5A5_SSD'!G32+'Table 5C1A-Madison Prep'!G32+'Table 5C1B-DArbonne'!G32+'Table 5C1C-Intl_VIBE'!G32+'Table 5C1D-NOMMA'!G32+'Table 5C1E-LFNO'!G32+'Table 5C1F-Lake Charles Charter'!G32+'Table 5C1G-JS Clark Academy'!G32+'Table 5C1H-Southwest LA Charter'!G32+'Table 5C2 - LA Virtual Admy'!G29+'Table 5C3 - LA Connections EBR'!G29+'Table 5D1 - New Vision'!F32+'Table 5D2 - Glencoe'!F32+'Table 5D3 - International'!F32+'Table 5D4 - Avoyelles'!F32+'Table 5D5 - Delhi'!F32+'Table 5D6 - Milestone'!F32+'Table 5D7 - Max'!F32+'Table 5D8 - Belle Chasse'!H32</f>
        <v>37661097.2879292</v>
      </c>
      <c r="P31" s="313">
        <f t="shared" si="13"/>
        <v>59614717.2879292</v>
      </c>
      <c r="R31" s="23"/>
      <c r="S31" s="1790"/>
      <c r="T31" s="1784"/>
      <c r="U31" s="64"/>
    </row>
    <row r="32" spans="1:21">
      <c r="A32" s="99">
        <v>27</v>
      </c>
      <c r="B32" s="301" t="s">
        <v>121</v>
      </c>
      <c r="C32" s="317">
        <v>0</v>
      </c>
      <c r="D32" s="317">
        <v>0</v>
      </c>
      <c r="E32" s="317">
        <f t="shared" si="10"/>
        <v>0</v>
      </c>
      <c r="F32" s="318">
        <f>'[15]Table 4 Level 3'!F32+'[15]Table 4 Level 3'!H32</f>
        <v>0</v>
      </c>
      <c r="G32" s="318">
        <f t="shared" si="7"/>
        <v>0</v>
      </c>
      <c r="H32" s="318">
        <f t="shared" si="11"/>
        <v>0</v>
      </c>
      <c r="I32" s="316">
        <f>IF(F32&lt;0,0,'Table 3 Levels 1&amp;2'!C35)</f>
        <v>5618</v>
      </c>
      <c r="J32" s="313">
        <f t="shared" si="8"/>
        <v>198637</v>
      </c>
      <c r="K32" s="316">
        <f>'Table 3 Levels 1&amp;2'!C35</f>
        <v>5618</v>
      </c>
      <c r="L32" s="313">
        <f t="shared" si="9"/>
        <v>561800</v>
      </c>
      <c r="M32" s="313">
        <f t="shared" si="12"/>
        <v>760437</v>
      </c>
      <c r="N32" s="310">
        <v>693.06</v>
      </c>
      <c r="O32" s="313">
        <f>(('[2]ALL-Reformatted'!C32+'[2]ALL-Reformatted'!D32+'[2]ALL-Reformatted'!E32+'[2]ALL-Reformatted'!F32)*N32)+'Table 5A2 LSMSA'!G33+'Table 5A3 NOCCA'!G33+'Table 5A4_LSDVI'!G33+'Table 5A5_SSD'!G33+'Table 5C1A-Madison Prep'!G33+'Table 5C1B-DArbonne'!G33+'Table 5C1C-Intl_VIBE'!G33+'Table 5C1D-NOMMA'!G33+'Table 5C1E-LFNO'!G33+'Table 5C1F-Lake Charles Charter'!G33+'Table 5C1G-JS Clark Academy'!G33+'Table 5C1H-Southwest LA Charter'!G33+'Table 5C2 - LA Virtual Admy'!G30+'Table 5C3 - LA Connections EBR'!G30+'Table 5D1 - New Vision'!F33+'Table 5D2 - Glencoe'!F33+'Table 5D3 - International'!F33+'Table 5D4 - Avoyelles'!F33+'Table 5D5 - Delhi'!F33+'Table 5D6 - Milestone'!F33+'Table 5D7 - Max'!F33+'Table 5D8 - Belle Chasse'!H33</f>
        <v>3892918.02</v>
      </c>
      <c r="P32" s="313">
        <f t="shared" si="13"/>
        <v>4653355.0199999996</v>
      </c>
      <c r="R32" s="23"/>
      <c r="S32" s="1790"/>
      <c r="T32" s="1784"/>
      <c r="U32" s="64"/>
    </row>
    <row r="33" spans="1:21">
      <c r="A33" s="99">
        <v>28</v>
      </c>
      <c r="B33" s="301" t="s">
        <v>122</v>
      </c>
      <c r="C33" s="317">
        <v>1996377</v>
      </c>
      <c r="D33" s="317">
        <v>1996377</v>
      </c>
      <c r="E33" s="317">
        <f t="shared" si="10"/>
        <v>0</v>
      </c>
      <c r="F33" s="318">
        <f>'[15]Table 4 Level 3'!F33+'[15]Table 4 Level 3'!H33</f>
        <v>0</v>
      </c>
      <c r="G33" s="318">
        <f t="shared" si="7"/>
        <v>0</v>
      </c>
      <c r="H33" s="318">
        <f t="shared" si="11"/>
        <v>0</v>
      </c>
      <c r="I33" s="316">
        <f>IF(F33&lt;0,0,'Table 3 Levels 1&amp;2'!C36)</f>
        <v>30170</v>
      </c>
      <c r="J33" s="313">
        <f t="shared" si="8"/>
        <v>1066728</v>
      </c>
      <c r="K33" s="316">
        <f>'Table 3 Levels 1&amp;2'!C36</f>
        <v>30170</v>
      </c>
      <c r="L33" s="313">
        <f t="shared" si="9"/>
        <v>3017000</v>
      </c>
      <c r="M33" s="313">
        <f t="shared" si="12"/>
        <v>6080105</v>
      </c>
      <c r="N33" s="310">
        <v>694.4</v>
      </c>
      <c r="O33" s="313">
        <f>(('[2]ALL-Reformatted'!C33+'[2]ALL-Reformatted'!D33+'[2]ALL-Reformatted'!E33+'[2]ALL-Reformatted'!F33)*N33)+'Table 5A2 LSMSA'!G34+'Table 5A3 NOCCA'!G34+'Table 5A4_LSDVI'!G34+'Table 5A5_SSD'!G34+'Table 5C1A-Madison Prep'!G34+'Table 5C1B-DArbonne'!G34+'Table 5C1C-Intl_VIBE'!G34+'Table 5C1D-NOMMA'!G34+'Table 5C1E-LFNO'!G34+'Table 5C1F-Lake Charles Charter'!G34+'Table 5C1G-JS Clark Academy'!G34+'Table 5C1H-Southwest LA Charter'!G34+'Table 5C2 - LA Virtual Admy'!G31+'Table 5C3 - LA Connections EBR'!G31+'Table 5D1 - New Vision'!F34+'Table 5D2 - Glencoe'!F34+'Table 5D3 - International'!F34+'Table 5D4 - Avoyelles'!F34+'Table 5D5 - Delhi'!F34+'Table 5D6 - Milestone'!F34+'Table 5D7 - Max'!F34+'Table 5D8 - Belle Chasse'!H34</f>
        <v>20944145.599999998</v>
      </c>
      <c r="P33" s="313">
        <f t="shared" si="13"/>
        <v>27024250.599999998</v>
      </c>
      <c r="R33" s="23"/>
      <c r="S33" s="1790"/>
      <c r="T33" s="1784"/>
      <c r="U33" s="64"/>
    </row>
    <row r="34" spans="1:21">
      <c r="A34" s="99">
        <v>29</v>
      </c>
      <c r="B34" s="301" t="s">
        <v>123</v>
      </c>
      <c r="C34" s="317">
        <v>0</v>
      </c>
      <c r="D34" s="317">
        <v>0</v>
      </c>
      <c r="E34" s="317">
        <f t="shared" si="10"/>
        <v>0</v>
      </c>
      <c r="F34" s="318">
        <f>'[15]Table 4 Level 3'!F34+'[15]Table 4 Level 3'!H34</f>
        <v>0</v>
      </c>
      <c r="G34" s="318">
        <f t="shared" si="7"/>
        <v>0</v>
      </c>
      <c r="H34" s="318">
        <f t="shared" si="11"/>
        <v>0</v>
      </c>
      <c r="I34" s="316">
        <f>IF(F34&lt;0,0,'Table 3 Levels 1&amp;2'!C37)</f>
        <v>13787</v>
      </c>
      <c r="J34" s="313">
        <f t="shared" si="8"/>
        <v>487470</v>
      </c>
      <c r="K34" s="316">
        <f>'Table 3 Levels 1&amp;2'!C37</f>
        <v>13787</v>
      </c>
      <c r="L34" s="313">
        <f t="shared" si="9"/>
        <v>1378700</v>
      </c>
      <c r="M34" s="313">
        <f t="shared" si="12"/>
        <v>1866170</v>
      </c>
      <c r="N34" s="310">
        <v>754.94999999999993</v>
      </c>
      <c r="O34" s="313">
        <f>(('[2]ALL-Reformatted'!C34+'[2]ALL-Reformatted'!D34+'[2]ALL-Reformatted'!E34+'[2]ALL-Reformatted'!F34)*N34)+'Table 5A2 LSMSA'!G35+'Table 5A3 NOCCA'!G35+'Table 5A4_LSDVI'!G35+'Table 5A5_SSD'!G35+'Table 5C1A-Madison Prep'!G35+'Table 5C1B-DArbonne'!G35+'Table 5C1C-Intl_VIBE'!G35+'Table 5C1D-NOMMA'!G35+'Table 5C1E-LFNO'!G35+'Table 5C1F-Lake Charles Charter'!G35+'Table 5C1G-JS Clark Academy'!G35+'Table 5C1H-Southwest LA Charter'!G35+'Table 5C2 - LA Virtual Admy'!G32+'Table 5C3 - LA Connections EBR'!G32+'Table 5D1 - New Vision'!F35+'Table 5D2 - Glencoe'!F35+'Table 5D3 - International'!F35+'Table 5D4 - Avoyelles'!F35+'Table 5D5 - Delhi'!F35+'Table 5D6 - Milestone'!F35+'Table 5D7 - Max'!F35+'Table 5D8 - Belle Chasse'!H35</f>
        <v>10401337.196789112</v>
      </c>
      <c r="P34" s="313">
        <f t="shared" si="13"/>
        <v>12267507.196789112</v>
      </c>
      <c r="R34" s="23"/>
      <c r="S34" s="1790"/>
      <c r="T34" s="1784"/>
      <c r="U34" s="64"/>
    </row>
    <row r="35" spans="1:21">
      <c r="A35" s="100">
        <v>30</v>
      </c>
      <c r="B35" s="302" t="s">
        <v>124</v>
      </c>
      <c r="C35" s="324">
        <v>0</v>
      </c>
      <c r="D35" s="324">
        <v>0</v>
      </c>
      <c r="E35" s="324">
        <f t="shared" si="10"/>
        <v>0</v>
      </c>
      <c r="F35" s="325">
        <f>'[15]Table 4 Level 3'!F35+'[15]Table 4 Level 3'!H35</f>
        <v>0</v>
      </c>
      <c r="G35" s="325">
        <f t="shared" si="7"/>
        <v>0</v>
      </c>
      <c r="H35" s="325">
        <f t="shared" si="11"/>
        <v>0</v>
      </c>
      <c r="I35" s="323">
        <f>IF(F35&lt;0,0,'Table 3 Levels 1&amp;2'!C38)</f>
        <v>2477</v>
      </c>
      <c r="J35" s="320">
        <f t="shared" si="8"/>
        <v>87580</v>
      </c>
      <c r="K35" s="323">
        <f>'Table 3 Levels 1&amp;2'!C38</f>
        <v>2477</v>
      </c>
      <c r="L35" s="320">
        <f t="shared" si="9"/>
        <v>247700</v>
      </c>
      <c r="M35" s="320">
        <f t="shared" si="12"/>
        <v>335280</v>
      </c>
      <c r="N35" s="319">
        <v>727.17</v>
      </c>
      <c r="O35" s="320">
        <f>(('[2]ALL-Reformatted'!C35+'[2]ALL-Reformatted'!D35+'[2]ALL-Reformatted'!E35+'[2]ALL-Reformatted'!F35)*N35)+'Table 5A2 LSMSA'!G36+'Table 5A3 NOCCA'!G36+'Table 5A4_LSDVI'!G36+'Table 5A5_SSD'!G36+'Table 5C1A-Madison Prep'!G36+'Table 5C1B-DArbonne'!G36+'Table 5C1C-Intl_VIBE'!G36+'Table 5C1D-NOMMA'!G36+'Table 5C1E-LFNO'!G36+'Table 5C1F-Lake Charles Charter'!G36+'Table 5C1G-JS Clark Academy'!G36+'Table 5C1H-Southwest LA Charter'!G36+'Table 5C2 - LA Virtual Admy'!G33+'Table 5C3 - LA Connections EBR'!G33+'Table 5D1 - New Vision'!F36+'Table 5D2 - Glencoe'!F36+'Table 5D3 - International'!F36+'Table 5D4 - Avoyelles'!F36+'Table 5D5 - Delhi'!F36+'Table 5D6 - Milestone'!F36+'Table 5D7 - Max'!F36+'Table 5D8 - Belle Chasse'!H36</f>
        <v>1800763.7879999997</v>
      </c>
      <c r="P35" s="320">
        <f t="shared" si="13"/>
        <v>2136043.7879999997</v>
      </c>
      <c r="R35" s="23"/>
      <c r="S35" s="1790"/>
      <c r="T35" s="1784"/>
      <c r="U35" s="64"/>
    </row>
    <row r="36" spans="1:21">
      <c r="A36" s="99">
        <v>31</v>
      </c>
      <c r="B36" s="301" t="s">
        <v>125</v>
      </c>
      <c r="C36" s="317">
        <v>0</v>
      </c>
      <c r="D36" s="317">
        <v>0</v>
      </c>
      <c r="E36" s="317">
        <f t="shared" si="10"/>
        <v>0</v>
      </c>
      <c r="F36" s="318">
        <f>'[15]Table 4 Level 3'!F36+'[15]Table 4 Level 3'!H36</f>
        <v>0</v>
      </c>
      <c r="G36" s="318">
        <f t="shared" si="7"/>
        <v>0</v>
      </c>
      <c r="H36" s="318">
        <f t="shared" si="11"/>
        <v>0</v>
      </c>
      <c r="I36" s="316">
        <f>IF(F36&lt;0,0,'Table 3 Levels 1&amp;2'!C39)</f>
        <v>6488</v>
      </c>
      <c r="J36" s="313">
        <f t="shared" si="8"/>
        <v>229398</v>
      </c>
      <c r="K36" s="316">
        <f>'Table 3 Levels 1&amp;2'!C39</f>
        <v>6488</v>
      </c>
      <c r="L36" s="313">
        <f t="shared" si="9"/>
        <v>648800</v>
      </c>
      <c r="M36" s="313">
        <f t="shared" si="12"/>
        <v>878198</v>
      </c>
      <c r="N36" s="310">
        <v>620.83000000000004</v>
      </c>
      <c r="O36" s="313">
        <f>(('[2]ALL-Reformatted'!C36+'[2]ALL-Reformatted'!D36+'[2]ALL-Reformatted'!E36+'[2]ALL-Reformatted'!F36)*N36)+'Table 5A2 LSMSA'!G37+'Table 5A3 NOCCA'!G37+'Table 5A4_LSDVI'!G37+'Table 5A5_SSD'!G37+'Table 5C1A-Madison Prep'!G37+'Table 5C1B-DArbonne'!G37+'Table 5C1C-Intl_VIBE'!G37+'Table 5C1D-NOMMA'!G37+'Table 5C1E-LFNO'!G37+'Table 5C1F-Lake Charles Charter'!G37+'Table 5C1G-JS Clark Academy'!G37+'Table 5C1H-Southwest LA Charter'!G37+'Table 5C2 - LA Virtual Admy'!G34+'Table 5C3 - LA Connections EBR'!G34+'Table 5D1 - New Vision'!F37+'Table 5D2 - Glencoe'!F37+'Table 5D3 - International'!F37+'Table 5D4 - Avoyelles'!F37+'Table 5D5 - Delhi'!F37+'Table 5D6 - Milestone'!F37+'Table 5D7 - Max'!F37+'Table 5D8 - Belle Chasse'!H37</f>
        <v>4027572.5420000004</v>
      </c>
      <c r="P36" s="313">
        <f t="shared" si="13"/>
        <v>4905770.5420000004</v>
      </c>
      <c r="R36" s="23"/>
      <c r="S36" s="1790"/>
      <c r="T36" s="1784"/>
      <c r="U36" s="64"/>
    </row>
    <row r="37" spans="1:21">
      <c r="A37" s="99">
        <v>32</v>
      </c>
      <c r="B37" s="301" t="s">
        <v>126</v>
      </c>
      <c r="C37" s="317">
        <v>0</v>
      </c>
      <c r="D37" s="317">
        <v>0</v>
      </c>
      <c r="E37" s="317">
        <f t="shared" si="10"/>
        <v>0</v>
      </c>
      <c r="F37" s="318">
        <f>'[15]Table 4 Level 3'!F37+'[15]Table 4 Level 3'!H37</f>
        <v>0</v>
      </c>
      <c r="G37" s="318">
        <f t="shared" si="7"/>
        <v>0</v>
      </c>
      <c r="H37" s="318">
        <f t="shared" si="11"/>
        <v>0</v>
      </c>
      <c r="I37" s="316">
        <f>IF(F37&lt;0,0,'Table 3 Levels 1&amp;2'!C40)</f>
        <v>24854</v>
      </c>
      <c r="J37" s="313">
        <f t="shared" si="8"/>
        <v>878769</v>
      </c>
      <c r="K37" s="316">
        <f>'Table 3 Levels 1&amp;2'!C40</f>
        <v>24854</v>
      </c>
      <c r="L37" s="313">
        <f t="shared" si="9"/>
        <v>2485400</v>
      </c>
      <c r="M37" s="313">
        <f t="shared" si="12"/>
        <v>3364169</v>
      </c>
      <c r="N37" s="310">
        <v>559.77</v>
      </c>
      <c r="O37" s="313">
        <f>(('[2]ALL-Reformatted'!C37+'[2]ALL-Reformatted'!D37+'[2]ALL-Reformatted'!E37+'[2]ALL-Reformatted'!F37)*N37)+'Table 5A2 LSMSA'!G38+'Table 5A3 NOCCA'!G38+'Table 5A4_LSDVI'!G38+'Table 5A5_SSD'!G38+'Table 5C1A-Madison Prep'!G38+'Table 5C1B-DArbonne'!G38+'Table 5C1C-Intl_VIBE'!G38+'Table 5C1D-NOMMA'!G38+'Table 5C1E-LFNO'!G38+'Table 5C1F-Lake Charles Charter'!G38+'Table 5C1G-JS Clark Academy'!G38+'Table 5C1H-Southwest LA Charter'!G38+'Table 5C2 - LA Virtual Admy'!G35+'Table 5C3 - LA Connections EBR'!G35+'Table 5D1 - New Vision'!F38+'Table 5D2 - Glencoe'!F38+'Table 5D3 - International'!F38+'Table 5D4 - Avoyelles'!F38+'Table 5D5 - Delhi'!F38+'Table 5D6 - Milestone'!F38+'Table 5D7 - Max'!F38+'Table 5D8 - Belle Chasse'!H38</f>
        <v>13906577.505809985</v>
      </c>
      <c r="P37" s="313">
        <f t="shared" si="13"/>
        <v>17270746.505809985</v>
      </c>
      <c r="R37" s="23"/>
      <c r="S37" s="1790"/>
      <c r="T37" s="1784"/>
      <c r="U37" s="64"/>
    </row>
    <row r="38" spans="1:21">
      <c r="A38" s="99">
        <v>33</v>
      </c>
      <c r="B38" s="301" t="s">
        <v>127</v>
      </c>
      <c r="C38" s="317">
        <v>0</v>
      </c>
      <c r="D38" s="317">
        <v>0</v>
      </c>
      <c r="E38" s="317">
        <f t="shared" si="10"/>
        <v>0</v>
      </c>
      <c r="F38" s="318">
        <f>'[15]Table 4 Level 3'!F38+'[15]Table 4 Level 3'!H38</f>
        <v>0</v>
      </c>
      <c r="G38" s="318">
        <f t="shared" ref="G38:G69" si="14">SUM(E38:F38)</f>
        <v>0</v>
      </c>
      <c r="H38" s="318">
        <f t="shared" si="11"/>
        <v>0</v>
      </c>
      <c r="I38" s="316">
        <f>IF(F38&lt;0,0,'Table 3 Levels 1&amp;2'!C41)</f>
        <v>1935</v>
      </c>
      <c r="J38" s="313">
        <f t="shared" ref="J38:J69" si="15">ROUND($J$4*I38,0)</f>
        <v>68416</v>
      </c>
      <c r="K38" s="316">
        <f>'Table 3 Levels 1&amp;2'!C41</f>
        <v>1935</v>
      </c>
      <c r="L38" s="313">
        <f t="shared" ref="L38:L69" si="16">ROUND(K38*$L$4,0)</f>
        <v>193500</v>
      </c>
      <c r="M38" s="313">
        <f t="shared" si="12"/>
        <v>261916</v>
      </c>
      <c r="N38" s="310">
        <v>655.31000000000006</v>
      </c>
      <c r="O38" s="313">
        <f>(('[2]ALL-Reformatted'!C38+'[2]ALL-Reformatted'!D38+'[2]ALL-Reformatted'!E38+'[2]ALL-Reformatted'!F38)*N38)+'Table 5A2 LSMSA'!G39+'Table 5A3 NOCCA'!G39+'Table 5A4_LSDVI'!G39+'Table 5A5_SSD'!G39+'Table 5C1A-Madison Prep'!G39+'Table 5C1B-DArbonne'!G39+'Table 5C1C-Intl_VIBE'!G39+'Table 5C1D-NOMMA'!G39+'Table 5C1E-LFNO'!G39+'Table 5C1F-Lake Charles Charter'!G39+'Table 5C1G-JS Clark Academy'!G39+'Table 5C1H-Southwest LA Charter'!G39+'Table 5C2 - LA Virtual Admy'!G36+'Table 5C3 - LA Connections EBR'!G36+'Table 5D1 - New Vision'!F39+'Table 5D2 - Glencoe'!F39+'Table 5D3 - International'!F39+'Table 5D4 - Avoyelles'!F39+'Table 5D5 - Delhi'!F39+'Table 5D6 - Milestone'!F39+'Table 5D7 - Max'!F39+'Table 5D8 - Belle Chasse'!H39</f>
        <v>1249671.5601798145</v>
      </c>
      <c r="P38" s="313">
        <f t="shared" si="13"/>
        <v>1511587.5601798145</v>
      </c>
      <c r="R38" s="23"/>
      <c r="S38" s="1790"/>
      <c r="T38" s="1784"/>
      <c r="U38" s="64"/>
    </row>
    <row r="39" spans="1:21">
      <c r="A39" s="99">
        <v>34</v>
      </c>
      <c r="B39" s="301" t="s">
        <v>128</v>
      </c>
      <c r="C39" s="317">
        <v>0</v>
      </c>
      <c r="D39" s="317">
        <v>0</v>
      </c>
      <c r="E39" s="317">
        <f t="shared" si="10"/>
        <v>0</v>
      </c>
      <c r="F39" s="318">
        <f>'[15]Table 4 Level 3'!F39+'[15]Table 4 Level 3'!H39</f>
        <v>0</v>
      </c>
      <c r="G39" s="318">
        <f t="shared" si="14"/>
        <v>0</v>
      </c>
      <c r="H39" s="318">
        <f t="shared" si="11"/>
        <v>0</v>
      </c>
      <c r="I39" s="316">
        <f>IF(F39&lt;0,0,'Table 3 Levels 1&amp;2'!C42)</f>
        <v>4289</v>
      </c>
      <c r="J39" s="313">
        <f t="shared" si="15"/>
        <v>151647</v>
      </c>
      <c r="K39" s="316">
        <f>'Table 3 Levels 1&amp;2'!C42</f>
        <v>4289</v>
      </c>
      <c r="L39" s="313">
        <f t="shared" si="16"/>
        <v>428900</v>
      </c>
      <c r="M39" s="313">
        <f t="shared" si="12"/>
        <v>580547</v>
      </c>
      <c r="N39" s="310">
        <v>644.11000000000013</v>
      </c>
      <c r="O39" s="313">
        <f>(('[2]ALL-Reformatted'!C39+'[2]ALL-Reformatted'!D39+'[2]ALL-Reformatted'!E39+'[2]ALL-Reformatted'!F39)*N39)+'Table 5A2 LSMSA'!G40+'Table 5A3 NOCCA'!G40+'Table 5A4_LSDVI'!G40+'Table 5A5_SSD'!G40+'Table 5C1A-Madison Prep'!G40+'Table 5C1B-DArbonne'!G40+'Table 5C1C-Intl_VIBE'!G40+'Table 5C1D-NOMMA'!G40+'Table 5C1E-LFNO'!G40+'Table 5C1F-Lake Charles Charter'!G40+'Table 5C1G-JS Clark Academy'!G40+'Table 5C1H-Southwest LA Charter'!G40+'Table 5C2 - LA Virtual Admy'!G37+'Table 5C3 - LA Connections EBR'!G37+'Table 5D1 - New Vision'!F40+'Table 5D2 - Glencoe'!F40+'Table 5D3 - International'!F40+'Table 5D4 - Avoyelles'!F40+'Table 5D5 - Delhi'!F40+'Table 5D6 - Milestone'!F40+'Table 5D7 - Max'!F40+'Table 5D8 - Belle Chasse'!H40</f>
        <v>2761514.0592633677</v>
      </c>
      <c r="P39" s="313">
        <f t="shared" si="13"/>
        <v>3342061.0592633677</v>
      </c>
      <c r="R39" s="23"/>
      <c r="S39" s="1790"/>
      <c r="T39" s="1784"/>
      <c r="U39" s="64"/>
    </row>
    <row r="40" spans="1:21">
      <c r="A40" s="100">
        <v>35</v>
      </c>
      <c r="B40" s="302" t="s">
        <v>129</v>
      </c>
      <c r="C40" s="324">
        <v>0</v>
      </c>
      <c r="D40" s="324">
        <v>0</v>
      </c>
      <c r="E40" s="324">
        <f t="shared" si="10"/>
        <v>0</v>
      </c>
      <c r="F40" s="325">
        <f>'[15]Table 4 Level 3'!F40+'[15]Table 4 Level 3'!H40</f>
        <v>0</v>
      </c>
      <c r="G40" s="325">
        <f t="shared" si="14"/>
        <v>0</v>
      </c>
      <c r="H40" s="325">
        <f t="shared" si="11"/>
        <v>0</v>
      </c>
      <c r="I40" s="323">
        <f>IF(F40&lt;0,0,'Table 3 Levels 1&amp;2'!C43)</f>
        <v>6514</v>
      </c>
      <c r="J40" s="320">
        <f t="shared" si="15"/>
        <v>230317</v>
      </c>
      <c r="K40" s="323">
        <f>'Table 3 Levels 1&amp;2'!C43</f>
        <v>6514</v>
      </c>
      <c r="L40" s="320">
        <f t="shared" si="16"/>
        <v>651400</v>
      </c>
      <c r="M40" s="320">
        <f t="shared" si="12"/>
        <v>881717</v>
      </c>
      <c r="N40" s="319">
        <v>537.96</v>
      </c>
      <c r="O40" s="320">
        <f>(('[2]ALL-Reformatted'!C40+'[2]ALL-Reformatted'!D40+'[2]ALL-Reformatted'!E40+'[2]ALL-Reformatted'!F40)*N40)+'Table 5A2 LSMSA'!G41+'Table 5A3 NOCCA'!G41+'Table 5A4_LSDVI'!G41+'Table 5A5_SSD'!G41+'Table 5C1A-Madison Prep'!G41+'Table 5C1B-DArbonne'!G41+'Table 5C1C-Intl_VIBE'!G41+'Table 5C1D-NOMMA'!G41+'Table 5C1E-LFNO'!G41+'Table 5C1F-Lake Charles Charter'!G41+'Table 5C1G-JS Clark Academy'!G41+'Table 5C1H-Southwest LA Charter'!G41+'Table 5C2 - LA Virtual Admy'!G38+'Table 5C3 - LA Connections EBR'!G38+'Table 5D1 - New Vision'!F41+'Table 5D2 - Glencoe'!F41+'Table 5D3 - International'!F41+'Table 5D4 - Avoyelles'!F41+'Table 5D5 - Delhi'!F41+'Table 5D6 - Milestone'!F41+'Table 5D7 - Max'!F41+'Table 5D8 - Belle Chasse'!H41</f>
        <v>3502496.1719999998</v>
      </c>
      <c r="P40" s="320">
        <f t="shared" si="13"/>
        <v>4384213.1720000003</v>
      </c>
      <c r="R40" s="23"/>
      <c r="S40" s="1790"/>
      <c r="T40" s="1784"/>
      <c r="U40" s="64"/>
    </row>
    <row r="41" spans="1:21">
      <c r="A41" s="99">
        <v>36</v>
      </c>
      <c r="B41" s="301" t="s">
        <v>130</v>
      </c>
      <c r="C41" s="317">
        <v>0</v>
      </c>
      <c r="D41" s="317">
        <v>0</v>
      </c>
      <c r="E41" s="317">
        <f t="shared" si="10"/>
        <v>0</v>
      </c>
      <c r="F41" s="318">
        <f>'[15]Table 4 Level 3'!F41+'[15]Table 4 Level 3'!H41</f>
        <v>0</v>
      </c>
      <c r="G41" s="318">
        <f t="shared" si="14"/>
        <v>0</v>
      </c>
      <c r="H41" s="331">
        <f t="shared" si="11"/>
        <v>0</v>
      </c>
      <c r="I41" s="329">
        <f>IF(F41&lt;0,0,'Table 3 Levels 1&amp;2'!C44)</f>
        <v>44187</v>
      </c>
      <c r="J41" s="313">
        <f t="shared" si="15"/>
        <v>1562331</v>
      </c>
      <c r="K41" s="316">
        <f>'Table 3 Levels 1&amp;2'!C44</f>
        <v>44187</v>
      </c>
      <c r="L41" s="313">
        <f t="shared" si="16"/>
        <v>4418700</v>
      </c>
      <c r="M41" s="313">
        <f t="shared" si="12"/>
        <v>5981031</v>
      </c>
      <c r="N41" s="310">
        <f>'Table 5B1_RSD_Orleans'!F7</f>
        <v>727.23177743956114</v>
      </c>
      <c r="O41" s="1333">
        <f>'Table 5B1_RSD_Orleans'!G72+'Table 5A2 LSMSA'!G42+'Table 5A3 NOCCA'!G42+'Table 5A4_LSDVI'!G42+'Table 5A5_SSD'!G42+'Table 5C1A-Madison Prep'!G42+'Table 5C1B-DArbonne'!G42+'Table 5C1C-Intl_VIBE'!G42+'Table 5C1D-NOMMA'!G42+'Table 5C1E-LFNO'!G42+'Table 5C1F-Lake Charles Charter'!G42+'Table 5C1G-JS Clark Academy'!G42+'Table 5C1H-Southwest LA Charter'!G42+'Table 5C2 - LA Virtual Admy'!G39+'Table 5C3 - LA Connections EBR'!G39+'Table 5D1 - New Vision'!F42+'Table 5D2 - Glencoe'!F42+'Table 5D3 - International'!F42+'Table 5D4 - Avoyelles'!F42+'Table 5D5 - Delhi'!F42+'Table 5D6 - Milestone'!F42+'Table 5D7 - Max'!F42+'Table 5D8 - Belle Chasse'!H42</f>
        <v>32444829.430718318</v>
      </c>
      <c r="P41" s="313">
        <f>M41+O41</f>
        <v>38425860.430718318</v>
      </c>
      <c r="R41" s="1318"/>
      <c r="S41" s="1790"/>
      <c r="T41" s="1791"/>
      <c r="U41" s="64"/>
    </row>
    <row r="42" spans="1:21">
      <c r="A42" s="99">
        <v>37</v>
      </c>
      <c r="B42" s="301" t="s">
        <v>131</v>
      </c>
      <c r="C42" s="317">
        <v>0</v>
      </c>
      <c r="D42" s="317">
        <v>0</v>
      </c>
      <c r="E42" s="317">
        <f t="shared" si="10"/>
        <v>0</v>
      </c>
      <c r="F42" s="318">
        <f>'[15]Table 4 Level 3'!F42+'[15]Table 4 Level 3'!H42</f>
        <v>0</v>
      </c>
      <c r="G42" s="318">
        <f t="shared" si="14"/>
        <v>0</v>
      </c>
      <c r="H42" s="318">
        <f t="shared" si="11"/>
        <v>0</v>
      </c>
      <c r="I42" s="316">
        <f>IF(F42&lt;0,0,'Table 3 Levels 1&amp;2'!C45)</f>
        <v>19811</v>
      </c>
      <c r="J42" s="313">
        <f t="shared" si="15"/>
        <v>700462</v>
      </c>
      <c r="K42" s="316">
        <f>'Table 3 Levels 1&amp;2'!C45</f>
        <v>19811</v>
      </c>
      <c r="L42" s="313">
        <f t="shared" si="16"/>
        <v>1981100</v>
      </c>
      <c r="M42" s="313">
        <f t="shared" si="12"/>
        <v>2681562</v>
      </c>
      <c r="N42" s="310">
        <v>653.61</v>
      </c>
      <c r="O42" s="313">
        <f>(('[2]ALL-Reformatted'!C42+'[2]ALL-Reformatted'!D42+'[2]ALL-Reformatted'!E42+'[2]ALL-Reformatted'!F42)*N42)+'Table 5A2 LSMSA'!G43+'Table 5A3 NOCCA'!G43+'Table 5A4_LSDVI'!G43+'Table 5A5_SSD'!G43+'Table 5C1A-Madison Prep'!G43+'Table 5C1B-DArbonne'!G43+'Table 5C1C-Intl_VIBE'!G43+'Table 5C1D-NOMMA'!G43+'Table 5C1E-LFNO'!G43+'Table 5C1F-Lake Charles Charter'!G43+'Table 5C1G-JS Clark Academy'!G43+'Table 5C1H-Southwest LA Charter'!G43+'Table 5C2 - LA Virtual Admy'!G40+'Table 5C3 - LA Connections EBR'!G40+'Table 5D1 - New Vision'!F43+'Table 5D2 - Glencoe'!F43+'Table 5D3 - International'!F43+'Table 5D4 - Avoyelles'!F43+'Table 5D5 - Delhi'!F43+'Table 5D6 - Milestone'!F43+'Table 5D7 - Max'!F43+'Table 5D8 - Belle Chasse'!H43</f>
        <v>12952406.090302456</v>
      </c>
      <c r="P42" s="313">
        <f t="shared" si="13"/>
        <v>15633968.090302456</v>
      </c>
      <c r="R42" s="23"/>
      <c r="S42" s="1790"/>
      <c r="T42" s="1784"/>
      <c r="U42" s="64"/>
    </row>
    <row r="43" spans="1:21">
      <c r="A43" s="99">
        <v>38</v>
      </c>
      <c r="B43" s="301" t="s">
        <v>132</v>
      </c>
      <c r="C43" s="317">
        <v>5387703</v>
      </c>
      <c r="D43" s="317">
        <v>1258024</v>
      </c>
      <c r="E43" s="317">
        <f t="shared" si="10"/>
        <v>4129679</v>
      </c>
      <c r="F43" s="318">
        <f>'[15]Table 4 Level 3'!F43+'[15]Table 4 Level 3'!H43</f>
        <v>-2477808</v>
      </c>
      <c r="G43" s="446">
        <f t="shared" si="14"/>
        <v>1651871</v>
      </c>
      <c r="H43" s="318">
        <f t="shared" si="11"/>
        <v>-412968</v>
      </c>
      <c r="I43" s="316">
        <f>IF(F43&lt;0,0,'Table 3 Levels 1&amp;2'!C46)</f>
        <v>0</v>
      </c>
      <c r="J43" s="313">
        <f t="shared" si="15"/>
        <v>0</v>
      </c>
      <c r="K43" s="316">
        <f>'Table 3 Levels 1&amp;2'!C46</f>
        <v>4299</v>
      </c>
      <c r="L43" s="313">
        <f t="shared" si="16"/>
        <v>429900</v>
      </c>
      <c r="M43" s="313">
        <f t="shared" si="12"/>
        <v>2926827</v>
      </c>
      <c r="N43" s="310">
        <v>829.92000000000007</v>
      </c>
      <c r="O43" s="313">
        <f>(('[2]ALL-Reformatted'!C43+'[2]ALL-Reformatted'!D43+'[2]ALL-Reformatted'!E43+'[2]ALL-Reformatted'!F43)*N43)+'Table 5A2 LSMSA'!G44+'Table 5A3 NOCCA'!G44+'Table 5A4_LSDVI'!G44+'Table 5A5_SSD'!G44+'Table 5C1A-Madison Prep'!G44+'Table 5C1B-DArbonne'!G44+'Table 5C1C-Intl_VIBE'!G44+'Table 5C1D-NOMMA'!G44+'Table 5C1E-LFNO'!G44+'Table 5C1F-Lake Charles Charter'!G44+'Table 5C1G-JS Clark Academy'!G44+'Table 5C1H-Southwest LA Charter'!G44+'Table 5C2 - LA Virtual Admy'!G41+'Table 5C3 - LA Connections EBR'!G41+'Table 5D1 - New Vision'!F44+'Table 5D2 - Glencoe'!F44+'Table 5D3 - International'!F44+'Table 5D4 - Avoyelles'!F44+'Table 5D5 - Delhi'!F44+'Table 5D6 - Milestone'!F44+'Table 5D7 - Max'!F44+'Table 5D8 - Belle Chasse'!H44</f>
        <v>3547194.525514184</v>
      </c>
      <c r="P43" s="313">
        <f t="shared" si="13"/>
        <v>6474021.5255141836</v>
      </c>
      <c r="R43" s="23"/>
      <c r="S43" s="1790"/>
      <c r="T43" s="1784"/>
      <c r="U43" s="64"/>
    </row>
    <row r="44" spans="1:21">
      <c r="A44" s="99">
        <v>39</v>
      </c>
      <c r="B44" s="301" t="s">
        <v>133</v>
      </c>
      <c r="C44" s="317">
        <v>324688</v>
      </c>
      <c r="D44" s="317">
        <v>324688</v>
      </c>
      <c r="E44" s="317">
        <f t="shared" si="10"/>
        <v>0</v>
      </c>
      <c r="F44" s="318">
        <f>'[15]Table 4 Level 3'!F44+'[15]Table 4 Level 3'!H44</f>
        <v>0</v>
      </c>
      <c r="G44" s="318">
        <f t="shared" si="14"/>
        <v>0</v>
      </c>
      <c r="H44" s="318">
        <f t="shared" si="11"/>
        <v>0</v>
      </c>
      <c r="I44" s="316">
        <f>IF(F44&lt;0,0,'Table 3 Levels 1&amp;2'!C47)</f>
        <v>2882</v>
      </c>
      <c r="J44" s="313">
        <f t="shared" si="15"/>
        <v>101900</v>
      </c>
      <c r="K44" s="316">
        <f>'Table 3 Levels 1&amp;2'!C47</f>
        <v>2882</v>
      </c>
      <c r="L44" s="313">
        <f t="shared" si="16"/>
        <v>288200</v>
      </c>
      <c r="M44" s="313">
        <f t="shared" si="12"/>
        <v>714788</v>
      </c>
      <c r="N44" s="310">
        <f>'Table 5B2_RSD_LA'!F21</f>
        <v>779.65573042776441</v>
      </c>
      <c r="O44" s="313">
        <f>(('[2]ALL-Reformatted'!C44+'[2]ALL-Reformatted'!D44+'[2]ALL-Reformatted'!E44+'[2]ALL-Reformatted'!F44)*N44)+'Table 5A2 LSMSA'!G45+'Table 5A3 NOCCA'!G45+'Table 5A4_LSDVI'!G45+'Table 5A5_SSD'!G45+'Table 5C1A-Madison Prep'!G45+'Table 5C1B-DArbonne'!G45+'Table 5C1C-Intl_VIBE'!G45+'Table 5C1D-NOMMA'!G45+'Table 5C1E-LFNO'!G45+'Table 5C1F-Lake Charles Charter'!G45+'Table 5C1G-JS Clark Academy'!G45+'Table 5C1H-Southwest LA Charter'!G45+'Table 5C2 - LA Virtual Admy'!G42+'Table 5C3 - LA Connections EBR'!G42+'Table 5D1 - New Vision'!F45+'Table 5D2 - Glencoe'!F45+'Table 5D3 - International'!F45+'Table 5D4 - Avoyelles'!F45+'Table 5D5 - Delhi'!F45+'Table 5D6 - Milestone'!F45+'Table 5D7 - Max'!F45+'Table 5D8 - Belle Chasse'!H45</f>
        <v>2246100.5589134907</v>
      </c>
      <c r="P44" s="313">
        <f t="shared" si="13"/>
        <v>2960888.5589134907</v>
      </c>
      <c r="R44" s="23"/>
      <c r="S44" s="1790"/>
      <c r="T44" s="1784"/>
      <c r="U44" s="64"/>
    </row>
    <row r="45" spans="1:21">
      <c r="A45" s="100">
        <v>40</v>
      </c>
      <c r="B45" s="302" t="s">
        <v>134</v>
      </c>
      <c r="C45" s="324">
        <v>0</v>
      </c>
      <c r="D45" s="324">
        <v>0</v>
      </c>
      <c r="E45" s="324">
        <f t="shared" si="10"/>
        <v>0</v>
      </c>
      <c r="F45" s="325">
        <f>'[15]Table 4 Level 3'!F45+'[15]Table 4 Level 3'!H45</f>
        <v>0</v>
      </c>
      <c r="G45" s="325">
        <f t="shared" si="14"/>
        <v>0</v>
      </c>
      <c r="H45" s="325">
        <f t="shared" si="11"/>
        <v>0</v>
      </c>
      <c r="I45" s="323">
        <f>IF(F45&lt;0,0,'Table 3 Levels 1&amp;2'!C48)</f>
        <v>23095</v>
      </c>
      <c r="J45" s="320">
        <f t="shared" si="15"/>
        <v>816576</v>
      </c>
      <c r="K45" s="323">
        <f>'Table 3 Levels 1&amp;2'!C48</f>
        <v>23095</v>
      </c>
      <c r="L45" s="320">
        <f t="shared" si="16"/>
        <v>2309500</v>
      </c>
      <c r="M45" s="320">
        <f t="shared" si="12"/>
        <v>3126076</v>
      </c>
      <c r="N45" s="319">
        <v>700.2700000000001</v>
      </c>
      <c r="O45" s="320">
        <f>(('[2]ALL-Reformatted'!C45+'[2]ALL-Reformatted'!D45+'[2]ALL-Reformatted'!E45+'[2]ALL-Reformatted'!F45)*N45)+'Table 5A2 LSMSA'!G46+'Table 5A3 NOCCA'!G46+'Table 5A4_LSDVI'!G46+'Table 5A5_SSD'!G46+'Table 5C1A-Madison Prep'!G46+'Table 5C1B-DArbonne'!G46+'Table 5C1C-Intl_VIBE'!G46+'Table 5C1D-NOMMA'!G46+'Table 5C1E-LFNO'!G46+'Table 5C1F-Lake Charles Charter'!G46+'Table 5C1G-JS Clark Academy'!G46+'Table 5C1H-Southwest LA Charter'!G46+'Table 5C2 - LA Virtual Admy'!G43+'Table 5C3 - LA Connections EBR'!G43+'Table 5D1 - New Vision'!F46+'Table 5D2 - Glencoe'!F46+'Table 5D3 - International'!F46+'Table 5D4 - Avoyelles'!F46+'Table 5D5 - Delhi'!F46+'Table 5D6 - Milestone'!F46+'Table 5D7 - Max'!F46+'Table 5D8 - Belle Chasse'!H46</f>
        <v>16167947.473541778</v>
      </c>
      <c r="P45" s="320">
        <f t="shared" si="13"/>
        <v>19294023.473541778</v>
      </c>
      <c r="R45" s="23"/>
      <c r="S45" s="1790"/>
      <c r="T45" s="1784"/>
      <c r="U45" s="64"/>
    </row>
    <row r="46" spans="1:21">
      <c r="A46" s="99">
        <v>41</v>
      </c>
      <c r="B46" s="301" t="s">
        <v>135</v>
      </c>
      <c r="C46" s="317">
        <v>0</v>
      </c>
      <c r="D46" s="317">
        <v>0</v>
      </c>
      <c r="E46" s="317">
        <f t="shared" si="10"/>
        <v>0</v>
      </c>
      <c r="F46" s="318">
        <f>'[15]Table 4 Level 3'!F46+'[15]Table 4 Level 3'!H46</f>
        <v>0</v>
      </c>
      <c r="G46" s="318">
        <f t="shared" si="14"/>
        <v>0</v>
      </c>
      <c r="H46" s="318">
        <f t="shared" si="11"/>
        <v>0</v>
      </c>
      <c r="I46" s="316">
        <f>IF(F46&lt;0,0,'Table 3 Levels 1&amp;2'!C49)</f>
        <v>1411</v>
      </c>
      <c r="J46" s="313">
        <f t="shared" si="15"/>
        <v>49889</v>
      </c>
      <c r="K46" s="316">
        <f>'Table 3 Levels 1&amp;2'!C49</f>
        <v>1411</v>
      </c>
      <c r="L46" s="313">
        <f t="shared" si="16"/>
        <v>141100</v>
      </c>
      <c r="M46" s="313">
        <f t="shared" si="12"/>
        <v>190989</v>
      </c>
      <c r="N46" s="310">
        <v>886.22</v>
      </c>
      <c r="O46" s="313">
        <f>(('[2]ALL-Reformatted'!C46+'[2]ALL-Reformatted'!D46+'[2]ALL-Reformatted'!E46+'[2]ALL-Reformatted'!F46)*N46)+'Table 5A2 LSMSA'!G47+'Table 5A3 NOCCA'!G47+'Table 5A4_LSDVI'!G47+'Table 5A5_SSD'!G47+'Table 5C1A-Madison Prep'!G47+'Table 5C1B-DArbonne'!G47+'Table 5C1C-Intl_VIBE'!G47+'Table 5C1D-NOMMA'!G47+'Table 5C1E-LFNO'!G47+'Table 5C1F-Lake Charles Charter'!G47+'Table 5C1G-JS Clark Academy'!G47+'Table 5C1H-Southwest LA Charter'!G47+'Table 5C2 - LA Virtual Admy'!G44+'Table 5C3 - LA Connections EBR'!G44+'Table 5D1 - New Vision'!F47+'Table 5D2 - Glencoe'!F47+'Table 5D3 - International'!F47+'Table 5D4 - Avoyelles'!F47+'Table 5D5 - Delhi'!F47+'Table 5D6 - Milestone'!F47+'Table 5D7 - Max'!F47+'Table 5D8 - Belle Chasse'!H47</f>
        <v>1250279.176</v>
      </c>
      <c r="P46" s="313">
        <f t="shared" si="13"/>
        <v>1441268.176</v>
      </c>
      <c r="R46" s="23"/>
      <c r="S46" s="1790"/>
      <c r="T46" s="1784"/>
      <c r="U46" s="64"/>
    </row>
    <row r="47" spans="1:21">
      <c r="A47" s="99">
        <v>42</v>
      </c>
      <c r="B47" s="301" t="s">
        <v>136</v>
      </c>
      <c r="C47" s="317">
        <v>0</v>
      </c>
      <c r="D47" s="317">
        <v>0</v>
      </c>
      <c r="E47" s="317">
        <f t="shared" si="10"/>
        <v>0</v>
      </c>
      <c r="F47" s="318">
        <f>'[15]Table 4 Level 3'!F47+'[15]Table 4 Level 3'!H47</f>
        <v>0</v>
      </c>
      <c r="G47" s="318">
        <f t="shared" si="14"/>
        <v>0</v>
      </c>
      <c r="H47" s="318">
        <f t="shared" si="11"/>
        <v>0</v>
      </c>
      <c r="I47" s="316">
        <f>IF(F47&lt;0,0,'Table 3 Levels 1&amp;2'!C50)</f>
        <v>3869</v>
      </c>
      <c r="J47" s="313">
        <f t="shared" si="15"/>
        <v>136797</v>
      </c>
      <c r="K47" s="316">
        <f>'Table 3 Levels 1&amp;2'!C50</f>
        <v>3869</v>
      </c>
      <c r="L47" s="313">
        <f t="shared" si="16"/>
        <v>386900</v>
      </c>
      <c r="M47" s="313">
        <f t="shared" si="12"/>
        <v>523697</v>
      </c>
      <c r="N47" s="310">
        <v>534.28</v>
      </c>
      <c r="O47" s="313">
        <f>(('[2]ALL-Reformatted'!C47+'[2]ALL-Reformatted'!D47+'[2]ALL-Reformatted'!E47+'[2]ALL-Reformatted'!F47)*N47)+'Table 5A2 LSMSA'!G48+'Table 5A3 NOCCA'!G48+'Table 5A4_LSDVI'!G48+'Table 5A5_SSD'!G48+'Table 5C1A-Madison Prep'!G48+'Table 5C1B-DArbonne'!G48+'Table 5C1C-Intl_VIBE'!G48+'Table 5C1D-NOMMA'!G48+'Table 5C1E-LFNO'!G48+'Table 5C1F-Lake Charles Charter'!G48+'Table 5C1G-JS Clark Academy'!G48+'Table 5C1H-Southwest LA Charter'!G48+'Table 5C2 - LA Virtual Admy'!G45+'Table 5C3 - LA Connections EBR'!G45+'Table 5D1 - New Vision'!F48+'Table 5D2 - Glencoe'!F48+'Table 5D3 - International'!F48+'Table 5D4 - Avoyelles'!F48+'Table 5D5 - Delhi'!F48+'Table 5D6 - Milestone'!F48+'Table 5D7 - Max'!F48+'Table 5D8 - Belle Chasse'!H48</f>
        <v>2064386.8324281634</v>
      </c>
      <c r="P47" s="313">
        <f t="shared" si="13"/>
        <v>2588083.8324281634</v>
      </c>
      <c r="R47" s="23"/>
      <c r="S47" s="1790"/>
      <c r="T47" s="1784"/>
      <c r="U47" s="64"/>
    </row>
    <row r="48" spans="1:21">
      <c r="A48" s="99">
        <v>43</v>
      </c>
      <c r="B48" s="301" t="s">
        <v>137</v>
      </c>
      <c r="C48" s="317">
        <v>0</v>
      </c>
      <c r="D48" s="317">
        <v>0</v>
      </c>
      <c r="E48" s="317">
        <f t="shared" si="10"/>
        <v>0</v>
      </c>
      <c r="F48" s="318">
        <f>'[15]Table 4 Level 3'!F48+'[15]Table 4 Level 3'!H48</f>
        <v>0</v>
      </c>
      <c r="G48" s="318">
        <f t="shared" si="14"/>
        <v>0</v>
      </c>
      <c r="H48" s="318">
        <f t="shared" si="11"/>
        <v>0</v>
      </c>
      <c r="I48" s="316">
        <f>IF(F48&lt;0,0,'Table 3 Levels 1&amp;2'!C51)</f>
        <v>4030</v>
      </c>
      <c r="J48" s="313">
        <f t="shared" si="15"/>
        <v>142490</v>
      </c>
      <c r="K48" s="316">
        <f>'Table 3 Levels 1&amp;2'!C51</f>
        <v>4030</v>
      </c>
      <c r="L48" s="313">
        <f t="shared" si="16"/>
        <v>403000</v>
      </c>
      <c r="M48" s="313">
        <f t="shared" si="12"/>
        <v>545490</v>
      </c>
      <c r="N48" s="310">
        <v>574.6099999999999</v>
      </c>
      <c r="O48" s="313">
        <f>(('[2]ALL-Reformatted'!C48+'[2]ALL-Reformatted'!D48+'[2]ALL-Reformatted'!E48+'[2]ALL-Reformatted'!F48)*N48)+'Table 5A2 LSMSA'!G49+'Table 5A3 NOCCA'!G49+'Table 5A4_LSDVI'!G49+'Table 5A5_SSD'!G49+'Table 5C1A-Madison Prep'!G49+'Table 5C1B-DArbonne'!G49+'Table 5C1C-Intl_VIBE'!G49+'Table 5C1D-NOMMA'!G49+'Table 5C1E-LFNO'!G49+'Table 5C1F-Lake Charles Charter'!G49+'Table 5C1G-JS Clark Academy'!G49+'Table 5C1H-Southwest LA Charter'!G49+'Table 5C2 - LA Virtual Admy'!G46+'Table 5C3 - LA Connections EBR'!G46+'Table 5D1 - New Vision'!F49+'Table 5D2 - Glencoe'!F49+'Table 5D3 - International'!F49+'Table 5D4 - Avoyelles'!F49+'Table 5D5 - Delhi'!F49+'Table 5D6 - Milestone'!F49+'Table 5D7 - Max'!F49+'Table 5D8 - Belle Chasse'!H49</f>
        <v>2314988.7679999992</v>
      </c>
      <c r="P48" s="313">
        <f t="shared" si="13"/>
        <v>2860478.7679999992</v>
      </c>
      <c r="R48" s="23"/>
      <c r="S48" s="1790"/>
      <c r="T48" s="1784"/>
      <c r="U48" s="64"/>
    </row>
    <row r="49" spans="1:21">
      <c r="A49" s="99">
        <v>44</v>
      </c>
      <c r="B49" s="301" t="s">
        <v>138</v>
      </c>
      <c r="C49" s="317">
        <v>0</v>
      </c>
      <c r="D49" s="317">
        <v>0</v>
      </c>
      <c r="E49" s="317">
        <f t="shared" si="10"/>
        <v>0</v>
      </c>
      <c r="F49" s="318">
        <f>'[15]Table 4 Level 3'!F49+'[15]Table 4 Level 3'!H49</f>
        <v>0</v>
      </c>
      <c r="G49" s="318">
        <f t="shared" si="14"/>
        <v>0</v>
      </c>
      <c r="H49" s="318">
        <f t="shared" si="11"/>
        <v>0</v>
      </c>
      <c r="I49" s="316">
        <f>IF(F49&lt;0,0,'Table 3 Levels 1&amp;2'!C52)</f>
        <v>6431</v>
      </c>
      <c r="J49" s="313">
        <f t="shared" si="15"/>
        <v>227382</v>
      </c>
      <c r="K49" s="316">
        <f>'Table 3 Levels 1&amp;2'!C52</f>
        <v>6431</v>
      </c>
      <c r="L49" s="313">
        <f t="shared" si="16"/>
        <v>643100</v>
      </c>
      <c r="M49" s="313">
        <f t="shared" si="12"/>
        <v>870482</v>
      </c>
      <c r="N49" s="310">
        <v>663.16000000000008</v>
      </c>
      <c r="O49" s="313">
        <f>(('[2]ALL-Reformatted'!C49+'[2]ALL-Reformatted'!D49+'[2]ALL-Reformatted'!E49+'[2]ALL-Reformatted'!F49)*N49)+'Table 5A2 LSMSA'!G50+'Table 5A3 NOCCA'!G50+'Table 5A4_LSDVI'!G50+'Table 5A5_SSD'!G50+'Table 5C1A-Madison Prep'!G50+'Table 5C1B-DArbonne'!G50+'Table 5C1C-Intl_VIBE'!G50+'Table 5C1D-NOMMA'!G50+'Table 5C1E-LFNO'!G50+'Table 5C1F-Lake Charles Charter'!G50+'Table 5C1G-JS Clark Academy'!G50+'Table 5C1H-Southwest LA Charter'!G50+'Table 5C2 - LA Virtual Admy'!G47+'Table 5C3 - LA Connections EBR'!G47+'Table 5D1 - New Vision'!F50+'Table 5D2 - Glencoe'!F50+'Table 5D3 - International'!F50+'Table 5D4 - Avoyelles'!F50+'Table 5D5 - Delhi'!F50+'Table 5D6 - Milestone'!F50+'Table 5D7 - Max'!F50+'Table 5D8 - Belle Chasse'!H50</f>
        <v>4265129.1018494749</v>
      </c>
      <c r="P49" s="313">
        <f t="shared" si="13"/>
        <v>5135611.1018494749</v>
      </c>
      <c r="R49" s="23"/>
      <c r="S49" s="1790"/>
      <c r="T49" s="1784"/>
      <c r="U49" s="64"/>
    </row>
    <row r="50" spans="1:21">
      <c r="A50" s="100">
        <v>45</v>
      </c>
      <c r="B50" s="302" t="s">
        <v>139</v>
      </c>
      <c r="C50" s="324">
        <v>9520260</v>
      </c>
      <c r="D50" s="324">
        <v>2883682</v>
      </c>
      <c r="E50" s="324">
        <f t="shared" si="10"/>
        <v>6636578</v>
      </c>
      <c r="F50" s="325">
        <f>'[15]Table 4 Level 3'!F50+'[15]Table 4 Level 3'!H50</f>
        <v>-4485644</v>
      </c>
      <c r="G50" s="325">
        <f t="shared" si="14"/>
        <v>2150934</v>
      </c>
      <c r="H50" s="427">
        <f t="shared" si="11"/>
        <v>-537734</v>
      </c>
      <c r="I50" s="323">
        <f>IF(F50&lt;0,0,'Table 3 Levels 1&amp;2'!C53)</f>
        <v>0</v>
      </c>
      <c r="J50" s="320">
        <f t="shared" si="15"/>
        <v>0</v>
      </c>
      <c r="K50" s="323">
        <f>'Table 3 Levels 1&amp;2'!C53</f>
        <v>9519</v>
      </c>
      <c r="L50" s="320">
        <f t="shared" si="16"/>
        <v>951900</v>
      </c>
      <c r="M50" s="320">
        <f t="shared" si="12"/>
        <v>5448782</v>
      </c>
      <c r="N50" s="319">
        <v>753.96000000000015</v>
      </c>
      <c r="O50" s="320">
        <f>(('[2]ALL-Reformatted'!C50+'[2]ALL-Reformatted'!D50+'[2]ALL-Reformatted'!E50+'[2]ALL-Reformatted'!F50)*N50)+'Table 5A2 LSMSA'!G51+'Table 5A3 NOCCA'!G51+'Table 5A4_LSDVI'!G51+'Table 5A5_SSD'!G51+'Table 5C1A-Madison Prep'!G51+'Table 5C1B-DArbonne'!G51+'Table 5C1C-Intl_VIBE'!G51+'Table 5C1D-NOMMA'!G51+'Table 5C1E-LFNO'!G51+'Table 5C1F-Lake Charles Charter'!G51+'Table 5C1G-JS Clark Academy'!G51+'Table 5C1H-Southwest LA Charter'!G51+'Table 5C2 - LA Virtual Admy'!G48+'Table 5C3 - LA Connections EBR'!G48+'Table 5D1 - New Vision'!F51+'Table 5D2 - Glencoe'!F51+'Table 5D3 - International'!F51+'Table 5D4 - Avoyelles'!F51+'Table 5D5 - Delhi'!F51+'Table 5D6 - Milestone'!F51+'Table 5D7 - Max'!F51+'Table 5D8 - Belle Chasse'!H51</f>
        <v>7175011.6208279431</v>
      </c>
      <c r="P50" s="320">
        <f t="shared" si="13"/>
        <v>12623793.620827943</v>
      </c>
      <c r="R50" s="23"/>
      <c r="S50" s="1790"/>
      <c r="T50" s="1784"/>
      <c r="U50" s="64"/>
    </row>
    <row r="51" spans="1:21">
      <c r="A51" s="99">
        <v>46</v>
      </c>
      <c r="B51" s="301" t="s">
        <v>140</v>
      </c>
      <c r="C51" s="317">
        <v>0</v>
      </c>
      <c r="D51" s="317">
        <v>0</v>
      </c>
      <c r="E51" s="317">
        <f t="shared" si="10"/>
        <v>0</v>
      </c>
      <c r="F51" s="318">
        <f>'[15]Table 4 Level 3'!F51+'[15]Table 4 Level 3'!H51</f>
        <v>0</v>
      </c>
      <c r="G51" s="318">
        <f t="shared" si="14"/>
        <v>0</v>
      </c>
      <c r="H51" s="318">
        <f t="shared" si="11"/>
        <v>0</v>
      </c>
      <c r="I51" s="316">
        <f>IF(F51&lt;0,0,'Table 3 Levels 1&amp;2'!C54)</f>
        <v>1077</v>
      </c>
      <c r="J51" s="313">
        <f t="shared" si="15"/>
        <v>38080</v>
      </c>
      <c r="K51" s="316">
        <f>'Table 3 Levels 1&amp;2'!C54</f>
        <v>1077</v>
      </c>
      <c r="L51" s="313">
        <f t="shared" si="16"/>
        <v>107700</v>
      </c>
      <c r="M51" s="313">
        <f t="shared" si="12"/>
        <v>145780</v>
      </c>
      <c r="N51" s="310">
        <v>728.06</v>
      </c>
      <c r="O51" s="313">
        <f>(('[2]ALL-Reformatted'!C51+'[2]ALL-Reformatted'!D51+'[2]ALL-Reformatted'!E51+'[2]ALL-Reformatted'!F51)*N51)+'Table 5A2 LSMSA'!G52+'Table 5A3 NOCCA'!G52+'Table 5A4_LSDVI'!G52+'Table 5A5_SSD'!G52+'Table 5C1A-Madison Prep'!G52+'Table 5C1B-DArbonne'!G52+'Table 5C1C-Intl_VIBE'!G52+'Table 5C1D-NOMMA'!G52+'Table 5C1E-LFNO'!G52+'Table 5C1F-Lake Charles Charter'!G52+'Table 5C1G-JS Clark Academy'!G52+'Table 5C1H-Southwest LA Charter'!G52+'Table 5C2 - LA Virtual Admy'!G49+'Table 5C3 - LA Connections EBR'!G49+'Table 5D1 - New Vision'!F52+'Table 5D2 - Glencoe'!F52+'Table 5D3 - International'!F52+'Table 5D4 - Avoyelles'!F52+'Table 5D5 - Delhi'!F52+'Table 5D6 - Milestone'!F52+'Table 5D7 - Max'!F52+'Table 5D8 - Belle Chasse'!H52</f>
        <v>783101.33600000001</v>
      </c>
      <c r="P51" s="313">
        <f t="shared" si="13"/>
        <v>928881.33600000001</v>
      </c>
      <c r="R51" s="23"/>
      <c r="S51" s="1790"/>
      <c r="T51" s="1784"/>
      <c r="U51" s="64"/>
    </row>
    <row r="52" spans="1:21">
      <c r="A52" s="99">
        <v>47</v>
      </c>
      <c r="B52" s="301" t="s">
        <v>141</v>
      </c>
      <c r="C52" s="317">
        <v>1851066</v>
      </c>
      <c r="D52" s="317">
        <v>1060614</v>
      </c>
      <c r="E52" s="317">
        <f t="shared" si="10"/>
        <v>790452</v>
      </c>
      <c r="F52" s="318">
        <f>'[15]Table 4 Level 3'!F52+'[15]Table 4 Level 3'!H52</f>
        <v>-474270</v>
      </c>
      <c r="G52" s="318">
        <f t="shared" si="14"/>
        <v>316182</v>
      </c>
      <c r="H52" s="318">
        <f t="shared" si="11"/>
        <v>-79046</v>
      </c>
      <c r="I52" s="316">
        <f>IF(F52&lt;0,0,'Table 3 Levels 1&amp;2'!C55)</f>
        <v>0</v>
      </c>
      <c r="J52" s="313">
        <f t="shared" si="15"/>
        <v>0</v>
      </c>
      <c r="K52" s="316">
        <f>'Table 3 Levels 1&amp;2'!C55</f>
        <v>3634</v>
      </c>
      <c r="L52" s="313">
        <f t="shared" si="16"/>
        <v>363400</v>
      </c>
      <c r="M52" s="313">
        <f t="shared" si="12"/>
        <v>1661150</v>
      </c>
      <c r="N52" s="310">
        <v>910.76</v>
      </c>
      <c r="O52" s="313">
        <f>(('[2]ALL-Reformatted'!C52+'[2]ALL-Reformatted'!D52+'[2]ALL-Reformatted'!E52+'[2]ALL-Reformatted'!F52)*N52)+'Table 5A2 LSMSA'!G53+'Table 5A3 NOCCA'!G53+'Table 5A4_LSDVI'!G53+'Table 5A5_SSD'!G53+'Table 5C1A-Madison Prep'!G53+'Table 5C1B-DArbonne'!G53+'Table 5C1C-Intl_VIBE'!G53+'Table 5C1D-NOMMA'!G53+'Table 5C1E-LFNO'!G53+'Table 5C1F-Lake Charles Charter'!G53+'Table 5C1G-JS Clark Academy'!G53+'Table 5C1H-Southwest LA Charter'!G53+'Table 5C2 - LA Virtual Admy'!G50+'Table 5C3 - LA Connections EBR'!G50+'Table 5D1 - New Vision'!F53+'Table 5D2 - Glencoe'!F53+'Table 5D3 - International'!F53+'Table 5D4 - Avoyelles'!F53+'Table 5D5 - Delhi'!F53+'Table 5D6 - Milestone'!F53+'Table 5D7 - Max'!F53+'Table 5D8 - Belle Chasse'!H53</f>
        <v>3308673.9674299541</v>
      </c>
      <c r="P52" s="313">
        <f t="shared" si="13"/>
        <v>4969823.9674299546</v>
      </c>
      <c r="R52" s="23"/>
      <c r="S52" s="1790"/>
      <c r="T52" s="1784"/>
      <c r="U52" s="64"/>
    </row>
    <row r="53" spans="1:21">
      <c r="A53" s="99">
        <v>48</v>
      </c>
      <c r="B53" s="301" t="s">
        <v>202</v>
      </c>
      <c r="C53" s="317">
        <v>0</v>
      </c>
      <c r="D53" s="317">
        <v>0</v>
      </c>
      <c r="E53" s="317">
        <f t="shared" si="10"/>
        <v>0</v>
      </c>
      <c r="F53" s="318">
        <f>'[15]Table 4 Level 3'!F53+'[15]Table 4 Level 3'!H53</f>
        <v>0</v>
      </c>
      <c r="G53" s="318">
        <f t="shared" si="14"/>
        <v>0</v>
      </c>
      <c r="H53" s="318">
        <f t="shared" si="11"/>
        <v>0</v>
      </c>
      <c r="I53" s="316">
        <f>IF(F53&lt;0,0,'Table 3 Levels 1&amp;2'!C56)</f>
        <v>6263</v>
      </c>
      <c r="J53" s="313">
        <f t="shared" si="15"/>
        <v>221442</v>
      </c>
      <c r="K53" s="316">
        <f>'Table 3 Levels 1&amp;2'!C56</f>
        <v>6263</v>
      </c>
      <c r="L53" s="313">
        <f t="shared" si="16"/>
        <v>626300</v>
      </c>
      <c r="M53" s="313">
        <f t="shared" si="12"/>
        <v>847742</v>
      </c>
      <c r="N53" s="310">
        <v>871.07</v>
      </c>
      <c r="O53" s="313">
        <f>(('[2]ALL-Reformatted'!C53+241+'[2]ALL-Reformatted'!D53+'[2]ALL-Reformatted'!E53+'[2]ALL-Reformatted'!F53)*N53)+'Table 5A2 LSMSA'!G54+'Table 5A3 NOCCA'!G54+'Table 5A4_LSDVI'!G54+'Table 5A5_SSD'!G54+'Table 5C1A-Madison Prep'!G54+'Table 5C1B-DArbonne'!G54+'Table 5C1C-Intl_VIBE'!G54+'Table 5C1D-NOMMA'!G54+'Table 5C1E-LFNO'!G54+'Table 5C1F-Lake Charles Charter'!G54+'Table 5C1G-JS Clark Academy'!G54+'Table 5C1H-Southwest LA Charter'!G54+'Table 5C2 - LA Virtual Admy'!G51+'Table 5C3 - LA Connections EBR'!G51+'Table 5D1 - New Vision'!F54+'Table 5D2 - Glencoe'!F54+'Table 5D3 - International'!F54+'Table 5D4 - Avoyelles'!F54+'Table 5D5 - Delhi'!F54+'Table 5D6 - Milestone'!F54+'Table 5D7 - Max'!F54+'Table 5D8 - Belle Chasse'!H54</f>
        <v>5450323.5621029409</v>
      </c>
      <c r="P53" s="313">
        <f t="shared" si="13"/>
        <v>6298065.5621029409</v>
      </c>
      <c r="R53" s="23"/>
      <c r="S53" s="1790"/>
      <c r="T53" s="1784"/>
      <c r="U53" s="64"/>
    </row>
    <row r="54" spans="1:21">
      <c r="A54" s="99">
        <v>49</v>
      </c>
      <c r="B54" s="301" t="s">
        <v>142</v>
      </c>
      <c r="C54" s="317">
        <v>0</v>
      </c>
      <c r="D54" s="317">
        <v>0</v>
      </c>
      <c r="E54" s="317">
        <f t="shared" si="10"/>
        <v>0</v>
      </c>
      <c r="F54" s="318">
        <f>'[15]Table 4 Level 3'!F54+'[15]Table 4 Level 3'!H54</f>
        <v>0</v>
      </c>
      <c r="G54" s="318">
        <f t="shared" si="14"/>
        <v>0</v>
      </c>
      <c r="H54" s="318">
        <f t="shared" si="11"/>
        <v>0</v>
      </c>
      <c r="I54" s="316">
        <f>IF(F54&lt;0,0,'Table 3 Levels 1&amp;2'!C57)</f>
        <v>14571</v>
      </c>
      <c r="J54" s="313">
        <f t="shared" si="15"/>
        <v>515190</v>
      </c>
      <c r="K54" s="316">
        <f>'Table 3 Levels 1&amp;2'!C57</f>
        <v>14571</v>
      </c>
      <c r="L54" s="313">
        <f t="shared" si="16"/>
        <v>1457100</v>
      </c>
      <c r="M54" s="313">
        <f t="shared" si="12"/>
        <v>1972290</v>
      </c>
      <c r="N54" s="310">
        <v>574.43999999999994</v>
      </c>
      <c r="O54" s="313">
        <f>(('[2]ALL-Reformatted'!C54+'[2]ALL-Reformatted'!D54+'[2]ALL-Reformatted'!E54+'[2]ALL-Reformatted'!F54)*N54)+'Table 5A2 LSMSA'!G55+'Table 5A3 NOCCA'!G55+'Table 5A4_LSDVI'!G55+'Table 5A5_SSD'!G55+'Table 5C1A-Madison Prep'!G55+'Table 5C1B-DArbonne'!G55+'Table 5C1C-Intl_VIBE'!G55+'Table 5C1D-NOMMA'!G55+'Table 5C1E-LFNO'!G55+'Table 5C1F-Lake Charles Charter'!G55+'Table 5C1G-JS Clark Academy'!G55+'Table 5C1H-Southwest LA Charter'!G55+'Table 5C2 - LA Virtual Admy'!G52+'Table 5C3 - LA Connections EBR'!G52+'Table 5D1 - New Vision'!F55+'Table 5D2 - Glencoe'!F55+'Table 5D3 - International'!F55+'Table 5D4 - Avoyelles'!F55+'Table 5D5 - Delhi'!F55+'Table 5D6 - Milestone'!F55+'Table 5D7 - Max'!F55+'Table 5D8 - Belle Chasse'!H55</f>
        <v>8365550.5322708869</v>
      </c>
      <c r="P54" s="313">
        <f t="shared" si="13"/>
        <v>10337840.532270886</v>
      </c>
      <c r="R54" s="23"/>
      <c r="S54" s="1790"/>
      <c r="T54" s="1784"/>
      <c r="U54" s="64"/>
    </row>
    <row r="55" spans="1:21">
      <c r="A55" s="100">
        <v>50</v>
      </c>
      <c r="B55" s="302" t="s">
        <v>143</v>
      </c>
      <c r="C55" s="324">
        <v>0</v>
      </c>
      <c r="D55" s="324">
        <v>0</v>
      </c>
      <c r="E55" s="324">
        <f t="shared" si="10"/>
        <v>0</v>
      </c>
      <c r="F55" s="325">
        <f>'[15]Table 4 Level 3'!F55+'[15]Table 4 Level 3'!H55</f>
        <v>0</v>
      </c>
      <c r="G55" s="325">
        <f t="shared" si="14"/>
        <v>0</v>
      </c>
      <c r="H55" s="325">
        <f t="shared" si="11"/>
        <v>0</v>
      </c>
      <c r="I55" s="323">
        <f>IF(F55&lt;0,0,'Table 3 Levels 1&amp;2'!C58)</f>
        <v>7919</v>
      </c>
      <c r="J55" s="320">
        <f t="shared" si="15"/>
        <v>279994</v>
      </c>
      <c r="K55" s="323">
        <f>'Table 3 Levels 1&amp;2'!C58</f>
        <v>7919</v>
      </c>
      <c r="L55" s="320">
        <f t="shared" si="16"/>
        <v>791900</v>
      </c>
      <c r="M55" s="320">
        <f t="shared" si="12"/>
        <v>1071894</v>
      </c>
      <c r="N55" s="319">
        <v>634.46</v>
      </c>
      <c r="O55" s="320">
        <f>(('[2]ALL-Reformatted'!C55+'[2]ALL-Reformatted'!D55+'[2]ALL-Reformatted'!E55+'[2]ALL-Reformatted'!F55)*N55)+'Table 5A2 LSMSA'!G56+'Table 5A3 NOCCA'!G56+'Table 5A4_LSDVI'!G56+'Table 5A5_SSD'!G56+'Table 5C1A-Madison Prep'!G56+'Table 5C1B-DArbonne'!G56+'Table 5C1C-Intl_VIBE'!G56+'Table 5C1D-NOMMA'!G56+'Table 5C1E-LFNO'!G56+'Table 5C1F-Lake Charles Charter'!G56+'Table 5C1G-JS Clark Academy'!G56+'Table 5C1H-Southwest LA Charter'!G56+'Table 5C2 - LA Virtual Admy'!G53+'Table 5C3 - LA Connections EBR'!G53+'Table 5D1 - New Vision'!F56+'Table 5D2 - Glencoe'!F56+'Table 5D3 - International'!F56+'Table 5D4 - Avoyelles'!F56+'Table 5D5 - Delhi'!F56+'Table 5D6 - Milestone'!F56+'Table 5D7 - Max'!F56+'Table 5D8 - Belle Chasse'!H56</f>
        <v>5022956.3739999998</v>
      </c>
      <c r="P55" s="320">
        <f t="shared" si="13"/>
        <v>6094850.3739999998</v>
      </c>
      <c r="R55" s="23"/>
      <c r="S55" s="1790"/>
      <c r="T55" s="1784"/>
      <c r="U55" s="64"/>
    </row>
    <row r="56" spans="1:21">
      <c r="A56" s="99">
        <v>51</v>
      </c>
      <c r="B56" s="301" t="s">
        <v>144</v>
      </c>
      <c r="C56" s="317">
        <v>0</v>
      </c>
      <c r="D56" s="317">
        <v>0</v>
      </c>
      <c r="E56" s="317">
        <f t="shared" si="10"/>
        <v>0</v>
      </c>
      <c r="F56" s="318">
        <f>'[15]Table 4 Level 3'!F56+'[15]Table 4 Level 3'!H56</f>
        <v>0</v>
      </c>
      <c r="G56" s="318">
        <f t="shared" si="14"/>
        <v>0</v>
      </c>
      <c r="H56" s="318">
        <f t="shared" si="11"/>
        <v>0</v>
      </c>
      <c r="I56" s="316">
        <f>IF(F56&lt;0,0,'Table 3 Levels 1&amp;2'!C59)</f>
        <v>9298</v>
      </c>
      <c r="J56" s="313">
        <f t="shared" si="15"/>
        <v>328752</v>
      </c>
      <c r="K56" s="316">
        <f>'Table 3 Levels 1&amp;2'!C59</f>
        <v>9298</v>
      </c>
      <c r="L56" s="313">
        <f t="shared" si="16"/>
        <v>929800</v>
      </c>
      <c r="M56" s="313">
        <f t="shared" si="12"/>
        <v>1258552</v>
      </c>
      <c r="N56" s="310">
        <v>706.66</v>
      </c>
      <c r="O56" s="313">
        <f>(('[2]ALL-Reformatted'!C56+'[2]ALL-Reformatted'!D56+'[2]ALL-Reformatted'!E56+'[2]ALL-Reformatted'!F56)*N56)+'Table 5A2 LSMSA'!G57+'Table 5A3 NOCCA'!G57+'Table 5A4_LSDVI'!G57+'Table 5A5_SSD'!G57+'Table 5C1A-Madison Prep'!G57+'Table 5C1B-DArbonne'!G57+'Table 5C1C-Intl_VIBE'!G57+'Table 5C1D-NOMMA'!G57+'Table 5C1E-LFNO'!G57+'Table 5C1F-Lake Charles Charter'!G57+'Table 5C1G-JS Clark Academy'!G57+'Table 5C1H-Southwest LA Charter'!G57+'Table 5C2 - LA Virtual Admy'!G54+'Table 5C3 - LA Connections EBR'!G54+'Table 5D1 - New Vision'!F57+'Table 5D2 - Glencoe'!F57+'Table 5D3 - International'!F57+'Table 5D4 - Avoyelles'!F57+'Table 5D5 - Delhi'!F57+'Table 5D6 - Milestone'!F57+'Table 5D7 - Max'!F57+'Table 5D8 - Belle Chasse'!H57</f>
        <v>6539218.8746943818</v>
      </c>
      <c r="P56" s="313">
        <f t="shared" si="13"/>
        <v>7797770.8746943818</v>
      </c>
      <c r="R56" s="23"/>
      <c r="S56" s="1790"/>
      <c r="T56" s="1784"/>
      <c r="U56" s="64"/>
    </row>
    <row r="57" spans="1:21">
      <c r="A57" s="99">
        <v>52</v>
      </c>
      <c r="B57" s="301" t="s">
        <v>145</v>
      </c>
      <c r="C57" s="317">
        <v>0</v>
      </c>
      <c r="D57" s="317">
        <v>0</v>
      </c>
      <c r="E57" s="317">
        <f t="shared" si="10"/>
        <v>0</v>
      </c>
      <c r="F57" s="318">
        <f>'[15]Table 4 Level 3'!F57+'[15]Table 4 Level 3'!H57</f>
        <v>0</v>
      </c>
      <c r="G57" s="318">
        <f t="shared" si="14"/>
        <v>0</v>
      </c>
      <c r="H57" s="318">
        <f t="shared" si="11"/>
        <v>0</v>
      </c>
      <c r="I57" s="316">
        <f>IF(F57&lt;0,0,'Table 3 Levels 1&amp;2'!C60)</f>
        <v>37183</v>
      </c>
      <c r="J57" s="313">
        <f t="shared" si="15"/>
        <v>1314688</v>
      </c>
      <c r="K57" s="316">
        <f>'Table 3 Levels 1&amp;2'!C60</f>
        <v>37183</v>
      </c>
      <c r="L57" s="313">
        <f t="shared" si="16"/>
        <v>3718300</v>
      </c>
      <c r="M57" s="313">
        <f t="shared" si="12"/>
        <v>5032988</v>
      </c>
      <c r="N57" s="310">
        <v>658.37</v>
      </c>
      <c r="O57" s="313">
        <f>(('[2]ALL-Reformatted'!C57+'[2]ALL-Reformatted'!D57+'[2]ALL-Reformatted'!E57+'[2]ALL-Reformatted'!F57)*N57)+'Table 5A2 LSMSA'!G58+'Table 5A3 NOCCA'!G58+'Table 5A4_LSDVI'!G58+'Table 5A5_SSD'!G58+'Table 5C1A-Madison Prep'!G58+'Table 5C1B-DArbonne'!G58+'Table 5C1C-Intl_VIBE'!G58+'Table 5C1D-NOMMA'!G58+'Table 5C1E-LFNO'!G58+'Table 5C1F-Lake Charles Charter'!G58+'Table 5C1G-JS Clark Academy'!G58+'Table 5C1H-Southwest LA Charter'!G58+'Table 5C2 - LA Virtual Admy'!G55+'Table 5C3 - LA Connections EBR'!G55+'Table 5D1 - New Vision'!F58+'Table 5D2 - Glencoe'!F58+'Table 5D3 - International'!F58+'Table 5D4 - Avoyelles'!F58+'Table 5D5 - Delhi'!F58+'Table 5D6 - Milestone'!F58+'Table 5D7 - Max'!F58+'Table 5D8 - Belle Chasse'!H58</f>
        <v>24469719.114151228</v>
      </c>
      <c r="P57" s="313">
        <f t="shared" si="13"/>
        <v>29502707.114151228</v>
      </c>
      <c r="R57" s="23"/>
      <c r="S57" s="1790"/>
      <c r="T57" s="1784"/>
      <c r="U57" s="64"/>
    </row>
    <row r="58" spans="1:21">
      <c r="A58" s="99">
        <v>53</v>
      </c>
      <c r="B58" s="301" t="s">
        <v>146</v>
      </c>
      <c r="C58" s="317">
        <v>0</v>
      </c>
      <c r="D58" s="317">
        <v>0</v>
      </c>
      <c r="E58" s="317">
        <f t="shared" si="10"/>
        <v>0</v>
      </c>
      <c r="F58" s="318">
        <f>'[15]Table 4 Level 3'!F58+'[15]Table 4 Level 3'!H58</f>
        <v>0</v>
      </c>
      <c r="G58" s="318">
        <f t="shared" si="14"/>
        <v>0</v>
      </c>
      <c r="H58" s="318">
        <f t="shared" si="11"/>
        <v>0</v>
      </c>
      <c r="I58" s="316">
        <f>IF(F58&lt;0,0,'Table 3 Levels 1&amp;2'!C61)</f>
        <v>19215</v>
      </c>
      <c r="J58" s="313">
        <f t="shared" si="15"/>
        <v>679389</v>
      </c>
      <c r="K58" s="316">
        <f>'Table 3 Levels 1&amp;2'!C61</f>
        <v>19215</v>
      </c>
      <c r="L58" s="313">
        <f t="shared" si="16"/>
        <v>1921500</v>
      </c>
      <c r="M58" s="313">
        <f t="shared" si="12"/>
        <v>2600889</v>
      </c>
      <c r="N58" s="310">
        <v>689.74</v>
      </c>
      <c r="O58" s="313">
        <f>(('[2]ALL-Reformatted'!C58+'[2]ALL-Reformatted'!D58+'[2]ALL-Reformatted'!E58+'[2]ALL-Reformatted'!F58)*N58)+'Table 5A2 LSMSA'!G59+'Table 5A3 NOCCA'!G59+'Table 5A4_LSDVI'!G59+'Table 5A5_SSD'!G59+'Table 5C1A-Madison Prep'!G59+'Table 5C1B-DArbonne'!G59+'Table 5C1C-Intl_VIBE'!G59+'Table 5C1D-NOMMA'!G59+'Table 5C1E-LFNO'!G59+'Table 5C1F-Lake Charles Charter'!G59+'Table 5C1G-JS Clark Academy'!G59+'Table 5C1H-Southwest LA Charter'!G59+'Table 5C2 - LA Virtual Admy'!G56+'Table 5C3 - LA Connections EBR'!G56+'Table 5D1 - New Vision'!F59+'Table 5D2 - Glencoe'!F59+'Table 5D3 - International'!F59+'Table 5D4 - Avoyelles'!F59+'Table 5D5 - Delhi'!F59+'Table 5D6 - Milestone'!F59+'Table 5D7 - Max'!F59+'Table 5D8 - Belle Chasse'!H59</f>
        <v>13246042.856000001</v>
      </c>
      <c r="P58" s="313">
        <f t="shared" si="13"/>
        <v>15846931.856000001</v>
      </c>
      <c r="R58" s="23"/>
      <c r="S58" s="1790"/>
      <c r="T58" s="1784"/>
      <c r="U58" s="64"/>
    </row>
    <row r="59" spans="1:21">
      <c r="A59" s="99">
        <v>54</v>
      </c>
      <c r="B59" s="301" t="s">
        <v>147</v>
      </c>
      <c r="C59" s="317">
        <v>0</v>
      </c>
      <c r="D59" s="317">
        <v>0</v>
      </c>
      <c r="E59" s="317">
        <f t="shared" si="10"/>
        <v>0</v>
      </c>
      <c r="F59" s="318">
        <f>'[15]Table 4 Level 3'!F59+'[15]Table 4 Level 3'!H59</f>
        <v>0</v>
      </c>
      <c r="G59" s="318">
        <f t="shared" si="14"/>
        <v>0</v>
      </c>
      <c r="H59" s="318">
        <f t="shared" si="11"/>
        <v>0</v>
      </c>
      <c r="I59" s="316">
        <f>IF(F59&lt;0,0,'Table 3 Levels 1&amp;2'!C62)</f>
        <v>685</v>
      </c>
      <c r="J59" s="313">
        <f t="shared" si="15"/>
        <v>24220</v>
      </c>
      <c r="K59" s="316">
        <f>'Table 3 Levels 1&amp;2'!C62</f>
        <v>685</v>
      </c>
      <c r="L59" s="313">
        <f t="shared" si="16"/>
        <v>68500</v>
      </c>
      <c r="M59" s="313">
        <f t="shared" si="12"/>
        <v>92720</v>
      </c>
      <c r="N59" s="310">
        <v>951.45</v>
      </c>
      <c r="O59" s="313">
        <f>(('[2]ALL-Reformatted'!C59+'[2]ALL-Reformatted'!D59+'[2]ALL-Reformatted'!E59+'[2]ALL-Reformatted'!F59)*N59)+'Table 5A2 LSMSA'!G60+'Table 5A3 NOCCA'!G60+'Table 5A4_LSDVI'!G60+'Table 5A5_SSD'!G60+'Table 5C1A-Madison Prep'!G60+'Table 5C1B-DArbonne'!G60+'Table 5C1C-Intl_VIBE'!G60+'Table 5C1D-NOMMA'!G60+'Table 5C1E-LFNO'!G60+'Table 5C1F-Lake Charles Charter'!G60+'Table 5C1G-JS Clark Academy'!G60+'Table 5C1H-Southwest LA Charter'!G60+'Table 5C2 - LA Virtual Admy'!G57+'Table 5C3 - LA Connections EBR'!G57+'Table 5D1 - New Vision'!F60+'Table 5D2 - Glencoe'!F60+'Table 5D3 - International'!F60+'Table 5D4 - Avoyelles'!F60+'Table 5D5 - Delhi'!F60+'Table 5D6 - Milestone'!F60+'Table 5D7 - Max'!F60+'Table 5D8 - Belle Chasse'!H60</f>
        <v>649994.2456324246</v>
      </c>
      <c r="P59" s="313">
        <f t="shared" si="13"/>
        <v>742714.2456324246</v>
      </c>
      <c r="R59" s="23"/>
      <c r="S59" s="1790"/>
      <c r="T59" s="1784"/>
      <c r="U59" s="64"/>
    </row>
    <row r="60" spans="1:21">
      <c r="A60" s="100">
        <v>55</v>
      </c>
      <c r="B60" s="302" t="s">
        <v>148</v>
      </c>
      <c r="C60" s="324">
        <v>0</v>
      </c>
      <c r="D60" s="324">
        <v>0</v>
      </c>
      <c r="E60" s="324">
        <f t="shared" si="10"/>
        <v>0</v>
      </c>
      <c r="F60" s="325">
        <f>'[15]Table 4 Level 3'!F60+'[15]Table 4 Level 3'!H60</f>
        <v>0</v>
      </c>
      <c r="G60" s="325">
        <f t="shared" si="14"/>
        <v>0</v>
      </c>
      <c r="H60" s="325">
        <f t="shared" si="11"/>
        <v>0</v>
      </c>
      <c r="I60" s="323">
        <f>IF(F60&lt;0,0,'Table 3 Levels 1&amp;2'!C63)</f>
        <v>17844</v>
      </c>
      <c r="J60" s="320">
        <f t="shared" si="15"/>
        <v>630915</v>
      </c>
      <c r="K60" s="323">
        <f>'Table 3 Levels 1&amp;2'!C63</f>
        <v>17844</v>
      </c>
      <c r="L60" s="320">
        <f t="shared" si="16"/>
        <v>1784400</v>
      </c>
      <c r="M60" s="320">
        <f t="shared" si="12"/>
        <v>2415315</v>
      </c>
      <c r="N60" s="319">
        <v>795.14</v>
      </c>
      <c r="O60" s="320">
        <f>(('[2]ALL-Reformatted'!C60+'[2]ALL-Reformatted'!D60+'[2]ALL-Reformatted'!E60+'[2]ALL-Reformatted'!F60)*N60)+'Table 5A2 LSMSA'!G61+'Table 5A3 NOCCA'!G61+'Table 5A4_LSDVI'!G61+'Table 5A5_SSD'!G61+'Table 5C1A-Madison Prep'!G61+'Table 5C1B-DArbonne'!G61+'Table 5C1C-Intl_VIBE'!G61+'Table 5C1D-NOMMA'!G61+'Table 5C1E-LFNO'!G61+'Table 5C1F-Lake Charles Charter'!G61+'Table 5C1G-JS Clark Academy'!G61+'Table 5C1H-Southwest LA Charter'!G61+'Table 5C2 - LA Virtual Admy'!G58+'Table 5C3 - LA Connections EBR'!G58+'Table 5D1 - New Vision'!F61+'Table 5D2 - Glencoe'!F61+'Table 5D3 - International'!F61+'Table 5D4 - Avoyelles'!F61+'Table 5D5 - Delhi'!F61+'Table 5D6 - Milestone'!F61+'Table 5D7 - Max'!F61+'Table 5D8 - Belle Chasse'!H61</f>
        <v>14177862.407829355</v>
      </c>
      <c r="P60" s="320">
        <f t="shared" si="13"/>
        <v>16593177.407829355</v>
      </c>
      <c r="R60" s="23"/>
      <c r="S60" s="1790"/>
      <c r="T60" s="1784"/>
      <c r="U60" s="64"/>
    </row>
    <row r="61" spans="1:21">
      <c r="A61" s="99">
        <v>56</v>
      </c>
      <c r="B61" s="301" t="s">
        <v>149</v>
      </c>
      <c r="C61" s="317">
        <v>0</v>
      </c>
      <c r="D61" s="317">
        <v>0</v>
      </c>
      <c r="E61" s="317">
        <f t="shared" si="10"/>
        <v>0</v>
      </c>
      <c r="F61" s="318">
        <f>'[15]Table 4 Level 3'!F61+'[15]Table 4 Level 3'!H61</f>
        <v>0</v>
      </c>
      <c r="G61" s="318">
        <f t="shared" si="14"/>
        <v>0</v>
      </c>
      <c r="H61" s="318">
        <f t="shared" si="11"/>
        <v>0</v>
      </c>
      <c r="I61" s="316">
        <f>IF(F61&lt;0,0,'Table 3 Levels 1&amp;2'!C64)</f>
        <v>2878</v>
      </c>
      <c r="J61" s="313">
        <f t="shared" si="15"/>
        <v>101758</v>
      </c>
      <c r="K61" s="316">
        <f>'Table 3 Levels 1&amp;2'!C64</f>
        <v>2878</v>
      </c>
      <c r="L61" s="313">
        <f t="shared" si="16"/>
        <v>287800</v>
      </c>
      <c r="M61" s="313">
        <f t="shared" si="12"/>
        <v>389558</v>
      </c>
      <c r="N61" s="310">
        <v>614.66000000000008</v>
      </c>
      <c r="O61" s="1333">
        <f>(('[2]ALL-Reformatted'!C61+'[2]ALL-Reformatted'!D61+'[2]ALL-Reformatted'!E61+'[2]ALL-Reformatted'!F61)*N61)+'Table 5A2 LSMSA'!G62+'Table 5A3 NOCCA'!G62+'Table 5A4_LSDVI'!G62+'Table 5A5_SSD'!G62+'Table 5C1A-Madison Prep'!G62+'Table 5C1B-DArbonne'!G62+'Table 5C1C-Intl_VIBE'!G62+'Table 5C1D-NOMMA'!G62+'Table 5C1E-LFNO'!G62+'Table 5C1F-Lake Charles Charter'!G62+'Table 5C1G-JS Clark Academy'!G62+'Table 5C1H-Southwest LA Charter'!G62+'Table 5C2 - LA Virtual Admy'!G59+'Table 5C3 - LA Connections EBR'!G59+'Table 5D1 - New Vision'!F62+'Table 5D2 - Glencoe'!F62+'Table 5D3 - International'!F62+'Table 5D4 - Avoyelles'!F62+'Table 5D5 - Delhi'!F62+'Table 5D6 - Milestone'!F62+'Table 5D7 - Max'!F62+'Table 5D8 - Belle Chasse'!H62+'Table 5C1B-DArbonne'!G76</f>
        <v>1768253.8879999998</v>
      </c>
      <c r="P61" s="313">
        <f t="shared" si="13"/>
        <v>2157811.8879999998</v>
      </c>
      <c r="R61" s="23"/>
      <c r="S61" s="1790"/>
      <c r="T61" s="1784"/>
      <c r="U61" s="64"/>
    </row>
    <row r="62" spans="1:21">
      <c r="A62" s="99">
        <v>57</v>
      </c>
      <c r="B62" s="301" t="s">
        <v>150</v>
      </c>
      <c r="C62" s="317">
        <v>0</v>
      </c>
      <c r="D62" s="317">
        <v>0</v>
      </c>
      <c r="E62" s="317">
        <f t="shared" si="10"/>
        <v>0</v>
      </c>
      <c r="F62" s="318">
        <f>'[15]Table 4 Level 3'!F62+'[15]Table 4 Level 3'!H62</f>
        <v>0</v>
      </c>
      <c r="G62" s="318">
        <f t="shared" si="14"/>
        <v>0</v>
      </c>
      <c r="H62" s="318">
        <f t="shared" si="11"/>
        <v>0</v>
      </c>
      <c r="I62" s="316">
        <f>IF(F62&lt;0,0,'Table 3 Levels 1&amp;2'!C65)</f>
        <v>9062</v>
      </c>
      <c r="J62" s="313">
        <f t="shared" si="15"/>
        <v>320407</v>
      </c>
      <c r="K62" s="316">
        <f>'Table 3 Levels 1&amp;2'!C65</f>
        <v>9062</v>
      </c>
      <c r="L62" s="313">
        <f t="shared" si="16"/>
        <v>906200</v>
      </c>
      <c r="M62" s="313">
        <f t="shared" si="12"/>
        <v>1226607</v>
      </c>
      <c r="N62" s="310">
        <v>764.51</v>
      </c>
      <c r="O62" s="313">
        <f>(('[2]ALL-Reformatted'!C62+'[2]ALL-Reformatted'!D62+'[2]ALL-Reformatted'!E62+'[2]ALL-Reformatted'!F62)*N62)+'Table 5A2 LSMSA'!G63+'Table 5A3 NOCCA'!G63+'Table 5A4_LSDVI'!G63+'Table 5A5_SSD'!G63+'Table 5C1A-Madison Prep'!G63+'Table 5C1B-DArbonne'!G63+'Table 5C1C-Intl_VIBE'!G63+'Table 5C1D-NOMMA'!G63+'Table 5C1E-LFNO'!G63+'Table 5C1F-Lake Charles Charter'!G63+'Table 5C1G-JS Clark Academy'!G63+'Table 5C1H-Southwest LA Charter'!G63+'Table 5C2 - LA Virtual Admy'!G60+'Table 5C3 - LA Connections EBR'!G60+'Table 5D1 - New Vision'!F63+'Table 5D2 - Glencoe'!F63+'Table 5D3 - International'!F63+'Table 5D4 - Avoyelles'!F63+'Table 5D5 - Delhi'!F63+'Table 5D6 - Milestone'!F63+'Table 5D7 - Max'!F63+'Table 5D8 - Belle Chasse'!H63</f>
        <v>6926766.4040000001</v>
      </c>
      <c r="P62" s="313">
        <f t="shared" si="13"/>
        <v>8153373.4040000001</v>
      </c>
      <c r="R62" s="23"/>
      <c r="S62" s="1790"/>
      <c r="T62" s="1784"/>
      <c r="U62" s="64"/>
    </row>
    <row r="63" spans="1:21">
      <c r="A63" s="99">
        <v>58</v>
      </c>
      <c r="B63" s="301" t="s">
        <v>151</v>
      </c>
      <c r="C63" s="317">
        <v>0</v>
      </c>
      <c r="D63" s="317">
        <v>0</v>
      </c>
      <c r="E63" s="317">
        <f t="shared" si="10"/>
        <v>0</v>
      </c>
      <c r="F63" s="318">
        <f>'[15]Table 4 Level 3'!F63+'[15]Table 4 Level 3'!H63</f>
        <v>0</v>
      </c>
      <c r="G63" s="318">
        <f t="shared" si="14"/>
        <v>0</v>
      </c>
      <c r="H63" s="318">
        <f t="shared" si="11"/>
        <v>0</v>
      </c>
      <c r="I63" s="316">
        <f>IF(F63&lt;0,0,'Table 3 Levels 1&amp;2'!C66)</f>
        <v>9105</v>
      </c>
      <c r="J63" s="313">
        <f t="shared" si="15"/>
        <v>321928</v>
      </c>
      <c r="K63" s="316">
        <f>'Table 3 Levels 1&amp;2'!C66</f>
        <v>9105</v>
      </c>
      <c r="L63" s="313">
        <f t="shared" si="16"/>
        <v>910500</v>
      </c>
      <c r="M63" s="313">
        <f t="shared" si="12"/>
        <v>1232428</v>
      </c>
      <c r="N63" s="310">
        <v>697.04</v>
      </c>
      <c r="O63" s="313">
        <f>(('[2]ALL-Reformatted'!C63+'[2]ALL-Reformatted'!D63+'[2]ALL-Reformatted'!E63+'[2]ALL-Reformatted'!F63)*N63)+'Table 5A2 LSMSA'!G64+'Table 5A3 NOCCA'!G64+'Table 5A4_LSDVI'!G64+'Table 5A5_SSD'!G64+'Table 5C1A-Madison Prep'!G64+'Table 5C1B-DArbonne'!G64+'Table 5C1C-Intl_VIBE'!G64+'Table 5C1D-NOMMA'!G64+'Table 5C1E-LFNO'!G64+'Table 5C1F-Lake Charles Charter'!G64+'Table 5C1G-JS Clark Academy'!G64+'Table 5C1H-Southwest LA Charter'!G64+'Table 5C2 - LA Virtual Admy'!G61+'Table 5C3 - LA Connections EBR'!G61+'Table 5D1 - New Vision'!F64+'Table 5D2 - Glencoe'!F64+'Table 5D3 - International'!F64+'Table 5D4 - Avoyelles'!F64+'Table 5D5 - Delhi'!F64+'Table 5D6 - Milestone'!F64+'Table 5D7 - Max'!F64+'Table 5D8 - Belle Chasse'!H64</f>
        <v>6342506.3679999989</v>
      </c>
      <c r="P63" s="313">
        <f t="shared" si="13"/>
        <v>7574934.3679999989</v>
      </c>
      <c r="R63" s="23"/>
      <c r="S63" s="1790"/>
      <c r="T63" s="1784"/>
      <c r="U63" s="64"/>
    </row>
    <row r="64" spans="1:21">
      <c r="A64" s="99">
        <v>59</v>
      </c>
      <c r="B64" s="301" t="s">
        <v>152</v>
      </c>
      <c r="C64" s="317">
        <v>0</v>
      </c>
      <c r="D64" s="317">
        <v>0</v>
      </c>
      <c r="E64" s="317">
        <f t="shared" si="10"/>
        <v>0</v>
      </c>
      <c r="F64" s="318">
        <f>'[15]Table 4 Level 3'!F64+'[15]Table 4 Level 3'!H64</f>
        <v>0</v>
      </c>
      <c r="G64" s="318">
        <f t="shared" si="14"/>
        <v>0</v>
      </c>
      <c r="H64" s="318">
        <f t="shared" si="11"/>
        <v>0</v>
      </c>
      <c r="I64" s="316">
        <f>IF(F64&lt;0,0,'Table 3 Levels 1&amp;2'!C67)</f>
        <v>5253</v>
      </c>
      <c r="J64" s="313">
        <f t="shared" si="15"/>
        <v>185732</v>
      </c>
      <c r="K64" s="316">
        <f>'Table 3 Levels 1&amp;2'!C67</f>
        <v>5253</v>
      </c>
      <c r="L64" s="313">
        <f t="shared" si="16"/>
        <v>525300</v>
      </c>
      <c r="M64" s="313">
        <f t="shared" si="12"/>
        <v>711032</v>
      </c>
      <c r="N64" s="310">
        <v>689.52</v>
      </c>
      <c r="O64" s="313">
        <f>(('[2]ALL-Reformatted'!C64+'[2]ALL-Reformatted'!D64+'[2]ALL-Reformatted'!E64+'[2]ALL-Reformatted'!F64)*N64)+'Table 5A2 LSMSA'!G65+'Table 5A3 NOCCA'!G65+'Table 5A4_LSDVI'!G65+'Table 5A5_SSD'!G65+'Table 5C1A-Madison Prep'!G65+'Table 5C1B-DArbonne'!G65+'Table 5C1C-Intl_VIBE'!G65+'Table 5C1D-NOMMA'!G65+'Table 5C1E-LFNO'!G65+'Table 5C1F-Lake Charles Charter'!G65+'Table 5C1G-JS Clark Academy'!G65+'Table 5C1H-Southwest LA Charter'!G65+'Table 5C2 - LA Virtual Admy'!G62+'Table 5C3 - LA Connections EBR'!G62+'Table 5D1 - New Vision'!F65+'Table 5D2 - Glencoe'!F65+'Table 5D3 - International'!F65+'Table 5D4 - Avoyelles'!F65+'Table 5D5 - Delhi'!F65+'Table 5D6 - Milestone'!F65+'Table 5D7 - Max'!F65+'Table 5D8 - Belle Chasse'!H65</f>
        <v>3620186.8560000001</v>
      </c>
      <c r="P64" s="313">
        <f t="shared" si="13"/>
        <v>4331218.8560000006</v>
      </c>
      <c r="R64" s="23"/>
      <c r="S64" s="1790"/>
      <c r="T64" s="1784"/>
      <c r="U64" s="64"/>
    </row>
    <row r="65" spans="1:21">
      <c r="A65" s="100">
        <v>60</v>
      </c>
      <c r="B65" s="302" t="s">
        <v>153</v>
      </c>
      <c r="C65" s="324">
        <v>0</v>
      </c>
      <c r="D65" s="324">
        <v>0</v>
      </c>
      <c r="E65" s="324">
        <f t="shared" si="10"/>
        <v>0</v>
      </c>
      <c r="F65" s="325">
        <f>'[15]Table 4 Level 3'!F65+'[15]Table 4 Level 3'!H65</f>
        <v>0</v>
      </c>
      <c r="G65" s="325">
        <f t="shared" si="14"/>
        <v>0</v>
      </c>
      <c r="H65" s="325">
        <f t="shared" si="11"/>
        <v>0</v>
      </c>
      <c r="I65" s="323">
        <f>IF(F65&lt;0,0,'Table 3 Levels 1&amp;2'!C68)</f>
        <v>6511</v>
      </c>
      <c r="J65" s="320">
        <f t="shared" si="15"/>
        <v>230211</v>
      </c>
      <c r="K65" s="323">
        <f>'Table 3 Levels 1&amp;2'!C68</f>
        <v>6511</v>
      </c>
      <c r="L65" s="320">
        <f t="shared" si="16"/>
        <v>651100</v>
      </c>
      <c r="M65" s="320">
        <f t="shared" si="12"/>
        <v>881311</v>
      </c>
      <c r="N65" s="319">
        <v>594.04</v>
      </c>
      <c r="O65" s="320">
        <f>(('[2]ALL-Reformatted'!C65+'[2]ALL-Reformatted'!D65+'[2]ALL-Reformatted'!E65+'[2]ALL-Reformatted'!F65)*N65)+'Table 5A2 LSMSA'!G66+'Table 5A3 NOCCA'!G66+'Table 5A4_LSDVI'!G66+'Table 5A5_SSD'!G66+'Table 5C1A-Madison Prep'!G66+'Table 5C1B-DArbonne'!G66+'Table 5C1C-Intl_VIBE'!G66+'Table 5C1D-NOMMA'!G66+'Table 5C1E-LFNO'!G66+'Table 5C1F-Lake Charles Charter'!G66+'Table 5C1G-JS Clark Academy'!G66+'Table 5C1H-Southwest LA Charter'!G66+'Table 5C2 - LA Virtual Admy'!G63+'Table 5C3 - LA Connections EBR'!G63+'Table 5D1 - New Vision'!F66+'Table 5D2 - Glencoe'!F66+'Table 5D3 - International'!F66+'Table 5D4 - Avoyelles'!F66+'Table 5D5 - Delhi'!F66+'Table 5D6 - Milestone'!F66+'Table 5D7 - Max'!F66+'Table 5D8 - Belle Chasse'!H66</f>
        <v>3865240.0679999995</v>
      </c>
      <c r="P65" s="320">
        <f t="shared" si="13"/>
        <v>4746551.068</v>
      </c>
      <c r="R65" s="23"/>
      <c r="S65" s="1790"/>
      <c r="T65" s="1784"/>
      <c r="U65" s="64"/>
    </row>
    <row r="66" spans="1:21">
      <c r="A66" s="99">
        <v>61</v>
      </c>
      <c r="B66" s="301" t="s">
        <v>154</v>
      </c>
      <c r="C66" s="317">
        <v>0</v>
      </c>
      <c r="D66" s="317">
        <v>0</v>
      </c>
      <c r="E66" s="317">
        <f t="shared" si="10"/>
        <v>0</v>
      </c>
      <c r="F66" s="318">
        <f>'[15]Table 4 Level 3'!F66+'[15]Table 4 Level 3'!H66</f>
        <v>0</v>
      </c>
      <c r="G66" s="318">
        <f t="shared" si="14"/>
        <v>0</v>
      </c>
      <c r="H66" s="318">
        <f t="shared" si="11"/>
        <v>0</v>
      </c>
      <c r="I66" s="316">
        <f>IF(F66&lt;0,0,'Table 3 Levels 1&amp;2'!C69)</f>
        <v>3638</v>
      </c>
      <c r="J66" s="313">
        <f t="shared" si="15"/>
        <v>128630</v>
      </c>
      <c r="K66" s="316">
        <f>'Table 3 Levels 1&amp;2'!C69</f>
        <v>3638</v>
      </c>
      <c r="L66" s="313">
        <f t="shared" si="16"/>
        <v>363800</v>
      </c>
      <c r="M66" s="313">
        <f t="shared" si="12"/>
        <v>492430</v>
      </c>
      <c r="N66" s="310">
        <v>833.70999999999992</v>
      </c>
      <c r="O66" s="313">
        <f>(('[2]ALL-Reformatted'!C66+'[2]ALL-Reformatted'!D66+'[2]ALL-Reformatted'!E66+'[2]ALL-Reformatted'!F66)*N66)+'Table 5A2 LSMSA'!G67+'Table 5A3 NOCCA'!G67+'Table 5A4_LSDVI'!G67+'Table 5A5_SSD'!G67+'Table 5C1A-Madison Prep'!G67+'Table 5C1B-DArbonne'!G67+'Table 5C1C-Intl_VIBE'!G67+'Table 5C1D-NOMMA'!G67+'Table 5C1E-LFNO'!G67+'Table 5C1F-Lake Charles Charter'!G67+'Table 5C1G-JS Clark Academy'!G67+'Table 5C1H-Southwest LA Charter'!G67+'Table 5C2 - LA Virtual Admy'!G64+'Table 5C3 - LA Connections EBR'!G64+'Table 5D1 - New Vision'!F67+'Table 5D2 - Glencoe'!F67+'Table 5D3 - International'!F67+'Table 5D4 - Avoyelles'!F67+'Table 5D5 - Delhi'!F67+'Table 5D6 - Milestone'!F67+'Table 5D7 - Max'!F67+'Table 5D8 - Belle Chasse'!H67</f>
        <v>3031786.4149999996</v>
      </c>
      <c r="P66" s="313">
        <f t="shared" si="13"/>
        <v>3524216.4149999996</v>
      </c>
      <c r="R66" s="23"/>
      <c r="S66" s="1790"/>
      <c r="T66" s="1784"/>
      <c r="U66" s="64"/>
    </row>
    <row r="67" spans="1:21">
      <c r="A67" s="99">
        <v>62</v>
      </c>
      <c r="B67" s="301" t="s">
        <v>155</v>
      </c>
      <c r="C67" s="317">
        <v>0</v>
      </c>
      <c r="D67" s="317">
        <v>0</v>
      </c>
      <c r="E67" s="317">
        <f t="shared" si="10"/>
        <v>0</v>
      </c>
      <c r="F67" s="318">
        <f>'[15]Table 4 Level 3'!F67+'[15]Table 4 Level 3'!H67</f>
        <v>0</v>
      </c>
      <c r="G67" s="318">
        <f t="shared" si="14"/>
        <v>0</v>
      </c>
      <c r="H67" s="318">
        <f t="shared" si="11"/>
        <v>0</v>
      </c>
      <c r="I67" s="316">
        <f>IF(F67&lt;0,0,'Table 3 Levels 1&amp;2'!C70)</f>
        <v>2143</v>
      </c>
      <c r="J67" s="313">
        <f t="shared" si="15"/>
        <v>75771</v>
      </c>
      <c r="K67" s="316">
        <f>'Table 3 Levels 1&amp;2'!C70</f>
        <v>2143</v>
      </c>
      <c r="L67" s="313">
        <f t="shared" si="16"/>
        <v>214300</v>
      </c>
      <c r="M67" s="313">
        <f t="shared" si="12"/>
        <v>290071</v>
      </c>
      <c r="N67" s="310">
        <v>516.08000000000004</v>
      </c>
      <c r="O67" s="313">
        <f>(('[2]ALL-Reformatted'!C67+'[2]ALL-Reformatted'!D67+'[2]ALL-Reformatted'!E67+'[2]ALL-Reformatted'!F67)*N67)+'Table 5A2 LSMSA'!G68+'Table 5A3 NOCCA'!G68+'Table 5A4_LSDVI'!G68+'Table 5A5_SSD'!G68+'Table 5C1A-Madison Prep'!G68+'Table 5C1B-DArbonne'!G68+'Table 5C1C-Intl_VIBE'!G68+'Table 5C1D-NOMMA'!G68+'Table 5C1E-LFNO'!G68+'Table 5C1F-Lake Charles Charter'!G68+'Table 5C1G-JS Clark Academy'!G68+'Table 5C1H-Southwest LA Charter'!G68+'Table 5C2 - LA Virtual Admy'!G65+'Table 5C3 - LA Connections EBR'!G65+'Table 5D1 - New Vision'!F68+'Table 5D2 - Glencoe'!F68+'Table 5D3 - International'!F68+'Table 5D4 - Avoyelles'!F68+'Table 5D5 - Delhi'!F68+'Table 5D6 - Milestone'!F68+'Table 5D7 - Max'!F68+'Table 5D8 - Belle Chasse'!H68</f>
        <v>1106250.1915890954</v>
      </c>
      <c r="P67" s="313">
        <f t="shared" si="13"/>
        <v>1396321.1915890954</v>
      </c>
      <c r="R67" s="23"/>
      <c r="S67" s="1790"/>
      <c r="T67" s="1784"/>
      <c r="U67" s="64"/>
    </row>
    <row r="68" spans="1:21">
      <c r="A68" s="99">
        <v>63</v>
      </c>
      <c r="B68" s="301" t="s">
        <v>156</v>
      </c>
      <c r="C68" s="317">
        <v>5908357</v>
      </c>
      <c r="D68" s="317">
        <v>680156</v>
      </c>
      <c r="E68" s="317">
        <f t="shared" si="10"/>
        <v>5228201</v>
      </c>
      <c r="F68" s="318">
        <f>'[15]Table 4 Level 3'!F68+'[15]Table 4 Level 3'!H68</f>
        <v>-3136920</v>
      </c>
      <c r="G68" s="318">
        <f t="shared" si="14"/>
        <v>2091281</v>
      </c>
      <c r="H68" s="318">
        <f t="shared" si="11"/>
        <v>-522820</v>
      </c>
      <c r="I68" s="316">
        <f>IF(F68&lt;0,0,'Table 3 Levels 1&amp;2'!C71)</f>
        <v>0</v>
      </c>
      <c r="J68" s="313">
        <f t="shared" si="15"/>
        <v>0</v>
      </c>
      <c r="K68" s="316">
        <f>'Table 3 Levels 1&amp;2'!C71</f>
        <v>2043</v>
      </c>
      <c r="L68" s="313">
        <f t="shared" si="16"/>
        <v>204300</v>
      </c>
      <c r="M68" s="313">
        <f t="shared" si="12"/>
        <v>2452917</v>
      </c>
      <c r="N68" s="310">
        <v>756.79</v>
      </c>
      <c r="O68" s="313">
        <f>(('[2]ALL-Reformatted'!C68+'[2]ALL-Reformatted'!D68+'[2]ALL-Reformatted'!E68+'[2]ALL-Reformatted'!F68)*N68)+'Table 5A2 LSMSA'!G69+'Table 5A3 NOCCA'!G69+'Table 5A4_LSDVI'!G69+'Table 5A5_SSD'!G69+'Table 5C1A-Madison Prep'!G69+'Table 5C1B-DArbonne'!G69+'Table 5C1C-Intl_VIBE'!G69+'Table 5C1D-NOMMA'!G69+'Table 5C1E-LFNO'!G69+'Table 5C1F-Lake Charles Charter'!G69+'Table 5C1G-JS Clark Academy'!G69+'Table 5C1H-Southwest LA Charter'!G69+'Table 5C2 - LA Virtual Admy'!G66+'Table 5C3 - LA Connections EBR'!G66+'Table 5D1 - New Vision'!F69+'Table 5D2 - Glencoe'!F69+'Table 5D3 - International'!F69+'Table 5D4 - Avoyelles'!F69+'Table 5D5 - Delhi'!F69+'Table 5D6 - Milestone'!F69+'Table 5D7 - Max'!F69+'Table 5D8 - Belle Chasse'!H69</f>
        <v>1546046.2910000002</v>
      </c>
      <c r="P68" s="313">
        <f t="shared" si="13"/>
        <v>3998963.2910000002</v>
      </c>
      <c r="R68" s="23"/>
      <c r="S68" s="1790"/>
      <c r="T68" s="1784"/>
      <c r="U68" s="64"/>
    </row>
    <row r="69" spans="1:21">
      <c r="A69" s="99">
        <v>64</v>
      </c>
      <c r="B69" s="301" t="s">
        <v>157</v>
      </c>
      <c r="C69" s="317">
        <v>0</v>
      </c>
      <c r="D69" s="317">
        <v>0</v>
      </c>
      <c r="E69" s="317">
        <f t="shared" si="10"/>
        <v>0</v>
      </c>
      <c r="F69" s="318">
        <f>'[15]Table 4 Level 3'!F69+'[15]Table 4 Level 3'!H69</f>
        <v>0</v>
      </c>
      <c r="G69" s="318">
        <f t="shared" si="14"/>
        <v>0</v>
      </c>
      <c r="H69" s="318">
        <f t="shared" si="11"/>
        <v>0</v>
      </c>
      <c r="I69" s="316">
        <f>IF(F69&lt;0,0,'Table 3 Levels 1&amp;2'!C72)</f>
        <v>2398</v>
      </c>
      <c r="J69" s="313">
        <f t="shared" si="15"/>
        <v>84787</v>
      </c>
      <c r="K69" s="316">
        <f>'Table 3 Levels 1&amp;2'!C72</f>
        <v>2398</v>
      </c>
      <c r="L69" s="313">
        <f t="shared" si="16"/>
        <v>239800</v>
      </c>
      <c r="M69" s="313">
        <f t="shared" si="12"/>
        <v>324587</v>
      </c>
      <c r="N69" s="310">
        <v>592.66</v>
      </c>
      <c r="O69" s="313">
        <f>(('[2]ALL-Reformatted'!C69+'[2]ALL-Reformatted'!D69+'[2]ALL-Reformatted'!E69+'[2]ALL-Reformatted'!F69)*N69)+'Table 5A2 LSMSA'!G70+'Table 5A3 NOCCA'!G70+'Table 5A4_LSDVI'!G70+'Table 5A5_SSD'!G70+'Table 5C1A-Madison Prep'!G70+'Table 5C1B-DArbonne'!G70+'Table 5C1C-Intl_VIBE'!G70+'Table 5C1D-NOMMA'!G70+'Table 5C1E-LFNO'!G70+'Table 5C1F-Lake Charles Charter'!G70+'Table 5C1G-JS Clark Academy'!G70+'Table 5C1H-Southwest LA Charter'!G70+'Table 5C2 - LA Virtual Admy'!G67+'Table 5C3 - LA Connections EBR'!G67+'Table 5D1 - New Vision'!F70+'Table 5D2 - Glencoe'!F70+'Table 5D3 - International'!F70+'Table 5D4 - Avoyelles'!F70+'Table 5D5 - Delhi'!F70+'Table 5D6 - Milestone'!F70+'Table 5D7 - Max'!F70+'Table 5D8 - Belle Chasse'!H70</f>
        <v>1420902.3499999996</v>
      </c>
      <c r="P69" s="313">
        <f t="shared" si="13"/>
        <v>1745489.3499999996</v>
      </c>
      <c r="R69" s="23"/>
      <c r="S69" s="1790"/>
      <c r="T69" s="1784"/>
      <c r="U69" s="64"/>
    </row>
    <row r="70" spans="1:21">
      <c r="A70" s="100">
        <v>65</v>
      </c>
      <c r="B70" s="302" t="s">
        <v>158</v>
      </c>
      <c r="C70" s="324">
        <v>0</v>
      </c>
      <c r="D70" s="324">
        <v>0</v>
      </c>
      <c r="E70" s="324">
        <f t="shared" si="10"/>
        <v>0</v>
      </c>
      <c r="F70" s="325">
        <f>'[15]Table 4 Level 3'!F70+'[15]Table 4 Level 3'!H70</f>
        <v>0</v>
      </c>
      <c r="G70" s="325">
        <f>SUM(E70:F70)</f>
        <v>0</v>
      </c>
      <c r="H70" s="325">
        <f t="shared" si="11"/>
        <v>0</v>
      </c>
      <c r="I70" s="323">
        <f>IF(F70&lt;0,0,'Table 3 Levels 1&amp;2'!C73)</f>
        <v>8474</v>
      </c>
      <c r="J70" s="320">
        <f>ROUND($J$4*I70,0)</f>
        <v>299617</v>
      </c>
      <c r="K70" s="323">
        <f>'Table 3 Levels 1&amp;2'!C73</f>
        <v>8474</v>
      </c>
      <c r="L70" s="320">
        <f>ROUND(K70*$L$4,0)</f>
        <v>847400</v>
      </c>
      <c r="M70" s="320">
        <f t="shared" si="12"/>
        <v>1147017</v>
      </c>
      <c r="N70" s="319">
        <v>829.12</v>
      </c>
      <c r="O70" s="320">
        <f>(('[2]ALL-Reformatted'!C70+'[2]ALL-Reformatted'!D70+'[2]ALL-Reformatted'!E70+'[2]ALL-Reformatted'!F70)*N70)+'Table 5A2 LSMSA'!G71+'Table 5A3 NOCCA'!G71+'Table 5A4_LSDVI'!G71+'Table 5A5_SSD'!G71+'Table 5C1A-Madison Prep'!G71+'Table 5C1B-DArbonne'!G71+'Table 5C1C-Intl_VIBE'!G71+'Table 5C1D-NOMMA'!G71+'Table 5C1E-LFNO'!G71+'Table 5C1F-Lake Charles Charter'!G71+'Table 5C1G-JS Clark Academy'!G71+'Table 5C1H-Southwest LA Charter'!G71+'Table 5C2 - LA Virtual Admy'!G68+'Table 5C3 - LA Connections EBR'!G68+'Table 5D1 - New Vision'!F71+'Table 5D2 - Glencoe'!F71+'Table 5D3 - International'!F71+'Table 5D4 - Avoyelles'!F71+'Table 5D5 - Delhi'!F71+'Table 5D6 - Milestone'!F71+'Table 5D7 - Max'!F71+'Table 5D8 - Belle Chasse'!H71</f>
        <v>7004871.5280269366</v>
      </c>
      <c r="P70" s="320">
        <f t="shared" si="13"/>
        <v>8151888.5280269366</v>
      </c>
      <c r="R70" s="23"/>
      <c r="S70" s="1790"/>
      <c r="T70" s="1784"/>
      <c r="U70" s="64"/>
    </row>
    <row r="71" spans="1:21">
      <c r="A71" s="134">
        <v>66</v>
      </c>
      <c r="B71" s="303" t="s">
        <v>159</v>
      </c>
      <c r="C71" s="330">
        <v>0</v>
      </c>
      <c r="D71" s="330">
        <v>0</v>
      </c>
      <c r="E71" s="330">
        <f>C71-D71</f>
        <v>0</v>
      </c>
      <c r="F71" s="331">
        <f>'[15]Table 4 Level 3'!F71+'[15]Table 4 Level 3'!H71</f>
        <v>0</v>
      </c>
      <c r="G71" s="331">
        <f>SUM(E71:F71)</f>
        <v>0</v>
      </c>
      <c r="H71" s="331">
        <f t="shared" ref="H71:H74" si="17">ROUND(-G71/4,0)</f>
        <v>0</v>
      </c>
      <c r="I71" s="329">
        <f>IF(F71&lt;0,0,'Table 3 Levels 1&amp;2'!C74)</f>
        <v>2036</v>
      </c>
      <c r="J71" s="311">
        <f>ROUND($J$4*I71,0)</f>
        <v>71987</v>
      </c>
      <c r="K71" s="329">
        <f>'Table 3 Levels 1&amp;2'!C74</f>
        <v>2036</v>
      </c>
      <c r="L71" s="311">
        <f>ROUND(K71*$L$4,0)</f>
        <v>203600</v>
      </c>
      <c r="M71" s="311">
        <f t="shared" ref="M71:M74" si="18">D71+E71+F71+H71+J71+L71</f>
        <v>275587</v>
      </c>
      <c r="N71" s="312">
        <v>730.06</v>
      </c>
      <c r="O71" s="311">
        <f>(('[2]ALL-Reformatted'!C71+'[2]ALL-Reformatted'!D71+'[2]ALL-Reformatted'!E71+'[2]ALL-Reformatted'!F71)*N71)+'Table 5A2 LSMSA'!G72+'Table 5A3 NOCCA'!G72+'Table 5A4_LSDVI'!G72+'Table 5A5_SSD'!G72+'Table 5C1A-Madison Prep'!G72+'Table 5C1B-DArbonne'!G72+'Table 5C1C-Intl_VIBE'!G72+'Table 5C1D-NOMMA'!G72+'Table 5C1E-LFNO'!G72+'Table 5C1F-Lake Charles Charter'!G72+'Table 5C1G-JS Clark Academy'!G72+'Table 5C1H-Southwest LA Charter'!G72+'Table 5C2 - LA Virtual Admy'!G69+'Table 5C3 - LA Connections EBR'!G69+'Table 5D1 - New Vision'!F72+'Table 5D2 - Glencoe'!F72+'Table 5D3 - International'!F72+'Table 5D4 - Avoyelles'!F72+'Table 5D5 - Delhi'!F72+'Table 5D6 - Milestone'!F72+'Table 5D7 - Max'!F72+'Table 5D8 - Belle Chasse'!H72</f>
        <v>1486037.1300000001</v>
      </c>
      <c r="P71" s="311">
        <f>M71+O71</f>
        <v>1761624.1300000001</v>
      </c>
      <c r="R71" s="23"/>
      <c r="S71" s="1790"/>
      <c r="T71" s="1784"/>
      <c r="U71" s="64"/>
    </row>
    <row r="72" spans="1:21">
      <c r="A72" s="353">
        <v>67</v>
      </c>
      <c r="B72" s="304" t="s">
        <v>32</v>
      </c>
      <c r="C72" s="317">
        <v>0</v>
      </c>
      <c r="D72" s="317">
        <v>0</v>
      </c>
      <c r="E72" s="317">
        <f>C72-D72</f>
        <v>0</v>
      </c>
      <c r="F72" s="318">
        <f>'[15]Table 4 Level 3'!F72+'[15]Table 4 Level 3'!H72</f>
        <v>0</v>
      </c>
      <c r="G72" s="318">
        <f>SUM(E72:F72)</f>
        <v>0</v>
      </c>
      <c r="H72" s="318">
        <f t="shared" si="17"/>
        <v>0</v>
      </c>
      <c r="I72" s="316">
        <f>IF(F72&lt;0,0,'Table 3 Levels 1&amp;2'!C75)</f>
        <v>5104</v>
      </c>
      <c r="J72" s="313">
        <f>ROUND($J$4*I72,0)</f>
        <v>180463</v>
      </c>
      <c r="K72" s="316">
        <f>'Table 3 Levels 1&amp;2'!C75</f>
        <v>5104</v>
      </c>
      <c r="L72" s="313">
        <f>ROUND(K72*$L$4,0)</f>
        <v>510400</v>
      </c>
      <c r="M72" s="313">
        <f t="shared" si="18"/>
        <v>690863</v>
      </c>
      <c r="N72" s="310">
        <v>715.61</v>
      </c>
      <c r="O72" s="313">
        <f>(('[2]ALL-Reformatted'!C72+'[2]ALL-Reformatted'!D72+'[2]ALL-Reformatted'!E72+'[2]ALL-Reformatted'!F72)*N72)+'Table 5A2 LSMSA'!G73+'Table 5A3 NOCCA'!G73+'Table 5A4_LSDVI'!G73+'Table 5A5_SSD'!G73+'Table 5C1A-Madison Prep'!G73+'Table 5C1B-DArbonne'!G73+'Table 5C1C-Intl_VIBE'!G73+'Table 5C1D-NOMMA'!G73+'Table 5C1E-LFNO'!G73+'Table 5C1F-Lake Charles Charter'!G73+'Table 5C1G-JS Clark Academy'!G73+'Table 5C1H-Southwest LA Charter'!G73+'Table 5C2 - LA Virtual Admy'!G70+'Table 5C3 - LA Connections EBR'!G70+'Table 5D1 - New Vision'!F73+'Table 5D2 - Glencoe'!F73+'Table 5D3 - International'!F73+'Table 5D4 - Avoyelles'!F73+'Table 5D5 - Delhi'!F73+'Table 5D6 - Milestone'!F73+'Table 5D7 - Max'!F73+'Table 5D8 - Belle Chasse'!H73</f>
        <v>3652187.1960000005</v>
      </c>
      <c r="P72" s="313">
        <f>M72+O72</f>
        <v>4343050.1960000005</v>
      </c>
      <c r="R72" s="23"/>
      <c r="S72" s="1790"/>
      <c r="T72" s="1784"/>
      <c r="U72" s="64"/>
    </row>
    <row r="73" spans="1:21">
      <c r="A73" s="99">
        <v>68</v>
      </c>
      <c r="B73" s="301" t="s">
        <v>30</v>
      </c>
      <c r="C73" s="317">
        <v>0</v>
      </c>
      <c r="D73" s="317">
        <v>0</v>
      </c>
      <c r="E73" s="317">
        <f>C73-D73</f>
        <v>0</v>
      </c>
      <c r="F73" s="318">
        <f>'[15]Table 4 Level 3'!F73+'[15]Table 4 Level 3'!H73</f>
        <v>0</v>
      </c>
      <c r="G73" s="318">
        <f>SUM(E73:F73)</f>
        <v>0</v>
      </c>
      <c r="H73" s="318">
        <f t="shared" si="17"/>
        <v>0</v>
      </c>
      <c r="I73" s="316">
        <f>IF(F73&lt;0,0,'Table 3 Levels 1&amp;2'!C76)</f>
        <v>1752</v>
      </c>
      <c r="J73" s="313">
        <f>ROUND($J$4*I73,0)</f>
        <v>61946</v>
      </c>
      <c r="K73" s="316">
        <f>'Table 3 Levels 1&amp;2'!C76</f>
        <v>1752</v>
      </c>
      <c r="L73" s="313">
        <f>ROUND(K73*$L$4,0)</f>
        <v>175200</v>
      </c>
      <c r="M73" s="313">
        <f t="shared" si="18"/>
        <v>237146</v>
      </c>
      <c r="N73" s="310">
        <v>798.7</v>
      </c>
      <c r="O73" s="313">
        <f>(('[2]ALL-Reformatted'!C73+'[2]ALL-Reformatted'!D73+'[2]ALL-Reformatted'!E73+'[2]ALL-Reformatted'!F73)*N73)+'Table 5A2 LSMSA'!G74+'Table 5A3 NOCCA'!G74+'Table 5A4_LSDVI'!G74+'Table 5A5_SSD'!G74+'Table 5C1A-Madison Prep'!G74+'Table 5C1B-DArbonne'!G74+'Table 5C1C-Intl_VIBE'!G74+'Table 5C1D-NOMMA'!G74+'Table 5C1E-LFNO'!G74+'Table 5C1F-Lake Charles Charter'!G74+'Table 5C1G-JS Clark Academy'!G74+'Table 5C1H-Southwest LA Charter'!G74+'Table 5C2 - LA Virtual Admy'!G71+'Table 5C3 - LA Connections EBR'!G71+'Table 5D1 - New Vision'!F74+'Table 5D2 - Glencoe'!F74+'Table 5D3 - International'!F74+'Table 5D4 - Avoyelles'!F74+'Table 5D5 - Delhi'!F74+'Table 5D6 - Milestone'!F74+'Table 5D7 - Max'!F74+'Table 5D8 - Belle Chasse'!H74</f>
        <v>1398204.2200000002</v>
      </c>
      <c r="P73" s="313">
        <f>M73+O73</f>
        <v>1635350.2200000002</v>
      </c>
      <c r="R73" s="23"/>
      <c r="S73" s="1790"/>
      <c r="T73" s="1784"/>
      <c r="U73" s="64"/>
    </row>
    <row r="74" spans="1:21">
      <c r="A74" s="100">
        <v>69</v>
      </c>
      <c r="B74" s="302" t="s">
        <v>213</v>
      </c>
      <c r="C74" s="324">
        <v>0</v>
      </c>
      <c r="D74" s="324">
        <v>0</v>
      </c>
      <c r="E74" s="324">
        <f>C74-D74</f>
        <v>0</v>
      </c>
      <c r="F74" s="325">
        <f>'[15]Table 4 Level 3'!F74+'[15]Table 4 Level 3'!H74</f>
        <v>0</v>
      </c>
      <c r="G74" s="325">
        <f>SUM(E74:F74)</f>
        <v>0</v>
      </c>
      <c r="H74" s="325">
        <f t="shared" si="17"/>
        <v>0</v>
      </c>
      <c r="I74" s="323">
        <f>IF(F74&lt;0,0,'Table 3 Levels 1&amp;2'!C77)</f>
        <v>4195</v>
      </c>
      <c r="J74" s="320">
        <f>ROUND($J$4*I74,0)</f>
        <v>148324</v>
      </c>
      <c r="K74" s="323">
        <f>'Table 3 Levels 1&amp;2'!C77</f>
        <v>4195</v>
      </c>
      <c r="L74" s="320">
        <f>ROUND(K74*$L$4,0)</f>
        <v>419500</v>
      </c>
      <c r="M74" s="320">
        <f t="shared" si="18"/>
        <v>567824</v>
      </c>
      <c r="N74" s="319">
        <v>705.67</v>
      </c>
      <c r="O74" s="320">
        <f>(('[2]ALL-Reformatted'!C74+'[2]ALL-Reformatted'!D74+'[2]ALL-Reformatted'!E74+'[2]ALL-Reformatted'!F74)*N74)+'Table 5A2 LSMSA'!G75+'Table 5A3 NOCCA'!G75+'Table 5A4_LSDVI'!G75+'Table 5A5_SSD'!G75+'Table 5C1A-Madison Prep'!G75+'Table 5C1B-DArbonne'!G75+'Table 5C1C-Intl_VIBE'!G75+'Table 5C1D-NOMMA'!G75+'Table 5C1E-LFNO'!G75+'Table 5C1F-Lake Charles Charter'!G75+'Table 5C1G-JS Clark Academy'!G75+'Table 5C1H-Southwest LA Charter'!G75+'Table 5C2 - LA Virtual Admy'!G72+'Table 5C3 - LA Connections EBR'!G72+'Table 5D1 - New Vision'!F75+'Table 5D2 - Glencoe'!F75+'Table 5D3 - International'!F75+'Table 5D4 - Avoyelles'!F75+'Table 5D5 - Delhi'!F75+'Table 5D6 - Milestone'!F75+'Table 5D7 - Max'!F75+'Table 5D8 - Belle Chasse'!H75</f>
        <v>2959650.5469999993</v>
      </c>
      <c r="P74" s="320">
        <f>M74+O74</f>
        <v>3527474.5469999993</v>
      </c>
      <c r="R74" s="23"/>
      <c r="S74" s="1790"/>
      <c r="T74" s="1784"/>
      <c r="U74" s="64"/>
    </row>
    <row r="75" spans="1:21" s="8" customFormat="1" ht="13.5" thickBot="1">
      <c r="A75" s="418"/>
      <c r="B75" s="419" t="s">
        <v>160</v>
      </c>
      <c r="C75" s="478">
        <f t="shared" ref="C75:J75" si="19">SUM(C6:C74)</f>
        <v>76792933</v>
      </c>
      <c r="D75" s="478">
        <f t="shared" si="19"/>
        <v>38336714</v>
      </c>
      <c r="E75" s="478">
        <f t="shared" si="19"/>
        <v>38456219</v>
      </c>
      <c r="F75" s="479">
        <f t="shared" si="19"/>
        <v>-23577426</v>
      </c>
      <c r="G75" s="479">
        <f t="shared" si="19"/>
        <v>14878793</v>
      </c>
      <c r="H75" s="479">
        <f t="shared" si="19"/>
        <v>-3719701</v>
      </c>
      <c r="I75" s="480">
        <f t="shared" si="19"/>
        <v>561631</v>
      </c>
      <c r="J75" s="478">
        <f t="shared" si="19"/>
        <v>19857726</v>
      </c>
      <c r="K75" s="422">
        <f>SUM(K6:K74)</f>
        <v>684048</v>
      </c>
      <c r="L75" s="423">
        <f>SUM(L6:L74)</f>
        <v>68404800</v>
      </c>
      <c r="M75" s="423">
        <f>SUM(M6:M74)</f>
        <v>137758332</v>
      </c>
      <c r="N75" s="421">
        <v>703.90028204588873</v>
      </c>
      <c r="O75" s="420">
        <f>SUM(O6:O74)</f>
        <v>481788998.13600159</v>
      </c>
      <c r="P75" s="423">
        <f>SUM(P6:P74)</f>
        <v>619547330.13600147</v>
      </c>
      <c r="S75" s="1790"/>
      <c r="T75" s="1762"/>
      <c r="U75" s="116"/>
    </row>
    <row r="76" spans="1:21" s="8" customFormat="1" ht="13.5" thickTop="1">
      <c r="A76" s="425"/>
      <c r="B76" s="428"/>
      <c r="C76" s="796"/>
      <c r="D76" s="796"/>
      <c r="E76" s="796"/>
      <c r="F76" s="797"/>
      <c r="G76" s="797"/>
      <c r="H76" s="1964" t="s">
        <v>504</v>
      </c>
      <c r="I76" s="798"/>
      <c r="J76" s="796"/>
      <c r="K76" s="799"/>
      <c r="L76" s="262"/>
      <c r="M76" s="262"/>
      <c r="N76" s="97"/>
      <c r="O76" s="800"/>
      <c r="P76" s="262"/>
      <c r="S76" s="116"/>
      <c r="T76" s="1763"/>
      <c r="U76" s="116"/>
    </row>
    <row r="77" spans="1:21" s="8" customFormat="1">
      <c r="A77" s="37"/>
      <c r="B77" s="38"/>
      <c r="C77" s="116"/>
      <c r="D77" s="116"/>
      <c r="E77" s="116"/>
      <c r="F77" s="116"/>
      <c r="G77" s="116"/>
      <c r="H77" s="1965"/>
      <c r="I77" s="116"/>
      <c r="J77" s="116"/>
      <c r="K77" s="116"/>
      <c r="L77" s="116"/>
      <c r="M77" s="116"/>
      <c r="N77" s="814" t="s">
        <v>1457</v>
      </c>
      <c r="O77" s="305"/>
      <c r="S77" s="116"/>
      <c r="T77" s="1762"/>
      <c r="U77" s="116"/>
    </row>
    <row r="78" spans="1:21">
      <c r="A78" s="450"/>
      <c r="B78" s="461"/>
      <c r="C78" s="64"/>
      <c r="D78" s="64"/>
      <c r="E78" s="135"/>
      <c r="F78" s="198"/>
      <c r="G78" s="138"/>
      <c r="H78" s="1966"/>
      <c r="I78" s="138"/>
      <c r="J78" s="138"/>
      <c r="K78" s="64"/>
      <c r="L78" s="64"/>
      <c r="M78" s="64"/>
      <c r="S78" s="1792"/>
      <c r="T78" s="1793"/>
      <c r="U78" s="1789"/>
    </row>
    <row r="79" spans="1:21" ht="13.5" customHeight="1">
      <c r="A79" s="450"/>
      <c r="B79" s="461"/>
      <c r="C79" s="64"/>
      <c r="D79" s="64"/>
      <c r="E79" s="350"/>
      <c r="F79" s="138"/>
      <c r="G79" s="357"/>
      <c r="H79" s="429"/>
      <c r="I79" s="359"/>
      <c r="J79" s="358"/>
      <c r="K79" s="135"/>
      <c r="L79" s="135"/>
      <c r="M79" s="135"/>
      <c r="N79" s="1949"/>
      <c r="O79" s="1949"/>
      <c r="P79" s="1949"/>
      <c r="S79" s="64"/>
      <c r="T79" s="1784"/>
      <c r="U79" s="64"/>
    </row>
    <row r="80" spans="1:21" ht="12.75" customHeight="1">
      <c r="A80" s="450"/>
      <c r="B80" s="462"/>
      <c r="E80" s="23"/>
      <c r="F80" s="814"/>
      <c r="G80" s="64"/>
      <c r="H80" s="350"/>
      <c r="I80" s="64"/>
      <c r="J80" s="64"/>
      <c r="N80" s="1946"/>
      <c r="O80" s="1946"/>
      <c r="P80" s="1946"/>
      <c r="Q80" s="1200"/>
      <c r="R80" s="1200"/>
      <c r="S80" s="1789"/>
      <c r="T80" s="1794"/>
      <c r="U80" s="1794"/>
    </row>
    <row r="81" spans="1:21">
      <c r="A81" s="450"/>
      <c r="B81" s="461"/>
      <c r="G81" s="64"/>
      <c r="H81" s="430"/>
      <c r="I81" s="64"/>
      <c r="J81" s="64"/>
      <c r="N81" s="1946"/>
      <c r="O81" s="1946"/>
      <c r="P81" s="1946"/>
      <c r="S81" s="64"/>
      <c r="T81" s="64"/>
      <c r="U81" s="64"/>
    </row>
    <row r="82" spans="1:21">
      <c r="A82" s="450"/>
      <c r="B82" s="461"/>
      <c r="G82" s="64"/>
      <c r="H82" s="64"/>
      <c r="I82" s="64"/>
      <c r="J82" s="64"/>
      <c r="N82" s="1947"/>
      <c r="O82" s="1948"/>
      <c r="P82" s="1948"/>
      <c r="S82" s="64"/>
      <c r="T82" s="64"/>
      <c r="U82" s="64"/>
    </row>
    <row r="83" spans="1:21">
      <c r="A83" s="425"/>
      <c r="B83" s="428"/>
      <c r="G83" s="64"/>
      <c r="H83" s="64"/>
      <c r="I83" s="64"/>
      <c r="J83" s="64"/>
      <c r="N83" s="879"/>
      <c r="S83" s="64"/>
      <c r="T83" s="64"/>
      <c r="U83" s="64"/>
    </row>
    <row r="84" spans="1:21">
      <c r="A84" s="425"/>
      <c r="B84" s="428"/>
      <c r="G84" s="64"/>
      <c r="H84" s="64"/>
      <c r="I84" s="64"/>
      <c r="J84" s="64"/>
    </row>
    <row r="85" spans="1:21">
      <c r="A85" s="64"/>
      <c r="B85" s="64"/>
    </row>
  </sheetData>
  <mergeCells count="22">
    <mergeCell ref="H76:H78"/>
    <mergeCell ref="F3:F4"/>
    <mergeCell ref="D3:D4"/>
    <mergeCell ref="K2:L2"/>
    <mergeCell ref="G3:G4"/>
    <mergeCell ref="E3:E4"/>
    <mergeCell ref="C3:C4"/>
    <mergeCell ref="A2:A4"/>
    <mergeCell ref="B2:B4"/>
    <mergeCell ref="N3:N4"/>
    <mergeCell ref="O3:O4"/>
    <mergeCell ref="H3:H4"/>
    <mergeCell ref="I3:I4"/>
    <mergeCell ref="M2:M4"/>
    <mergeCell ref="C2:J2"/>
    <mergeCell ref="K3:K4"/>
    <mergeCell ref="N2:O2"/>
    <mergeCell ref="N80:P80"/>
    <mergeCell ref="N81:P81"/>
    <mergeCell ref="N82:P82"/>
    <mergeCell ref="P2:P4"/>
    <mergeCell ref="N79:P79"/>
  </mergeCells>
  <phoneticPr fontId="0" type="noConversion"/>
  <printOptions horizontalCentered="1"/>
  <pageMargins left="0.25" right="0.24" top="1.08" bottom="0.27" header="0.32" footer="0.35"/>
  <pageSetup paperSize="5" scale="80" firstPageNumber="39" orientation="portrait" useFirstPageNumber="1" r:id="rId1"/>
  <headerFooter alignWithMargins="0">
    <oddHeader>&amp;L&amp;"Arial,Bold"&amp;18Table 4:  FY2013-14 Budget Letter (Projection)&amp;20
Level 3 Supplementary Funding</oddHeader>
    <oddFooter>&amp;R&amp;12&amp;P</oddFooter>
  </headerFooter>
  <colBreaks count="2" manualBreakCount="2">
    <brk id="13" max="77" man="1"/>
    <brk id="17" max="7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9"/>
  <sheetViews>
    <sheetView view="pageBreakPreview" zoomScaleNormal="90" zoomScaleSheetLayoutView="100" workbookViewId="0">
      <pane xSplit="2" ySplit="5" topLeftCell="C6" activePane="bottomRight" state="frozen"/>
      <selection activeCell="B3" sqref="B3:B5"/>
      <selection pane="topRight" activeCell="B3" sqref="B3:B5"/>
      <selection pane="bottomLeft" activeCell="B3" sqref="B3:B5"/>
      <selection pane="bottomRight" activeCell="B2" sqref="B2:B3"/>
    </sheetView>
  </sheetViews>
  <sheetFormatPr defaultRowHeight="12.75"/>
  <cols>
    <col min="1" max="1" width="7.85546875" bestFit="1" customWidth="1"/>
    <col min="2" max="2" width="63.85546875" bestFit="1" customWidth="1"/>
    <col min="3" max="3" width="14" customWidth="1"/>
    <col min="4" max="4" width="14.140625" customWidth="1"/>
    <col min="5" max="6" width="11.85546875" bestFit="1" customWidth="1"/>
    <col min="7" max="7" width="11" bestFit="1" customWidth="1"/>
    <col min="8" max="8" width="13.7109375" bestFit="1" customWidth="1"/>
    <col min="9" max="9" width="12.85546875" bestFit="1" customWidth="1"/>
    <col min="10" max="10" width="16.5703125" bestFit="1" customWidth="1"/>
    <col min="11" max="11" width="15.42578125" bestFit="1" customWidth="1"/>
    <col min="12" max="12" width="17.85546875" customWidth="1"/>
  </cols>
  <sheetData>
    <row r="1" spans="1:11" ht="52.5" customHeight="1">
      <c r="C1" s="1962" t="s">
        <v>64</v>
      </c>
      <c r="D1" s="1971"/>
      <c r="E1" s="1971"/>
      <c r="F1" s="1971"/>
      <c r="G1" s="1972"/>
      <c r="H1" s="1959" t="s">
        <v>877</v>
      </c>
      <c r="I1" s="1973"/>
      <c r="J1" s="1983" t="s">
        <v>1142</v>
      </c>
      <c r="K1" s="1969" t="s">
        <v>1038</v>
      </c>
    </row>
    <row r="2" spans="1:11" ht="155.25" customHeight="1">
      <c r="A2" s="1974" t="s">
        <v>190</v>
      </c>
      <c r="B2" s="1974" t="s">
        <v>544</v>
      </c>
      <c r="C2" s="1976" t="s">
        <v>1192</v>
      </c>
      <c r="D2" s="1393" t="s">
        <v>238</v>
      </c>
      <c r="E2" s="1978" t="s">
        <v>1193</v>
      </c>
      <c r="F2" s="1395" t="s">
        <v>239</v>
      </c>
      <c r="G2" s="1980" t="s">
        <v>88</v>
      </c>
      <c r="H2" s="1981" t="s">
        <v>1201</v>
      </c>
      <c r="I2" s="1394" t="s">
        <v>201</v>
      </c>
      <c r="J2" s="1984"/>
      <c r="K2" s="1969"/>
    </row>
    <row r="3" spans="1:11" ht="15.75" customHeight="1">
      <c r="A3" s="1975"/>
      <c r="B3" s="1974"/>
      <c r="C3" s="1977"/>
      <c r="D3" s="459">
        <v>6000</v>
      </c>
      <c r="E3" s="1979"/>
      <c r="F3" s="460">
        <v>4000</v>
      </c>
      <c r="G3" s="1955"/>
      <c r="H3" s="1982"/>
      <c r="I3" s="1463">
        <v>20000</v>
      </c>
      <c r="J3" s="1985"/>
      <c r="K3" s="1970"/>
    </row>
    <row r="4" spans="1:11" ht="15" customHeight="1">
      <c r="A4" s="1402"/>
      <c r="B4" s="1403"/>
      <c r="C4" s="1403">
        <v>1</v>
      </c>
      <c r="D4" s="1403">
        <f>C4+1</f>
        <v>2</v>
      </c>
      <c r="E4" s="1403">
        <f t="shared" ref="E4:K4" si="0">D4+1</f>
        <v>3</v>
      </c>
      <c r="F4" s="1403">
        <f t="shared" si="0"/>
        <v>4</v>
      </c>
      <c r="G4" s="1403">
        <f t="shared" si="0"/>
        <v>5</v>
      </c>
      <c r="H4" s="1403">
        <f t="shared" si="0"/>
        <v>6</v>
      </c>
      <c r="I4" s="1403">
        <f t="shared" si="0"/>
        <v>7</v>
      </c>
      <c r="J4" s="1403">
        <f t="shared" si="0"/>
        <v>8</v>
      </c>
      <c r="K4" s="1403">
        <f t="shared" si="0"/>
        <v>9</v>
      </c>
    </row>
    <row r="5" spans="1:11" ht="31.5" customHeight="1">
      <c r="A5" s="1402"/>
      <c r="B5" s="1403"/>
      <c r="C5" s="1403"/>
      <c r="D5" s="1403"/>
      <c r="E5" s="1403"/>
      <c r="F5" s="1403"/>
      <c r="G5" s="1403"/>
      <c r="H5" s="1403"/>
      <c r="I5" s="1403"/>
      <c r="J5" s="1403"/>
      <c r="K5" s="1403"/>
    </row>
    <row r="6" spans="1:11" ht="14.25">
      <c r="A6" s="1404">
        <v>1</v>
      </c>
      <c r="B6" s="1405" t="s">
        <v>545</v>
      </c>
      <c r="C6" s="314">
        <f>'[16]Table 4A Stipends'!C4</f>
        <v>0</v>
      </c>
      <c r="D6" s="313">
        <f>ROUND($D$3*C6,0)</f>
        <v>0</v>
      </c>
      <c r="E6" s="314">
        <f>'[16]Table 4A Stipends'!E4</f>
        <v>0</v>
      </c>
      <c r="F6" s="313">
        <f>ROUND($F$3*E6,0)</f>
        <v>0</v>
      </c>
      <c r="G6" s="463">
        <f>D6+F6</f>
        <v>0</v>
      </c>
      <c r="H6" s="354">
        <v>0</v>
      </c>
      <c r="I6" s="1466">
        <f>ROUND($I$3*H6,0)</f>
        <v>0</v>
      </c>
      <c r="J6" s="1469">
        <v>0</v>
      </c>
      <c r="K6" s="1522">
        <f>G6+I6+J6</f>
        <v>0</v>
      </c>
    </row>
    <row r="7" spans="1:11" ht="14.25">
      <c r="A7" s="1404">
        <v>2</v>
      </c>
      <c r="B7" s="1405" t="s">
        <v>546</v>
      </c>
      <c r="C7" s="314">
        <f>'[16]Table 4A Stipends'!C5</f>
        <v>0</v>
      </c>
      <c r="D7" s="313">
        <f t="shared" ref="D7:D70" si="1">ROUND($D$3*C7,0)</f>
        <v>0</v>
      </c>
      <c r="E7" s="314">
        <f>'[16]Table 4A Stipends'!E5</f>
        <v>0</v>
      </c>
      <c r="F7" s="313">
        <f t="shared" ref="F7:F70" si="2">ROUND($F$3*E7,0)</f>
        <v>0</v>
      </c>
      <c r="G7" s="463">
        <f t="shared" ref="G7:G70" si="3">D7+F7</f>
        <v>0</v>
      </c>
      <c r="H7" s="115">
        <v>0</v>
      </c>
      <c r="I7" s="1467">
        <f t="shared" ref="I7:I70" si="4">ROUND($I$3*H7,0)</f>
        <v>0</v>
      </c>
      <c r="J7" s="1470">
        <v>0</v>
      </c>
      <c r="K7" s="1523">
        <f t="shared" ref="K7:K70" si="5">G7+I7+J7</f>
        <v>0</v>
      </c>
    </row>
    <row r="8" spans="1:11" ht="14.25">
      <c r="A8" s="1404">
        <v>3</v>
      </c>
      <c r="B8" s="1405" t="s">
        <v>547</v>
      </c>
      <c r="C8" s="314">
        <f>'[16]Table 4A Stipends'!C6</f>
        <v>0</v>
      </c>
      <c r="D8" s="313">
        <f t="shared" si="1"/>
        <v>0</v>
      </c>
      <c r="E8" s="314">
        <f>'[16]Table 4A Stipends'!E6</f>
        <v>0</v>
      </c>
      <c r="F8" s="313">
        <f t="shared" si="2"/>
        <v>0</v>
      </c>
      <c r="G8" s="463">
        <f t="shared" si="3"/>
        <v>0</v>
      </c>
      <c r="H8" s="115">
        <v>0</v>
      </c>
      <c r="I8" s="1467">
        <f t="shared" si="4"/>
        <v>0</v>
      </c>
      <c r="J8" s="1470">
        <v>0</v>
      </c>
      <c r="K8" s="1523">
        <f t="shared" si="5"/>
        <v>0</v>
      </c>
    </row>
    <row r="9" spans="1:11" ht="14.25">
      <c r="A9" s="1404">
        <v>4</v>
      </c>
      <c r="B9" s="1405" t="s">
        <v>548</v>
      </c>
      <c r="C9" s="314">
        <f>'[16]Table 4A Stipends'!C7</f>
        <v>3</v>
      </c>
      <c r="D9" s="313">
        <f t="shared" si="1"/>
        <v>18000</v>
      </c>
      <c r="E9" s="314">
        <f>'[16]Table 4A Stipends'!E7</f>
        <v>0</v>
      </c>
      <c r="F9" s="313">
        <f t="shared" si="2"/>
        <v>0</v>
      </c>
      <c r="G9" s="463">
        <f t="shared" si="3"/>
        <v>18000</v>
      </c>
      <c r="H9" s="115">
        <v>3</v>
      </c>
      <c r="I9" s="1467">
        <f t="shared" si="4"/>
        <v>60000</v>
      </c>
      <c r="J9" s="1470">
        <v>0</v>
      </c>
      <c r="K9" s="1523">
        <f t="shared" si="5"/>
        <v>78000</v>
      </c>
    </row>
    <row r="10" spans="1:11" ht="14.25">
      <c r="A10" s="1406">
        <v>5</v>
      </c>
      <c r="B10" s="1407" t="s">
        <v>549</v>
      </c>
      <c r="C10" s="321">
        <f>'[16]Table 4A Stipends'!C8</f>
        <v>0</v>
      </c>
      <c r="D10" s="320">
        <f t="shared" si="1"/>
        <v>0</v>
      </c>
      <c r="E10" s="321">
        <f>'[16]Table 4A Stipends'!E8</f>
        <v>0</v>
      </c>
      <c r="F10" s="320">
        <f t="shared" si="2"/>
        <v>0</v>
      </c>
      <c r="G10" s="464">
        <f t="shared" si="3"/>
        <v>0</v>
      </c>
      <c r="H10" s="1462">
        <v>0</v>
      </c>
      <c r="I10" s="1468">
        <f t="shared" si="4"/>
        <v>0</v>
      </c>
      <c r="J10" s="1471">
        <v>0</v>
      </c>
      <c r="K10" s="1524">
        <f t="shared" si="5"/>
        <v>0</v>
      </c>
    </row>
    <row r="11" spans="1:11" ht="14.25">
      <c r="A11" s="1404">
        <v>6</v>
      </c>
      <c r="B11" s="1405" t="s">
        <v>550</v>
      </c>
      <c r="C11" s="314">
        <f>'[16]Table 4A Stipends'!C9</f>
        <v>0</v>
      </c>
      <c r="D11" s="313">
        <f t="shared" si="1"/>
        <v>0</v>
      </c>
      <c r="E11" s="314">
        <f>'[16]Table 4A Stipends'!E9</f>
        <v>0</v>
      </c>
      <c r="F11" s="313">
        <f t="shared" si="2"/>
        <v>0</v>
      </c>
      <c r="G11" s="463">
        <f t="shared" si="3"/>
        <v>0</v>
      </c>
      <c r="H11" s="115">
        <v>0</v>
      </c>
      <c r="I11" s="1467">
        <f t="shared" si="4"/>
        <v>0</v>
      </c>
      <c r="J11" s="1470">
        <v>0</v>
      </c>
      <c r="K11" s="1523">
        <f t="shared" si="5"/>
        <v>0</v>
      </c>
    </row>
    <row r="12" spans="1:11" ht="14.25">
      <c r="A12" s="1404">
        <v>7</v>
      </c>
      <c r="B12" s="1405" t="s">
        <v>551</v>
      </c>
      <c r="C12" s="314">
        <f>'[16]Table 4A Stipends'!C10</f>
        <v>0</v>
      </c>
      <c r="D12" s="313">
        <f t="shared" si="1"/>
        <v>0</v>
      </c>
      <c r="E12" s="314">
        <f>'[16]Table 4A Stipends'!E10</f>
        <v>0</v>
      </c>
      <c r="F12" s="313">
        <f t="shared" si="2"/>
        <v>0</v>
      </c>
      <c r="G12" s="463">
        <f t="shared" si="3"/>
        <v>0</v>
      </c>
      <c r="H12" s="115">
        <v>0</v>
      </c>
      <c r="I12" s="1467">
        <f t="shared" si="4"/>
        <v>0</v>
      </c>
      <c r="J12" s="1470">
        <v>0</v>
      </c>
      <c r="K12" s="1523">
        <f t="shared" si="5"/>
        <v>0</v>
      </c>
    </row>
    <row r="13" spans="1:11" ht="14.25">
      <c r="A13" s="1404">
        <v>8</v>
      </c>
      <c r="B13" s="1405" t="s">
        <v>552</v>
      </c>
      <c r="C13" s="314">
        <f>'[16]Table 4A Stipends'!C11</f>
        <v>2</v>
      </c>
      <c r="D13" s="313">
        <f t="shared" si="1"/>
        <v>12000</v>
      </c>
      <c r="E13" s="314">
        <f>'[16]Table 4A Stipends'!E11</f>
        <v>0</v>
      </c>
      <c r="F13" s="313">
        <f t="shared" si="2"/>
        <v>0</v>
      </c>
      <c r="G13" s="463">
        <f t="shared" si="3"/>
        <v>12000</v>
      </c>
      <c r="H13" s="115">
        <v>4</v>
      </c>
      <c r="I13" s="1467">
        <f t="shared" si="4"/>
        <v>80000</v>
      </c>
      <c r="J13" s="1470">
        <v>0</v>
      </c>
      <c r="K13" s="1523">
        <f t="shared" si="5"/>
        <v>92000</v>
      </c>
    </row>
    <row r="14" spans="1:11" ht="14.25">
      <c r="A14" s="1404">
        <v>9</v>
      </c>
      <c r="B14" s="1405" t="s">
        <v>553</v>
      </c>
      <c r="C14" s="314">
        <f>'[16]Table 4A Stipends'!C12</f>
        <v>2</v>
      </c>
      <c r="D14" s="313">
        <f t="shared" si="1"/>
        <v>12000</v>
      </c>
      <c r="E14" s="314">
        <f>'[16]Table 4A Stipends'!E12</f>
        <v>2</v>
      </c>
      <c r="F14" s="313">
        <f t="shared" si="2"/>
        <v>8000</v>
      </c>
      <c r="G14" s="463">
        <f t="shared" si="3"/>
        <v>20000</v>
      </c>
      <c r="H14" s="115">
        <f>14</f>
        <v>14</v>
      </c>
      <c r="I14" s="1467">
        <f t="shared" si="4"/>
        <v>280000</v>
      </c>
      <c r="J14" s="1470">
        <v>0</v>
      </c>
      <c r="K14" s="1523">
        <f t="shared" si="5"/>
        <v>300000</v>
      </c>
    </row>
    <row r="15" spans="1:11" ht="14.25">
      <c r="A15" s="1406">
        <v>10</v>
      </c>
      <c r="B15" s="1407" t="s">
        <v>440</v>
      </c>
      <c r="C15" s="321">
        <f>'[16]Table 4A Stipends'!C13</f>
        <v>11</v>
      </c>
      <c r="D15" s="320">
        <f t="shared" si="1"/>
        <v>66000</v>
      </c>
      <c r="E15" s="321">
        <f>'[16]Table 4A Stipends'!E13</f>
        <v>8</v>
      </c>
      <c r="F15" s="320">
        <f t="shared" si="2"/>
        <v>32000</v>
      </c>
      <c r="G15" s="464">
        <f t="shared" si="3"/>
        <v>98000</v>
      </c>
      <c r="H15" s="1462">
        <f>26+1</f>
        <v>27</v>
      </c>
      <c r="I15" s="1468">
        <f t="shared" si="4"/>
        <v>540000</v>
      </c>
      <c r="J15" s="1471">
        <v>0</v>
      </c>
      <c r="K15" s="1524">
        <f t="shared" si="5"/>
        <v>638000</v>
      </c>
    </row>
    <row r="16" spans="1:11" ht="14.25">
      <c r="A16" s="1404">
        <v>11</v>
      </c>
      <c r="B16" s="1405" t="s">
        <v>554</v>
      </c>
      <c r="C16" s="314">
        <f>'[16]Table 4A Stipends'!C14</f>
        <v>0</v>
      </c>
      <c r="D16" s="313">
        <f t="shared" si="1"/>
        <v>0</v>
      </c>
      <c r="E16" s="314">
        <f>'[16]Table 4A Stipends'!E14</f>
        <v>0</v>
      </c>
      <c r="F16" s="313">
        <f t="shared" si="2"/>
        <v>0</v>
      </c>
      <c r="G16" s="463">
        <f t="shared" si="3"/>
        <v>0</v>
      </c>
      <c r="H16" s="115">
        <v>0</v>
      </c>
      <c r="I16" s="1467">
        <f t="shared" si="4"/>
        <v>0</v>
      </c>
      <c r="J16" s="1470">
        <v>0</v>
      </c>
      <c r="K16" s="1523">
        <f t="shared" si="5"/>
        <v>0</v>
      </c>
    </row>
    <row r="17" spans="1:11" ht="14.25">
      <c r="A17" s="1404">
        <v>12</v>
      </c>
      <c r="B17" s="1405" t="s">
        <v>555</v>
      </c>
      <c r="C17" s="314">
        <f>'[16]Table 4A Stipends'!C15</f>
        <v>0</v>
      </c>
      <c r="D17" s="313">
        <f t="shared" si="1"/>
        <v>0</v>
      </c>
      <c r="E17" s="314">
        <f>'[16]Table 4A Stipends'!E15</f>
        <v>0</v>
      </c>
      <c r="F17" s="313">
        <f t="shared" si="2"/>
        <v>0</v>
      </c>
      <c r="G17" s="463">
        <f t="shared" si="3"/>
        <v>0</v>
      </c>
      <c r="H17" s="115">
        <v>2</v>
      </c>
      <c r="I17" s="1467">
        <f t="shared" si="4"/>
        <v>40000</v>
      </c>
      <c r="J17" s="1470">
        <v>0</v>
      </c>
      <c r="K17" s="1523">
        <f t="shared" si="5"/>
        <v>40000</v>
      </c>
    </row>
    <row r="18" spans="1:11" ht="14.25">
      <c r="A18" s="1404">
        <v>13</v>
      </c>
      <c r="B18" s="1405" t="s">
        <v>556</v>
      </c>
      <c r="C18" s="314">
        <f>'[16]Table 4A Stipends'!C16</f>
        <v>0</v>
      </c>
      <c r="D18" s="313">
        <f t="shared" si="1"/>
        <v>0</v>
      </c>
      <c r="E18" s="314">
        <f>'[16]Table 4A Stipends'!E16</f>
        <v>0</v>
      </c>
      <c r="F18" s="313">
        <f t="shared" si="2"/>
        <v>0</v>
      </c>
      <c r="G18" s="463">
        <f t="shared" si="3"/>
        <v>0</v>
      </c>
      <c r="H18" s="115">
        <v>0</v>
      </c>
      <c r="I18" s="1467">
        <f t="shared" si="4"/>
        <v>0</v>
      </c>
      <c r="J18" s="1470">
        <v>0</v>
      </c>
      <c r="K18" s="1523">
        <f t="shared" si="5"/>
        <v>0</v>
      </c>
    </row>
    <row r="19" spans="1:11" ht="14.25">
      <c r="A19" s="1404">
        <v>14</v>
      </c>
      <c r="B19" s="1405" t="s">
        <v>557</v>
      </c>
      <c r="C19" s="314">
        <f>'[16]Table 4A Stipends'!C17</f>
        <v>0</v>
      </c>
      <c r="D19" s="313">
        <f t="shared" si="1"/>
        <v>0</v>
      </c>
      <c r="E19" s="314">
        <f>'[16]Table 4A Stipends'!E17</f>
        <v>0</v>
      </c>
      <c r="F19" s="313">
        <f t="shared" si="2"/>
        <v>0</v>
      </c>
      <c r="G19" s="463">
        <f t="shared" si="3"/>
        <v>0</v>
      </c>
      <c r="H19" s="115">
        <v>0</v>
      </c>
      <c r="I19" s="1467">
        <f t="shared" si="4"/>
        <v>0</v>
      </c>
      <c r="J19" s="1470">
        <v>0</v>
      </c>
      <c r="K19" s="1523">
        <f t="shared" si="5"/>
        <v>0</v>
      </c>
    </row>
    <row r="20" spans="1:11" ht="14.25">
      <c r="A20" s="1406">
        <v>15</v>
      </c>
      <c r="B20" s="1407" t="s">
        <v>481</v>
      </c>
      <c r="C20" s="321">
        <f>'[16]Table 4A Stipends'!C18</f>
        <v>1</v>
      </c>
      <c r="D20" s="320">
        <f t="shared" si="1"/>
        <v>6000</v>
      </c>
      <c r="E20" s="321">
        <f>'[16]Table 4A Stipends'!E18</f>
        <v>0</v>
      </c>
      <c r="F20" s="320">
        <f t="shared" si="2"/>
        <v>0</v>
      </c>
      <c r="G20" s="464">
        <f t="shared" si="3"/>
        <v>6000</v>
      </c>
      <c r="H20" s="1462">
        <v>2</v>
      </c>
      <c r="I20" s="1468">
        <f t="shared" si="4"/>
        <v>40000</v>
      </c>
      <c r="J20" s="1471">
        <v>0</v>
      </c>
      <c r="K20" s="1524">
        <f t="shared" si="5"/>
        <v>46000</v>
      </c>
    </row>
    <row r="21" spans="1:11" ht="14.25">
      <c r="A21" s="1404">
        <v>16</v>
      </c>
      <c r="B21" s="1405" t="s">
        <v>558</v>
      </c>
      <c r="C21" s="314">
        <f>'[16]Table 4A Stipends'!C19</f>
        <v>0</v>
      </c>
      <c r="D21" s="313">
        <f t="shared" si="1"/>
        <v>0</v>
      </c>
      <c r="E21" s="314">
        <f>'[16]Table 4A Stipends'!E19</f>
        <v>0</v>
      </c>
      <c r="F21" s="313">
        <f t="shared" si="2"/>
        <v>0</v>
      </c>
      <c r="G21" s="463">
        <f t="shared" si="3"/>
        <v>0</v>
      </c>
      <c r="H21" s="115">
        <v>1</v>
      </c>
      <c r="I21" s="1467">
        <f t="shared" si="4"/>
        <v>20000</v>
      </c>
      <c r="J21" s="1470">
        <v>0</v>
      </c>
      <c r="K21" s="1523">
        <f t="shared" si="5"/>
        <v>20000</v>
      </c>
    </row>
    <row r="22" spans="1:11" ht="14.25">
      <c r="A22" s="1404">
        <v>17</v>
      </c>
      <c r="B22" s="1405" t="s">
        <v>240</v>
      </c>
      <c r="C22" s="314">
        <f>'[16]Table 4A Stipends'!C20</f>
        <v>2</v>
      </c>
      <c r="D22" s="313">
        <f t="shared" si="1"/>
        <v>12000</v>
      </c>
      <c r="E22" s="314">
        <f>'[16]Table 4A Stipends'!E20</f>
        <v>8</v>
      </c>
      <c r="F22" s="313">
        <f t="shared" si="2"/>
        <v>32000</v>
      </c>
      <c r="G22" s="463">
        <f t="shared" si="3"/>
        <v>44000</v>
      </c>
      <c r="H22" s="115">
        <v>10</v>
      </c>
      <c r="I22" s="1467">
        <f t="shared" si="4"/>
        <v>200000</v>
      </c>
      <c r="J22" s="1470">
        <v>0</v>
      </c>
      <c r="K22" s="1523">
        <f t="shared" si="5"/>
        <v>244000</v>
      </c>
    </row>
    <row r="23" spans="1:11" ht="14.25">
      <c r="A23" s="1404">
        <v>18</v>
      </c>
      <c r="B23" s="1405" t="s">
        <v>559</v>
      </c>
      <c r="C23" s="314">
        <f>'[16]Table 4A Stipends'!C21</f>
        <v>0</v>
      </c>
      <c r="D23" s="313">
        <f t="shared" si="1"/>
        <v>0</v>
      </c>
      <c r="E23" s="314">
        <f>'[16]Table 4A Stipends'!E21</f>
        <v>0</v>
      </c>
      <c r="F23" s="313">
        <f t="shared" si="2"/>
        <v>0</v>
      </c>
      <c r="G23" s="463">
        <f t="shared" si="3"/>
        <v>0</v>
      </c>
      <c r="H23" s="115">
        <v>1</v>
      </c>
      <c r="I23" s="1467">
        <f t="shared" si="4"/>
        <v>20000</v>
      </c>
      <c r="J23" s="1470">
        <v>0</v>
      </c>
      <c r="K23" s="1523">
        <f t="shared" si="5"/>
        <v>20000</v>
      </c>
    </row>
    <row r="24" spans="1:11" ht="14.25">
      <c r="A24" s="1404">
        <v>19</v>
      </c>
      <c r="B24" s="1405" t="s">
        <v>560</v>
      </c>
      <c r="C24" s="314">
        <f>'[16]Table 4A Stipends'!C22</f>
        <v>0</v>
      </c>
      <c r="D24" s="313">
        <f t="shared" si="1"/>
        <v>0</v>
      </c>
      <c r="E24" s="314">
        <f>'[16]Table 4A Stipends'!E22</f>
        <v>0</v>
      </c>
      <c r="F24" s="313">
        <f t="shared" si="2"/>
        <v>0</v>
      </c>
      <c r="G24" s="463">
        <f t="shared" si="3"/>
        <v>0</v>
      </c>
      <c r="H24" s="115">
        <v>0</v>
      </c>
      <c r="I24" s="1467">
        <f t="shared" si="4"/>
        <v>0</v>
      </c>
      <c r="J24" s="1470">
        <v>0</v>
      </c>
      <c r="K24" s="1523">
        <f t="shared" si="5"/>
        <v>0</v>
      </c>
    </row>
    <row r="25" spans="1:11" ht="14.25">
      <c r="A25" s="1406">
        <v>20</v>
      </c>
      <c r="B25" s="1407" t="s">
        <v>561</v>
      </c>
      <c r="C25" s="321">
        <f>'[16]Table 4A Stipends'!C23</f>
        <v>0</v>
      </c>
      <c r="D25" s="320">
        <f t="shared" si="1"/>
        <v>0</v>
      </c>
      <c r="E25" s="321">
        <f>'[16]Table 4A Stipends'!E23</f>
        <v>0</v>
      </c>
      <c r="F25" s="320">
        <f t="shared" si="2"/>
        <v>0</v>
      </c>
      <c r="G25" s="464">
        <f t="shared" si="3"/>
        <v>0</v>
      </c>
      <c r="H25" s="1462">
        <v>0</v>
      </c>
      <c r="I25" s="1468">
        <f t="shared" si="4"/>
        <v>0</v>
      </c>
      <c r="J25" s="1471">
        <v>0</v>
      </c>
      <c r="K25" s="1524">
        <f t="shared" si="5"/>
        <v>0</v>
      </c>
    </row>
    <row r="26" spans="1:11" ht="14.25">
      <c r="A26" s="1404">
        <v>21</v>
      </c>
      <c r="B26" s="1405" t="s">
        <v>562</v>
      </c>
      <c r="C26" s="314">
        <f>'[16]Table 4A Stipends'!C24</f>
        <v>0</v>
      </c>
      <c r="D26" s="313">
        <f t="shared" si="1"/>
        <v>0</v>
      </c>
      <c r="E26" s="314">
        <f>'[16]Table 4A Stipends'!E24</f>
        <v>0</v>
      </c>
      <c r="F26" s="313">
        <f t="shared" si="2"/>
        <v>0</v>
      </c>
      <c r="G26" s="463">
        <f t="shared" si="3"/>
        <v>0</v>
      </c>
      <c r="H26" s="115">
        <v>0</v>
      </c>
      <c r="I26" s="1467">
        <f t="shared" si="4"/>
        <v>0</v>
      </c>
      <c r="J26" s="1470"/>
      <c r="K26" s="1523">
        <f t="shared" si="5"/>
        <v>0</v>
      </c>
    </row>
    <row r="27" spans="1:11" ht="14.25">
      <c r="A27" s="1404">
        <v>22</v>
      </c>
      <c r="B27" s="1405" t="s">
        <v>563</v>
      </c>
      <c r="C27" s="314">
        <f>'[16]Table 4A Stipends'!C25</f>
        <v>0</v>
      </c>
      <c r="D27" s="313">
        <f t="shared" si="1"/>
        <v>0</v>
      </c>
      <c r="E27" s="314">
        <f>'[16]Table 4A Stipends'!E25</f>
        <v>0</v>
      </c>
      <c r="F27" s="313">
        <f t="shared" si="2"/>
        <v>0</v>
      </c>
      <c r="G27" s="463">
        <f t="shared" si="3"/>
        <v>0</v>
      </c>
      <c r="H27" s="115">
        <v>0</v>
      </c>
      <c r="I27" s="1467">
        <f t="shared" si="4"/>
        <v>0</v>
      </c>
      <c r="J27" s="1470"/>
      <c r="K27" s="1523">
        <f t="shared" si="5"/>
        <v>0</v>
      </c>
    </row>
    <row r="28" spans="1:11" ht="14.25">
      <c r="A28" s="1404">
        <v>23</v>
      </c>
      <c r="B28" s="1405" t="s">
        <v>564</v>
      </c>
      <c r="C28" s="314">
        <f>'[16]Table 4A Stipends'!C26</f>
        <v>3</v>
      </c>
      <c r="D28" s="313">
        <f t="shared" si="1"/>
        <v>18000</v>
      </c>
      <c r="E28" s="314">
        <f>'[16]Table 4A Stipends'!E26</f>
        <v>4</v>
      </c>
      <c r="F28" s="313">
        <f t="shared" si="2"/>
        <v>16000</v>
      </c>
      <c r="G28" s="463">
        <f t="shared" si="3"/>
        <v>34000</v>
      </c>
      <c r="H28" s="115">
        <v>10</v>
      </c>
      <c r="I28" s="1467">
        <f t="shared" si="4"/>
        <v>200000</v>
      </c>
      <c r="J28" s="1470"/>
      <c r="K28" s="1523">
        <f t="shared" si="5"/>
        <v>234000</v>
      </c>
    </row>
    <row r="29" spans="1:11" ht="14.25">
      <c r="A29" s="1404">
        <v>24</v>
      </c>
      <c r="B29" s="1405" t="s">
        <v>565</v>
      </c>
      <c r="C29" s="314">
        <f>'[16]Table 4A Stipends'!C27</f>
        <v>0</v>
      </c>
      <c r="D29" s="313">
        <f t="shared" si="1"/>
        <v>0</v>
      </c>
      <c r="E29" s="314">
        <f>'[16]Table 4A Stipends'!E27</f>
        <v>0</v>
      </c>
      <c r="F29" s="313">
        <f t="shared" si="2"/>
        <v>0</v>
      </c>
      <c r="G29" s="463">
        <f t="shared" si="3"/>
        <v>0</v>
      </c>
      <c r="H29" s="115">
        <v>0</v>
      </c>
      <c r="I29" s="1467">
        <f t="shared" si="4"/>
        <v>0</v>
      </c>
      <c r="J29" s="1470"/>
      <c r="K29" s="1523">
        <f t="shared" si="5"/>
        <v>0</v>
      </c>
    </row>
    <row r="30" spans="1:11" ht="14.25">
      <c r="A30" s="1406">
        <v>25</v>
      </c>
      <c r="B30" s="1407" t="s">
        <v>566</v>
      </c>
      <c r="C30" s="321">
        <f>'[16]Table 4A Stipends'!C28</f>
        <v>0</v>
      </c>
      <c r="D30" s="320">
        <f t="shared" si="1"/>
        <v>0</v>
      </c>
      <c r="E30" s="321">
        <f>'[16]Table 4A Stipends'!E28</f>
        <v>0</v>
      </c>
      <c r="F30" s="320">
        <f t="shared" si="2"/>
        <v>0</v>
      </c>
      <c r="G30" s="464">
        <f t="shared" si="3"/>
        <v>0</v>
      </c>
      <c r="H30" s="1462">
        <v>0</v>
      </c>
      <c r="I30" s="1468">
        <f t="shared" si="4"/>
        <v>0</v>
      </c>
      <c r="J30" s="1471"/>
      <c r="K30" s="1524">
        <f t="shared" si="5"/>
        <v>0</v>
      </c>
    </row>
    <row r="31" spans="1:11" ht="14.25">
      <c r="A31" s="1404">
        <v>26</v>
      </c>
      <c r="B31" s="1405" t="s">
        <v>450</v>
      </c>
      <c r="C31" s="314">
        <f>'[16]Table 4A Stipends'!C29</f>
        <v>0</v>
      </c>
      <c r="D31" s="313">
        <f t="shared" si="1"/>
        <v>0</v>
      </c>
      <c r="E31" s="314">
        <f>'[16]Table 4A Stipends'!E29</f>
        <v>0</v>
      </c>
      <c r="F31" s="313">
        <f t="shared" si="2"/>
        <v>0</v>
      </c>
      <c r="G31" s="463">
        <f t="shared" si="3"/>
        <v>0</v>
      </c>
      <c r="H31" s="115">
        <v>8</v>
      </c>
      <c r="I31" s="1467">
        <f t="shared" si="4"/>
        <v>160000</v>
      </c>
      <c r="J31" s="1470"/>
      <c r="K31" s="1523">
        <f t="shared" si="5"/>
        <v>160000</v>
      </c>
    </row>
    <row r="32" spans="1:11" ht="14.25">
      <c r="A32" s="1404">
        <v>27</v>
      </c>
      <c r="B32" s="1405" t="s">
        <v>567</v>
      </c>
      <c r="C32" s="314">
        <f>'[16]Table 4A Stipends'!C30</f>
        <v>0</v>
      </c>
      <c r="D32" s="313">
        <f t="shared" si="1"/>
        <v>0</v>
      </c>
      <c r="E32" s="314">
        <f>'[16]Table 4A Stipends'!E30</f>
        <v>0</v>
      </c>
      <c r="F32" s="313">
        <f t="shared" si="2"/>
        <v>0</v>
      </c>
      <c r="G32" s="463">
        <f t="shared" si="3"/>
        <v>0</v>
      </c>
      <c r="H32" s="115">
        <v>0</v>
      </c>
      <c r="I32" s="1467">
        <f t="shared" si="4"/>
        <v>0</v>
      </c>
      <c r="J32" s="1470"/>
      <c r="K32" s="1523">
        <f t="shared" si="5"/>
        <v>0</v>
      </c>
    </row>
    <row r="33" spans="1:11" ht="14.25">
      <c r="A33" s="1404">
        <v>28</v>
      </c>
      <c r="B33" s="1405" t="s">
        <v>568</v>
      </c>
      <c r="C33" s="314">
        <f>'[16]Table 4A Stipends'!C31</f>
        <v>11</v>
      </c>
      <c r="D33" s="313">
        <f t="shared" si="1"/>
        <v>66000</v>
      </c>
      <c r="E33" s="314">
        <f>'[16]Table 4A Stipends'!E31</f>
        <v>8</v>
      </c>
      <c r="F33" s="313">
        <f t="shared" si="2"/>
        <v>32000</v>
      </c>
      <c r="G33" s="463">
        <f t="shared" si="3"/>
        <v>98000</v>
      </c>
      <c r="H33" s="115">
        <v>45</v>
      </c>
      <c r="I33" s="1467">
        <f t="shared" si="4"/>
        <v>900000</v>
      </c>
      <c r="J33" s="1470"/>
      <c r="K33" s="1523">
        <f t="shared" si="5"/>
        <v>998000</v>
      </c>
    </row>
    <row r="34" spans="1:11" ht="14.25">
      <c r="A34" s="1404">
        <v>29</v>
      </c>
      <c r="B34" s="1405" t="s">
        <v>569</v>
      </c>
      <c r="C34" s="314">
        <f>'[16]Table 4A Stipends'!C32</f>
        <v>2</v>
      </c>
      <c r="D34" s="313">
        <f t="shared" si="1"/>
        <v>12000</v>
      </c>
      <c r="E34" s="314">
        <f>'[16]Table 4A Stipends'!E32</f>
        <v>3</v>
      </c>
      <c r="F34" s="313">
        <f t="shared" si="2"/>
        <v>12000</v>
      </c>
      <c r="G34" s="463">
        <f t="shared" si="3"/>
        <v>24000</v>
      </c>
      <c r="H34" s="115">
        <f>25+1</f>
        <v>26</v>
      </c>
      <c r="I34" s="1467">
        <f t="shared" si="4"/>
        <v>520000</v>
      </c>
      <c r="J34" s="1470"/>
      <c r="K34" s="1523">
        <f t="shared" si="5"/>
        <v>544000</v>
      </c>
    </row>
    <row r="35" spans="1:11" ht="14.25">
      <c r="A35" s="1406">
        <v>30</v>
      </c>
      <c r="B35" s="1407" t="s">
        <v>570</v>
      </c>
      <c r="C35" s="321">
        <f>'[16]Table 4A Stipends'!C33</f>
        <v>0</v>
      </c>
      <c r="D35" s="320">
        <f t="shared" si="1"/>
        <v>0</v>
      </c>
      <c r="E35" s="321">
        <f>'[16]Table 4A Stipends'!E33</f>
        <v>0</v>
      </c>
      <c r="F35" s="320">
        <f t="shared" si="2"/>
        <v>0</v>
      </c>
      <c r="G35" s="464">
        <f t="shared" si="3"/>
        <v>0</v>
      </c>
      <c r="H35" s="1462">
        <v>0</v>
      </c>
      <c r="I35" s="1468">
        <f t="shared" si="4"/>
        <v>0</v>
      </c>
      <c r="J35" s="1471"/>
      <c r="K35" s="1524">
        <f t="shared" si="5"/>
        <v>0</v>
      </c>
    </row>
    <row r="36" spans="1:11" ht="14.25">
      <c r="A36" s="1404">
        <v>31</v>
      </c>
      <c r="B36" s="1405" t="s">
        <v>241</v>
      </c>
      <c r="C36" s="314">
        <f>'[16]Table 4A Stipends'!C34</f>
        <v>0</v>
      </c>
      <c r="D36" s="313">
        <f t="shared" si="1"/>
        <v>0</v>
      </c>
      <c r="E36" s="314">
        <f>'[16]Table 4A Stipends'!E34</f>
        <v>0</v>
      </c>
      <c r="F36" s="313">
        <f t="shared" si="2"/>
        <v>0</v>
      </c>
      <c r="G36" s="463">
        <f t="shared" si="3"/>
        <v>0</v>
      </c>
      <c r="H36" s="115">
        <v>0</v>
      </c>
      <c r="I36" s="1467">
        <f t="shared" si="4"/>
        <v>0</v>
      </c>
      <c r="J36" s="1470"/>
      <c r="K36" s="1523">
        <f t="shared" si="5"/>
        <v>0</v>
      </c>
    </row>
    <row r="37" spans="1:11" ht="14.25">
      <c r="A37" s="1404">
        <v>32</v>
      </c>
      <c r="B37" s="1405" t="s">
        <v>571</v>
      </c>
      <c r="C37" s="314">
        <f>'[16]Table 4A Stipends'!C35</f>
        <v>0</v>
      </c>
      <c r="D37" s="313">
        <f t="shared" si="1"/>
        <v>0</v>
      </c>
      <c r="E37" s="314">
        <f>'[16]Table 4A Stipends'!E35</f>
        <v>0</v>
      </c>
      <c r="F37" s="313">
        <f t="shared" si="2"/>
        <v>0</v>
      </c>
      <c r="G37" s="463">
        <f t="shared" si="3"/>
        <v>0</v>
      </c>
      <c r="H37" s="115">
        <v>0</v>
      </c>
      <c r="I37" s="1467">
        <f t="shared" si="4"/>
        <v>0</v>
      </c>
      <c r="J37" s="1470"/>
      <c r="K37" s="1523">
        <f t="shared" si="5"/>
        <v>0</v>
      </c>
    </row>
    <row r="38" spans="1:11" ht="14.25">
      <c r="A38" s="1404">
        <v>33</v>
      </c>
      <c r="B38" s="1405" t="s">
        <v>572</v>
      </c>
      <c r="C38" s="314">
        <f>'[16]Table 4A Stipends'!C36</f>
        <v>0</v>
      </c>
      <c r="D38" s="313">
        <f t="shared" si="1"/>
        <v>0</v>
      </c>
      <c r="E38" s="314">
        <f>'[16]Table 4A Stipends'!E36</f>
        <v>1</v>
      </c>
      <c r="F38" s="313">
        <f t="shared" si="2"/>
        <v>4000</v>
      </c>
      <c r="G38" s="463">
        <f t="shared" si="3"/>
        <v>4000</v>
      </c>
      <c r="H38" s="115">
        <v>0</v>
      </c>
      <c r="I38" s="1467">
        <f t="shared" si="4"/>
        <v>0</v>
      </c>
      <c r="J38" s="1470"/>
      <c r="K38" s="1523">
        <f t="shared" si="5"/>
        <v>4000</v>
      </c>
    </row>
    <row r="39" spans="1:11" ht="14.25">
      <c r="A39" s="1404">
        <v>34</v>
      </c>
      <c r="B39" s="1405" t="s">
        <v>573</v>
      </c>
      <c r="C39" s="314">
        <f>'[16]Table 4A Stipends'!C37</f>
        <v>0</v>
      </c>
      <c r="D39" s="313">
        <f t="shared" si="1"/>
        <v>0</v>
      </c>
      <c r="E39" s="314">
        <f>'[16]Table 4A Stipends'!E37</f>
        <v>0</v>
      </c>
      <c r="F39" s="313">
        <f t="shared" si="2"/>
        <v>0</v>
      </c>
      <c r="G39" s="463">
        <f t="shared" si="3"/>
        <v>0</v>
      </c>
      <c r="H39" s="115">
        <v>0</v>
      </c>
      <c r="I39" s="1467">
        <f t="shared" si="4"/>
        <v>0</v>
      </c>
      <c r="J39" s="1470"/>
      <c r="K39" s="1523">
        <f t="shared" si="5"/>
        <v>0</v>
      </c>
    </row>
    <row r="40" spans="1:11" ht="14.25">
      <c r="A40" s="1406">
        <v>35</v>
      </c>
      <c r="B40" s="1407" t="s">
        <v>574</v>
      </c>
      <c r="C40" s="321">
        <f>'[16]Table 4A Stipends'!C38</f>
        <v>0</v>
      </c>
      <c r="D40" s="320">
        <f t="shared" si="1"/>
        <v>0</v>
      </c>
      <c r="E40" s="321">
        <f>'[16]Table 4A Stipends'!E38</f>
        <v>0</v>
      </c>
      <c r="F40" s="320">
        <f t="shared" si="2"/>
        <v>0</v>
      </c>
      <c r="G40" s="464">
        <f t="shared" si="3"/>
        <v>0</v>
      </c>
      <c r="H40" s="1462">
        <v>0</v>
      </c>
      <c r="I40" s="1468">
        <f t="shared" si="4"/>
        <v>0</v>
      </c>
      <c r="J40" s="1471"/>
      <c r="K40" s="1524">
        <f t="shared" si="5"/>
        <v>0</v>
      </c>
    </row>
    <row r="41" spans="1:11" ht="14.25">
      <c r="A41" s="1404">
        <v>36</v>
      </c>
      <c r="B41" s="1405" t="s">
        <v>234</v>
      </c>
      <c r="C41" s="314">
        <f>'[16]Table 4A Stipends'!C39</f>
        <v>1</v>
      </c>
      <c r="D41" s="313">
        <f t="shared" si="1"/>
        <v>6000</v>
      </c>
      <c r="E41" s="314">
        <f>'[16]Table 4A Stipends'!E39</f>
        <v>14</v>
      </c>
      <c r="F41" s="313">
        <f t="shared" si="2"/>
        <v>56000</v>
      </c>
      <c r="G41" s="463">
        <f t="shared" si="3"/>
        <v>62000</v>
      </c>
      <c r="H41" s="115">
        <v>23</v>
      </c>
      <c r="I41" s="1467">
        <f t="shared" si="4"/>
        <v>460000</v>
      </c>
      <c r="J41" s="1470"/>
      <c r="K41" s="1523">
        <f t="shared" si="5"/>
        <v>522000</v>
      </c>
    </row>
    <row r="42" spans="1:11" ht="14.25">
      <c r="A42" s="1404">
        <v>37</v>
      </c>
      <c r="B42" s="1405" t="s">
        <v>242</v>
      </c>
      <c r="C42" s="314">
        <f>'[16]Table 4A Stipends'!C40</f>
        <v>0</v>
      </c>
      <c r="D42" s="313">
        <f t="shared" si="1"/>
        <v>0</v>
      </c>
      <c r="E42" s="314">
        <f>'[16]Table 4A Stipends'!E40</f>
        <v>0</v>
      </c>
      <c r="F42" s="313">
        <f t="shared" si="2"/>
        <v>0</v>
      </c>
      <c r="G42" s="463">
        <f t="shared" si="3"/>
        <v>0</v>
      </c>
      <c r="H42" s="115">
        <v>1</v>
      </c>
      <c r="I42" s="1467">
        <f t="shared" si="4"/>
        <v>20000</v>
      </c>
      <c r="J42" s="1470"/>
      <c r="K42" s="1523">
        <f t="shared" si="5"/>
        <v>20000</v>
      </c>
    </row>
    <row r="43" spans="1:11" ht="14.25">
      <c r="A43" s="1404">
        <v>38</v>
      </c>
      <c r="B43" s="1405" t="s">
        <v>575</v>
      </c>
      <c r="C43" s="314">
        <f>'[16]Table 4A Stipends'!C41</f>
        <v>0</v>
      </c>
      <c r="D43" s="313">
        <f t="shared" si="1"/>
        <v>0</v>
      </c>
      <c r="E43" s="314">
        <f>'[16]Table 4A Stipends'!E41</f>
        <v>2</v>
      </c>
      <c r="F43" s="313">
        <f t="shared" si="2"/>
        <v>8000</v>
      </c>
      <c r="G43" s="463">
        <f t="shared" si="3"/>
        <v>8000</v>
      </c>
      <c r="H43" s="115">
        <v>3</v>
      </c>
      <c r="I43" s="1467">
        <f t="shared" si="4"/>
        <v>60000</v>
      </c>
      <c r="J43" s="1470"/>
      <c r="K43" s="1523">
        <f t="shared" si="5"/>
        <v>68000</v>
      </c>
    </row>
    <row r="44" spans="1:11" ht="14.25">
      <c r="A44" s="1404">
        <v>39</v>
      </c>
      <c r="B44" s="1405" t="s">
        <v>576</v>
      </c>
      <c r="C44" s="314">
        <f>'[16]Table 4A Stipends'!C42</f>
        <v>0</v>
      </c>
      <c r="D44" s="313">
        <f t="shared" si="1"/>
        <v>0</v>
      </c>
      <c r="E44" s="314">
        <f>'[16]Table 4A Stipends'!E42</f>
        <v>0</v>
      </c>
      <c r="F44" s="313">
        <f t="shared" si="2"/>
        <v>0</v>
      </c>
      <c r="G44" s="463">
        <f t="shared" si="3"/>
        <v>0</v>
      </c>
      <c r="H44" s="115">
        <v>0</v>
      </c>
      <c r="I44" s="1467">
        <f t="shared" si="4"/>
        <v>0</v>
      </c>
      <c r="J44" s="1470"/>
      <c r="K44" s="1523">
        <f t="shared" si="5"/>
        <v>0</v>
      </c>
    </row>
    <row r="45" spans="1:11" ht="14.25">
      <c r="A45" s="1406">
        <v>40</v>
      </c>
      <c r="B45" s="1407" t="s">
        <v>577</v>
      </c>
      <c r="C45" s="321">
        <f>'[16]Table 4A Stipends'!C43</f>
        <v>0</v>
      </c>
      <c r="D45" s="320">
        <f t="shared" si="1"/>
        <v>0</v>
      </c>
      <c r="E45" s="321">
        <f>'[16]Table 4A Stipends'!E43</f>
        <v>0</v>
      </c>
      <c r="F45" s="320">
        <f t="shared" si="2"/>
        <v>0</v>
      </c>
      <c r="G45" s="464">
        <f t="shared" si="3"/>
        <v>0</v>
      </c>
      <c r="H45" s="1462">
        <v>0</v>
      </c>
      <c r="I45" s="1468">
        <f t="shared" si="4"/>
        <v>0</v>
      </c>
      <c r="J45" s="1471"/>
      <c r="K45" s="1524">
        <f t="shared" si="5"/>
        <v>0</v>
      </c>
    </row>
    <row r="46" spans="1:11" ht="14.25">
      <c r="A46" s="1404">
        <v>41</v>
      </c>
      <c r="B46" s="1405" t="s">
        <v>578</v>
      </c>
      <c r="C46" s="314">
        <f>'[16]Table 4A Stipends'!C44</f>
        <v>0</v>
      </c>
      <c r="D46" s="313">
        <f t="shared" si="1"/>
        <v>0</v>
      </c>
      <c r="E46" s="314">
        <f>'[16]Table 4A Stipends'!E44</f>
        <v>0</v>
      </c>
      <c r="F46" s="313">
        <f t="shared" si="2"/>
        <v>0</v>
      </c>
      <c r="G46" s="463">
        <f t="shared" si="3"/>
        <v>0</v>
      </c>
      <c r="H46" s="115">
        <v>0</v>
      </c>
      <c r="I46" s="1467">
        <f t="shared" si="4"/>
        <v>0</v>
      </c>
      <c r="J46" s="1470"/>
      <c r="K46" s="1523">
        <f t="shared" si="5"/>
        <v>0</v>
      </c>
    </row>
    <row r="47" spans="1:11" ht="14.25">
      <c r="A47" s="1404">
        <v>42</v>
      </c>
      <c r="B47" s="1405" t="s">
        <v>579</v>
      </c>
      <c r="C47" s="314">
        <f>'[16]Table 4A Stipends'!C45</f>
        <v>0</v>
      </c>
      <c r="D47" s="313">
        <f t="shared" si="1"/>
        <v>0</v>
      </c>
      <c r="E47" s="314">
        <f>'[16]Table 4A Stipends'!E45</f>
        <v>0</v>
      </c>
      <c r="F47" s="313">
        <f t="shared" si="2"/>
        <v>0</v>
      </c>
      <c r="G47" s="463">
        <f t="shared" si="3"/>
        <v>0</v>
      </c>
      <c r="H47" s="115">
        <v>0</v>
      </c>
      <c r="I47" s="1467">
        <f t="shared" si="4"/>
        <v>0</v>
      </c>
      <c r="J47" s="1470"/>
      <c r="K47" s="1523">
        <f t="shared" si="5"/>
        <v>0</v>
      </c>
    </row>
    <row r="48" spans="1:11" ht="14.25">
      <c r="A48" s="1404">
        <v>43</v>
      </c>
      <c r="B48" s="1405" t="s">
        <v>580</v>
      </c>
      <c r="C48" s="314">
        <f>'[16]Table 4A Stipends'!C46</f>
        <v>0</v>
      </c>
      <c r="D48" s="313">
        <f t="shared" si="1"/>
        <v>0</v>
      </c>
      <c r="E48" s="314">
        <f>'[16]Table 4A Stipends'!E46</f>
        <v>0</v>
      </c>
      <c r="F48" s="313">
        <f t="shared" si="2"/>
        <v>0</v>
      </c>
      <c r="G48" s="463">
        <f t="shared" si="3"/>
        <v>0</v>
      </c>
      <c r="H48" s="115">
        <v>0</v>
      </c>
      <c r="I48" s="1467">
        <f t="shared" si="4"/>
        <v>0</v>
      </c>
      <c r="J48" s="1470"/>
      <c r="K48" s="1523">
        <f t="shared" si="5"/>
        <v>0</v>
      </c>
    </row>
    <row r="49" spans="1:11" ht="14.25">
      <c r="A49" s="1404">
        <v>44</v>
      </c>
      <c r="B49" s="1405" t="s">
        <v>581</v>
      </c>
      <c r="C49" s="314">
        <f>'[16]Table 4A Stipends'!C47</f>
        <v>0</v>
      </c>
      <c r="D49" s="313">
        <f t="shared" si="1"/>
        <v>0</v>
      </c>
      <c r="E49" s="314">
        <f>'[16]Table 4A Stipends'!E47</f>
        <v>0</v>
      </c>
      <c r="F49" s="313">
        <f t="shared" si="2"/>
        <v>0</v>
      </c>
      <c r="G49" s="463">
        <f t="shared" si="3"/>
        <v>0</v>
      </c>
      <c r="H49" s="115">
        <v>0</v>
      </c>
      <c r="I49" s="1467">
        <f t="shared" si="4"/>
        <v>0</v>
      </c>
      <c r="J49" s="1470"/>
      <c r="K49" s="1523">
        <f t="shared" si="5"/>
        <v>0</v>
      </c>
    </row>
    <row r="50" spans="1:11" ht="14.25">
      <c r="A50" s="1406">
        <v>45</v>
      </c>
      <c r="B50" s="1407" t="s">
        <v>582</v>
      </c>
      <c r="C50" s="321">
        <f>'[16]Table 4A Stipends'!C48</f>
        <v>0</v>
      </c>
      <c r="D50" s="320">
        <f t="shared" si="1"/>
        <v>0</v>
      </c>
      <c r="E50" s="321">
        <f>'[16]Table 4A Stipends'!E48</f>
        <v>0</v>
      </c>
      <c r="F50" s="320">
        <f t="shared" si="2"/>
        <v>0</v>
      </c>
      <c r="G50" s="464">
        <f t="shared" si="3"/>
        <v>0</v>
      </c>
      <c r="H50" s="1462">
        <v>0</v>
      </c>
      <c r="I50" s="1468">
        <f t="shared" si="4"/>
        <v>0</v>
      </c>
      <c r="J50" s="1471"/>
      <c r="K50" s="1524">
        <f t="shared" si="5"/>
        <v>0</v>
      </c>
    </row>
    <row r="51" spans="1:11" ht="14.25">
      <c r="A51" s="1404">
        <v>46</v>
      </c>
      <c r="B51" s="1405" t="s">
        <v>583</v>
      </c>
      <c r="C51" s="314">
        <f>'[16]Table 4A Stipends'!C49</f>
        <v>0</v>
      </c>
      <c r="D51" s="313">
        <f t="shared" si="1"/>
        <v>0</v>
      </c>
      <c r="E51" s="314">
        <f>'[16]Table 4A Stipends'!E49</f>
        <v>0</v>
      </c>
      <c r="F51" s="313">
        <f t="shared" si="2"/>
        <v>0</v>
      </c>
      <c r="G51" s="463">
        <f t="shared" si="3"/>
        <v>0</v>
      </c>
      <c r="H51" s="115">
        <v>0</v>
      </c>
      <c r="I51" s="1467">
        <f t="shared" si="4"/>
        <v>0</v>
      </c>
      <c r="J51" s="1470"/>
      <c r="K51" s="1523">
        <f t="shared" si="5"/>
        <v>0</v>
      </c>
    </row>
    <row r="52" spans="1:11" ht="14.25">
      <c r="A52" s="1404">
        <v>47</v>
      </c>
      <c r="B52" s="1405" t="s">
        <v>584</v>
      </c>
      <c r="C52" s="314">
        <f>'[16]Table 4A Stipends'!C50</f>
        <v>0</v>
      </c>
      <c r="D52" s="313">
        <f t="shared" si="1"/>
        <v>0</v>
      </c>
      <c r="E52" s="314">
        <f>'[16]Table 4A Stipends'!E50</f>
        <v>0</v>
      </c>
      <c r="F52" s="313">
        <f t="shared" si="2"/>
        <v>0</v>
      </c>
      <c r="G52" s="463">
        <f t="shared" si="3"/>
        <v>0</v>
      </c>
      <c r="H52" s="115">
        <v>0</v>
      </c>
      <c r="I52" s="1467">
        <f t="shared" si="4"/>
        <v>0</v>
      </c>
      <c r="J52" s="1470"/>
      <c r="K52" s="1523">
        <f t="shared" si="5"/>
        <v>0</v>
      </c>
    </row>
    <row r="53" spans="1:11" ht="14.25">
      <c r="A53" s="1404">
        <v>48</v>
      </c>
      <c r="B53" s="1405" t="s">
        <v>585</v>
      </c>
      <c r="C53" s="314">
        <f>'[16]Table 4A Stipends'!C51</f>
        <v>0</v>
      </c>
      <c r="D53" s="313">
        <f t="shared" si="1"/>
        <v>0</v>
      </c>
      <c r="E53" s="314">
        <f>'[16]Table 4A Stipends'!E51</f>
        <v>0</v>
      </c>
      <c r="F53" s="313">
        <f t="shared" si="2"/>
        <v>0</v>
      </c>
      <c r="G53" s="463">
        <f t="shared" si="3"/>
        <v>0</v>
      </c>
      <c r="H53" s="115">
        <v>0</v>
      </c>
      <c r="I53" s="1467">
        <f t="shared" si="4"/>
        <v>0</v>
      </c>
      <c r="J53" s="1470"/>
      <c r="K53" s="1523">
        <f t="shared" si="5"/>
        <v>0</v>
      </c>
    </row>
    <row r="54" spans="1:11" ht="14.25">
      <c r="A54" s="1404">
        <v>49</v>
      </c>
      <c r="B54" s="1405" t="s">
        <v>480</v>
      </c>
      <c r="C54" s="314">
        <f>'[16]Table 4A Stipends'!C52</f>
        <v>0</v>
      </c>
      <c r="D54" s="313">
        <f t="shared" si="1"/>
        <v>0</v>
      </c>
      <c r="E54" s="314">
        <f>'[16]Table 4A Stipends'!E52</f>
        <v>0</v>
      </c>
      <c r="F54" s="313">
        <f t="shared" si="2"/>
        <v>0</v>
      </c>
      <c r="G54" s="463">
        <f t="shared" si="3"/>
        <v>0</v>
      </c>
      <c r="H54" s="115">
        <v>4</v>
      </c>
      <c r="I54" s="1467">
        <f t="shared" si="4"/>
        <v>80000</v>
      </c>
      <c r="J54" s="1470"/>
      <c r="K54" s="1523">
        <f t="shared" si="5"/>
        <v>80000</v>
      </c>
    </row>
    <row r="55" spans="1:11" ht="14.25">
      <c r="A55" s="1406">
        <v>50</v>
      </c>
      <c r="B55" s="1407" t="s">
        <v>586</v>
      </c>
      <c r="C55" s="321">
        <f>'[16]Table 4A Stipends'!C53</f>
        <v>2</v>
      </c>
      <c r="D55" s="320">
        <f t="shared" si="1"/>
        <v>12000</v>
      </c>
      <c r="E55" s="321">
        <f>'[16]Table 4A Stipends'!E53</f>
        <v>4</v>
      </c>
      <c r="F55" s="320">
        <f t="shared" si="2"/>
        <v>16000</v>
      </c>
      <c r="G55" s="464">
        <f t="shared" si="3"/>
        <v>28000</v>
      </c>
      <c r="H55" s="1462">
        <v>9</v>
      </c>
      <c r="I55" s="1468">
        <f t="shared" si="4"/>
        <v>180000</v>
      </c>
      <c r="J55" s="1471"/>
      <c r="K55" s="1524">
        <f t="shared" si="5"/>
        <v>208000</v>
      </c>
    </row>
    <row r="56" spans="1:11" ht="14.25">
      <c r="A56" s="1404">
        <v>51</v>
      </c>
      <c r="B56" s="1405" t="s">
        <v>587</v>
      </c>
      <c r="C56" s="314">
        <f>'[16]Table 4A Stipends'!C54</f>
        <v>0</v>
      </c>
      <c r="D56" s="313">
        <f t="shared" si="1"/>
        <v>0</v>
      </c>
      <c r="E56" s="314">
        <f>'[16]Table 4A Stipends'!E54</f>
        <v>0</v>
      </c>
      <c r="F56" s="313">
        <f t="shared" si="2"/>
        <v>0</v>
      </c>
      <c r="G56" s="463">
        <f t="shared" si="3"/>
        <v>0</v>
      </c>
      <c r="H56" s="115">
        <v>0</v>
      </c>
      <c r="I56" s="1467">
        <f t="shared" si="4"/>
        <v>0</v>
      </c>
      <c r="J56" s="1470"/>
      <c r="K56" s="1523">
        <f t="shared" si="5"/>
        <v>0</v>
      </c>
    </row>
    <row r="57" spans="1:11" ht="14.25">
      <c r="A57" s="1404">
        <v>52</v>
      </c>
      <c r="B57" s="1405" t="s">
        <v>451</v>
      </c>
      <c r="C57" s="314">
        <f>'[16]Table 4A Stipends'!C55</f>
        <v>0</v>
      </c>
      <c r="D57" s="313">
        <f t="shared" si="1"/>
        <v>0</v>
      </c>
      <c r="E57" s="314">
        <f>'[16]Table 4A Stipends'!E55</f>
        <v>0</v>
      </c>
      <c r="F57" s="313">
        <f t="shared" si="2"/>
        <v>0</v>
      </c>
      <c r="G57" s="463">
        <f t="shared" si="3"/>
        <v>0</v>
      </c>
      <c r="H57" s="115">
        <v>0</v>
      </c>
      <c r="I57" s="1467">
        <f t="shared" si="4"/>
        <v>0</v>
      </c>
      <c r="J57" s="1470"/>
      <c r="K57" s="1523">
        <f t="shared" si="5"/>
        <v>0</v>
      </c>
    </row>
    <row r="58" spans="1:11" ht="14.25">
      <c r="A58" s="1404">
        <v>53</v>
      </c>
      <c r="B58" s="1405" t="s">
        <v>588</v>
      </c>
      <c r="C58" s="314">
        <f>'[16]Table 4A Stipends'!C56</f>
        <v>0</v>
      </c>
      <c r="D58" s="313">
        <f t="shared" si="1"/>
        <v>0</v>
      </c>
      <c r="E58" s="314">
        <f>'[16]Table 4A Stipends'!E56</f>
        <v>2</v>
      </c>
      <c r="F58" s="313">
        <f t="shared" si="2"/>
        <v>8000</v>
      </c>
      <c r="G58" s="463">
        <f t="shared" si="3"/>
        <v>8000</v>
      </c>
      <c r="H58" s="115">
        <v>3</v>
      </c>
      <c r="I58" s="1467">
        <f t="shared" si="4"/>
        <v>60000</v>
      </c>
      <c r="J58" s="1470"/>
      <c r="K58" s="1523">
        <f t="shared" si="5"/>
        <v>68000</v>
      </c>
    </row>
    <row r="59" spans="1:11" ht="14.25">
      <c r="A59" s="1404">
        <v>54</v>
      </c>
      <c r="B59" s="1405" t="s">
        <v>589</v>
      </c>
      <c r="C59" s="314">
        <f>'[16]Table 4A Stipends'!C57</f>
        <v>0</v>
      </c>
      <c r="D59" s="313">
        <f t="shared" si="1"/>
        <v>0</v>
      </c>
      <c r="E59" s="314">
        <f>'[16]Table 4A Stipends'!E57</f>
        <v>0</v>
      </c>
      <c r="F59" s="313">
        <f t="shared" si="2"/>
        <v>0</v>
      </c>
      <c r="G59" s="463">
        <f t="shared" si="3"/>
        <v>0</v>
      </c>
      <c r="H59" s="115">
        <v>0</v>
      </c>
      <c r="I59" s="1467">
        <f t="shared" si="4"/>
        <v>0</v>
      </c>
      <c r="J59" s="1470"/>
      <c r="K59" s="1523">
        <f t="shared" si="5"/>
        <v>0</v>
      </c>
    </row>
    <row r="60" spans="1:11" ht="14.25">
      <c r="A60" s="1406">
        <v>55</v>
      </c>
      <c r="B60" s="1407" t="s">
        <v>590</v>
      </c>
      <c r="C60" s="321">
        <f>'[16]Table 4A Stipends'!C58</f>
        <v>0</v>
      </c>
      <c r="D60" s="320">
        <f t="shared" si="1"/>
        <v>0</v>
      </c>
      <c r="E60" s="321">
        <f>'[16]Table 4A Stipends'!E58</f>
        <v>0</v>
      </c>
      <c r="F60" s="320">
        <f t="shared" si="2"/>
        <v>0</v>
      </c>
      <c r="G60" s="464">
        <f t="shared" si="3"/>
        <v>0</v>
      </c>
      <c r="H60" s="1462">
        <v>0</v>
      </c>
      <c r="I60" s="1468">
        <f t="shared" si="4"/>
        <v>0</v>
      </c>
      <c r="J60" s="1471"/>
      <c r="K60" s="1524">
        <f t="shared" si="5"/>
        <v>0</v>
      </c>
    </row>
    <row r="61" spans="1:11" ht="14.25">
      <c r="A61" s="1404">
        <v>56</v>
      </c>
      <c r="B61" s="1405" t="s">
        <v>243</v>
      </c>
      <c r="C61" s="314">
        <f>'[16]Table 4A Stipends'!C59</f>
        <v>0</v>
      </c>
      <c r="D61" s="313">
        <f t="shared" si="1"/>
        <v>0</v>
      </c>
      <c r="E61" s="314">
        <f>'[16]Table 4A Stipends'!E59</f>
        <v>0</v>
      </c>
      <c r="F61" s="313">
        <f t="shared" si="2"/>
        <v>0</v>
      </c>
      <c r="G61" s="463">
        <f t="shared" si="3"/>
        <v>0</v>
      </c>
      <c r="H61" s="115">
        <v>0</v>
      </c>
      <c r="I61" s="1467">
        <f t="shared" si="4"/>
        <v>0</v>
      </c>
      <c r="J61" s="1470"/>
      <c r="K61" s="1523">
        <f t="shared" si="5"/>
        <v>0</v>
      </c>
    </row>
    <row r="62" spans="1:11" ht="14.25">
      <c r="A62" s="1404">
        <v>57</v>
      </c>
      <c r="B62" s="1405" t="s">
        <v>591</v>
      </c>
      <c r="C62" s="314">
        <f>'[16]Table 4A Stipends'!C60</f>
        <v>0</v>
      </c>
      <c r="D62" s="313">
        <f t="shared" si="1"/>
        <v>0</v>
      </c>
      <c r="E62" s="314">
        <f>'[16]Table 4A Stipends'!E60</f>
        <v>0</v>
      </c>
      <c r="F62" s="313">
        <f t="shared" si="2"/>
        <v>0</v>
      </c>
      <c r="G62" s="463">
        <f t="shared" si="3"/>
        <v>0</v>
      </c>
      <c r="H62" s="115">
        <v>0</v>
      </c>
      <c r="I62" s="1467">
        <f t="shared" si="4"/>
        <v>0</v>
      </c>
      <c r="J62" s="1470"/>
      <c r="K62" s="1523">
        <f t="shared" si="5"/>
        <v>0</v>
      </c>
    </row>
    <row r="63" spans="1:11" ht="14.25">
      <c r="A63" s="1404">
        <v>58</v>
      </c>
      <c r="B63" s="1405" t="s">
        <v>592</v>
      </c>
      <c r="C63" s="314">
        <f>'[16]Table 4A Stipends'!C61</f>
        <v>0</v>
      </c>
      <c r="D63" s="313">
        <f t="shared" si="1"/>
        <v>0</v>
      </c>
      <c r="E63" s="314">
        <f>'[16]Table 4A Stipends'!E61</f>
        <v>0</v>
      </c>
      <c r="F63" s="313">
        <f t="shared" si="2"/>
        <v>0</v>
      </c>
      <c r="G63" s="463">
        <f t="shared" si="3"/>
        <v>0</v>
      </c>
      <c r="H63" s="115">
        <v>0</v>
      </c>
      <c r="I63" s="1467">
        <f t="shared" si="4"/>
        <v>0</v>
      </c>
      <c r="J63" s="1470"/>
      <c r="K63" s="1523">
        <f t="shared" si="5"/>
        <v>0</v>
      </c>
    </row>
    <row r="64" spans="1:11" ht="14.25">
      <c r="A64" s="1404">
        <v>59</v>
      </c>
      <c r="B64" s="1405" t="s">
        <v>593</v>
      </c>
      <c r="C64" s="314">
        <f>'[16]Table 4A Stipends'!C62</f>
        <v>0</v>
      </c>
      <c r="D64" s="313">
        <f t="shared" si="1"/>
        <v>0</v>
      </c>
      <c r="E64" s="314">
        <f>'[16]Table 4A Stipends'!E62</f>
        <v>0</v>
      </c>
      <c r="F64" s="313">
        <f t="shared" si="2"/>
        <v>0</v>
      </c>
      <c r="G64" s="463">
        <f t="shared" si="3"/>
        <v>0</v>
      </c>
      <c r="H64" s="115">
        <v>0</v>
      </c>
      <c r="I64" s="1467">
        <f t="shared" si="4"/>
        <v>0</v>
      </c>
      <c r="J64" s="1470"/>
      <c r="K64" s="1523">
        <f t="shared" si="5"/>
        <v>0</v>
      </c>
    </row>
    <row r="65" spans="1:11" ht="14.25">
      <c r="A65" s="1406">
        <v>60</v>
      </c>
      <c r="B65" s="1407" t="s">
        <v>594</v>
      </c>
      <c r="C65" s="321">
        <f>'[16]Table 4A Stipends'!C63</f>
        <v>0</v>
      </c>
      <c r="D65" s="320">
        <f t="shared" si="1"/>
        <v>0</v>
      </c>
      <c r="E65" s="321">
        <f>'[16]Table 4A Stipends'!E63</f>
        <v>0</v>
      </c>
      <c r="F65" s="320">
        <f t="shared" si="2"/>
        <v>0</v>
      </c>
      <c r="G65" s="464">
        <f t="shared" si="3"/>
        <v>0</v>
      </c>
      <c r="H65" s="1462">
        <v>0</v>
      </c>
      <c r="I65" s="1468">
        <f t="shared" si="4"/>
        <v>0</v>
      </c>
      <c r="J65" s="1471"/>
      <c r="K65" s="1524">
        <f t="shared" si="5"/>
        <v>0</v>
      </c>
    </row>
    <row r="66" spans="1:11" ht="14.25">
      <c r="A66" s="1404">
        <v>61</v>
      </c>
      <c r="B66" s="1405" t="s">
        <v>595</v>
      </c>
      <c r="C66" s="314">
        <f>'[16]Table 4A Stipends'!C64</f>
        <v>0</v>
      </c>
      <c r="D66" s="313">
        <f t="shared" si="1"/>
        <v>0</v>
      </c>
      <c r="E66" s="314">
        <f>'[16]Table 4A Stipends'!E64</f>
        <v>0</v>
      </c>
      <c r="F66" s="313">
        <f t="shared" si="2"/>
        <v>0</v>
      </c>
      <c r="G66" s="463">
        <f t="shared" si="3"/>
        <v>0</v>
      </c>
      <c r="H66" s="115">
        <v>0</v>
      </c>
      <c r="I66" s="1467">
        <f t="shared" si="4"/>
        <v>0</v>
      </c>
      <c r="J66" s="1470"/>
      <c r="K66" s="1523">
        <f t="shared" si="5"/>
        <v>0</v>
      </c>
    </row>
    <row r="67" spans="1:11" ht="14.25">
      <c r="A67" s="1404">
        <v>62</v>
      </c>
      <c r="B67" s="1405" t="s">
        <v>596</v>
      </c>
      <c r="C67" s="314">
        <f>'[16]Table 4A Stipends'!C65</f>
        <v>0</v>
      </c>
      <c r="D67" s="313">
        <f t="shared" si="1"/>
        <v>0</v>
      </c>
      <c r="E67" s="314">
        <f>'[16]Table 4A Stipends'!E65</f>
        <v>0</v>
      </c>
      <c r="F67" s="313">
        <f t="shared" si="2"/>
        <v>0</v>
      </c>
      <c r="G67" s="463">
        <f t="shared" si="3"/>
        <v>0</v>
      </c>
      <c r="H67" s="115">
        <v>0</v>
      </c>
      <c r="I67" s="1467">
        <f t="shared" si="4"/>
        <v>0</v>
      </c>
      <c r="J67" s="1470"/>
      <c r="K67" s="1523">
        <f t="shared" si="5"/>
        <v>0</v>
      </c>
    </row>
    <row r="68" spans="1:11" ht="14.25">
      <c r="A68" s="1404">
        <v>63</v>
      </c>
      <c r="B68" s="1405" t="s">
        <v>597</v>
      </c>
      <c r="C68" s="314">
        <f>'[16]Table 4A Stipends'!C66</f>
        <v>0</v>
      </c>
      <c r="D68" s="313">
        <f t="shared" si="1"/>
        <v>0</v>
      </c>
      <c r="E68" s="314">
        <f>'[16]Table 4A Stipends'!E66</f>
        <v>0</v>
      </c>
      <c r="F68" s="313">
        <f t="shared" si="2"/>
        <v>0</v>
      </c>
      <c r="G68" s="463">
        <f t="shared" si="3"/>
        <v>0</v>
      </c>
      <c r="H68" s="115">
        <v>0</v>
      </c>
      <c r="I68" s="1467">
        <f t="shared" si="4"/>
        <v>0</v>
      </c>
      <c r="J68" s="1470"/>
      <c r="K68" s="1523">
        <f t="shared" si="5"/>
        <v>0</v>
      </c>
    </row>
    <row r="69" spans="1:11" ht="14.25">
      <c r="A69" s="1404">
        <v>64</v>
      </c>
      <c r="B69" s="1405" t="s">
        <v>598</v>
      </c>
      <c r="C69" s="314">
        <f>'[16]Table 4A Stipends'!C67</f>
        <v>0</v>
      </c>
      <c r="D69" s="313">
        <f t="shared" si="1"/>
        <v>0</v>
      </c>
      <c r="E69" s="314">
        <f>'[16]Table 4A Stipends'!E67</f>
        <v>0</v>
      </c>
      <c r="F69" s="313">
        <f t="shared" si="2"/>
        <v>0</v>
      </c>
      <c r="G69" s="463">
        <f t="shared" si="3"/>
        <v>0</v>
      </c>
      <c r="H69" s="115">
        <v>0</v>
      </c>
      <c r="I69" s="1467">
        <f t="shared" si="4"/>
        <v>0</v>
      </c>
      <c r="J69" s="1470"/>
      <c r="K69" s="1523">
        <f t="shared" si="5"/>
        <v>0</v>
      </c>
    </row>
    <row r="70" spans="1:11" ht="14.25">
      <c r="A70" s="1406">
        <v>65</v>
      </c>
      <c r="B70" s="1407" t="s">
        <v>599</v>
      </c>
      <c r="C70" s="327">
        <f>'[16]Table 4A Stipends'!C68</f>
        <v>0</v>
      </c>
      <c r="D70" s="320">
        <f t="shared" si="1"/>
        <v>0</v>
      </c>
      <c r="E70" s="327">
        <f>'[16]Table 4A Stipends'!E68</f>
        <v>0</v>
      </c>
      <c r="F70" s="320">
        <f t="shared" si="2"/>
        <v>0</v>
      </c>
      <c r="G70" s="464">
        <f t="shared" si="3"/>
        <v>0</v>
      </c>
      <c r="H70" s="1462">
        <v>0</v>
      </c>
      <c r="I70" s="1468">
        <f t="shared" si="4"/>
        <v>0</v>
      </c>
      <c r="J70" s="1471"/>
      <c r="K70" s="1524">
        <f t="shared" si="5"/>
        <v>0</v>
      </c>
    </row>
    <row r="71" spans="1:11" ht="14.25">
      <c r="A71" s="1408">
        <v>66</v>
      </c>
      <c r="B71" s="1409" t="s">
        <v>600</v>
      </c>
      <c r="C71" s="328">
        <f>'[16]Table 4A Stipends'!C69</f>
        <v>0</v>
      </c>
      <c r="D71" s="311">
        <f>ROUND($D$3*C71,0)</f>
        <v>0</v>
      </c>
      <c r="E71" s="328">
        <f>'[16]Table 4A Stipends'!E69</f>
        <v>0</v>
      </c>
      <c r="F71" s="311">
        <f>ROUND($F$3*E71,0)</f>
        <v>0</v>
      </c>
      <c r="G71" s="465">
        <f>D71+F71</f>
        <v>0</v>
      </c>
      <c r="H71" s="115">
        <v>0</v>
      </c>
      <c r="I71" s="1467">
        <f t="shared" ref="I71:I74" si="6">ROUND($I$3*H71,0)</f>
        <v>0</v>
      </c>
      <c r="J71" s="1470"/>
      <c r="K71" s="1523">
        <f t="shared" ref="K71:K74" si="7">G71+I71+J71</f>
        <v>0</v>
      </c>
    </row>
    <row r="72" spans="1:11" ht="14.25">
      <c r="A72" s="1404">
        <v>67</v>
      </c>
      <c r="B72" s="1405" t="s">
        <v>601</v>
      </c>
      <c r="C72" s="314">
        <f>'[16]Table 4A Stipends'!C70</f>
        <v>0</v>
      </c>
      <c r="D72" s="313">
        <f>ROUND($D$3*C72,0)</f>
        <v>0</v>
      </c>
      <c r="E72" s="314">
        <f>'[16]Table 4A Stipends'!E70</f>
        <v>0</v>
      </c>
      <c r="F72" s="313">
        <f>ROUND($F$3*E72,0)</f>
        <v>0</v>
      </c>
      <c r="G72" s="463">
        <f>D72+F72</f>
        <v>0</v>
      </c>
      <c r="H72" s="115">
        <v>0</v>
      </c>
      <c r="I72" s="1467">
        <f t="shared" si="6"/>
        <v>0</v>
      </c>
      <c r="J72" s="1470"/>
      <c r="K72" s="1523">
        <f t="shared" si="7"/>
        <v>0</v>
      </c>
    </row>
    <row r="73" spans="1:11" ht="14.25">
      <c r="A73" s="1404">
        <v>68</v>
      </c>
      <c r="B73" s="1405" t="s">
        <v>602</v>
      </c>
      <c r="C73" s="314">
        <f>'[16]Table 4A Stipends'!C71</f>
        <v>0</v>
      </c>
      <c r="D73" s="313">
        <f>ROUND($D$3*C73,0)</f>
        <v>0</v>
      </c>
      <c r="E73" s="314">
        <f>'[16]Table 4A Stipends'!E71</f>
        <v>0</v>
      </c>
      <c r="F73" s="313">
        <f>ROUND($F$3*E73,0)</f>
        <v>0</v>
      </c>
      <c r="G73" s="463">
        <f>D73+F73</f>
        <v>0</v>
      </c>
      <c r="H73" s="115">
        <v>0</v>
      </c>
      <c r="I73" s="1467">
        <f t="shared" si="6"/>
        <v>0</v>
      </c>
      <c r="J73" s="1470"/>
      <c r="K73" s="1523">
        <f t="shared" si="7"/>
        <v>0</v>
      </c>
    </row>
    <row r="74" spans="1:11" ht="14.25">
      <c r="A74" s="1410">
        <v>69</v>
      </c>
      <c r="B74" s="1411" t="s">
        <v>603</v>
      </c>
      <c r="C74" s="327">
        <f>'[16]Table 4A Stipends'!C72</f>
        <v>0</v>
      </c>
      <c r="D74" s="320">
        <f>ROUND($D$3*C74,0)</f>
        <v>0</v>
      </c>
      <c r="E74" s="327">
        <f>'[16]Table 4A Stipends'!E72</f>
        <v>0</v>
      </c>
      <c r="F74" s="320">
        <f>ROUND($F$3*E74,0)</f>
        <v>0</v>
      </c>
      <c r="G74" s="464">
        <f>D74+F74</f>
        <v>0</v>
      </c>
      <c r="H74" s="1462">
        <v>0</v>
      </c>
      <c r="I74" s="1468">
        <f t="shared" si="6"/>
        <v>0</v>
      </c>
      <c r="J74" s="1471"/>
      <c r="K74" s="1524">
        <f t="shared" si="7"/>
        <v>0</v>
      </c>
    </row>
    <row r="75" spans="1:11" ht="15.75" thickBot="1">
      <c r="A75" s="1412"/>
      <c r="B75" s="1413" t="s">
        <v>604</v>
      </c>
      <c r="C75" s="422">
        <f>SUM(C6:C74)</f>
        <v>40</v>
      </c>
      <c r="D75" s="423">
        <f t="shared" ref="D75:G75" si="8">SUM(D6:D74)</f>
        <v>240000</v>
      </c>
      <c r="E75" s="422">
        <f t="shared" si="8"/>
        <v>56</v>
      </c>
      <c r="F75" s="423">
        <f t="shared" si="8"/>
        <v>224000</v>
      </c>
      <c r="G75" s="472">
        <f t="shared" si="8"/>
        <v>464000</v>
      </c>
      <c r="H75" s="422">
        <f>SUM(H6:H74)</f>
        <v>196</v>
      </c>
      <c r="I75" s="1465">
        <f>SUM(I6:I74)</f>
        <v>3920000</v>
      </c>
      <c r="J75" s="1464">
        <f>SUM(J6:J74)</f>
        <v>0</v>
      </c>
      <c r="K75" s="1525">
        <f>SUM(K6:K74)</f>
        <v>4384000</v>
      </c>
    </row>
    <row r="76" spans="1:11" ht="15.75" thickTop="1">
      <c r="A76" s="1414"/>
      <c r="B76" s="1415"/>
      <c r="C76" s="1415"/>
      <c r="D76" s="1415"/>
      <c r="E76" s="1415"/>
      <c r="F76" s="1415"/>
      <c r="G76" s="1415"/>
      <c r="H76" s="1415"/>
      <c r="I76" s="1415"/>
      <c r="J76" s="1415"/>
      <c r="K76" s="1415"/>
    </row>
    <row r="77" spans="1:11" ht="14.25">
      <c r="A77" s="1416"/>
      <c r="B77" s="1473" t="s">
        <v>773</v>
      </c>
      <c r="C77" s="354"/>
      <c r="D77" s="313">
        <f t="shared" ref="D77:D78" si="9">ROUND($D$3*C77,0)</f>
        <v>0</v>
      </c>
      <c r="E77" s="354"/>
      <c r="F77" s="1551">
        <f t="shared" ref="F77:F78" si="10">ROUND($F$3*E77,0)</f>
        <v>0</v>
      </c>
      <c r="G77" s="1503">
        <f t="shared" ref="G77:G78" si="11">D77+F77</f>
        <v>0</v>
      </c>
      <c r="H77" s="354"/>
      <c r="I77" s="1468">
        <f t="shared" ref="I77:I78" si="12">ROUND($I$3*H77,0)</f>
        <v>0</v>
      </c>
      <c r="J77" s="1469">
        <v>0</v>
      </c>
      <c r="K77" s="1522">
        <f t="shared" ref="K77:K78" si="13">G77+I77+J77</f>
        <v>0</v>
      </c>
    </row>
    <row r="78" spans="1:11" ht="14.25">
      <c r="A78" s="1410"/>
      <c r="B78" s="1474" t="s">
        <v>774</v>
      </c>
      <c r="C78" s="1462"/>
      <c r="D78" s="1549">
        <f t="shared" si="9"/>
        <v>0</v>
      </c>
      <c r="E78" s="1462"/>
      <c r="F78" s="1552">
        <f t="shared" si="10"/>
        <v>0</v>
      </c>
      <c r="G78" s="1504">
        <f t="shared" si="11"/>
        <v>0</v>
      </c>
      <c r="H78" s="1462"/>
      <c r="I78" s="1468">
        <f t="shared" si="12"/>
        <v>0</v>
      </c>
      <c r="J78" s="1471">
        <v>0</v>
      </c>
      <c r="K78" s="1524">
        <f t="shared" si="13"/>
        <v>0</v>
      </c>
    </row>
    <row r="79" spans="1:11" ht="15.75" thickBot="1">
      <c r="A79" s="1417"/>
      <c r="B79" s="1475" t="s">
        <v>775</v>
      </c>
      <c r="C79" s="1513">
        <f>SUM(C77:C78)</f>
        <v>0</v>
      </c>
      <c r="D79" s="1553">
        <f t="shared" ref="D79:I79" si="14">SUM(D77:D78)</f>
        <v>0</v>
      </c>
      <c r="E79" s="1513">
        <f t="shared" si="14"/>
        <v>0</v>
      </c>
      <c r="F79" s="1553">
        <f t="shared" si="14"/>
        <v>0</v>
      </c>
      <c r="G79" s="1514">
        <f t="shared" si="14"/>
        <v>0</v>
      </c>
      <c r="H79" s="1513">
        <f t="shared" si="14"/>
        <v>0</v>
      </c>
      <c r="I79" s="1515">
        <f t="shared" si="14"/>
        <v>0</v>
      </c>
      <c r="J79" s="1511">
        <f>SUM(J77:J78)</f>
        <v>0</v>
      </c>
      <c r="K79" s="1526">
        <f>SUM(K77:K78)</f>
        <v>0</v>
      </c>
    </row>
    <row r="80" spans="1:11" ht="15.75" thickTop="1">
      <c r="A80" s="1418"/>
      <c r="B80" s="1419"/>
      <c r="C80" s="1419"/>
      <c r="D80" s="1506"/>
      <c r="E80" s="1419"/>
      <c r="F80" s="1506"/>
      <c r="G80" s="1506"/>
      <c r="H80" s="1419"/>
      <c r="I80" s="1506"/>
      <c r="J80" s="1506"/>
      <c r="K80" s="1506"/>
    </row>
    <row r="81" spans="1:11" ht="14.25">
      <c r="A81" s="1420"/>
      <c r="B81" s="1476" t="s">
        <v>776</v>
      </c>
      <c r="C81" s="1462"/>
      <c r="D81" s="1556">
        <f>ROUND($D$3*C81,0)</f>
        <v>0</v>
      </c>
      <c r="E81" s="1462"/>
      <c r="F81" s="1552">
        <f>ROUND($F$3*E81,0)</f>
        <v>0</v>
      </c>
      <c r="G81" s="1504">
        <f>D81+F81</f>
        <v>0</v>
      </c>
      <c r="H81" s="1462"/>
      <c r="I81" s="1468">
        <f t="shared" ref="I81" si="15">ROUND($I$3*H81,0)</f>
        <v>0</v>
      </c>
      <c r="J81" s="1471">
        <v>0</v>
      </c>
      <c r="K81" s="1524">
        <f>G81+I81+J81</f>
        <v>0</v>
      </c>
    </row>
    <row r="82" spans="1:11" ht="15.75" thickBot="1">
      <c r="A82" s="1421"/>
      <c r="B82" s="1477" t="s">
        <v>777</v>
      </c>
      <c r="C82" s="1513">
        <f>SUM(C81)</f>
        <v>0</v>
      </c>
      <c r="D82" s="1553">
        <f t="shared" ref="D82:I82" si="16">SUM(D81)</f>
        <v>0</v>
      </c>
      <c r="E82" s="1513">
        <f t="shared" si="16"/>
        <v>0</v>
      </c>
      <c r="F82" s="1553">
        <f t="shared" si="16"/>
        <v>0</v>
      </c>
      <c r="G82" s="1514">
        <f t="shared" si="16"/>
        <v>0</v>
      </c>
      <c r="H82" s="1513">
        <f t="shared" si="16"/>
        <v>0</v>
      </c>
      <c r="I82" s="1515">
        <f t="shared" si="16"/>
        <v>0</v>
      </c>
      <c r="J82" s="1511">
        <f>SUM(J81)</f>
        <v>0</v>
      </c>
      <c r="K82" s="1526">
        <f>SUM(K81)</f>
        <v>0</v>
      </c>
    </row>
    <row r="83" spans="1:11" ht="15.75" thickTop="1">
      <c r="A83" s="1422"/>
      <c r="B83" s="1423"/>
      <c r="C83" s="1423"/>
      <c r="D83" s="1507"/>
      <c r="E83" s="1423"/>
      <c r="F83" s="1507"/>
      <c r="G83" s="1507"/>
      <c r="H83" s="1423"/>
      <c r="I83" s="1507"/>
      <c r="J83" s="1507"/>
      <c r="K83" s="1507"/>
    </row>
    <row r="84" spans="1:11" ht="14.25">
      <c r="A84" s="1420"/>
      <c r="B84" s="1476" t="s">
        <v>778</v>
      </c>
      <c r="C84" s="1462"/>
      <c r="D84" s="1556">
        <f>ROUND($D$3*C84,0)</f>
        <v>0</v>
      </c>
      <c r="E84" s="1462"/>
      <c r="F84" s="1552">
        <f>ROUND($F$3*E84,0)</f>
        <v>0</v>
      </c>
      <c r="G84" s="1504">
        <f>D84+F84</f>
        <v>0</v>
      </c>
      <c r="H84" s="1462"/>
      <c r="I84" s="1468">
        <f t="shared" ref="I84" si="17">ROUND($I$3*H84,0)</f>
        <v>0</v>
      </c>
      <c r="J84" s="1471">
        <v>0</v>
      </c>
      <c r="K84" s="1524">
        <f>G84+I84+J84</f>
        <v>0</v>
      </c>
    </row>
    <row r="85" spans="1:11" ht="15.75" thickBot="1">
      <c r="A85" s="1421"/>
      <c r="B85" s="1477" t="s">
        <v>779</v>
      </c>
      <c r="C85" s="1513">
        <f>SUM(C84)</f>
        <v>0</v>
      </c>
      <c r="D85" s="1553">
        <f t="shared" ref="D85:I85" si="18">SUM(D84)</f>
        <v>0</v>
      </c>
      <c r="E85" s="1513">
        <f t="shared" si="18"/>
        <v>0</v>
      </c>
      <c r="F85" s="1553">
        <f t="shared" si="18"/>
        <v>0</v>
      </c>
      <c r="G85" s="1514">
        <f t="shared" si="18"/>
        <v>0</v>
      </c>
      <c r="H85" s="1513">
        <f t="shared" si="18"/>
        <v>0</v>
      </c>
      <c r="I85" s="1515">
        <f t="shared" si="18"/>
        <v>0</v>
      </c>
      <c r="J85" s="1511">
        <f>SUM(J84)</f>
        <v>0</v>
      </c>
      <c r="K85" s="1526">
        <f>SUM(K84)</f>
        <v>0</v>
      </c>
    </row>
    <row r="86" spans="1:11" ht="15.75" thickTop="1">
      <c r="A86" s="1422"/>
      <c r="B86" s="1423"/>
      <c r="C86" s="1423"/>
      <c r="D86" s="1507"/>
      <c r="E86" s="1423"/>
      <c r="F86" s="1507"/>
      <c r="G86" s="1507"/>
      <c r="H86" s="1423"/>
      <c r="I86" s="1507"/>
      <c r="J86" s="1507"/>
      <c r="K86" s="1507"/>
    </row>
    <row r="87" spans="1:11" ht="15" customHeight="1">
      <c r="A87" s="1424" t="s">
        <v>605</v>
      </c>
      <c r="B87" s="1478" t="s">
        <v>780</v>
      </c>
      <c r="C87" s="115"/>
      <c r="D87" s="318">
        <f t="shared" ref="D87:D94" si="19">ROUND($D$3*C87,0)</f>
        <v>0</v>
      </c>
      <c r="E87" s="115"/>
      <c r="F87" s="1554">
        <f t="shared" ref="F87:F94" si="20">ROUND($F$3*E87,0)</f>
        <v>0</v>
      </c>
      <c r="G87" s="1505">
        <f t="shared" ref="G87:G94" si="21">D87+F87</f>
        <v>0</v>
      </c>
      <c r="H87" s="115"/>
      <c r="I87" s="1467">
        <f t="shared" ref="I87:I94" si="22">ROUND($I$3*H87,0)</f>
        <v>0</v>
      </c>
      <c r="J87" s="1470">
        <v>0</v>
      </c>
      <c r="K87" s="1523">
        <f t="shared" ref="K87:K94" si="23">G87+I87+J87</f>
        <v>0</v>
      </c>
    </row>
    <row r="88" spans="1:11" ht="14.25">
      <c r="A88" s="1425" t="s">
        <v>606</v>
      </c>
      <c r="B88" s="1479" t="s">
        <v>781</v>
      </c>
      <c r="C88" s="115"/>
      <c r="D88" s="318">
        <f t="shared" si="19"/>
        <v>0</v>
      </c>
      <c r="E88" s="115"/>
      <c r="F88" s="1554">
        <f t="shared" si="20"/>
        <v>0</v>
      </c>
      <c r="G88" s="1505">
        <f t="shared" si="21"/>
        <v>0</v>
      </c>
      <c r="H88" s="115"/>
      <c r="I88" s="1467">
        <f t="shared" si="22"/>
        <v>0</v>
      </c>
      <c r="J88" s="1470">
        <v>0</v>
      </c>
      <c r="K88" s="1523">
        <f t="shared" si="23"/>
        <v>0</v>
      </c>
    </row>
    <row r="89" spans="1:11" ht="15" customHeight="1">
      <c r="A89" s="1425" t="s">
        <v>607</v>
      </c>
      <c r="B89" s="1480" t="s">
        <v>782</v>
      </c>
      <c r="C89" s="1546">
        <f>'[16]Table 4A Stipends'!$C$74</f>
        <v>6</v>
      </c>
      <c r="D89" s="318">
        <f t="shared" si="19"/>
        <v>36000</v>
      </c>
      <c r="E89" s="115">
        <f>'[16]Table 4A Stipends'!$E$74</f>
        <v>15</v>
      </c>
      <c r="F89" s="1554">
        <f t="shared" si="20"/>
        <v>60000</v>
      </c>
      <c r="G89" s="1505">
        <f t="shared" si="21"/>
        <v>96000</v>
      </c>
      <c r="H89" s="115">
        <v>27</v>
      </c>
      <c r="I89" s="1467">
        <f t="shared" si="22"/>
        <v>540000</v>
      </c>
      <c r="J89" s="1470">
        <v>0</v>
      </c>
      <c r="K89" s="1523">
        <f t="shared" si="23"/>
        <v>636000</v>
      </c>
    </row>
    <row r="90" spans="1:11" ht="14.25">
      <c r="A90" s="1425" t="s">
        <v>608</v>
      </c>
      <c r="B90" s="1479" t="s">
        <v>783</v>
      </c>
      <c r="C90" s="115"/>
      <c r="D90" s="318">
        <f t="shared" si="19"/>
        <v>0</v>
      </c>
      <c r="E90" s="115"/>
      <c r="F90" s="1554">
        <f t="shared" si="20"/>
        <v>0</v>
      </c>
      <c r="G90" s="1505">
        <f t="shared" si="21"/>
        <v>0</v>
      </c>
      <c r="H90" s="115"/>
      <c r="I90" s="1467">
        <f t="shared" si="22"/>
        <v>0</v>
      </c>
      <c r="J90" s="1470">
        <v>0</v>
      </c>
      <c r="K90" s="1523">
        <f t="shared" si="23"/>
        <v>0</v>
      </c>
    </row>
    <row r="91" spans="1:11" ht="14.25">
      <c r="A91" s="1425" t="s">
        <v>609</v>
      </c>
      <c r="B91" s="1479" t="s">
        <v>784</v>
      </c>
      <c r="C91" s="115"/>
      <c r="D91" s="318">
        <f t="shared" si="19"/>
        <v>0</v>
      </c>
      <c r="E91" s="115"/>
      <c r="F91" s="1554">
        <f t="shared" si="20"/>
        <v>0</v>
      </c>
      <c r="G91" s="1505">
        <f t="shared" si="21"/>
        <v>0</v>
      </c>
      <c r="H91" s="115"/>
      <c r="I91" s="1467">
        <f t="shared" si="22"/>
        <v>0</v>
      </c>
      <c r="J91" s="1470">
        <v>0</v>
      </c>
      <c r="K91" s="1523">
        <f t="shared" si="23"/>
        <v>0</v>
      </c>
    </row>
    <row r="92" spans="1:11" ht="14.25">
      <c r="A92" s="1425" t="s">
        <v>610</v>
      </c>
      <c r="B92" s="1479" t="s">
        <v>785</v>
      </c>
      <c r="C92" s="115"/>
      <c r="D92" s="318">
        <f t="shared" si="19"/>
        <v>0</v>
      </c>
      <c r="E92" s="115"/>
      <c r="F92" s="1554">
        <f t="shared" si="20"/>
        <v>0</v>
      </c>
      <c r="G92" s="1505">
        <f t="shared" si="21"/>
        <v>0</v>
      </c>
      <c r="H92" s="115"/>
      <c r="I92" s="1467">
        <f t="shared" si="22"/>
        <v>0</v>
      </c>
      <c r="J92" s="1470">
        <v>0</v>
      </c>
      <c r="K92" s="1523">
        <f t="shared" si="23"/>
        <v>0</v>
      </c>
    </row>
    <row r="93" spans="1:11" ht="14.25">
      <c r="A93" s="1425" t="s">
        <v>611</v>
      </c>
      <c r="B93" s="1479" t="s">
        <v>786</v>
      </c>
      <c r="C93" s="115"/>
      <c r="D93" s="318">
        <f t="shared" si="19"/>
        <v>0</v>
      </c>
      <c r="E93" s="115"/>
      <c r="F93" s="1554">
        <f t="shared" si="20"/>
        <v>0</v>
      </c>
      <c r="G93" s="1505">
        <f t="shared" si="21"/>
        <v>0</v>
      </c>
      <c r="H93" s="115"/>
      <c r="I93" s="1467">
        <f t="shared" si="22"/>
        <v>0</v>
      </c>
      <c r="J93" s="1470">
        <v>0</v>
      </c>
      <c r="K93" s="1523">
        <f t="shared" si="23"/>
        <v>0</v>
      </c>
    </row>
    <row r="94" spans="1:11" ht="14.25">
      <c r="A94" s="1426" t="s">
        <v>612</v>
      </c>
      <c r="B94" s="1481" t="s">
        <v>787</v>
      </c>
      <c r="C94" s="1462"/>
      <c r="D94" s="1556">
        <f t="shared" si="19"/>
        <v>0</v>
      </c>
      <c r="E94" s="1462"/>
      <c r="F94" s="1552">
        <f t="shared" si="20"/>
        <v>0</v>
      </c>
      <c r="G94" s="1504">
        <f t="shared" si="21"/>
        <v>0</v>
      </c>
      <c r="H94" s="1462"/>
      <c r="I94" s="1468">
        <f t="shared" si="22"/>
        <v>0</v>
      </c>
      <c r="J94" s="1471">
        <v>0</v>
      </c>
      <c r="K94" s="1524">
        <f t="shared" si="23"/>
        <v>0</v>
      </c>
    </row>
    <row r="95" spans="1:11" ht="15.75" thickBot="1">
      <c r="A95" s="1425"/>
      <c r="B95" s="1482" t="s">
        <v>788</v>
      </c>
      <c r="C95" s="1513">
        <f>SUM(C87:C94)</f>
        <v>6</v>
      </c>
      <c r="D95" s="1553">
        <f t="shared" ref="D95:I95" si="24">SUM(D87:D94)</f>
        <v>36000</v>
      </c>
      <c r="E95" s="1513">
        <f t="shared" si="24"/>
        <v>15</v>
      </c>
      <c r="F95" s="1553">
        <f t="shared" si="24"/>
        <v>60000</v>
      </c>
      <c r="G95" s="1514">
        <f t="shared" si="24"/>
        <v>96000</v>
      </c>
      <c r="H95" s="1513">
        <f t="shared" si="24"/>
        <v>27</v>
      </c>
      <c r="I95" s="1515">
        <f t="shared" si="24"/>
        <v>540000</v>
      </c>
      <c r="J95" s="1511">
        <f>SUM(J87:J94)</f>
        <v>0</v>
      </c>
      <c r="K95" s="1526">
        <f>SUM(K87:K94)</f>
        <v>636000</v>
      </c>
    </row>
    <row r="96" spans="1:11" ht="15.75" thickTop="1">
      <c r="A96" s="1427"/>
      <c r="B96" s="1428"/>
      <c r="C96" s="1428"/>
      <c r="D96" s="1508"/>
      <c r="E96" s="1428"/>
      <c r="F96" s="1508"/>
      <c r="G96" s="1508"/>
      <c r="H96" s="1428"/>
      <c r="I96" s="1508"/>
      <c r="J96" s="1508"/>
      <c r="K96" s="1508"/>
    </row>
    <row r="97" spans="1:11" ht="14.25">
      <c r="A97" s="1424"/>
      <c r="B97" s="1483" t="s">
        <v>789</v>
      </c>
      <c r="C97" s="115"/>
      <c r="D97" s="318">
        <f t="shared" ref="D97:D98" si="25">ROUND($D$3*C97,0)</f>
        <v>0</v>
      </c>
      <c r="E97" s="115"/>
      <c r="F97" s="1554">
        <f t="shared" ref="F97:F98" si="26">ROUND($F$3*E97,0)</f>
        <v>0</v>
      </c>
      <c r="G97" s="1505">
        <f t="shared" ref="G97:G98" si="27">D97+F97</f>
        <v>0</v>
      </c>
      <c r="H97" s="115"/>
      <c r="I97" s="1467">
        <f t="shared" ref="I97:I98" si="28">ROUND($I$3*H97,0)</f>
        <v>0</v>
      </c>
      <c r="J97" s="1470">
        <v>0</v>
      </c>
      <c r="K97" s="1523">
        <f t="shared" ref="K97:K98" si="29">G97+I97+J97</f>
        <v>0</v>
      </c>
    </row>
    <row r="98" spans="1:11" ht="14.25">
      <c r="A98" s="1426">
        <v>345</v>
      </c>
      <c r="B98" s="1484" t="s">
        <v>790</v>
      </c>
      <c r="C98" s="1462"/>
      <c r="D98" s="1556">
        <f t="shared" si="25"/>
        <v>0</v>
      </c>
      <c r="E98" s="1462"/>
      <c r="F98" s="1552">
        <f t="shared" si="26"/>
        <v>0</v>
      </c>
      <c r="G98" s="1504">
        <f t="shared" si="27"/>
        <v>0</v>
      </c>
      <c r="H98" s="1462"/>
      <c r="I98" s="1468">
        <f t="shared" si="28"/>
        <v>0</v>
      </c>
      <c r="J98" s="1471">
        <v>0</v>
      </c>
      <c r="K98" s="1524">
        <f t="shared" si="29"/>
        <v>0</v>
      </c>
    </row>
    <row r="99" spans="1:11" ht="15.75" thickBot="1">
      <c r="A99" s="1429"/>
      <c r="B99" s="1477" t="s">
        <v>791</v>
      </c>
      <c r="C99" s="1513">
        <f>SUM(C97:C98)</f>
        <v>0</v>
      </c>
      <c r="D99" s="1553">
        <f t="shared" ref="D99:I99" si="30">SUM(D97:D98)</f>
        <v>0</v>
      </c>
      <c r="E99" s="1513">
        <f t="shared" si="30"/>
        <v>0</v>
      </c>
      <c r="F99" s="1553">
        <f t="shared" si="30"/>
        <v>0</v>
      </c>
      <c r="G99" s="1514">
        <f t="shared" si="30"/>
        <v>0</v>
      </c>
      <c r="H99" s="1513">
        <f t="shared" si="30"/>
        <v>0</v>
      </c>
      <c r="I99" s="1515">
        <f t="shared" si="30"/>
        <v>0</v>
      </c>
      <c r="J99" s="1511">
        <f>SUM(J97:J98)</f>
        <v>0</v>
      </c>
      <c r="K99" s="1526">
        <f>SUM(K97:K98)</f>
        <v>0</v>
      </c>
    </row>
    <row r="100" spans="1:11" ht="15.75" thickTop="1">
      <c r="A100" s="1430"/>
      <c r="B100" s="1431"/>
      <c r="C100" s="1431"/>
      <c r="D100" s="1509"/>
      <c r="E100" s="1431"/>
      <c r="F100" s="1509"/>
      <c r="G100" s="1509"/>
      <c r="H100" s="1431"/>
      <c r="I100" s="1509"/>
      <c r="J100" s="1509"/>
      <c r="K100" s="1509"/>
    </row>
    <row r="101" spans="1:11" ht="14.25">
      <c r="A101" s="1432"/>
      <c r="B101" s="1485" t="s">
        <v>1185</v>
      </c>
      <c r="C101" s="1547"/>
      <c r="D101" s="1557">
        <f>ROUND($D$3*C101,0)</f>
        <v>0</v>
      </c>
      <c r="E101" s="1527"/>
      <c r="F101" s="1555">
        <f>ROUND($F$3*E101,0)</f>
        <v>0</v>
      </c>
      <c r="G101" s="1528">
        <f>D101+F101</f>
        <v>0</v>
      </c>
      <c r="H101" s="1527"/>
      <c r="I101" s="1529">
        <f t="shared" ref="I101" si="31">ROUND($I$3*H101,0)</f>
        <v>0</v>
      </c>
      <c r="J101" s="1530">
        <v>0</v>
      </c>
      <c r="K101" s="1531">
        <f>G101+I101+J101</f>
        <v>0</v>
      </c>
    </row>
    <row r="102" spans="1:11" ht="15.75" thickBot="1">
      <c r="A102" s="1433">
        <v>343001</v>
      </c>
      <c r="B102" s="1475" t="s">
        <v>792</v>
      </c>
      <c r="C102" s="1513">
        <f t="shared" ref="C102:J102" si="32">SUM(C101:C101)</f>
        <v>0</v>
      </c>
      <c r="D102" s="1553">
        <f t="shared" si="32"/>
        <v>0</v>
      </c>
      <c r="E102" s="1513">
        <f t="shared" si="32"/>
        <v>0</v>
      </c>
      <c r="F102" s="1553">
        <f t="shared" si="32"/>
        <v>0</v>
      </c>
      <c r="G102" s="1514">
        <f t="shared" si="32"/>
        <v>0</v>
      </c>
      <c r="H102" s="1513">
        <f t="shared" si="32"/>
        <v>0</v>
      </c>
      <c r="I102" s="1515">
        <f t="shared" si="32"/>
        <v>0</v>
      </c>
      <c r="J102" s="1511">
        <f t="shared" si="32"/>
        <v>0</v>
      </c>
      <c r="K102" s="1526">
        <f>SUM(K101)</f>
        <v>0</v>
      </c>
    </row>
    <row r="103" spans="1:11" ht="15.75" thickTop="1">
      <c r="A103" s="1434"/>
      <c r="B103" s="1435"/>
      <c r="C103" s="1428"/>
      <c r="D103" s="1508"/>
      <c r="E103" s="1428"/>
      <c r="F103" s="1508"/>
      <c r="G103" s="1508"/>
      <c r="H103" s="1428"/>
      <c r="I103" s="1508"/>
      <c r="J103" s="1508"/>
      <c r="K103" s="1508"/>
    </row>
    <row r="104" spans="1:11" ht="14.25">
      <c r="A104" s="1432"/>
      <c r="B104" s="1485" t="s">
        <v>1043</v>
      </c>
      <c r="C104" s="1547"/>
      <c r="D104" s="1557">
        <f>ROUND($D$3*C104,0)</f>
        <v>0</v>
      </c>
      <c r="E104" s="1527"/>
      <c r="F104" s="1555">
        <f>ROUND($F$3*E104,0)</f>
        <v>0</v>
      </c>
      <c r="G104" s="1528">
        <f>D104+F104</f>
        <v>0</v>
      </c>
      <c r="H104" s="1527"/>
      <c r="I104" s="1529">
        <f t="shared" ref="I104" si="33">ROUND($I$3*H104,0)</f>
        <v>0</v>
      </c>
      <c r="J104" s="1530">
        <v>0</v>
      </c>
      <c r="K104" s="1531">
        <f>G104+I104+J104</f>
        <v>0</v>
      </c>
    </row>
    <row r="105" spans="1:11" ht="15.75" thickBot="1">
      <c r="A105" s="1433">
        <v>341001</v>
      </c>
      <c r="B105" s="1475" t="s">
        <v>793</v>
      </c>
      <c r="C105" s="1513">
        <f t="shared" ref="C105:J105" si="34">SUM(C104:C104)</f>
        <v>0</v>
      </c>
      <c r="D105" s="1553">
        <f t="shared" si="34"/>
        <v>0</v>
      </c>
      <c r="E105" s="1513">
        <f t="shared" si="34"/>
        <v>0</v>
      </c>
      <c r="F105" s="1553">
        <f t="shared" si="34"/>
        <v>0</v>
      </c>
      <c r="G105" s="1514">
        <f t="shared" si="34"/>
        <v>0</v>
      </c>
      <c r="H105" s="1513">
        <f t="shared" si="34"/>
        <v>0</v>
      </c>
      <c r="I105" s="1515">
        <f t="shared" si="34"/>
        <v>0</v>
      </c>
      <c r="J105" s="1511">
        <f t="shared" si="34"/>
        <v>0</v>
      </c>
      <c r="K105" s="1526">
        <f>SUM(K104)</f>
        <v>0</v>
      </c>
    </row>
    <row r="106" spans="1:11" ht="15.75" thickTop="1">
      <c r="A106" s="1434"/>
      <c r="B106" s="1435"/>
      <c r="C106" s="1428"/>
      <c r="D106" s="1508"/>
      <c r="E106" s="1428"/>
      <c r="F106" s="1508"/>
      <c r="G106" s="1508"/>
      <c r="H106" s="1428"/>
      <c r="I106" s="1508"/>
      <c r="J106" s="1508"/>
      <c r="K106" s="1508"/>
    </row>
    <row r="107" spans="1:11" ht="14.25">
      <c r="A107" s="1432"/>
      <c r="B107" s="1485" t="s">
        <v>1044</v>
      </c>
      <c r="C107" s="1547"/>
      <c r="D107" s="1557">
        <f>ROUND($D$3*C107,0)</f>
        <v>0</v>
      </c>
      <c r="E107" s="1527"/>
      <c r="F107" s="1555">
        <f>ROUND($F$3*E107,0)</f>
        <v>0</v>
      </c>
      <c r="G107" s="1528">
        <f>D107+F107</f>
        <v>0</v>
      </c>
      <c r="H107" s="1527"/>
      <c r="I107" s="1529">
        <f t="shared" ref="I107" si="35">ROUND($I$3*H107,0)</f>
        <v>0</v>
      </c>
      <c r="J107" s="1530">
        <v>0</v>
      </c>
      <c r="K107" s="1531">
        <f>G107+I107+J107</f>
        <v>0</v>
      </c>
    </row>
    <row r="108" spans="1:11" ht="15.75" thickBot="1">
      <c r="A108" s="1433">
        <v>344</v>
      </c>
      <c r="B108" s="1475" t="s">
        <v>794</v>
      </c>
      <c r="C108" s="1513">
        <f t="shared" ref="C108:J108" si="36">SUM(C107:C107)</f>
        <v>0</v>
      </c>
      <c r="D108" s="1553">
        <f t="shared" si="36"/>
        <v>0</v>
      </c>
      <c r="E108" s="1513">
        <f t="shared" si="36"/>
        <v>0</v>
      </c>
      <c r="F108" s="1553">
        <f t="shared" si="36"/>
        <v>0</v>
      </c>
      <c r="G108" s="1514">
        <f t="shared" si="36"/>
        <v>0</v>
      </c>
      <c r="H108" s="1513">
        <f t="shared" si="36"/>
        <v>0</v>
      </c>
      <c r="I108" s="1515">
        <f t="shared" si="36"/>
        <v>0</v>
      </c>
      <c r="J108" s="1511">
        <f t="shared" si="36"/>
        <v>0</v>
      </c>
      <c r="K108" s="1526">
        <f>SUM(K107)</f>
        <v>0</v>
      </c>
    </row>
    <row r="109" spans="1:11" ht="15.75" thickTop="1">
      <c r="A109" s="1436"/>
      <c r="B109" s="1435"/>
      <c r="C109" s="1428"/>
      <c r="D109" s="1508"/>
      <c r="E109" s="1428"/>
      <c r="F109" s="1508"/>
      <c r="G109" s="1508"/>
      <c r="H109" s="1428"/>
      <c r="I109" s="1508"/>
      <c r="J109" s="1508"/>
      <c r="K109" s="1508"/>
    </row>
    <row r="110" spans="1:11" ht="14.25">
      <c r="A110" s="1424"/>
      <c r="B110" s="1487" t="s">
        <v>1045</v>
      </c>
      <c r="C110" s="1547"/>
      <c r="D110" s="1557">
        <f>ROUND($D$3*C110,0)</f>
        <v>0</v>
      </c>
      <c r="E110" s="1527"/>
      <c r="F110" s="1555">
        <f>ROUND($F$3*E110,0)</f>
        <v>0</v>
      </c>
      <c r="G110" s="1528">
        <f>D110+F110</f>
        <v>0</v>
      </c>
      <c r="H110" s="1527"/>
      <c r="I110" s="1529">
        <f t="shared" ref="I110" si="37">ROUND($I$3*H110,0)</f>
        <v>0</v>
      </c>
      <c r="J110" s="1530">
        <v>0</v>
      </c>
      <c r="K110" s="1531">
        <f>G110+I110+J110</f>
        <v>0</v>
      </c>
    </row>
    <row r="111" spans="1:11" ht="15.75" thickBot="1">
      <c r="A111" s="1437">
        <v>348</v>
      </c>
      <c r="B111" s="1488" t="s">
        <v>795</v>
      </c>
      <c r="C111" s="1513">
        <f t="shared" ref="C111:J111" si="38">SUM(C110:C110)</f>
        <v>0</v>
      </c>
      <c r="D111" s="1553">
        <f t="shared" si="38"/>
        <v>0</v>
      </c>
      <c r="E111" s="1513">
        <f t="shared" si="38"/>
        <v>0</v>
      </c>
      <c r="F111" s="1553">
        <f t="shared" si="38"/>
        <v>0</v>
      </c>
      <c r="G111" s="1514">
        <f t="shared" si="38"/>
        <v>0</v>
      </c>
      <c r="H111" s="1513">
        <f t="shared" si="38"/>
        <v>0</v>
      </c>
      <c r="I111" s="1515">
        <f t="shared" si="38"/>
        <v>0</v>
      </c>
      <c r="J111" s="1511">
        <f t="shared" si="38"/>
        <v>0</v>
      </c>
      <c r="K111" s="1526">
        <f>SUM(K110)</f>
        <v>0</v>
      </c>
    </row>
    <row r="112" spans="1:11" ht="15.75" thickTop="1">
      <c r="A112" s="1438"/>
      <c r="B112" s="1428"/>
      <c r="C112" s="1428"/>
      <c r="D112" s="1508"/>
      <c r="E112" s="1428"/>
      <c r="F112" s="1508"/>
      <c r="G112" s="1508"/>
      <c r="H112" s="1428"/>
      <c r="I112" s="1508"/>
      <c r="J112" s="1508"/>
      <c r="K112" s="1508"/>
    </row>
    <row r="113" spans="1:11" ht="14.25">
      <c r="A113" s="1424"/>
      <c r="B113" s="1487" t="s">
        <v>1046</v>
      </c>
      <c r="C113" s="1548">
        <f>'[16]Table 4A Stipends'!$C$75</f>
        <v>12</v>
      </c>
      <c r="D113" s="1557">
        <f>ROUND($D$3*C113,0)</f>
        <v>72000</v>
      </c>
      <c r="E113" s="1550">
        <f>'[16]Table 4A Stipends'!$E$75</f>
        <v>6</v>
      </c>
      <c r="F113" s="1555">
        <f>ROUND($F$3*E113,0)</f>
        <v>24000</v>
      </c>
      <c r="G113" s="1528">
        <f>D113+F113</f>
        <v>96000</v>
      </c>
      <c r="H113" s="1527">
        <v>18</v>
      </c>
      <c r="I113" s="1529">
        <f t="shared" ref="I113" si="39">ROUND($I$3*H113,0)</f>
        <v>360000</v>
      </c>
      <c r="J113" s="1530">
        <v>0</v>
      </c>
      <c r="K113" s="1531">
        <f>G113+I113+J113</f>
        <v>456000</v>
      </c>
    </row>
    <row r="114" spans="1:11" ht="15.75" thickBot="1">
      <c r="A114" s="1437">
        <v>347</v>
      </c>
      <c r="B114" s="1475" t="s">
        <v>796</v>
      </c>
      <c r="C114" s="1513">
        <f t="shared" ref="C114:J114" si="40">SUM(C113:C113)</f>
        <v>12</v>
      </c>
      <c r="D114" s="1553">
        <f t="shared" si="40"/>
        <v>72000</v>
      </c>
      <c r="E114" s="1513">
        <f t="shared" si="40"/>
        <v>6</v>
      </c>
      <c r="F114" s="1553">
        <f t="shared" si="40"/>
        <v>24000</v>
      </c>
      <c r="G114" s="1514">
        <f t="shared" si="40"/>
        <v>96000</v>
      </c>
      <c r="H114" s="1513">
        <f t="shared" si="40"/>
        <v>18</v>
      </c>
      <c r="I114" s="1515">
        <f t="shared" si="40"/>
        <v>360000</v>
      </c>
      <c r="J114" s="1511">
        <f t="shared" si="40"/>
        <v>0</v>
      </c>
      <c r="K114" s="1526">
        <f>SUM(K113)</f>
        <v>456000</v>
      </c>
    </row>
    <row r="115" spans="1:11" ht="15.75" thickTop="1">
      <c r="A115" s="1440"/>
      <c r="B115" s="1439"/>
      <c r="C115" s="1428"/>
      <c r="D115" s="1508"/>
      <c r="E115" s="1428"/>
      <c r="F115" s="1508"/>
      <c r="G115" s="1508"/>
      <c r="H115" s="1428"/>
      <c r="I115" s="1508"/>
      <c r="J115" s="1508"/>
      <c r="K115" s="1508"/>
    </row>
    <row r="116" spans="1:11" ht="15">
      <c r="A116" s="1441"/>
      <c r="B116" s="1489" t="s">
        <v>613</v>
      </c>
      <c r="C116" s="1547"/>
      <c r="D116" s="1557">
        <f>ROUND($D$3*C116,0)</f>
        <v>0</v>
      </c>
      <c r="E116" s="1527"/>
      <c r="F116" s="1555">
        <f>ROUND($F$3*E116,0)</f>
        <v>0</v>
      </c>
      <c r="G116" s="1528">
        <f>D116+F116</f>
        <v>0</v>
      </c>
      <c r="H116" s="1527"/>
      <c r="I116" s="1529">
        <f t="shared" ref="I116" si="41">ROUND($I$3*H116,0)</f>
        <v>0</v>
      </c>
      <c r="J116" s="1530">
        <v>0</v>
      </c>
      <c r="K116" s="1531">
        <f>G116+I116+J116</f>
        <v>0</v>
      </c>
    </row>
    <row r="117" spans="1:11" ht="15.75" thickBot="1">
      <c r="A117" s="1437">
        <v>346</v>
      </c>
      <c r="B117" s="1475" t="s">
        <v>797</v>
      </c>
      <c r="C117" s="1513">
        <f t="shared" ref="C117:J117" si="42">SUM(C116:C116)</f>
        <v>0</v>
      </c>
      <c r="D117" s="1553">
        <f t="shared" si="42"/>
        <v>0</v>
      </c>
      <c r="E117" s="1513">
        <f t="shared" si="42"/>
        <v>0</v>
      </c>
      <c r="F117" s="1553">
        <f t="shared" si="42"/>
        <v>0</v>
      </c>
      <c r="G117" s="1514">
        <f t="shared" si="42"/>
        <v>0</v>
      </c>
      <c r="H117" s="1513">
        <f t="shared" si="42"/>
        <v>0</v>
      </c>
      <c r="I117" s="1515">
        <f t="shared" si="42"/>
        <v>0</v>
      </c>
      <c r="J117" s="1511">
        <f t="shared" si="42"/>
        <v>0</v>
      </c>
      <c r="K117" s="1526">
        <f>SUM(K116)</f>
        <v>0</v>
      </c>
    </row>
    <row r="118" spans="1:11" ht="15.75" thickTop="1">
      <c r="A118" s="1440"/>
      <c r="B118" s="1439"/>
      <c r="C118" s="1428"/>
      <c r="D118" s="1508"/>
      <c r="E118" s="1428"/>
      <c r="F118" s="1508"/>
      <c r="G118" s="1508"/>
      <c r="H118" s="1428"/>
      <c r="I118" s="1508"/>
      <c r="J118" s="1508"/>
      <c r="K118" s="1508"/>
    </row>
    <row r="119" spans="1:11" ht="15">
      <c r="A119" s="1442"/>
      <c r="B119" s="1490" t="s">
        <v>798</v>
      </c>
      <c r="C119" s="1462"/>
      <c r="D119" s="1557">
        <f>ROUND($D$3*C119,0)</f>
        <v>0</v>
      </c>
      <c r="E119" s="1462"/>
      <c r="F119" s="1552">
        <f>ROUND($F$3*E119,0)</f>
        <v>0</v>
      </c>
      <c r="G119" s="1504">
        <f>D119+F119</f>
        <v>0</v>
      </c>
      <c r="H119" s="1462"/>
      <c r="I119" s="1468"/>
      <c r="J119" s="1471">
        <v>0</v>
      </c>
      <c r="K119" s="1524">
        <f>G119+I119+J119</f>
        <v>0</v>
      </c>
    </row>
    <row r="120" spans="1:11" ht="15.75" thickBot="1">
      <c r="A120" s="1443"/>
      <c r="B120" s="1491" t="s">
        <v>799</v>
      </c>
      <c r="C120" s="1513">
        <f>SUM(C119)</f>
        <v>0</v>
      </c>
      <c r="D120" s="1553">
        <f t="shared" ref="D120:I120" si="43">SUM(D119)</f>
        <v>0</v>
      </c>
      <c r="E120" s="1513">
        <f t="shared" si="43"/>
        <v>0</v>
      </c>
      <c r="F120" s="1553">
        <f t="shared" si="43"/>
        <v>0</v>
      </c>
      <c r="G120" s="1514">
        <f t="shared" si="43"/>
        <v>0</v>
      </c>
      <c r="H120" s="1513">
        <f t="shared" si="43"/>
        <v>0</v>
      </c>
      <c r="I120" s="1515">
        <f t="shared" si="43"/>
        <v>0</v>
      </c>
      <c r="J120" s="1511">
        <f>SUM(J119)</f>
        <v>0</v>
      </c>
      <c r="K120" s="1526">
        <f>SUM(K119)</f>
        <v>0</v>
      </c>
    </row>
    <row r="121" spans="1:11" ht="15.75" thickTop="1">
      <c r="A121" s="1444"/>
      <c r="B121" s="1445"/>
      <c r="C121" s="1428"/>
      <c r="D121" s="1508"/>
      <c r="E121" s="1428"/>
      <c r="F121" s="1508"/>
      <c r="G121" s="1508"/>
      <c r="H121" s="1428"/>
      <c r="I121" s="1508"/>
      <c r="J121" s="1508"/>
      <c r="K121" s="1508"/>
    </row>
    <row r="122" spans="1:11" ht="15">
      <c r="A122" s="1442"/>
      <c r="B122" s="1490" t="s">
        <v>800</v>
      </c>
      <c r="C122" s="1462"/>
      <c r="D122" s="1557">
        <f>ROUND($D$3*C122,0)</f>
        <v>0</v>
      </c>
      <c r="E122" s="1462"/>
      <c r="F122" s="1552">
        <f>ROUND($F$3*E122,0)</f>
        <v>0</v>
      </c>
      <c r="G122" s="1504">
        <f>D122+F122</f>
        <v>0</v>
      </c>
      <c r="H122" s="1462"/>
      <c r="I122" s="1468"/>
      <c r="J122" s="1471">
        <v>0</v>
      </c>
      <c r="K122" s="1524">
        <f>G122+I122+J122</f>
        <v>0</v>
      </c>
    </row>
    <row r="123" spans="1:11" ht="15.75" thickBot="1">
      <c r="A123" s="1443"/>
      <c r="B123" s="1491" t="s">
        <v>801</v>
      </c>
      <c r="C123" s="1512">
        <f>SUM(C122)</f>
        <v>0</v>
      </c>
      <c r="D123" s="1553">
        <f t="shared" ref="D123:I123" si="44">SUM(D122)</f>
        <v>0</v>
      </c>
      <c r="E123" s="1512">
        <f t="shared" si="44"/>
        <v>0</v>
      </c>
      <c r="F123" s="1553">
        <f t="shared" si="44"/>
        <v>0</v>
      </c>
      <c r="G123" s="1514">
        <f t="shared" si="44"/>
        <v>0</v>
      </c>
      <c r="H123" s="1512">
        <f t="shared" si="44"/>
        <v>0</v>
      </c>
      <c r="I123" s="1515">
        <f t="shared" si="44"/>
        <v>0</v>
      </c>
      <c r="J123" s="1511">
        <f>SUM(J122)</f>
        <v>0</v>
      </c>
      <c r="K123" s="1526">
        <f>SUM(K122)</f>
        <v>0</v>
      </c>
    </row>
    <row r="124" spans="1:11" ht="15.75" thickTop="1">
      <c r="A124" s="1440"/>
      <c r="B124" s="1428"/>
      <c r="C124" s="1428"/>
      <c r="D124" s="1428"/>
      <c r="E124" s="1428"/>
      <c r="F124" s="1428"/>
      <c r="G124" s="1508"/>
      <c r="H124" s="1428"/>
      <c r="I124" s="1508"/>
      <c r="J124" s="1508"/>
      <c r="K124" s="1508"/>
    </row>
    <row r="125" spans="1:11" ht="14.25">
      <c r="A125" s="1432">
        <v>396</v>
      </c>
      <c r="B125" s="1485" t="s">
        <v>802</v>
      </c>
      <c r="C125" s="115"/>
      <c r="D125" s="1502"/>
      <c r="E125" s="115"/>
      <c r="F125" s="1502"/>
      <c r="G125" s="1505"/>
      <c r="H125" s="115"/>
      <c r="I125" s="1467"/>
      <c r="J125" s="1470">
        <v>0</v>
      </c>
      <c r="K125" s="1523">
        <f t="shared" ref="K125:K135" si="45">G125+I125+J125</f>
        <v>0</v>
      </c>
    </row>
    <row r="126" spans="1:11" ht="14.25">
      <c r="A126" s="1432">
        <v>396200</v>
      </c>
      <c r="B126" s="1492" t="s">
        <v>803</v>
      </c>
      <c r="C126" s="115"/>
      <c r="D126" s="1502"/>
      <c r="E126" s="115"/>
      <c r="F126" s="1502"/>
      <c r="G126" s="1505"/>
      <c r="H126" s="115"/>
      <c r="I126" s="1467"/>
      <c r="J126" s="1470">
        <v>0</v>
      </c>
      <c r="K126" s="1523">
        <f t="shared" si="45"/>
        <v>0</v>
      </c>
    </row>
    <row r="127" spans="1:11" ht="14.25">
      <c r="A127" s="1432">
        <v>396201</v>
      </c>
      <c r="B127" s="1493" t="s">
        <v>804</v>
      </c>
      <c r="C127" s="115"/>
      <c r="D127" s="1502"/>
      <c r="E127" s="115"/>
      <c r="F127" s="1502"/>
      <c r="G127" s="1505"/>
      <c r="H127" s="115"/>
      <c r="I127" s="1467"/>
      <c r="J127" s="1470">
        <v>0</v>
      </c>
      <c r="K127" s="1523">
        <f t="shared" si="45"/>
        <v>0</v>
      </c>
    </row>
    <row r="128" spans="1:11" ht="14.25">
      <c r="A128" s="1432">
        <v>396202</v>
      </c>
      <c r="B128" s="1494" t="s">
        <v>805</v>
      </c>
      <c r="C128" s="115"/>
      <c r="D128" s="1502"/>
      <c r="E128" s="115"/>
      <c r="F128" s="1502"/>
      <c r="G128" s="1505"/>
      <c r="H128" s="115"/>
      <c r="I128" s="1467"/>
      <c r="J128" s="1470">
        <v>0</v>
      </c>
      <c r="K128" s="1523">
        <f t="shared" si="45"/>
        <v>0</v>
      </c>
    </row>
    <row r="129" spans="1:11" ht="14.25">
      <c r="A129" s="1432">
        <v>396204</v>
      </c>
      <c r="B129" s="1446" t="s">
        <v>806</v>
      </c>
      <c r="C129" s="115"/>
      <c r="D129" s="1502"/>
      <c r="E129" s="115"/>
      <c r="F129" s="1502"/>
      <c r="G129" s="1505"/>
      <c r="H129" s="115"/>
      <c r="I129" s="1467"/>
      <c r="J129" s="1470">
        <v>0</v>
      </c>
      <c r="K129" s="1523">
        <f t="shared" si="45"/>
        <v>0</v>
      </c>
    </row>
    <row r="130" spans="1:11" ht="14.25">
      <c r="A130" s="1432">
        <v>396205</v>
      </c>
      <c r="B130" s="1446" t="s">
        <v>807</v>
      </c>
      <c r="C130" s="115"/>
      <c r="D130" s="1502"/>
      <c r="E130" s="115"/>
      <c r="F130" s="1502"/>
      <c r="G130" s="1505"/>
      <c r="H130" s="115"/>
      <c r="I130" s="1467"/>
      <c r="J130" s="1470">
        <v>0</v>
      </c>
      <c r="K130" s="1523">
        <f t="shared" si="45"/>
        <v>0</v>
      </c>
    </row>
    <row r="131" spans="1:11" ht="14.25">
      <c r="A131" s="1432">
        <v>396206</v>
      </c>
      <c r="B131" s="1446" t="s">
        <v>808</v>
      </c>
      <c r="C131" s="115"/>
      <c r="D131" s="1502"/>
      <c r="E131" s="115"/>
      <c r="F131" s="1502"/>
      <c r="G131" s="1505"/>
      <c r="H131" s="115"/>
      <c r="I131" s="1467"/>
      <c r="J131" s="1470">
        <v>0</v>
      </c>
      <c r="K131" s="1523">
        <f t="shared" si="45"/>
        <v>0</v>
      </c>
    </row>
    <row r="132" spans="1:11" ht="14.25">
      <c r="A132" s="1432">
        <v>396207</v>
      </c>
      <c r="B132" s="1446" t="s">
        <v>809</v>
      </c>
      <c r="C132" s="115"/>
      <c r="D132" s="1502"/>
      <c r="E132" s="115"/>
      <c r="F132" s="1502"/>
      <c r="G132" s="1505"/>
      <c r="H132" s="115"/>
      <c r="I132" s="1467"/>
      <c r="J132" s="1470">
        <v>0</v>
      </c>
      <c r="K132" s="1523">
        <f t="shared" si="45"/>
        <v>0</v>
      </c>
    </row>
    <row r="133" spans="1:11" ht="14.25">
      <c r="A133" s="1432">
        <v>396208</v>
      </c>
      <c r="B133" s="1446" t="s">
        <v>810</v>
      </c>
      <c r="C133" s="115"/>
      <c r="D133" s="1502"/>
      <c r="E133" s="115"/>
      <c r="F133" s="1502"/>
      <c r="G133" s="1505"/>
      <c r="H133" s="115"/>
      <c r="I133" s="1467"/>
      <c r="J133" s="1470">
        <v>0</v>
      </c>
      <c r="K133" s="1523">
        <f t="shared" si="45"/>
        <v>0</v>
      </c>
    </row>
    <row r="134" spans="1:11" ht="14.25">
      <c r="A134" s="1432">
        <v>396209</v>
      </c>
      <c r="B134" s="1446" t="s">
        <v>811</v>
      </c>
      <c r="C134" s="115"/>
      <c r="D134" s="1502"/>
      <c r="E134" s="115"/>
      <c r="F134" s="1502"/>
      <c r="G134" s="1505"/>
      <c r="H134" s="115"/>
      <c r="I134" s="1467"/>
      <c r="J134" s="1470">
        <v>0</v>
      </c>
      <c r="K134" s="1523">
        <f t="shared" si="45"/>
        <v>0</v>
      </c>
    </row>
    <row r="135" spans="1:11" ht="14.25">
      <c r="A135" s="1432">
        <v>396210</v>
      </c>
      <c r="B135" s="1446" t="s">
        <v>812</v>
      </c>
      <c r="C135" s="1462"/>
      <c r="D135" s="1501"/>
      <c r="E135" s="1462"/>
      <c r="F135" s="1501"/>
      <c r="G135" s="1504"/>
      <c r="H135" s="1462"/>
      <c r="I135" s="1468"/>
      <c r="J135" s="1471">
        <v>0</v>
      </c>
      <c r="K135" s="1524">
        <f t="shared" si="45"/>
        <v>0</v>
      </c>
    </row>
    <row r="136" spans="1:11" ht="15.75" thickBot="1">
      <c r="A136" s="1412"/>
      <c r="B136" s="1475" t="s">
        <v>813</v>
      </c>
      <c r="C136" s="1513">
        <f>SUM(C125:C135)</f>
        <v>0</v>
      </c>
      <c r="D136" s="1513">
        <f t="shared" ref="D136:I136" si="46">SUM(D125:D135)</f>
        <v>0</v>
      </c>
      <c r="E136" s="1513">
        <f t="shared" si="46"/>
        <v>0</v>
      </c>
      <c r="F136" s="1513">
        <f t="shared" si="46"/>
        <v>0</v>
      </c>
      <c r="G136" s="1514">
        <f t="shared" si="46"/>
        <v>0</v>
      </c>
      <c r="H136" s="1513">
        <f t="shared" si="46"/>
        <v>0</v>
      </c>
      <c r="I136" s="1515">
        <f t="shared" si="46"/>
        <v>0</v>
      </c>
      <c r="J136" s="1511">
        <f>SUM(J125:J135)</f>
        <v>0</v>
      </c>
      <c r="K136" s="1526">
        <f>SUM(K125:K135)</f>
        <v>0</v>
      </c>
    </row>
    <row r="137" spans="1:11" ht="15.75" thickTop="1">
      <c r="A137" s="1447"/>
      <c r="B137" s="1448"/>
      <c r="C137" s="1448"/>
      <c r="D137" s="1448"/>
      <c r="E137" s="1448"/>
      <c r="F137" s="1448"/>
      <c r="G137" s="1510"/>
      <c r="H137" s="1448"/>
      <c r="I137" s="1510"/>
      <c r="J137" s="1510"/>
      <c r="K137" s="1510"/>
    </row>
    <row r="138" spans="1:11" ht="18" customHeight="1">
      <c r="A138" s="1449">
        <v>300001</v>
      </c>
      <c r="B138" s="1495" t="s">
        <v>814</v>
      </c>
      <c r="C138" s="115"/>
      <c r="D138" s="1502"/>
      <c r="E138" s="115"/>
      <c r="F138" s="1502"/>
      <c r="G138" s="1505"/>
      <c r="H138" s="115"/>
      <c r="I138" s="1467"/>
      <c r="J138" s="1470">
        <v>0</v>
      </c>
      <c r="K138" s="1523">
        <f t="shared" ref="K138:K193" si="47">G138+I138+J138</f>
        <v>0</v>
      </c>
    </row>
    <row r="139" spans="1:11" ht="18" customHeight="1">
      <c r="A139" s="1449">
        <v>300002</v>
      </c>
      <c r="B139" s="1496" t="s">
        <v>815</v>
      </c>
      <c r="C139" s="115"/>
      <c r="D139" s="1502"/>
      <c r="E139" s="115"/>
      <c r="F139" s="1502"/>
      <c r="G139" s="1505"/>
      <c r="H139" s="115"/>
      <c r="I139" s="1467"/>
      <c r="J139" s="1470">
        <v>0</v>
      </c>
      <c r="K139" s="1523">
        <f t="shared" si="47"/>
        <v>0</v>
      </c>
    </row>
    <row r="140" spans="1:11" ht="18" customHeight="1">
      <c r="A140" s="1449">
        <v>300003</v>
      </c>
      <c r="B140" s="1496" t="s">
        <v>816</v>
      </c>
      <c r="C140" s="115"/>
      <c r="D140" s="1502"/>
      <c r="E140" s="115"/>
      <c r="F140" s="1502"/>
      <c r="G140" s="1505"/>
      <c r="H140" s="115"/>
      <c r="I140" s="1467"/>
      <c r="J140" s="1470">
        <v>0</v>
      </c>
      <c r="K140" s="1523">
        <f t="shared" si="47"/>
        <v>0</v>
      </c>
    </row>
    <row r="141" spans="1:11" ht="18" customHeight="1">
      <c r="A141" s="1450">
        <v>300004</v>
      </c>
      <c r="B141" s="1496" t="s">
        <v>817</v>
      </c>
      <c r="C141" s="115"/>
      <c r="D141" s="1502"/>
      <c r="E141" s="115"/>
      <c r="F141" s="1502"/>
      <c r="G141" s="1505"/>
      <c r="H141" s="115"/>
      <c r="I141" s="1467"/>
      <c r="J141" s="1470">
        <v>0</v>
      </c>
      <c r="K141" s="1523">
        <f t="shared" si="47"/>
        <v>0</v>
      </c>
    </row>
    <row r="142" spans="1:11" ht="18" customHeight="1">
      <c r="A142" s="1451">
        <v>360001</v>
      </c>
      <c r="B142" s="1497" t="s">
        <v>818</v>
      </c>
      <c r="C142" s="1462"/>
      <c r="D142" s="1501"/>
      <c r="E142" s="1462"/>
      <c r="F142" s="1501"/>
      <c r="G142" s="1504"/>
      <c r="H142" s="1462"/>
      <c r="I142" s="1468"/>
      <c r="J142" s="1471">
        <v>0</v>
      </c>
      <c r="K142" s="1524">
        <f t="shared" si="47"/>
        <v>0</v>
      </c>
    </row>
    <row r="143" spans="1:11" ht="41.25" customHeight="1">
      <c r="A143" s="1452">
        <v>361001</v>
      </c>
      <c r="B143" s="1496" t="s">
        <v>819</v>
      </c>
      <c r="C143" s="115"/>
      <c r="D143" s="1502"/>
      <c r="E143" s="115"/>
      <c r="F143" s="1502"/>
      <c r="G143" s="1505"/>
      <c r="H143" s="115"/>
      <c r="I143" s="1467"/>
      <c r="J143" s="1470">
        <v>0</v>
      </c>
      <c r="K143" s="1523">
        <f t="shared" si="47"/>
        <v>0</v>
      </c>
    </row>
    <row r="144" spans="1:11" ht="18" customHeight="1">
      <c r="A144" s="1452">
        <v>362001</v>
      </c>
      <c r="B144" s="1496" t="s">
        <v>820</v>
      </c>
      <c r="C144" s="115"/>
      <c r="D144" s="1502"/>
      <c r="E144" s="115"/>
      <c r="F144" s="1502"/>
      <c r="G144" s="1505"/>
      <c r="H144" s="115"/>
      <c r="I144" s="1467"/>
      <c r="J144" s="1470">
        <v>0</v>
      </c>
      <c r="K144" s="1523">
        <f t="shared" si="47"/>
        <v>0</v>
      </c>
    </row>
    <row r="145" spans="1:11" ht="18" customHeight="1">
      <c r="A145" s="1450">
        <v>363001</v>
      </c>
      <c r="B145" s="1496" t="s">
        <v>821</v>
      </c>
      <c r="C145" s="115"/>
      <c r="D145" s="1502"/>
      <c r="E145" s="115"/>
      <c r="F145" s="1502"/>
      <c r="G145" s="1505"/>
      <c r="H145" s="115"/>
      <c r="I145" s="1467"/>
      <c r="J145" s="1470">
        <v>0</v>
      </c>
      <c r="K145" s="1523">
        <f t="shared" si="47"/>
        <v>0</v>
      </c>
    </row>
    <row r="146" spans="1:11" ht="18" customHeight="1">
      <c r="A146" s="1450">
        <v>364001</v>
      </c>
      <c r="B146" s="1496" t="s">
        <v>822</v>
      </c>
      <c r="C146" s="115"/>
      <c r="D146" s="1502"/>
      <c r="E146" s="115"/>
      <c r="F146" s="1502"/>
      <c r="G146" s="1505"/>
      <c r="H146" s="115"/>
      <c r="I146" s="1467"/>
      <c r="J146" s="1470">
        <v>0</v>
      </c>
      <c r="K146" s="1523">
        <f t="shared" si="47"/>
        <v>0</v>
      </c>
    </row>
    <row r="147" spans="1:11" ht="18" customHeight="1">
      <c r="A147" s="1453">
        <v>366001</v>
      </c>
      <c r="B147" s="1497" t="s">
        <v>823</v>
      </c>
      <c r="C147" s="1462"/>
      <c r="D147" s="1501"/>
      <c r="E147" s="1462"/>
      <c r="F147" s="1501"/>
      <c r="G147" s="1504"/>
      <c r="H147" s="1462"/>
      <c r="I147" s="1468"/>
      <c r="J147" s="1471">
        <v>0</v>
      </c>
      <c r="K147" s="1524">
        <f t="shared" si="47"/>
        <v>0</v>
      </c>
    </row>
    <row r="148" spans="1:11" ht="18" customHeight="1">
      <c r="A148" s="1450">
        <v>367001</v>
      </c>
      <c r="B148" s="1496" t="s">
        <v>824</v>
      </c>
      <c r="C148" s="115"/>
      <c r="D148" s="1502"/>
      <c r="E148" s="115"/>
      <c r="F148" s="1502"/>
      <c r="G148" s="1505"/>
      <c r="H148" s="115"/>
      <c r="I148" s="1467"/>
      <c r="J148" s="1470">
        <v>0</v>
      </c>
      <c r="K148" s="1523">
        <f t="shared" si="47"/>
        <v>0</v>
      </c>
    </row>
    <row r="149" spans="1:11" ht="33" customHeight="1">
      <c r="A149" s="1450">
        <v>368001</v>
      </c>
      <c r="B149" s="1496" t="s">
        <v>825</v>
      </c>
      <c r="C149" s="115"/>
      <c r="D149" s="1502"/>
      <c r="E149" s="115"/>
      <c r="F149" s="1502"/>
      <c r="G149" s="1505"/>
      <c r="H149" s="115"/>
      <c r="I149" s="1467"/>
      <c r="J149" s="1470">
        <v>0</v>
      </c>
      <c r="K149" s="1523">
        <f t="shared" si="47"/>
        <v>0</v>
      </c>
    </row>
    <row r="150" spans="1:11" ht="18" customHeight="1">
      <c r="A150" s="1450">
        <v>369001</v>
      </c>
      <c r="B150" s="1496" t="s">
        <v>826</v>
      </c>
      <c r="C150" s="115"/>
      <c r="D150" s="1502"/>
      <c r="E150" s="115"/>
      <c r="F150" s="1502"/>
      <c r="G150" s="1505"/>
      <c r="H150" s="115"/>
      <c r="I150" s="1467"/>
      <c r="J150" s="1470">
        <v>0</v>
      </c>
      <c r="K150" s="1523">
        <f t="shared" si="47"/>
        <v>0</v>
      </c>
    </row>
    <row r="151" spans="1:11" ht="18" customHeight="1">
      <c r="A151" s="1450">
        <v>369002</v>
      </c>
      <c r="B151" s="1496" t="s">
        <v>827</v>
      </c>
      <c r="C151" s="115"/>
      <c r="D151" s="1502"/>
      <c r="E151" s="115"/>
      <c r="F151" s="1502"/>
      <c r="G151" s="1505"/>
      <c r="H151" s="115"/>
      <c r="I151" s="1467"/>
      <c r="J151" s="1470">
        <v>0</v>
      </c>
      <c r="K151" s="1523">
        <f t="shared" si="47"/>
        <v>0</v>
      </c>
    </row>
    <row r="152" spans="1:11" ht="18" customHeight="1">
      <c r="A152" s="1453">
        <v>369003</v>
      </c>
      <c r="B152" s="1497" t="s">
        <v>828</v>
      </c>
      <c r="C152" s="1462"/>
      <c r="D152" s="1501"/>
      <c r="E152" s="1462"/>
      <c r="F152" s="1501"/>
      <c r="G152" s="1504"/>
      <c r="H152" s="1462"/>
      <c r="I152" s="1468"/>
      <c r="J152" s="1471">
        <v>0</v>
      </c>
      <c r="K152" s="1524">
        <f t="shared" si="47"/>
        <v>0</v>
      </c>
    </row>
    <row r="153" spans="1:11" ht="18" customHeight="1">
      <c r="A153" s="1450">
        <v>369004</v>
      </c>
      <c r="B153" s="1496" t="s">
        <v>829</v>
      </c>
      <c r="C153" s="115"/>
      <c r="D153" s="1502"/>
      <c r="E153" s="115"/>
      <c r="F153" s="1502"/>
      <c r="G153" s="1505"/>
      <c r="H153" s="115"/>
      <c r="I153" s="1467"/>
      <c r="J153" s="1470">
        <v>0</v>
      </c>
      <c r="K153" s="1523">
        <f t="shared" si="47"/>
        <v>0</v>
      </c>
    </row>
    <row r="154" spans="1:11" ht="18" customHeight="1">
      <c r="A154" s="1450">
        <v>369005</v>
      </c>
      <c r="B154" s="1496" t="s">
        <v>830</v>
      </c>
      <c r="C154" s="115"/>
      <c r="D154" s="1502"/>
      <c r="E154" s="115"/>
      <c r="F154" s="1502"/>
      <c r="G154" s="1505"/>
      <c r="H154" s="115"/>
      <c r="I154" s="1467"/>
      <c r="J154" s="1470">
        <v>0</v>
      </c>
      <c r="K154" s="1523">
        <f t="shared" si="47"/>
        <v>0</v>
      </c>
    </row>
    <row r="155" spans="1:11" ht="18" customHeight="1">
      <c r="A155" s="1450">
        <v>373001</v>
      </c>
      <c r="B155" s="1496" t="s">
        <v>831</v>
      </c>
      <c r="C155" s="115"/>
      <c r="D155" s="1502"/>
      <c r="E155" s="115"/>
      <c r="F155" s="1502"/>
      <c r="G155" s="1505"/>
      <c r="H155" s="115"/>
      <c r="I155" s="1467"/>
      <c r="J155" s="1470">
        <v>0</v>
      </c>
      <c r="K155" s="1523">
        <f t="shared" si="47"/>
        <v>0</v>
      </c>
    </row>
    <row r="156" spans="1:11" ht="18" customHeight="1">
      <c r="A156" s="1450">
        <v>374001</v>
      </c>
      <c r="B156" s="1496" t="s">
        <v>832</v>
      </c>
      <c r="C156" s="115"/>
      <c r="D156" s="1502"/>
      <c r="E156" s="115"/>
      <c r="F156" s="1502"/>
      <c r="G156" s="1505"/>
      <c r="H156" s="115"/>
      <c r="I156" s="1467"/>
      <c r="J156" s="1470">
        <v>0</v>
      </c>
      <c r="K156" s="1523">
        <f t="shared" si="47"/>
        <v>0</v>
      </c>
    </row>
    <row r="157" spans="1:11" ht="18" customHeight="1">
      <c r="A157" s="1453">
        <v>375001</v>
      </c>
      <c r="B157" s="1497" t="s">
        <v>833</v>
      </c>
      <c r="C157" s="1462"/>
      <c r="D157" s="1501"/>
      <c r="E157" s="1462"/>
      <c r="F157" s="1501"/>
      <c r="G157" s="1504"/>
      <c r="H157" s="1462"/>
      <c r="I157" s="1468"/>
      <c r="J157" s="1471">
        <v>0</v>
      </c>
      <c r="K157" s="1524">
        <f t="shared" si="47"/>
        <v>0</v>
      </c>
    </row>
    <row r="158" spans="1:11" ht="18" customHeight="1">
      <c r="A158" s="1450">
        <v>376001</v>
      </c>
      <c r="B158" s="1496" t="s">
        <v>834</v>
      </c>
      <c r="C158" s="115"/>
      <c r="D158" s="1502"/>
      <c r="E158" s="115"/>
      <c r="F158" s="1502"/>
      <c r="G158" s="1505"/>
      <c r="H158" s="115"/>
      <c r="I158" s="1467"/>
      <c r="J158" s="1470">
        <v>0</v>
      </c>
      <c r="K158" s="1523">
        <f t="shared" si="47"/>
        <v>0</v>
      </c>
    </row>
    <row r="159" spans="1:11" ht="18" customHeight="1">
      <c r="A159" s="1450">
        <v>379001</v>
      </c>
      <c r="B159" s="1496" t="s">
        <v>835</v>
      </c>
      <c r="C159" s="115"/>
      <c r="D159" s="1502"/>
      <c r="E159" s="115"/>
      <c r="F159" s="1502"/>
      <c r="G159" s="1505"/>
      <c r="H159" s="115"/>
      <c r="I159" s="1467"/>
      <c r="J159" s="1470">
        <v>0</v>
      </c>
      <c r="K159" s="1523">
        <f t="shared" si="47"/>
        <v>0</v>
      </c>
    </row>
    <row r="160" spans="1:11" ht="18" customHeight="1">
      <c r="A160" s="1450">
        <v>380001</v>
      </c>
      <c r="B160" s="1496" t="s">
        <v>836</v>
      </c>
      <c r="C160" s="115"/>
      <c r="D160" s="1502"/>
      <c r="E160" s="115"/>
      <c r="F160" s="1502"/>
      <c r="G160" s="1505"/>
      <c r="H160" s="115"/>
      <c r="I160" s="1467"/>
      <c r="J160" s="1470">
        <v>0</v>
      </c>
      <c r="K160" s="1523">
        <f t="shared" si="47"/>
        <v>0</v>
      </c>
    </row>
    <row r="161" spans="1:11" ht="18" customHeight="1">
      <c r="A161" s="1450">
        <v>381001</v>
      </c>
      <c r="B161" s="1496" t="s">
        <v>837</v>
      </c>
      <c r="C161" s="115"/>
      <c r="D161" s="1502"/>
      <c r="E161" s="115"/>
      <c r="F161" s="1502"/>
      <c r="G161" s="1505"/>
      <c r="H161" s="115"/>
      <c r="I161" s="1467"/>
      <c r="J161" s="1470">
        <v>0</v>
      </c>
      <c r="K161" s="1523">
        <f t="shared" si="47"/>
        <v>0</v>
      </c>
    </row>
    <row r="162" spans="1:11" ht="18" customHeight="1">
      <c r="A162" s="1453">
        <v>382001</v>
      </c>
      <c r="B162" s="1497" t="s">
        <v>838</v>
      </c>
      <c r="C162" s="1462"/>
      <c r="D162" s="1501"/>
      <c r="E162" s="1462"/>
      <c r="F162" s="1501"/>
      <c r="G162" s="1504"/>
      <c r="H162" s="1462"/>
      <c r="I162" s="1468"/>
      <c r="J162" s="1471">
        <v>0</v>
      </c>
      <c r="K162" s="1524">
        <f t="shared" si="47"/>
        <v>0</v>
      </c>
    </row>
    <row r="163" spans="1:11" ht="18" customHeight="1">
      <c r="A163" s="1452">
        <v>382002</v>
      </c>
      <c r="B163" s="1496" t="s">
        <v>839</v>
      </c>
      <c r="C163" s="115"/>
      <c r="D163" s="1502"/>
      <c r="E163" s="115"/>
      <c r="F163" s="1502"/>
      <c r="G163" s="1505"/>
      <c r="H163" s="115"/>
      <c r="I163" s="1467"/>
      <c r="J163" s="1470">
        <v>0</v>
      </c>
      <c r="K163" s="1523">
        <f t="shared" si="47"/>
        <v>0</v>
      </c>
    </row>
    <row r="164" spans="1:11" ht="18" customHeight="1">
      <c r="A164" s="1452">
        <v>382003</v>
      </c>
      <c r="B164" s="1496" t="s">
        <v>840</v>
      </c>
      <c r="C164" s="115"/>
      <c r="D164" s="1502"/>
      <c r="E164" s="115"/>
      <c r="F164" s="1502"/>
      <c r="G164" s="1505"/>
      <c r="H164" s="115"/>
      <c r="I164" s="1467"/>
      <c r="J164" s="1470">
        <v>0</v>
      </c>
      <c r="K164" s="1523">
        <f t="shared" si="47"/>
        <v>0</v>
      </c>
    </row>
    <row r="165" spans="1:11" ht="18" customHeight="1">
      <c r="A165" s="1450">
        <v>384001</v>
      </c>
      <c r="B165" s="1496" t="s">
        <v>841</v>
      </c>
      <c r="C165" s="115"/>
      <c r="D165" s="1502"/>
      <c r="E165" s="115"/>
      <c r="F165" s="1502"/>
      <c r="G165" s="1505"/>
      <c r="H165" s="115"/>
      <c r="I165" s="1467"/>
      <c r="J165" s="1470">
        <v>0</v>
      </c>
      <c r="K165" s="1523">
        <f t="shared" si="47"/>
        <v>0</v>
      </c>
    </row>
    <row r="166" spans="1:11" ht="18" customHeight="1">
      <c r="A166" s="1450">
        <v>385001</v>
      </c>
      <c r="B166" s="1496" t="s">
        <v>842</v>
      </c>
      <c r="C166" s="115"/>
      <c r="D166" s="1502"/>
      <c r="E166" s="115"/>
      <c r="F166" s="1502"/>
      <c r="G166" s="1505"/>
      <c r="H166" s="115"/>
      <c r="I166" s="1467"/>
      <c r="J166" s="1470">
        <v>0</v>
      </c>
      <c r="K166" s="1523">
        <f t="shared" si="47"/>
        <v>0</v>
      </c>
    </row>
    <row r="167" spans="1:11" ht="18" customHeight="1">
      <c r="A167" s="1451">
        <v>385002</v>
      </c>
      <c r="B167" s="1497" t="s">
        <v>843</v>
      </c>
      <c r="C167" s="1462"/>
      <c r="D167" s="1501"/>
      <c r="E167" s="1462"/>
      <c r="F167" s="1501"/>
      <c r="G167" s="1504"/>
      <c r="H167" s="1462"/>
      <c r="I167" s="1468"/>
      <c r="J167" s="1471">
        <v>0</v>
      </c>
      <c r="K167" s="1524">
        <f t="shared" si="47"/>
        <v>0</v>
      </c>
    </row>
    <row r="168" spans="1:11" ht="18" customHeight="1">
      <c r="A168" s="1450">
        <v>388001</v>
      </c>
      <c r="B168" s="1496" t="s">
        <v>844</v>
      </c>
      <c r="C168" s="115"/>
      <c r="D168" s="1502"/>
      <c r="E168" s="115"/>
      <c r="F168" s="1502"/>
      <c r="G168" s="1505"/>
      <c r="H168" s="115"/>
      <c r="I168" s="1467"/>
      <c r="J168" s="1470">
        <v>0</v>
      </c>
      <c r="K168" s="1523">
        <f t="shared" si="47"/>
        <v>0</v>
      </c>
    </row>
    <row r="169" spans="1:11" ht="18" customHeight="1">
      <c r="A169" s="1450">
        <v>390001</v>
      </c>
      <c r="B169" s="1496" t="s">
        <v>845</v>
      </c>
      <c r="C169" s="115"/>
      <c r="D169" s="1502"/>
      <c r="E169" s="115"/>
      <c r="F169" s="1502"/>
      <c r="G169" s="1505"/>
      <c r="H169" s="115"/>
      <c r="I169" s="1467"/>
      <c r="J169" s="1470">
        <v>0</v>
      </c>
      <c r="K169" s="1523">
        <f t="shared" si="47"/>
        <v>0</v>
      </c>
    </row>
    <row r="170" spans="1:11" ht="18" customHeight="1">
      <c r="A170" s="1450">
        <v>391001</v>
      </c>
      <c r="B170" s="1496" t="s">
        <v>846</v>
      </c>
      <c r="C170" s="115"/>
      <c r="D170" s="1502"/>
      <c r="E170" s="115"/>
      <c r="F170" s="1502"/>
      <c r="G170" s="1505"/>
      <c r="H170" s="115"/>
      <c r="I170" s="1467"/>
      <c r="J170" s="1470">
        <v>0</v>
      </c>
      <c r="K170" s="1523">
        <f t="shared" si="47"/>
        <v>0</v>
      </c>
    </row>
    <row r="171" spans="1:11" ht="18" customHeight="1">
      <c r="A171" s="1452">
        <v>391002</v>
      </c>
      <c r="B171" s="1496" t="s">
        <v>847</v>
      </c>
      <c r="C171" s="115"/>
      <c r="D171" s="1502"/>
      <c r="E171" s="115"/>
      <c r="F171" s="1502"/>
      <c r="G171" s="1505"/>
      <c r="H171" s="115"/>
      <c r="I171" s="1467"/>
      <c r="J171" s="1470">
        <v>0</v>
      </c>
      <c r="K171" s="1523">
        <f t="shared" si="47"/>
        <v>0</v>
      </c>
    </row>
    <row r="172" spans="1:11" ht="18" customHeight="1">
      <c r="A172" s="1453">
        <v>392001</v>
      </c>
      <c r="B172" s="1497" t="s">
        <v>848</v>
      </c>
      <c r="C172" s="1462"/>
      <c r="D172" s="1501"/>
      <c r="E172" s="1462"/>
      <c r="F172" s="1501"/>
      <c r="G172" s="1504"/>
      <c r="H172" s="1462"/>
      <c r="I172" s="1468"/>
      <c r="J172" s="1471">
        <v>0</v>
      </c>
      <c r="K172" s="1524">
        <f t="shared" si="47"/>
        <v>0</v>
      </c>
    </row>
    <row r="173" spans="1:11" ht="18" customHeight="1">
      <c r="A173" s="1450">
        <v>393001</v>
      </c>
      <c r="B173" s="1496" t="s">
        <v>849</v>
      </c>
      <c r="C173" s="115"/>
      <c r="D173" s="1502"/>
      <c r="E173" s="115"/>
      <c r="F173" s="1502"/>
      <c r="G173" s="1505"/>
      <c r="H173" s="115"/>
      <c r="I173" s="1467"/>
      <c r="J173" s="1470">
        <v>0</v>
      </c>
      <c r="K173" s="1523">
        <f t="shared" si="47"/>
        <v>0</v>
      </c>
    </row>
    <row r="174" spans="1:11" ht="18" customHeight="1">
      <c r="A174" s="1450">
        <v>393002</v>
      </c>
      <c r="B174" s="1496" t="s">
        <v>850</v>
      </c>
      <c r="C174" s="115"/>
      <c r="D174" s="1502"/>
      <c r="E174" s="115"/>
      <c r="F174" s="1502"/>
      <c r="G174" s="1505"/>
      <c r="H174" s="115"/>
      <c r="I174" s="1467"/>
      <c r="J174" s="1470">
        <v>0</v>
      </c>
      <c r="K174" s="1523">
        <f t="shared" si="47"/>
        <v>0</v>
      </c>
    </row>
    <row r="175" spans="1:11" ht="18" customHeight="1">
      <c r="A175" s="1452">
        <v>393003</v>
      </c>
      <c r="B175" s="1496" t="s">
        <v>851</v>
      </c>
      <c r="C175" s="115"/>
      <c r="D175" s="1502"/>
      <c r="E175" s="115"/>
      <c r="F175" s="1502"/>
      <c r="G175" s="1505"/>
      <c r="H175" s="115"/>
      <c r="I175" s="1467"/>
      <c r="J175" s="1470">
        <v>0</v>
      </c>
      <c r="K175" s="1523">
        <f t="shared" si="47"/>
        <v>0</v>
      </c>
    </row>
    <row r="176" spans="1:11" ht="18" customHeight="1">
      <c r="A176" s="1450">
        <v>395001</v>
      </c>
      <c r="B176" s="1496" t="s">
        <v>852</v>
      </c>
      <c r="C176" s="115"/>
      <c r="D176" s="1502"/>
      <c r="E176" s="115"/>
      <c r="F176" s="1502"/>
      <c r="G176" s="1505"/>
      <c r="H176" s="115"/>
      <c r="I176" s="1467"/>
      <c r="J176" s="1470">
        <v>0</v>
      </c>
      <c r="K176" s="1523">
        <f t="shared" si="47"/>
        <v>0</v>
      </c>
    </row>
    <row r="177" spans="1:11" ht="18" customHeight="1">
      <c r="A177" s="1453">
        <v>395002</v>
      </c>
      <c r="B177" s="1497" t="s">
        <v>853</v>
      </c>
      <c r="C177" s="1462"/>
      <c r="D177" s="1501"/>
      <c r="E177" s="1462"/>
      <c r="F177" s="1501"/>
      <c r="G177" s="1504"/>
      <c r="H177" s="1462"/>
      <c r="I177" s="1468"/>
      <c r="J177" s="1471">
        <v>0</v>
      </c>
      <c r="K177" s="1524">
        <f t="shared" si="47"/>
        <v>0</v>
      </c>
    </row>
    <row r="178" spans="1:11" ht="18" customHeight="1">
      <c r="A178" s="1450">
        <v>395003</v>
      </c>
      <c r="B178" s="1496" t="s">
        <v>854</v>
      </c>
      <c r="C178" s="115"/>
      <c r="D178" s="1502"/>
      <c r="E178" s="115"/>
      <c r="F178" s="1502"/>
      <c r="G178" s="1505"/>
      <c r="H178" s="115"/>
      <c r="I178" s="1467"/>
      <c r="J178" s="1470">
        <v>0</v>
      </c>
      <c r="K178" s="1523">
        <f t="shared" si="47"/>
        <v>0</v>
      </c>
    </row>
    <row r="179" spans="1:11" ht="18" customHeight="1">
      <c r="A179" s="1450">
        <v>395004</v>
      </c>
      <c r="B179" s="1496" t="s">
        <v>855</v>
      </c>
      <c r="C179" s="115"/>
      <c r="D179" s="1502"/>
      <c r="E179" s="115"/>
      <c r="F179" s="1502"/>
      <c r="G179" s="1505"/>
      <c r="H179" s="115"/>
      <c r="I179" s="1467"/>
      <c r="J179" s="1470">
        <v>0</v>
      </c>
      <c r="K179" s="1523">
        <f t="shared" si="47"/>
        <v>0</v>
      </c>
    </row>
    <row r="180" spans="1:11" ht="18" customHeight="1">
      <c r="A180" s="1450">
        <v>395005</v>
      </c>
      <c r="B180" s="1496" t="s">
        <v>856</v>
      </c>
      <c r="C180" s="115"/>
      <c r="D180" s="1502"/>
      <c r="E180" s="115"/>
      <c r="F180" s="1502"/>
      <c r="G180" s="1505"/>
      <c r="H180" s="115"/>
      <c r="I180" s="1467"/>
      <c r="J180" s="1470">
        <v>0</v>
      </c>
      <c r="K180" s="1523">
        <f t="shared" si="47"/>
        <v>0</v>
      </c>
    </row>
    <row r="181" spans="1:11" ht="18" customHeight="1">
      <c r="A181" s="1450">
        <v>395007</v>
      </c>
      <c r="B181" s="1496" t="s">
        <v>857</v>
      </c>
      <c r="C181" s="115"/>
      <c r="D181" s="1502"/>
      <c r="E181" s="115"/>
      <c r="F181" s="1502"/>
      <c r="G181" s="1505"/>
      <c r="H181" s="115"/>
      <c r="I181" s="1467"/>
      <c r="J181" s="1470">
        <v>0</v>
      </c>
      <c r="K181" s="1523">
        <f t="shared" si="47"/>
        <v>0</v>
      </c>
    </row>
    <row r="182" spans="1:11" ht="18" customHeight="1">
      <c r="A182" s="1472">
        <v>397001</v>
      </c>
      <c r="B182" s="1497" t="s">
        <v>858</v>
      </c>
      <c r="C182" s="1462"/>
      <c r="D182" s="1501"/>
      <c r="E182" s="1462"/>
      <c r="F182" s="1501"/>
      <c r="G182" s="1504"/>
      <c r="H182" s="1462"/>
      <c r="I182" s="1468"/>
      <c r="J182" s="1471">
        <v>0</v>
      </c>
      <c r="K182" s="1524">
        <f t="shared" si="47"/>
        <v>0</v>
      </c>
    </row>
    <row r="183" spans="1:11" ht="18" customHeight="1">
      <c r="A183" s="1449">
        <v>398001</v>
      </c>
      <c r="B183" s="1496" t="s">
        <v>859</v>
      </c>
      <c r="C183" s="115"/>
      <c r="D183" s="1502"/>
      <c r="E183" s="115"/>
      <c r="F183" s="1502"/>
      <c r="G183" s="1505"/>
      <c r="H183" s="115"/>
      <c r="I183" s="1467"/>
      <c r="J183" s="1470">
        <v>0</v>
      </c>
      <c r="K183" s="1523">
        <f t="shared" si="47"/>
        <v>0</v>
      </c>
    </row>
    <row r="184" spans="1:11" ht="18" customHeight="1">
      <c r="A184" s="1449">
        <v>398002</v>
      </c>
      <c r="B184" s="1496" t="s">
        <v>860</v>
      </c>
      <c r="C184" s="115"/>
      <c r="D184" s="1502"/>
      <c r="E184" s="115"/>
      <c r="F184" s="1502"/>
      <c r="G184" s="1505"/>
      <c r="H184" s="115"/>
      <c r="I184" s="1467"/>
      <c r="J184" s="1470">
        <v>0</v>
      </c>
      <c r="K184" s="1523">
        <f t="shared" si="47"/>
        <v>0</v>
      </c>
    </row>
    <row r="185" spans="1:11" ht="18" customHeight="1">
      <c r="A185" s="1450">
        <v>398003</v>
      </c>
      <c r="B185" s="1496" t="s">
        <v>861</v>
      </c>
      <c r="C185" s="115"/>
      <c r="D185" s="1502"/>
      <c r="E185" s="115"/>
      <c r="F185" s="1502"/>
      <c r="G185" s="1505"/>
      <c r="H185" s="115"/>
      <c r="I185" s="1467"/>
      <c r="J185" s="1470">
        <v>0</v>
      </c>
      <c r="K185" s="1523">
        <f t="shared" si="47"/>
        <v>0</v>
      </c>
    </row>
    <row r="186" spans="1:11" ht="18" customHeight="1">
      <c r="A186" s="1450">
        <v>398004</v>
      </c>
      <c r="B186" s="1496" t="s">
        <v>862</v>
      </c>
      <c r="C186" s="115"/>
      <c r="D186" s="1502"/>
      <c r="E186" s="115"/>
      <c r="F186" s="1502"/>
      <c r="G186" s="1505"/>
      <c r="H186" s="115"/>
      <c r="I186" s="1467"/>
      <c r="J186" s="1470">
        <v>0</v>
      </c>
      <c r="K186" s="1523">
        <f t="shared" si="47"/>
        <v>0</v>
      </c>
    </row>
    <row r="187" spans="1:11" ht="18" customHeight="1">
      <c r="A187" s="1453">
        <v>398005</v>
      </c>
      <c r="B187" s="1497" t="s">
        <v>863</v>
      </c>
      <c r="C187" s="1462"/>
      <c r="D187" s="1501"/>
      <c r="E187" s="1462"/>
      <c r="F187" s="1501"/>
      <c r="G187" s="1504"/>
      <c r="H187" s="1462"/>
      <c r="I187" s="1468"/>
      <c r="J187" s="1471">
        <v>0</v>
      </c>
      <c r="K187" s="1524">
        <f t="shared" si="47"/>
        <v>0</v>
      </c>
    </row>
    <row r="188" spans="1:11" ht="18" customHeight="1">
      <c r="A188" s="1450">
        <v>398006</v>
      </c>
      <c r="B188" s="1496" t="s">
        <v>864</v>
      </c>
      <c r="C188" s="115"/>
      <c r="D188" s="1502"/>
      <c r="E188" s="115"/>
      <c r="F188" s="1502"/>
      <c r="G188" s="1505"/>
      <c r="H188" s="115"/>
      <c r="I188" s="1467"/>
      <c r="J188" s="1470">
        <v>0</v>
      </c>
      <c r="K188" s="1523">
        <f t="shared" si="47"/>
        <v>0</v>
      </c>
    </row>
    <row r="189" spans="1:11" ht="18" customHeight="1">
      <c r="A189" s="1450">
        <v>399001</v>
      </c>
      <c r="B189" s="1496" t="s">
        <v>865</v>
      </c>
      <c r="C189" s="115"/>
      <c r="D189" s="1502"/>
      <c r="E189" s="115"/>
      <c r="F189" s="1502"/>
      <c r="G189" s="1505"/>
      <c r="H189" s="115"/>
      <c r="I189" s="1467"/>
      <c r="J189" s="1470">
        <v>0</v>
      </c>
      <c r="K189" s="1523">
        <f t="shared" si="47"/>
        <v>0</v>
      </c>
    </row>
    <row r="190" spans="1:11" ht="18" customHeight="1">
      <c r="A190" s="1450">
        <v>399002</v>
      </c>
      <c r="B190" s="1496" t="s">
        <v>866</v>
      </c>
      <c r="C190" s="115"/>
      <c r="D190" s="1502"/>
      <c r="E190" s="115"/>
      <c r="F190" s="1502"/>
      <c r="G190" s="1505"/>
      <c r="H190" s="115"/>
      <c r="I190" s="1467"/>
      <c r="J190" s="1470">
        <v>0</v>
      </c>
      <c r="K190" s="1523">
        <f t="shared" si="47"/>
        <v>0</v>
      </c>
    </row>
    <row r="191" spans="1:11" ht="18" customHeight="1">
      <c r="A191" s="1450">
        <v>399003</v>
      </c>
      <c r="B191" s="1496" t="s">
        <v>867</v>
      </c>
      <c r="C191" s="115"/>
      <c r="D191" s="1502"/>
      <c r="E191" s="115"/>
      <c r="F191" s="1502"/>
      <c r="G191" s="1505"/>
      <c r="H191" s="115"/>
      <c r="I191" s="1467"/>
      <c r="J191" s="1470">
        <v>0</v>
      </c>
      <c r="K191" s="1523">
        <f t="shared" si="47"/>
        <v>0</v>
      </c>
    </row>
    <row r="192" spans="1:11" ht="18" customHeight="1">
      <c r="A192" s="1453">
        <v>399004</v>
      </c>
      <c r="B192" s="1498" t="s">
        <v>868</v>
      </c>
      <c r="C192" s="1462"/>
      <c r="D192" s="1501"/>
      <c r="E192" s="1462"/>
      <c r="F192" s="1501"/>
      <c r="G192" s="1504"/>
      <c r="H192" s="1462"/>
      <c r="I192" s="1468"/>
      <c r="J192" s="1471">
        <v>0</v>
      </c>
      <c r="K192" s="1524">
        <f t="shared" si="47"/>
        <v>0</v>
      </c>
    </row>
    <row r="193" spans="1:12" ht="18" customHeight="1">
      <c r="A193" s="1454">
        <v>399005</v>
      </c>
      <c r="B193" s="1455" t="s">
        <v>869</v>
      </c>
      <c r="C193" s="1462"/>
      <c r="D193" s="1501"/>
      <c r="E193" s="1462"/>
      <c r="F193" s="1501"/>
      <c r="G193" s="1504"/>
      <c r="H193" s="1462"/>
      <c r="I193" s="1468"/>
      <c r="J193" s="1471">
        <v>0</v>
      </c>
      <c r="K193" s="1524">
        <f t="shared" si="47"/>
        <v>0</v>
      </c>
    </row>
    <row r="194" spans="1:12" ht="15.75" thickBot="1">
      <c r="A194" s="1412"/>
      <c r="B194" s="1475" t="s">
        <v>870</v>
      </c>
      <c r="C194" s="1513">
        <f>SUM(C138:C193)</f>
        <v>0</v>
      </c>
      <c r="D194" s="1513">
        <f t="shared" ref="D194:I194" si="48">SUM(D138:D193)</f>
        <v>0</v>
      </c>
      <c r="E194" s="1513">
        <f t="shared" si="48"/>
        <v>0</v>
      </c>
      <c r="F194" s="1513">
        <f t="shared" si="48"/>
        <v>0</v>
      </c>
      <c r="G194" s="1514">
        <f t="shared" si="48"/>
        <v>0</v>
      </c>
      <c r="H194" s="1513">
        <f t="shared" si="48"/>
        <v>0</v>
      </c>
      <c r="I194" s="1515">
        <f t="shared" si="48"/>
        <v>0</v>
      </c>
      <c r="J194" s="1511">
        <f>SUM(J138:J193)</f>
        <v>0</v>
      </c>
      <c r="K194" s="1526">
        <f>SUM(K138:K193)</f>
        <v>0</v>
      </c>
    </row>
    <row r="195" spans="1:12" ht="15.75" thickTop="1">
      <c r="A195" s="1447"/>
      <c r="B195" s="1456"/>
      <c r="C195" s="1431"/>
      <c r="D195" s="1431"/>
      <c r="E195" s="1431"/>
      <c r="F195" s="1431"/>
      <c r="G195" s="1509"/>
      <c r="H195" s="1431"/>
      <c r="I195" s="1509"/>
      <c r="J195" s="1509"/>
      <c r="K195" s="1509"/>
    </row>
    <row r="196" spans="1:12" ht="14.25">
      <c r="A196" s="1410" t="s">
        <v>343</v>
      </c>
      <c r="B196" s="1499" t="s">
        <v>871</v>
      </c>
      <c r="C196" s="1462"/>
      <c r="D196" s="1501"/>
      <c r="E196" s="1462"/>
      <c r="F196" s="1501"/>
      <c r="G196" s="1504"/>
      <c r="H196" s="1462"/>
      <c r="I196" s="1468"/>
      <c r="J196" s="1471">
        <v>0</v>
      </c>
      <c r="K196" s="1524">
        <f>G196+I196+J196</f>
        <v>0</v>
      </c>
    </row>
    <row r="197" spans="1:12" ht="15.75" thickBot="1">
      <c r="A197" s="1412"/>
      <c r="B197" s="1475" t="s">
        <v>872</v>
      </c>
      <c r="C197" s="1513">
        <f>SUM(C196)</f>
        <v>0</v>
      </c>
      <c r="D197" s="1513">
        <f t="shared" ref="D197:I197" si="49">SUM(D196)</f>
        <v>0</v>
      </c>
      <c r="E197" s="1513">
        <f t="shared" si="49"/>
        <v>0</v>
      </c>
      <c r="F197" s="1513">
        <f t="shared" si="49"/>
        <v>0</v>
      </c>
      <c r="G197" s="1514">
        <f t="shared" si="49"/>
        <v>0</v>
      </c>
      <c r="H197" s="1513">
        <f t="shared" si="49"/>
        <v>0</v>
      </c>
      <c r="I197" s="1515">
        <f t="shared" si="49"/>
        <v>0</v>
      </c>
      <c r="J197" s="1511">
        <f>SUM(J196)</f>
        <v>0</v>
      </c>
      <c r="K197" s="1526">
        <f>SUM(K196)</f>
        <v>0</v>
      </c>
    </row>
    <row r="198" spans="1:12" ht="15.75" thickTop="1">
      <c r="A198" s="1447"/>
      <c r="B198" s="1456"/>
      <c r="C198" s="1431"/>
      <c r="D198" s="1431"/>
      <c r="E198" s="1431"/>
      <c r="F198" s="1431"/>
      <c r="G198" s="1509"/>
      <c r="H198" s="1431"/>
      <c r="I198" s="1509"/>
      <c r="J198" s="1509"/>
      <c r="K198" s="1509"/>
    </row>
    <row r="199" spans="1:12" ht="14.25">
      <c r="A199" s="1457">
        <v>371001</v>
      </c>
      <c r="B199" s="1486" t="s">
        <v>873</v>
      </c>
      <c r="C199" s="1462"/>
      <c r="D199" s="1501"/>
      <c r="E199" s="1462"/>
      <c r="F199" s="1501"/>
      <c r="G199" s="1504"/>
      <c r="H199" s="1462"/>
      <c r="I199" s="1468"/>
      <c r="J199" s="1471">
        <v>0</v>
      </c>
      <c r="K199" s="1524">
        <f>G199+I199+J199</f>
        <v>0</v>
      </c>
    </row>
    <row r="200" spans="1:12" ht="15.75" thickBot="1">
      <c r="A200" s="1412"/>
      <c r="B200" s="1475" t="s">
        <v>874</v>
      </c>
      <c r="C200" s="1513">
        <f>SUM(C199)</f>
        <v>0</v>
      </c>
      <c r="D200" s="1513">
        <f t="shared" ref="D200:I200" si="50">SUM(D199)</f>
        <v>0</v>
      </c>
      <c r="E200" s="1513">
        <f t="shared" si="50"/>
        <v>0</v>
      </c>
      <c r="F200" s="1513">
        <f t="shared" si="50"/>
        <v>0</v>
      </c>
      <c r="G200" s="1514">
        <f t="shared" si="50"/>
        <v>0</v>
      </c>
      <c r="H200" s="1513">
        <f t="shared" si="50"/>
        <v>0</v>
      </c>
      <c r="I200" s="1515">
        <f t="shared" si="50"/>
        <v>0</v>
      </c>
      <c r="J200" s="1511">
        <f>SUM(J199)</f>
        <v>0</v>
      </c>
      <c r="K200" s="1526">
        <f>SUM(K199)</f>
        <v>0</v>
      </c>
    </row>
    <row r="201" spans="1:12" ht="15.75" thickTop="1">
      <c r="A201" s="1447"/>
      <c r="B201" s="1456"/>
      <c r="C201" s="1431"/>
      <c r="D201" s="1431"/>
      <c r="E201" s="1431"/>
      <c r="F201" s="1431"/>
      <c r="G201" s="1509"/>
      <c r="H201" s="1431"/>
      <c r="I201" s="1509"/>
      <c r="J201" s="1509"/>
      <c r="K201" s="1509"/>
    </row>
    <row r="202" spans="1:12" ht="15.75" thickBot="1">
      <c r="A202" s="1458"/>
      <c r="B202" s="1459" t="s">
        <v>517</v>
      </c>
      <c r="C202" s="1513">
        <v>0</v>
      </c>
      <c r="D202" s="1513">
        <v>0</v>
      </c>
      <c r="E202" s="1513">
        <v>0</v>
      </c>
      <c r="F202" s="1513">
        <v>0</v>
      </c>
      <c r="G202" s="1514">
        <v>0</v>
      </c>
      <c r="H202" s="1513">
        <v>0</v>
      </c>
      <c r="I202" s="1515">
        <v>0</v>
      </c>
      <c r="J202" s="1511">
        <v>0</v>
      </c>
      <c r="K202" s="1526">
        <f>G202+I202+J202</f>
        <v>0</v>
      </c>
    </row>
    <row r="203" spans="1:12" ht="15.75" thickTop="1">
      <c r="A203" s="1460"/>
      <c r="B203" s="1461"/>
      <c r="C203" s="1431"/>
      <c r="D203" s="1431"/>
      <c r="E203" s="1431"/>
      <c r="F203" s="1431"/>
      <c r="G203" s="1509"/>
      <c r="H203" s="1431"/>
      <c r="I203" s="1509"/>
      <c r="J203" s="1509"/>
      <c r="K203" s="1509"/>
    </row>
    <row r="204" spans="1:12" ht="15.75" thickBot="1">
      <c r="A204" s="1458"/>
      <c r="B204" s="1459" t="s">
        <v>875</v>
      </c>
      <c r="C204" s="1513">
        <v>0</v>
      </c>
      <c r="D204" s="1513">
        <v>0</v>
      </c>
      <c r="E204" s="1513">
        <v>0</v>
      </c>
      <c r="F204" s="1513">
        <v>0</v>
      </c>
      <c r="G204" s="1514">
        <v>0</v>
      </c>
      <c r="H204" s="1513">
        <v>0</v>
      </c>
      <c r="I204" s="1515">
        <v>0</v>
      </c>
      <c r="J204" s="1511">
        <v>0</v>
      </c>
      <c r="K204" s="1526">
        <f>G204+I204+J204</f>
        <v>0</v>
      </c>
    </row>
    <row r="205" spans="1:12" ht="15.75" thickTop="1">
      <c r="A205" s="1460"/>
      <c r="B205" s="1461"/>
      <c r="C205" s="1431"/>
      <c r="D205" s="1431"/>
      <c r="E205" s="1431"/>
      <c r="F205" s="1431"/>
      <c r="G205" s="1509"/>
      <c r="H205" s="1431"/>
      <c r="I205" s="1509"/>
      <c r="J205" s="1509"/>
      <c r="K205" s="1509"/>
    </row>
    <row r="206" spans="1:12" ht="15.75" thickBot="1">
      <c r="A206" s="1458"/>
      <c r="B206" s="1459" t="s">
        <v>359</v>
      </c>
      <c r="C206" s="1513">
        <v>0</v>
      </c>
      <c r="D206" s="1513">
        <v>0</v>
      </c>
      <c r="E206" s="1513">
        <v>0</v>
      </c>
      <c r="F206" s="1513">
        <v>0</v>
      </c>
      <c r="G206" s="1514">
        <v>0</v>
      </c>
      <c r="H206" s="1513">
        <v>0</v>
      </c>
      <c r="I206" s="1515">
        <v>0</v>
      </c>
      <c r="J206" s="1511">
        <v>0</v>
      </c>
      <c r="K206" s="1526">
        <f>G206+I206+J206</f>
        <v>0</v>
      </c>
    </row>
    <row r="207" spans="1:12" ht="15.75" thickTop="1">
      <c r="A207" s="1460"/>
      <c r="B207" s="1431"/>
      <c r="C207" s="1431"/>
      <c r="D207" s="1431"/>
      <c r="E207" s="1431"/>
      <c r="F207" s="1431"/>
      <c r="G207" s="1509"/>
      <c r="H207" s="1431"/>
      <c r="I207" s="1509"/>
      <c r="J207" s="1509"/>
      <c r="K207" s="1509"/>
    </row>
    <row r="208" spans="1:12" ht="15.75" thickBot="1">
      <c r="A208" s="1412"/>
      <c r="B208" s="1500" t="s">
        <v>876</v>
      </c>
      <c r="C208" s="1516">
        <f t="shared" ref="C208:I208" si="51">C75+C79+C82+C85+C95+C99+C102+C105+C108+C111+C114+C117+C120+C123+C136+C194+C197+C200+C202+C204+C206</f>
        <v>58</v>
      </c>
      <c r="D208" s="1520">
        <f t="shared" si="51"/>
        <v>348000</v>
      </c>
      <c r="E208" s="1516">
        <f t="shared" si="51"/>
        <v>77</v>
      </c>
      <c r="F208" s="1520">
        <f t="shared" si="51"/>
        <v>308000</v>
      </c>
      <c r="G208" s="1517">
        <f t="shared" si="51"/>
        <v>656000</v>
      </c>
      <c r="H208" s="1516">
        <f t="shared" si="51"/>
        <v>241</v>
      </c>
      <c r="I208" s="1518">
        <f t="shared" si="51"/>
        <v>4820000</v>
      </c>
      <c r="J208" s="1519">
        <v>7439394</v>
      </c>
      <c r="K208" s="1532">
        <f>K75+K79+K82+K85+K95+K99+K102+K105+K108+K111+K114+K117+K120+K123+K136+K194+K197+K200+K202+K204+K206+J208</f>
        <v>12915394</v>
      </c>
      <c r="L208" s="49"/>
    </row>
    <row r="209" ht="13.5" thickTop="1"/>
  </sheetData>
  <mergeCells count="10">
    <mergeCell ref="K1:K3"/>
    <mergeCell ref="C1:G1"/>
    <mergeCell ref="H1:I1"/>
    <mergeCell ref="A2:A3"/>
    <mergeCell ref="B2:B3"/>
    <mergeCell ref="C2:C3"/>
    <mergeCell ref="E2:E3"/>
    <mergeCell ref="G2:G3"/>
    <mergeCell ref="H2:H3"/>
    <mergeCell ref="J1:J3"/>
  </mergeCells>
  <pageMargins left="0.7" right="0.7" top="0.75" bottom="0.75" header="0.3" footer="0.3"/>
  <pageSetup paperSize="5" scale="45" firstPageNumber="42" orientation="portrait" useFirstPageNumber="1" r:id="rId1"/>
  <headerFooter>
    <oddHeader>&amp;L&amp;"Arial,Bold"&amp;18Table 4A: FY2013-14 Budget Letter (Projection)
Level 4 School Level Funding</oddHead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"/>
  <sheetViews>
    <sheetView view="pageBreakPreview" zoomScale="75" zoomScaleNormal="75" zoomScaleSheetLayoutView="75" workbookViewId="0">
      <selection activeCell="A5" sqref="A5:A6"/>
    </sheetView>
  </sheetViews>
  <sheetFormatPr defaultRowHeight="12.75"/>
  <cols>
    <col min="1" max="1" width="19.140625" customWidth="1"/>
    <col min="2" max="2" width="15" customWidth="1"/>
    <col min="3" max="3" width="14" customWidth="1"/>
    <col min="4" max="4" width="20.7109375" customWidth="1"/>
    <col min="5" max="5" width="18.5703125" customWidth="1"/>
    <col min="6" max="6" width="16.42578125" customWidth="1"/>
    <col min="7" max="7" width="15.7109375" customWidth="1"/>
    <col min="8" max="8" width="18.140625" customWidth="1"/>
    <col min="9" max="12" width="16.28515625" customWidth="1"/>
    <col min="13" max="13" width="13.42578125" customWidth="1"/>
  </cols>
  <sheetData>
    <row r="1" spans="1:12" s="2" customFormat="1" ht="33" customHeight="1">
      <c r="A1" s="1986" t="s">
        <v>1228</v>
      </c>
      <c r="B1" s="1986"/>
      <c r="C1" s="1986"/>
      <c r="D1" s="1986"/>
      <c r="E1" s="1986"/>
      <c r="F1" s="1986"/>
      <c r="G1" s="1986"/>
    </row>
    <row r="2" spans="1:12" ht="11.25" hidden="1" customHeight="1">
      <c r="B2" s="73" t="s">
        <v>76</v>
      </c>
      <c r="C2" s="73"/>
      <c r="D2" s="74" t="s">
        <v>205</v>
      </c>
      <c r="E2" s="121"/>
      <c r="F2" s="35"/>
      <c r="G2" s="35"/>
    </row>
    <row r="3" spans="1:12" ht="26.25" customHeight="1">
      <c r="A3" s="1986" t="s">
        <v>543</v>
      </c>
      <c r="B3" s="1986"/>
      <c r="C3" s="1986"/>
      <c r="D3" s="1986"/>
      <c r="E3" s="1986"/>
      <c r="F3" s="1986"/>
      <c r="G3" s="1986"/>
    </row>
    <row r="4" spans="1:12" ht="32.25" customHeight="1">
      <c r="B4" s="73"/>
      <c r="C4" s="73"/>
      <c r="D4" s="726"/>
      <c r="E4" s="725"/>
      <c r="F4" s="725"/>
      <c r="G4" s="725"/>
    </row>
    <row r="5" spans="1:12" ht="99" customHeight="1">
      <c r="A5" s="1862" t="s">
        <v>198</v>
      </c>
      <c r="B5" s="1862" t="s">
        <v>1181</v>
      </c>
      <c r="C5" s="67" t="s">
        <v>217</v>
      </c>
      <c r="D5" s="1859" t="s">
        <v>1331</v>
      </c>
      <c r="E5" s="1988" t="s">
        <v>397</v>
      </c>
      <c r="F5" s="1988" t="s">
        <v>389</v>
      </c>
      <c r="G5" s="1859" t="s">
        <v>1332</v>
      </c>
      <c r="H5" s="1990" t="s">
        <v>1232</v>
      </c>
      <c r="I5" s="1859" t="s">
        <v>1333</v>
      </c>
      <c r="J5" s="1862" t="s">
        <v>711</v>
      </c>
      <c r="K5" s="1987" t="s">
        <v>1142</v>
      </c>
      <c r="L5" s="1859" t="s">
        <v>1330</v>
      </c>
    </row>
    <row r="6" spans="1:12" ht="46.5" customHeight="1">
      <c r="A6" s="1864"/>
      <c r="B6" s="1864"/>
      <c r="C6" s="583" t="s">
        <v>1213</v>
      </c>
      <c r="D6" s="1861"/>
      <c r="E6" s="1989"/>
      <c r="F6" s="1989"/>
      <c r="G6" s="1861"/>
      <c r="H6" s="1991"/>
      <c r="I6" s="1861"/>
      <c r="J6" s="1864"/>
      <c r="K6" s="1876"/>
      <c r="L6" s="1861"/>
    </row>
    <row r="7" spans="1:12">
      <c r="A7" s="114"/>
      <c r="B7" s="224">
        <v>1</v>
      </c>
      <c r="C7" s="224">
        <f t="shared" ref="C7:H7" si="0">B7+1</f>
        <v>2</v>
      </c>
      <c r="D7" s="224">
        <f t="shared" si="0"/>
        <v>3</v>
      </c>
      <c r="E7" s="224">
        <f t="shared" si="0"/>
        <v>4</v>
      </c>
      <c r="F7" s="224">
        <f t="shared" si="0"/>
        <v>5</v>
      </c>
      <c r="G7" s="224">
        <f t="shared" si="0"/>
        <v>6</v>
      </c>
      <c r="H7" s="224">
        <f t="shared" si="0"/>
        <v>7</v>
      </c>
      <c r="I7" s="224">
        <f>H7+1</f>
        <v>8</v>
      </c>
      <c r="J7" s="224">
        <f>L7+1</f>
        <v>11</v>
      </c>
      <c r="K7" s="224">
        <f>I7+1</f>
        <v>9</v>
      </c>
      <c r="L7" s="224">
        <f t="shared" ref="L7" si="1">K7+1</f>
        <v>10</v>
      </c>
    </row>
    <row r="8" spans="1:12" ht="25.5">
      <c r="A8" s="226" t="s">
        <v>253</v>
      </c>
      <c r="B8" s="225">
        <f>'[2]ALL-Reformatted'!$AD$77</f>
        <v>1376</v>
      </c>
      <c r="C8" s="58">
        <f>'Table 3 Levels 1&amp;2'!BN78+'Table 3 Levels 1&amp;2'!BV78</f>
        <v>4329.5530678488294</v>
      </c>
      <c r="D8" s="58">
        <f>B8*ROUND(C8,0)</f>
        <v>5958080</v>
      </c>
      <c r="E8" s="58">
        <f>'[17]Table 5A Lab Schools'!$G$8+'[17]Table 5A Lab Schools'!$K$8+'[17]Table 5A Lab Schools'!$D$17+'[17]Table 4 Level 3'!$C$75</f>
        <v>605.97185873605952</v>
      </c>
      <c r="F8" s="58">
        <f>E8*B8</f>
        <v>833817.27762081788</v>
      </c>
      <c r="G8" s="581">
        <f>D8+F8</f>
        <v>6791897.2776208175</v>
      </c>
      <c r="H8" s="58">
        <v>0</v>
      </c>
      <c r="I8" s="581">
        <f>SUM(G8:H8)</f>
        <v>6791897.2776208175</v>
      </c>
      <c r="J8" s="58">
        <f>I8/12</f>
        <v>565991.43980173476</v>
      </c>
      <c r="K8" s="1718">
        <f>'Table 4A Level 4'!J77</f>
        <v>0</v>
      </c>
      <c r="L8" s="1720">
        <f>I8+K8</f>
        <v>6791897.2776208175</v>
      </c>
    </row>
    <row r="9" spans="1:12" ht="25.5">
      <c r="A9" s="227" t="s">
        <v>254</v>
      </c>
      <c r="B9" s="225">
        <f>'[2]ALL-Reformatted'!$AE$77</f>
        <v>391</v>
      </c>
      <c r="C9" s="58">
        <f>'Table 3 Levels 1&amp;2'!BN78+'Table 3 Levels 1&amp;2'!BV78</f>
        <v>4329.5530678488294</v>
      </c>
      <c r="D9" s="58">
        <f>B9*ROUND(C9,0)</f>
        <v>1693030</v>
      </c>
      <c r="E9" s="58">
        <f>'[17]Table 5A Lab Schools'!$G$9+'[17]Table 5A Lab Schools'!$K$9+'[17]Table 5A Lab Schools'!$D$18+'[17]Table 4 Level 3'!$C$75</f>
        <v>699.89832861189802</v>
      </c>
      <c r="F9" s="58">
        <f>E9*B9</f>
        <v>273660.24648725212</v>
      </c>
      <c r="G9" s="581">
        <f>D9+F9</f>
        <v>1966690.2464872522</v>
      </c>
      <c r="H9" s="58">
        <f>'[1]Adjusted Amounts'!$C$79+'[1]Adjusted Amounts'!$H$79</f>
        <v>2515.1664215795245</v>
      </c>
      <c r="I9" s="581">
        <f>SUM(G9:H9)</f>
        <v>1969205.4129088316</v>
      </c>
      <c r="J9" s="58">
        <f>I9/12</f>
        <v>164100.45107573597</v>
      </c>
      <c r="K9" s="1718">
        <f>'Table 4A Level 4'!J78</f>
        <v>0</v>
      </c>
      <c r="L9" s="1720">
        <f>I9+K9</f>
        <v>1969205.4129088316</v>
      </c>
    </row>
    <row r="10" spans="1:12" s="8" customFormat="1" ht="25.5" customHeight="1" thickBot="1">
      <c r="A10" s="43" t="s">
        <v>180</v>
      </c>
      <c r="B10" s="76">
        <f>SUM(B8:B9)</f>
        <v>1767</v>
      </c>
      <c r="C10" s="45"/>
      <c r="D10" s="44">
        <f>SUM(D8:D9)</f>
        <v>7651110</v>
      </c>
      <c r="E10" s="44"/>
      <c r="F10" s="44">
        <f t="shared" ref="F10:L10" si="2">SUM(F8:F9)</f>
        <v>1107477.5241080699</v>
      </c>
      <c r="G10" s="582">
        <f t="shared" si="2"/>
        <v>8758587.524108069</v>
      </c>
      <c r="H10" s="44">
        <f t="shared" si="2"/>
        <v>2515.1664215795245</v>
      </c>
      <c r="I10" s="582">
        <f t="shared" si="2"/>
        <v>8761102.6905296482</v>
      </c>
      <c r="J10" s="44">
        <f t="shared" si="2"/>
        <v>730091.89087747072</v>
      </c>
      <c r="K10" s="1719">
        <f t="shared" si="2"/>
        <v>0</v>
      </c>
      <c r="L10" s="1721">
        <f t="shared" si="2"/>
        <v>8761102.6905296482</v>
      </c>
    </row>
    <row r="11" spans="1:12" s="8" customFormat="1" ht="13.5" thickTop="1">
      <c r="A11" s="94"/>
      <c r="B11" s="95"/>
      <c r="C11" s="96"/>
      <c r="D11" s="97"/>
    </row>
    <row r="12" spans="1:12" s="8" customFormat="1">
      <c r="A12" s="94"/>
      <c r="B12" s="95"/>
      <c r="C12" s="96"/>
      <c r="D12" s="97"/>
    </row>
  </sheetData>
  <mergeCells count="13">
    <mergeCell ref="A1:G1"/>
    <mergeCell ref="A5:A6"/>
    <mergeCell ref="A3:G3"/>
    <mergeCell ref="K5:K6"/>
    <mergeCell ref="L5:L6"/>
    <mergeCell ref="B5:B6"/>
    <mergeCell ref="D5:D6"/>
    <mergeCell ref="F5:F6"/>
    <mergeCell ref="I5:I6"/>
    <mergeCell ref="J5:J6"/>
    <mergeCell ref="H5:H6"/>
    <mergeCell ref="E5:E6"/>
    <mergeCell ref="G5:G6"/>
  </mergeCells>
  <phoneticPr fontId="0" type="noConversion"/>
  <printOptions horizontalCentered="1"/>
  <pageMargins left="0.25" right="0" top="0.25" bottom="0.25" header="0.25" footer="0.25"/>
  <pageSetup paperSize="5" scale="80" firstPageNumber="44" orientation="landscape" useFirstPageNumber="1" r:id="rId1"/>
  <headerFooter alignWithMargins="0">
    <oddHeader xml:space="preserve">&amp;R
</oddHeader>
    <oddFooter>&amp;R&amp;12&amp;P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DR107"/>
  <sheetViews>
    <sheetView view="pageBreakPreview" zoomScaleNormal="100" zoomScaleSheetLayoutView="100" workbookViewId="0">
      <pane xSplit="2" ySplit="6" topLeftCell="C7" activePane="bottomRight" state="frozen"/>
      <selection activeCell="B3" sqref="B3:B5"/>
      <selection pane="topRight" activeCell="B3" sqref="B3:B5"/>
      <selection pane="bottomLeft" activeCell="B3" sqref="B3:B5"/>
      <selection pane="bottomRight" activeCell="A2" sqref="A2:B4"/>
    </sheetView>
  </sheetViews>
  <sheetFormatPr defaultColWidth="12.5703125" defaultRowHeight="12.75"/>
  <cols>
    <col min="1" max="1" width="3.85546875" style="971" customWidth="1"/>
    <col min="2" max="2" width="17.140625" style="971" customWidth="1"/>
    <col min="3" max="3" width="13.5703125" style="974" customWidth="1"/>
    <col min="4" max="4" width="16" style="974" customWidth="1"/>
    <col min="5" max="5" width="10.140625" style="974" bestFit="1" customWidth="1"/>
    <col min="6" max="6" width="13.7109375" style="974" bestFit="1" customWidth="1"/>
    <col min="7" max="8" width="12.5703125" style="974" bestFit="1" customWidth="1"/>
    <col min="9" max="9" width="10.140625" style="974" customWidth="1"/>
    <col min="10" max="10" width="9" style="974" customWidth="1"/>
    <col min="11" max="11" width="12.42578125" style="974" customWidth="1"/>
    <col min="12" max="12" width="16.7109375" style="974" customWidth="1"/>
    <col min="13" max="13" width="12.85546875" style="974" customWidth="1"/>
    <col min="14" max="14" width="13.5703125" style="974" customWidth="1"/>
    <col min="15" max="15" width="13.85546875" style="974" customWidth="1"/>
    <col min="16" max="16" width="13.5703125" style="974" customWidth="1"/>
    <col min="17" max="17" width="10.85546875" style="974" customWidth="1"/>
    <col min="18" max="19" width="12.5703125" style="971" customWidth="1"/>
    <col min="20" max="16384" width="12.5703125" style="971"/>
  </cols>
  <sheetData>
    <row r="1" spans="1:122" ht="9" customHeight="1">
      <c r="B1" s="972"/>
      <c r="C1" s="973"/>
      <c r="D1" s="973"/>
      <c r="E1" s="973"/>
      <c r="F1" s="973"/>
      <c r="G1" s="973"/>
      <c r="H1" s="973"/>
      <c r="I1" s="973"/>
      <c r="J1" s="973"/>
      <c r="K1" s="973"/>
    </row>
    <row r="2" spans="1:122" s="976" customFormat="1" ht="39.75" customHeight="1">
      <c r="A2" s="2000" t="s">
        <v>482</v>
      </c>
      <c r="B2" s="2001"/>
      <c r="C2" s="2011" t="s">
        <v>483</v>
      </c>
      <c r="D2" s="2012"/>
      <c r="E2" s="2012"/>
      <c r="F2" s="2013"/>
      <c r="G2" s="2013"/>
      <c r="H2" s="2013"/>
      <c r="I2" s="2012"/>
      <c r="J2" s="1714"/>
      <c r="K2" s="1714"/>
      <c r="L2" s="1992" t="s">
        <v>1338</v>
      </c>
      <c r="M2" s="1993"/>
      <c r="N2" s="1994"/>
      <c r="O2" s="1995" t="s">
        <v>1337</v>
      </c>
      <c r="P2" s="1995" t="s">
        <v>1339</v>
      </c>
      <c r="Q2" s="1795"/>
    </row>
    <row r="3" spans="1:122" ht="89.25" customHeight="1">
      <c r="A3" s="2002"/>
      <c r="B3" s="2003"/>
      <c r="C3" s="2006" t="s">
        <v>1173</v>
      </c>
      <c r="D3" s="2008" t="s">
        <v>1344</v>
      </c>
      <c r="E3" s="2006" t="s">
        <v>1335</v>
      </c>
      <c r="F3" s="2006" t="s">
        <v>1186</v>
      </c>
      <c r="G3" s="2006" t="s">
        <v>521</v>
      </c>
      <c r="H3" s="2006" t="s">
        <v>1336</v>
      </c>
      <c r="I3" s="2006" t="s">
        <v>1342</v>
      </c>
      <c r="J3" s="1987" t="s">
        <v>1142</v>
      </c>
      <c r="K3" s="2006" t="s">
        <v>1334</v>
      </c>
      <c r="L3" s="2009" t="s">
        <v>1343</v>
      </c>
      <c r="M3" s="1998" t="s">
        <v>1340</v>
      </c>
      <c r="N3" s="1998" t="s">
        <v>1341</v>
      </c>
      <c r="O3" s="1996"/>
      <c r="P3" s="1996"/>
      <c r="Q3" s="971"/>
    </row>
    <row r="4" spans="1:122" ht="26.25" customHeight="1">
      <c r="A4" s="2004"/>
      <c r="B4" s="2005"/>
      <c r="C4" s="2007"/>
      <c r="D4" s="2008"/>
      <c r="E4" s="2007"/>
      <c r="F4" s="2007"/>
      <c r="G4" s="2007"/>
      <c r="H4" s="2007"/>
      <c r="I4" s="2007"/>
      <c r="J4" s="1876"/>
      <c r="K4" s="2007"/>
      <c r="L4" s="2010"/>
      <c r="M4" s="1999"/>
      <c r="N4" s="1999"/>
      <c r="O4" s="1997"/>
      <c r="P4" s="1997"/>
      <c r="Q4" s="971"/>
    </row>
    <row r="5" spans="1:122" s="981" customFormat="1" ht="14.25" customHeight="1">
      <c r="A5" s="978"/>
      <c r="B5" s="979"/>
      <c r="C5" s="980">
        <v>1</v>
      </c>
      <c r="D5" s="980">
        <f>C5+1</f>
        <v>2</v>
      </c>
      <c r="E5" s="980">
        <f t="shared" ref="E5" si="0">D5+1</f>
        <v>3</v>
      </c>
      <c r="F5" s="980">
        <f t="shared" ref="F5" si="1">E5+1</f>
        <v>4</v>
      </c>
      <c r="G5" s="980">
        <f t="shared" ref="G5" si="2">F5+1</f>
        <v>5</v>
      </c>
      <c r="H5" s="980">
        <f t="shared" ref="H5" si="3">G5+1</f>
        <v>6</v>
      </c>
      <c r="I5" s="980">
        <f t="shared" ref="I5" si="4">H5+1</f>
        <v>7</v>
      </c>
      <c r="J5" s="980">
        <f t="shared" ref="J5" si="5">I5+1</f>
        <v>8</v>
      </c>
      <c r="K5" s="980">
        <f t="shared" ref="K5" si="6">J5+1</f>
        <v>9</v>
      </c>
      <c r="L5" s="980">
        <f t="shared" ref="L5" si="7">K5+1</f>
        <v>10</v>
      </c>
      <c r="M5" s="980">
        <f t="shared" ref="M5" si="8">L5+1</f>
        <v>11</v>
      </c>
      <c r="N5" s="980">
        <f t="shared" ref="N5" si="9">M5+1</f>
        <v>12</v>
      </c>
      <c r="O5" s="980">
        <f t="shared" ref="O5" si="10">N5+1</f>
        <v>13</v>
      </c>
      <c r="P5" s="980">
        <f t="shared" ref="P5" si="11">O5+1</f>
        <v>14</v>
      </c>
    </row>
    <row r="6" spans="1:122" s="1045" customFormat="1" ht="27" customHeight="1">
      <c r="A6" s="1041"/>
      <c r="B6" s="1042"/>
      <c r="C6" s="1043" t="s">
        <v>441</v>
      </c>
      <c r="D6" s="1044" t="s">
        <v>363</v>
      </c>
      <c r="E6" s="1044" t="s">
        <v>738</v>
      </c>
      <c r="F6" s="1044" t="s">
        <v>363</v>
      </c>
      <c r="G6" s="1533" t="s">
        <v>1039</v>
      </c>
      <c r="H6" s="1533" t="s">
        <v>1040</v>
      </c>
      <c r="I6" s="1044" t="s">
        <v>505</v>
      </c>
      <c r="J6" s="1533"/>
      <c r="K6" s="1533"/>
      <c r="L6" s="1044" t="s">
        <v>363</v>
      </c>
      <c r="M6" s="1044" t="s">
        <v>1187</v>
      </c>
      <c r="N6" s="1044" t="s">
        <v>1188</v>
      </c>
      <c r="O6" s="1044" t="s">
        <v>1189</v>
      </c>
      <c r="P6" s="1044" t="s">
        <v>1190</v>
      </c>
      <c r="Q6" s="1796"/>
      <c r="R6" s="1797"/>
      <c r="S6" s="1797"/>
      <c r="T6" s="1797"/>
      <c r="U6" s="1797"/>
      <c r="V6" s="1797"/>
      <c r="W6" s="1797"/>
      <c r="X6" s="1797"/>
      <c r="Y6" s="1797"/>
      <c r="Z6" s="1797"/>
      <c r="AA6" s="1797"/>
      <c r="AB6" s="1797"/>
      <c r="AC6" s="1797"/>
      <c r="AD6" s="1797"/>
      <c r="AE6" s="1797"/>
      <c r="AF6" s="1797"/>
      <c r="AG6" s="1797"/>
      <c r="AH6" s="1797"/>
      <c r="AI6" s="1797"/>
      <c r="AJ6" s="1797"/>
      <c r="AK6" s="1797"/>
      <c r="AL6" s="1797"/>
      <c r="AM6" s="1797"/>
      <c r="AN6" s="1797"/>
      <c r="AO6" s="1797"/>
      <c r="AP6" s="1797"/>
      <c r="AQ6" s="1797"/>
      <c r="AR6" s="1797"/>
      <c r="AS6" s="1797"/>
      <c r="AT6" s="1797"/>
      <c r="AU6" s="1797"/>
      <c r="AV6" s="1797"/>
      <c r="AW6" s="1797"/>
      <c r="AX6" s="1797"/>
      <c r="AY6" s="1797"/>
      <c r="AZ6" s="1797"/>
      <c r="BA6" s="1797"/>
      <c r="BB6" s="1797"/>
      <c r="BC6" s="1797"/>
      <c r="BD6" s="1797"/>
      <c r="BE6" s="1797"/>
      <c r="BF6" s="1797"/>
      <c r="BG6" s="1797"/>
      <c r="BH6" s="1797"/>
      <c r="BI6" s="1797"/>
      <c r="BJ6" s="1797"/>
      <c r="BK6" s="1797"/>
      <c r="BL6" s="1797"/>
      <c r="BM6" s="1797"/>
      <c r="BN6" s="1797"/>
      <c r="BO6" s="1797"/>
      <c r="BP6" s="1797"/>
      <c r="BQ6" s="1797"/>
      <c r="BR6" s="1797"/>
      <c r="BS6" s="1797"/>
      <c r="BT6" s="1797"/>
      <c r="BU6" s="1797"/>
      <c r="BV6" s="1797"/>
      <c r="BW6" s="1797"/>
      <c r="BX6" s="1797"/>
      <c r="BY6" s="1797"/>
      <c r="BZ6" s="1797"/>
      <c r="CA6" s="1797"/>
      <c r="CB6" s="1797"/>
      <c r="CC6" s="1797"/>
      <c r="CD6" s="1797"/>
      <c r="CE6" s="1797"/>
      <c r="CF6" s="1797"/>
      <c r="CG6" s="1797"/>
      <c r="CH6" s="1797"/>
      <c r="CI6" s="1797"/>
      <c r="CJ6" s="1797"/>
      <c r="CK6" s="1797"/>
      <c r="CL6" s="1797"/>
      <c r="CM6" s="1797"/>
      <c r="CN6" s="1797"/>
      <c r="CO6" s="1797"/>
      <c r="CP6" s="1797"/>
      <c r="CQ6" s="1797"/>
      <c r="CR6" s="1797"/>
      <c r="CS6" s="1797"/>
      <c r="CT6" s="1797"/>
      <c r="CU6" s="1797"/>
      <c r="CV6" s="1797"/>
      <c r="CW6" s="1797"/>
      <c r="CX6" s="1797"/>
      <c r="CY6" s="1797"/>
      <c r="CZ6" s="1797"/>
      <c r="DA6" s="1797"/>
      <c r="DB6" s="1797"/>
      <c r="DC6" s="1797"/>
      <c r="DD6" s="1797"/>
      <c r="DE6" s="1797"/>
      <c r="DF6" s="1797"/>
      <c r="DG6" s="1797"/>
      <c r="DH6" s="1797"/>
      <c r="DI6" s="1797"/>
      <c r="DJ6" s="1797"/>
      <c r="DK6" s="1797"/>
      <c r="DL6" s="1797"/>
      <c r="DM6" s="1797"/>
      <c r="DN6" s="1797"/>
      <c r="DO6" s="1797"/>
      <c r="DP6" s="1797"/>
      <c r="DQ6" s="1797"/>
      <c r="DR6" s="1797"/>
    </row>
    <row r="7" spans="1:122">
      <c r="A7" s="987">
        <v>1</v>
      </c>
      <c r="B7" s="988" t="s">
        <v>95</v>
      </c>
      <c r="C7" s="989">
        <f>'[2]ALL-Reformatted'!Y6</f>
        <v>5</v>
      </c>
      <c r="D7" s="990">
        <f>'Table 3 Levels 1&amp;2'!BN9+'Table 3 Levels 1&amp;2'!BV9</f>
        <v>4565.2108060165392</v>
      </c>
      <c r="E7" s="991">
        <f t="shared" ref="E7:E38" si="12">D7*C7</f>
        <v>22826.054030082698</v>
      </c>
      <c r="F7" s="991">
        <f>'Table 4 Level 3'!N6</f>
        <v>777.48</v>
      </c>
      <c r="G7" s="991">
        <f>C7*F7</f>
        <v>3887.4</v>
      </c>
      <c r="H7" s="991">
        <f>E7+G7</f>
        <v>26713.454030082699</v>
      </c>
      <c r="I7" s="991">
        <f>ROUND(H7/12,0)</f>
        <v>2226</v>
      </c>
      <c r="J7" s="1722"/>
      <c r="K7" s="991">
        <f>H7+J7</f>
        <v>26713.454030082699</v>
      </c>
      <c r="L7" s="990">
        <f>'Table 3 Levels 1&amp;2'!CB9</f>
        <v>2143.02</v>
      </c>
      <c r="M7" s="1077">
        <f>L7*C7</f>
        <v>10715.1</v>
      </c>
      <c r="N7" s="1077">
        <f>ROUND(M7/12,0)</f>
        <v>893</v>
      </c>
      <c r="O7" s="1085">
        <f>K7+M7</f>
        <v>37428.554030082698</v>
      </c>
      <c r="P7" s="1085">
        <f>I7+N7</f>
        <v>3119</v>
      </c>
      <c r="Q7" s="971"/>
    </row>
    <row r="8" spans="1:122">
      <c r="A8" s="994">
        <v>2</v>
      </c>
      <c r="B8" s="995" t="s">
        <v>96</v>
      </c>
      <c r="C8" s="996">
        <f>'[2]ALL-Reformatted'!Y7</f>
        <v>0</v>
      </c>
      <c r="D8" s="997">
        <f>'Table 3 Levels 1&amp;2'!BN10+'Table 3 Levels 1&amp;2'!BV10</f>
        <v>6132.0480322513831</v>
      </c>
      <c r="E8" s="1052">
        <f t="shared" si="12"/>
        <v>0</v>
      </c>
      <c r="F8" s="1534">
        <f>'Table 4 Level 3'!N7</f>
        <v>842.32</v>
      </c>
      <c r="G8" s="1534">
        <f t="shared" ref="G8:G71" si="13">C8*F8</f>
        <v>0</v>
      </c>
      <c r="H8" s="1534">
        <f t="shared" ref="H8:H71" si="14">E8+G8</f>
        <v>0</v>
      </c>
      <c r="I8" s="1052">
        <f t="shared" ref="I8:I71" si="15">ROUND(H8/12,0)</f>
        <v>0</v>
      </c>
      <c r="J8" s="1723"/>
      <c r="K8" s="1534">
        <f t="shared" ref="K8:K71" si="16">H8+J8</f>
        <v>0</v>
      </c>
      <c r="L8" s="997">
        <f>'Table 3 Levels 1&amp;2'!CB10</f>
        <v>2631.58</v>
      </c>
      <c r="M8" s="1078">
        <f t="shared" ref="M8:M38" si="17">L8*C8</f>
        <v>0</v>
      </c>
      <c r="N8" s="1078">
        <f t="shared" ref="N8:N71" si="18">ROUND(M8/12,0)</f>
        <v>0</v>
      </c>
      <c r="O8" s="1086">
        <f t="shared" ref="O8:O71" si="19">K8+M8</f>
        <v>0</v>
      </c>
      <c r="P8" s="1086">
        <f t="shared" ref="P8:P71" si="20">I8+N8</f>
        <v>0</v>
      </c>
      <c r="Q8" s="971"/>
    </row>
    <row r="9" spans="1:122" ht="12.75" customHeight="1">
      <c r="A9" s="994">
        <v>3</v>
      </c>
      <c r="B9" s="995" t="s">
        <v>97</v>
      </c>
      <c r="C9" s="996">
        <f>'[2]ALL-Reformatted'!Y8</f>
        <v>18</v>
      </c>
      <c r="D9" s="997">
        <f>'Table 3 Levels 1&amp;2'!BN11+'Table 3 Levels 1&amp;2'!BV11</f>
        <v>4186.9626187036429</v>
      </c>
      <c r="E9" s="1052">
        <f t="shared" si="12"/>
        <v>75365.327136665568</v>
      </c>
      <c r="F9" s="1534">
        <f>'Table 4 Level 3'!N8</f>
        <v>596.84</v>
      </c>
      <c r="G9" s="1534">
        <f t="shared" si="13"/>
        <v>10743.12</v>
      </c>
      <c r="H9" s="1534">
        <f t="shared" si="14"/>
        <v>86108.447136665563</v>
      </c>
      <c r="I9" s="1052">
        <f t="shared" si="15"/>
        <v>7176</v>
      </c>
      <c r="J9" s="1723"/>
      <c r="K9" s="1534">
        <f t="shared" si="16"/>
        <v>86108.447136665563</v>
      </c>
      <c r="L9" s="997">
        <f>'Table 3 Levels 1&amp;2'!CB11</f>
        <v>3447.08</v>
      </c>
      <c r="M9" s="1078">
        <f t="shared" si="17"/>
        <v>62047.44</v>
      </c>
      <c r="N9" s="1078">
        <f t="shared" si="18"/>
        <v>5171</v>
      </c>
      <c r="O9" s="1086">
        <f t="shared" si="19"/>
        <v>148155.88713666558</v>
      </c>
      <c r="P9" s="1086">
        <f t="shared" si="20"/>
        <v>12347</v>
      </c>
      <c r="Q9" s="971"/>
    </row>
    <row r="10" spans="1:122" ht="12.75" customHeight="1">
      <c r="A10" s="994">
        <v>4</v>
      </c>
      <c r="B10" s="995" t="s">
        <v>98</v>
      </c>
      <c r="C10" s="996">
        <f>'[2]ALL-Reformatted'!Y9</f>
        <v>0</v>
      </c>
      <c r="D10" s="997">
        <f>'Table 3 Levels 1&amp;2'!BN12+'Table 3 Levels 1&amp;2'!BV12</f>
        <v>5918.8798759182582</v>
      </c>
      <c r="E10" s="1052">
        <f t="shared" si="12"/>
        <v>0</v>
      </c>
      <c r="F10" s="1534">
        <f>'Table 4 Level 3'!N9</f>
        <v>585.76</v>
      </c>
      <c r="G10" s="1534">
        <f t="shared" si="13"/>
        <v>0</v>
      </c>
      <c r="H10" s="1534">
        <f t="shared" si="14"/>
        <v>0</v>
      </c>
      <c r="I10" s="1052">
        <f t="shared" si="15"/>
        <v>0</v>
      </c>
      <c r="J10" s="1723"/>
      <c r="K10" s="1534">
        <f t="shared" si="16"/>
        <v>0</v>
      </c>
      <c r="L10" s="997">
        <f>'Table 3 Levels 1&amp;2'!CB12</f>
        <v>3169.66</v>
      </c>
      <c r="M10" s="1078">
        <f t="shared" si="17"/>
        <v>0</v>
      </c>
      <c r="N10" s="1078">
        <f t="shared" si="18"/>
        <v>0</v>
      </c>
      <c r="O10" s="1086">
        <f t="shared" si="19"/>
        <v>0</v>
      </c>
      <c r="P10" s="1086">
        <f t="shared" si="20"/>
        <v>0</v>
      </c>
      <c r="Q10" s="971"/>
    </row>
    <row r="11" spans="1:122">
      <c r="A11" s="998">
        <v>5</v>
      </c>
      <c r="B11" s="999" t="s">
        <v>99</v>
      </c>
      <c r="C11" s="1000">
        <f>'[2]ALL-Reformatted'!Y10</f>
        <v>1</v>
      </c>
      <c r="D11" s="1001">
        <f>'Table 3 Levels 1&amp;2'!BN13+'Table 3 Levels 1&amp;2'!BV13</f>
        <v>4880.3484353147733</v>
      </c>
      <c r="E11" s="1055">
        <f t="shared" si="12"/>
        <v>4880.3484353147733</v>
      </c>
      <c r="F11" s="1535">
        <f>'Table 4 Level 3'!N10</f>
        <v>555.91</v>
      </c>
      <c r="G11" s="1535">
        <f t="shared" si="13"/>
        <v>555.91</v>
      </c>
      <c r="H11" s="1535">
        <f t="shared" si="14"/>
        <v>5436.2584353147731</v>
      </c>
      <c r="I11" s="1055">
        <f t="shared" si="15"/>
        <v>453</v>
      </c>
      <c r="J11" s="1724"/>
      <c r="K11" s="1535">
        <f t="shared" si="16"/>
        <v>5436.2584353147731</v>
      </c>
      <c r="L11" s="1001">
        <f>'Table 3 Levels 1&amp;2'!CB13</f>
        <v>1381.35</v>
      </c>
      <c r="M11" s="1079">
        <f t="shared" si="17"/>
        <v>1381.35</v>
      </c>
      <c r="N11" s="1079">
        <f t="shared" si="18"/>
        <v>115</v>
      </c>
      <c r="O11" s="1087">
        <f t="shared" si="19"/>
        <v>6817.6084353147726</v>
      </c>
      <c r="P11" s="1087">
        <f t="shared" si="20"/>
        <v>568</v>
      </c>
      <c r="Q11" s="971"/>
    </row>
    <row r="12" spans="1:122" ht="12.75" customHeight="1">
      <c r="A12" s="987">
        <v>6</v>
      </c>
      <c r="B12" s="988" t="s">
        <v>100</v>
      </c>
      <c r="C12" s="989">
        <f>'[2]ALL-Reformatted'!Y11</f>
        <v>6</v>
      </c>
      <c r="D12" s="990">
        <f>'Table 3 Levels 1&amp;2'!BN14+'Table 3 Levels 1&amp;2'!BV14</f>
        <v>5379.7759718479856</v>
      </c>
      <c r="E12" s="991">
        <f t="shared" si="12"/>
        <v>32278.655831087912</v>
      </c>
      <c r="F12" s="991">
        <f>'Table 4 Level 3'!N11</f>
        <v>545.4799999999999</v>
      </c>
      <c r="G12" s="991">
        <f t="shared" si="13"/>
        <v>3272.8799999999992</v>
      </c>
      <c r="H12" s="991">
        <f t="shared" si="14"/>
        <v>35551.535831087909</v>
      </c>
      <c r="I12" s="991">
        <f t="shared" si="15"/>
        <v>2963</v>
      </c>
      <c r="J12" s="1722"/>
      <c r="K12" s="991">
        <f t="shared" si="16"/>
        <v>35551.535831087909</v>
      </c>
      <c r="L12" s="990">
        <f>'Table 3 Levels 1&amp;2'!CB14</f>
        <v>3170.1</v>
      </c>
      <c r="M12" s="1077">
        <f t="shared" si="17"/>
        <v>19020.599999999999</v>
      </c>
      <c r="N12" s="1077">
        <f t="shared" si="18"/>
        <v>1585</v>
      </c>
      <c r="O12" s="1085">
        <f t="shared" si="19"/>
        <v>54572.135831087908</v>
      </c>
      <c r="P12" s="1085">
        <f t="shared" si="20"/>
        <v>4548</v>
      </c>
      <c r="Q12" s="971"/>
    </row>
    <row r="13" spans="1:122">
      <c r="A13" s="994">
        <v>7</v>
      </c>
      <c r="B13" s="995" t="s">
        <v>101</v>
      </c>
      <c r="C13" s="996">
        <f>'[2]ALL-Reformatted'!Y12</f>
        <v>0</v>
      </c>
      <c r="D13" s="997">
        <f>'Table 3 Levels 1&amp;2'!BN15+'Table 3 Levels 1&amp;2'!BV15</f>
        <v>1698.1351763907733</v>
      </c>
      <c r="E13" s="1052">
        <f t="shared" si="12"/>
        <v>0</v>
      </c>
      <c r="F13" s="1534">
        <f>'Table 4 Level 3'!N12</f>
        <v>756.91999999999985</v>
      </c>
      <c r="G13" s="1534">
        <f t="shared" si="13"/>
        <v>0</v>
      </c>
      <c r="H13" s="1534">
        <f t="shared" si="14"/>
        <v>0</v>
      </c>
      <c r="I13" s="1052">
        <f t="shared" si="15"/>
        <v>0</v>
      </c>
      <c r="J13" s="1723"/>
      <c r="K13" s="1534">
        <f t="shared" si="16"/>
        <v>0</v>
      </c>
      <c r="L13" s="997">
        <f>'Table 3 Levels 1&amp;2'!CB15</f>
        <v>5999.02</v>
      </c>
      <c r="M13" s="1078">
        <f t="shared" si="17"/>
        <v>0</v>
      </c>
      <c r="N13" s="1078">
        <f t="shared" si="18"/>
        <v>0</v>
      </c>
      <c r="O13" s="1086">
        <f t="shared" si="19"/>
        <v>0</v>
      </c>
      <c r="P13" s="1086">
        <f t="shared" si="20"/>
        <v>0</v>
      </c>
      <c r="Q13" s="971"/>
    </row>
    <row r="14" spans="1:122">
      <c r="A14" s="994">
        <v>8</v>
      </c>
      <c r="B14" s="995" t="s">
        <v>102</v>
      </c>
      <c r="C14" s="996">
        <f>'[2]ALL-Reformatted'!Y13</f>
        <v>12</v>
      </c>
      <c r="D14" s="997">
        <f>'Table 3 Levels 1&amp;2'!BN16+'Table 3 Levels 1&amp;2'!BV16</f>
        <v>4239.8578920718974</v>
      </c>
      <c r="E14" s="1052">
        <f t="shared" si="12"/>
        <v>50878.294704862768</v>
      </c>
      <c r="F14" s="1534">
        <f>'Table 4 Level 3'!N13</f>
        <v>725.76</v>
      </c>
      <c r="G14" s="1534">
        <f t="shared" si="13"/>
        <v>8709.119999999999</v>
      </c>
      <c r="H14" s="1534">
        <f t="shared" si="14"/>
        <v>59587.414704862764</v>
      </c>
      <c r="I14" s="1052">
        <f t="shared" si="15"/>
        <v>4966</v>
      </c>
      <c r="J14" s="1723"/>
      <c r="K14" s="1534">
        <f t="shared" si="16"/>
        <v>59587.414704862764</v>
      </c>
      <c r="L14" s="997">
        <f>'Table 3 Levels 1&amp;2'!CB16</f>
        <v>3477.24</v>
      </c>
      <c r="M14" s="1078">
        <f t="shared" si="17"/>
        <v>41726.879999999997</v>
      </c>
      <c r="N14" s="1078">
        <f t="shared" si="18"/>
        <v>3477</v>
      </c>
      <c r="O14" s="1086">
        <f t="shared" si="19"/>
        <v>101314.29470486275</v>
      </c>
      <c r="P14" s="1086">
        <f t="shared" si="20"/>
        <v>8443</v>
      </c>
      <c r="Q14" s="971"/>
    </row>
    <row r="15" spans="1:122">
      <c r="A15" s="994">
        <v>9</v>
      </c>
      <c r="B15" s="995" t="s">
        <v>103</v>
      </c>
      <c r="C15" s="996">
        <f>'[2]ALL-Reformatted'!Y14</f>
        <v>4</v>
      </c>
      <c r="D15" s="997">
        <f>'Table 3 Levels 1&amp;2'!BN17+'Table 3 Levels 1&amp;2'!BV17</f>
        <v>4361.2752875373017</v>
      </c>
      <c r="E15" s="1052">
        <f t="shared" si="12"/>
        <v>17445.101150149207</v>
      </c>
      <c r="F15" s="1534">
        <f>'Table 4 Level 3'!N14</f>
        <v>744.76</v>
      </c>
      <c r="G15" s="1534">
        <f t="shared" si="13"/>
        <v>2979.04</v>
      </c>
      <c r="H15" s="1534">
        <f t="shared" si="14"/>
        <v>20424.141150149208</v>
      </c>
      <c r="I15" s="1052">
        <f t="shared" si="15"/>
        <v>1702</v>
      </c>
      <c r="J15" s="1723"/>
      <c r="K15" s="1534">
        <f t="shared" si="16"/>
        <v>20424.141150149208</v>
      </c>
      <c r="L15" s="997">
        <f>'Table 3 Levels 1&amp;2'!CB17</f>
        <v>3453.29</v>
      </c>
      <c r="M15" s="1078">
        <f t="shared" si="17"/>
        <v>13813.16</v>
      </c>
      <c r="N15" s="1078">
        <f t="shared" si="18"/>
        <v>1151</v>
      </c>
      <c r="O15" s="1086">
        <f t="shared" si="19"/>
        <v>34237.301150149207</v>
      </c>
      <c r="P15" s="1086">
        <f t="shared" si="20"/>
        <v>2853</v>
      </c>
      <c r="Q15" s="971"/>
    </row>
    <row r="16" spans="1:122">
      <c r="A16" s="998">
        <v>10</v>
      </c>
      <c r="B16" s="999" t="s">
        <v>104</v>
      </c>
      <c r="C16" s="1000">
        <f>'[2]ALL-Reformatted'!Y15</f>
        <v>12</v>
      </c>
      <c r="D16" s="1001">
        <f>'Table 3 Levels 1&amp;2'!BN18+'Table 3 Levels 1&amp;2'!BV18</f>
        <v>4179.4641652904756</v>
      </c>
      <c r="E16" s="1055">
        <f t="shared" si="12"/>
        <v>50153.569983485708</v>
      </c>
      <c r="F16" s="1535">
        <f>'Table 4 Level 3'!N15</f>
        <v>608.04000000000008</v>
      </c>
      <c r="G16" s="1535">
        <f t="shared" si="13"/>
        <v>7296.4800000000014</v>
      </c>
      <c r="H16" s="1535">
        <f t="shared" si="14"/>
        <v>57450.049983485711</v>
      </c>
      <c r="I16" s="1055">
        <f t="shared" si="15"/>
        <v>4788</v>
      </c>
      <c r="J16" s="1724"/>
      <c r="K16" s="1535">
        <f t="shared" si="16"/>
        <v>57450.049983485711</v>
      </c>
      <c r="L16" s="1001">
        <f>'Table 3 Levels 1&amp;2'!CB18</f>
        <v>3841.29</v>
      </c>
      <c r="M16" s="1079">
        <f t="shared" si="17"/>
        <v>46095.479999999996</v>
      </c>
      <c r="N16" s="1079">
        <f t="shared" si="18"/>
        <v>3841</v>
      </c>
      <c r="O16" s="1087">
        <f t="shared" si="19"/>
        <v>103545.5299834857</v>
      </c>
      <c r="P16" s="1087">
        <f t="shared" si="20"/>
        <v>8629</v>
      </c>
      <c r="Q16" s="971"/>
    </row>
    <row r="17" spans="1:17">
      <c r="A17" s="987">
        <v>11</v>
      </c>
      <c r="B17" s="988" t="s">
        <v>105</v>
      </c>
      <c r="C17" s="989">
        <f>'[2]ALL-Reformatted'!Y16</f>
        <v>2</v>
      </c>
      <c r="D17" s="990">
        <f>'Table 3 Levels 1&amp;2'!BN19+'Table 3 Levels 1&amp;2'!BV19</f>
        <v>6825.0221851487568</v>
      </c>
      <c r="E17" s="991">
        <f t="shared" si="12"/>
        <v>13650.044370297514</v>
      </c>
      <c r="F17" s="991">
        <f>'Table 4 Level 3'!N16</f>
        <v>706.55</v>
      </c>
      <c r="G17" s="991">
        <f t="shared" si="13"/>
        <v>1413.1</v>
      </c>
      <c r="H17" s="991">
        <f t="shared" si="14"/>
        <v>15063.144370297514</v>
      </c>
      <c r="I17" s="991">
        <f t="shared" si="15"/>
        <v>1255</v>
      </c>
      <c r="J17" s="1722"/>
      <c r="K17" s="991">
        <f t="shared" si="16"/>
        <v>15063.144370297514</v>
      </c>
      <c r="L17" s="990">
        <f>'Table 3 Levels 1&amp;2'!CB19</f>
        <v>3271.76</v>
      </c>
      <c r="M17" s="1077">
        <f t="shared" si="17"/>
        <v>6543.52</v>
      </c>
      <c r="N17" s="1077">
        <f t="shared" si="18"/>
        <v>545</v>
      </c>
      <c r="O17" s="1085">
        <f t="shared" si="19"/>
        <v>21606.664370297513</v>
      </c>
      <c r="P17" s="1085">
        <f t="shared" si="20"/>
        <v>1800</v>
      </c>
      <c r="Q17" s="971"/>
    </row>
    <row r="18" spans="1:17">
      <c r="A18" s="994">
        <v>12</v>
      </c>
      <c r="B18" s="995" t="s">
        <v>106</v>
      </c>
      <c r="C18" s="996">
        <f>'[2]ALL-Reformatted'!Y17</f>
        <v>0</v>
      </c>
      <c r="D18" s="997">
        <f>'Table 3 Levels 1&amp;2'!BN20+'Table 3 Levels 1&amp;2'!BV20</f>
        <v>1688.0492586490939</v>
      </c>
      <c r="E18" s="1052">
        <f t="shared" si="12"/>
        <v>0</v>
      </c>
      <c r="F18" s="1534">
        <f>'Table 4 Level 3'!N17</f>
        <v>1063.31</v>
      </c>
      <c r="G18" s="1534">
        <f t="shared" si="13"/>
        <v>0</v>
      </c>
      <c r="H18" s="1534">
        <f t="shared" si="14"/>
        <v>0</v>
      </c>
      <c r="I18" s="1052">
        <f t="shared" si="15"/>
        <v>0</v>
      </c>
      <c r="J18" s="1723"/>
      <c r="K18" s="1534">
        <f t="shared" si="16"/>
        <v>0</v>
      </c>
      <c r="L18" s="997">
        <f>'Table 3 Levels 1&amp;2'!CB20</f>
        <v>6440.56</v>
      </c>
      <c r="M18" s="1078">
        <f t="shared" si="17"/>
        <v>0</v>
      </c>
      <c r="N18" s="1078">
        <f t="shared" si="18"/>
        <v>0</v>
      </c>
      <c r="O18" s="1086">
        <f t="shared" si="19"/>
        <v>0</v>
      </c>
      <c r="P18" s="1086">
        <f t="shared" si="20"/>
        <v>0</v>
      </c>
      <c r="Q18" s="971"/>
    </row>
    <row r="19" spans="1:17">
      <c r="A19" s="994">
        <v>13</v>
      </c>
      <c r="B19" s="995" t="s">
        <v>107</v>
      </c>
      <c r="C19" s="996">
        <f>'[2]ALL-Reformatted'!Y18</f>
        <v>0</v>
      </c>
      <c r="D19" s="997">
        <f>'Table 3 Levels 1&amp;2'!BN21+'Table 3 Levels 1&amp;2'!BV21</f>
        <v>6187.1651272387344</v>
      </c>
      <c r="E19" s="1052">
        <f t="shared" si="12"/>
        <v>0</v>
      </c>
      <c r="F19" s="1534">
        <f>'Table 4 Level 3'!N18</f>
        <v>749.43000000000006</v>
      </c>
      <c r="G19" s="1534">
        <f t="shared" si="13"/>
        <v>0</v>
      </c>
      <c r="H19" s="1534">
        <f t="shared" si="14"/>
        <v>0</v>
      </c>
      <c r="I19" s="1052">
        <f t="shared" si="15"/>
        <v>0</v>
      </c>
      <c r="J19" s="1723"/>
      <c r="K19" s="1534">
        <f t="shared" si="16"/>
        <v>0</v>
      </c>
      <c r="L19" s="997">
        <f>'Table 3 Levels 1&amp;2'!CB21</f>
        <v>2526.2199999999998</v>
      </c>
      <c r="M19" s="1078">
        <f t="shared" si="17"/>
        <v>0</v>
      </c>
      <c r="N19" s="1078">
        <f t="shared" si="18"/>
        <v>0</v>
      </c>
      <c r="O19" s="1086">
        <f t="shared" si="19"/>
        <v>0</v>
      </c>
      <c r="P19" s="1086">
        <f t="shared" si="20"/>
        <v>0</v>
      </c>
      <c r="Q19" s="971"/>
    </row>
    <row r="20" spans="1:17" ht="12.75" customHeight="1">
      <c r="A20" s="994">
        <v>14</v>
      </c>
      <c r="B20" s="995" t="s">
        <v>108</v>
      </c>
      <c r="C20" s="996">
        <f>'[2]ALL-Reformatted'!Y19</f>
        <v>1</v>
      </c>
      <c r="D20" s="997">
        <f>'Table 3 Levels 1&amp;2'!BN22+'Table 3 Levels 1&amp;2'!BV22</f>
        <v>5339.1887414618923</v>
      </c>
      <c r="E20" s="1052">
        <f t="shared" si="12"/>
        <v>5339.1887414618923</v>
      </c>
      <c r="F20" s="1534">
        <f>'Table 4 Level 3'!N19</f>
        <v>809.9799999999999</v>
      </c>
      <c r="G20" s="1534">
        <f t="shared" si="13"/>
        <v>809.9799999999999</v>
      </c>
      <c r="H20" s="1534">
        <f t="shared" si="14"/>
        <v>6149.1687414618918</v>
      </c>
      <c r="I20" s="1052">
        <f t="shared" si="15"/>
        <v>512</v>
      </c>
      <c r="J20" s="1723"/>
      <c r="K20" s="1534">
        <f t="shared" si="16"/>
        <v>6149.1687414618918</v>
      </c>
      <c r="L20" s="997">
        <f>'Table 3 Levels 1&amp;2'!CB22</f>
        <v>4046.06</v>
      </c>
      <c r="M20" s="1078">
        <f t="shared" si="17"/>
        <v>4046.06</v>
      </c>
      <c r="N20" s="1078">
        <f t="shared" si="18"/>
        <v>337</v>
      </c>
      <c r="O20" s="1086">
        <f t="shared" si="19"/>
        <v>10195.228741461891</v>
      </c>
      <c r="P20" s="1086">
        <f t="shared" si="20"/>
        <v>849</v>
      </c>
      <c r="Q20" s="971"/>
    </row>
    <row r="21" spans="1:17">
      <c r="A21" s="998">
        <v>15</v>
      </c>
      <c r="B21" s="999" t="s">
        <v>109</v>
      </c>
      <c r="C21" s="1000">
        <f>'[2]ALL-Reformatted'!Y20</f>
        <v>1</v>
      </c>
      <c r="D21" s="1001">
        <f>'Table 3 Levels 1&amp;2'!BN23+'Table 3 Levels 1&amp;2'!BV23</f>
        <v>5492.5789412344011</v>
      </c>
      <c r="E21" s="1055">
        <f t="shared" si="12"/>
        <v>5492.5789412344011</v>
      </c>
      <c r="F21" s="1535">
        <f>'Table 4 Level 3'!N20</f>
        <v>553.79999999999995</v>
      </c>
      <c r="G21" s="1535">
        <f t="shared" si="13"/>
        <v>553.79999999999995</v>
      </c>
      <c r="H21" s="1535">
        <f t="shared" si="14"/>
        <v>6046.3789412344013</v>
      </c>
      <c r="I21" s="1055">
        <f t="shared" si="15"/>
        <v>504</v>
      </c>
      <c r="J21" s="1724"/>
      <c r="K21" s="1535">
        <f t="shared" si="16"/>
        <v>6046.3789412344013</v>
      </c>
      <c r="L21" s="1001">
        <f>'Table 3 Levels 1&amp;2'!CB23</f>
        <v>2811.01</v>
      </c>
      <c r="M21" s="1079">
        <f t="shared" si="17"/>
        <v>2811.01</v>
      </c>
      <c r="N21" s="1079">
        <f t="shared" si="18"/>
        <v>234</v>
      </c>
      <c r="O21" s="1087">
        <f t="shared" si="19"/>
        <v>8857.3889412344015</v>
      </c>
      <c r="P21" s="1087">
        <f t="shared" si="20"/>
        <v>738</v>
      </c>
      <c r="Q21" s="971"/>
    </row>
    <row r="22" spans="1:17">
      <c r="A22" s="987">
        <v>16</v>
      </c>
      <c r="B22" s="988" t="s">
        <v>110</v>
      </c>
      <c r="C22" s="989">
        <f>'[2]ALL-Reformatted'!Y21</f>
        <v>0</v>
      </c>
      <c r="D22" s="990">
        <f>'Table 3 Levels 1&amp;2'!BN24+'Table 3 Levels 1&amp;2'!BV24</f>
        <v>1506.1153407945151</v>
      </c>
      <c r="E22" s="991">
        <f t="shared" si="12"/>
        <v>0</v>
      </c>
      <c r="F22" s="991">
        <f>'Table 4 Level 3'!N21</f>
        <v>686.73</v>
      </c>
      <c r="G22" s="991">
        <f t="shared" si="13"/>
        <v>0</v>
      </c>
      <c r="H22" s="991">
        <f t="shared" si="14"/>
        <v>0</v>
      </c>
      <c r="I22" s="991">
        <f t="shared" si="15"/>
        <v>0</v>
      </c>
      <c r="J22" s="1722"/>
      <c r="K22" s="991">
        <f t="shared" si="16"/>
        <v>0</v>
      </c>
      <c r="L22" s="990">
        <f>'Table 3 Levels 1&amp;2'!CB24</f>
        <v>5977.04</v>
      </c>
      <c r="M22" s="1077">
        <f t="shared" si="17"/>
        <v>0</v>
      </c>
      <c r="N22" s="1077">
        <f t="shared" si="18"/>
        <v>0</v>
      </c>
      <c r="O22" s="1085">
        <f t="shared" si="19"/>
        <v>0</v>
      </c>
      <c r="P22" s="1085">
        <f t="shared" si="20"/>
        <v>0</v>
      </c>
      <c r="Q22" s="971"/>
    </row>
    <row r="23" spans="1:17">
      <c r="A23" s="994">
        <v>17</v>
      </c>
      <c r="B23" s="995" t="s">
        <v>111</v>
      </c>
      <c r="C23" s="996">
        <f>'[2]ALL-Reformatted'!Y22</f>
        <v>27</v>
      </c>
      <c r="D23" s="997">
        <f>'Table 3 Levels 1&amp;2'!BN25+'Table 3 Levels 1&amp;2'!BV25</f>
        <v>3311.610845996096</v>
      </c>
      <c r="E23" s="1052">
        <f t="shared" si="12"/>
        <v>89413.492841894593</v>
      </c>
      <c r="F23" s="1534">
        <f>'Table 4 Level 3'!N22</f>
        <v>801.47762416806802</v>
      </c>
      <c r="G23" s="1534">
        <f t="shared" si="13"/>
        <v>21639.895852537837</v>
      </c>
      <c r="H23" s="1534">
        <f t="shared" si="14"/>
        <v>111053.38869443243</v>
      </c>
      <c r="I23" s="1052">
        <f t="shared" si="15"/>
        <v>9254</v>
      </c>
      <c r="J23" s="1723"/>
      <c r="K23" s="1534">
        <f t="shared" si="16"/>
        <v>111053.38869443243</v>
      </c>
      <c r="L23" s="997">
        <f>'Table 3 Levels 1&amp;2'!CB25</f>
        <v>4575.26</v>
      </c>
      <c r="M23" s="1078">
        <f t="shared" si="17"/>
        <v>123532.02</v>
      </c>
      <c r="N23" s="1078">
        <f t="shared" si="18"/>
        <v>10294</v>
      </c>
      <c r="O23" s="1086">
        <f t="shared" si="19"/>
        <v>234585.40869443244</v>
      </c>
      <c r="P23" s="1086">
        <f t="shared" si="20"/>
        <v>19548</v>
      </c>
      <c r="Q23" s="971"/>
    </row>
    <row r="24" spans="1:17">
      <c r="A24" s="994">
        <v>18</v>
      </c>
      <c r="B24" s="995" t="s">
        <v>112</v>
      </c>
      <c r="C24" s="996">
        <f>'[2]ALL-Reformatted'!Y23</f>
        <v>0</v>
      </c>
      <c r="D24" s="997">
        <f>'Table 3 Levels 1&amp;2'!BN26+'Table 3 Levels 1&amp;2'!BV26</f>
        <v>5964.3490202032081</v>
      </c>
      <c r="E24" s="1052">
        <f t="shared" si="12"/>
        <v>0</v>
      </c>
      <c r="F24" s="1534">
        <f>'Table 4 Level 3'!N23</f>
        <v>845.94999999999993</v>
      </c>
      <c r="G24" s="1534">
        <f t="shared" si="13"/>
        <v>0</v>
      </c>
      <c r="H24" s="1534">
        <f t="shared" si="14"/>
        <v>0</v>
      </c>
      <c r="I24" s="1052">
        <f t="shared" si="15"/>
        <v>0</v>
      </c>
      <c r="J24" s="1723"/>
      <c r="K24" s="1534">
        <f t="shared" si="16"/>
        <v>0</v>
      </c>
      <c r="L24" s="997">
        <f>'Table 3 Levels 1&amp;2'!CB26</f>
        <v>2269.83</v>
      </c>
      <c r="M24" s="1078">
        <f t="shared" si="17"/>
        <v>0</v>
      </c>
      <c r="N24" s="1078">
        <f t="shared" si="18"/>
        <v>0</v>
      </c>
      <c r="O24" s="1086">
        <f t="shared" si="19"/>
        <v>0</v>
      </c>
      <c r="P24" s="1086">
        <f t="shared" si="20"/>
        <v>0</v>
      </c>
      <c r="Q24" s="971"/>
    </row>
    <row r="25" spans="1:17">
      <c r="A25" s="994">
        <v>19</v>
      </c>
      <c r="B25" s="995" t="s">
        <v>113</v>
      </c>
      <c r="C25" s="996">
        <f>'[2]ALL-Reformatted'!Y24</f>
        <v>0</v>
      </c>
      <c r="D25" s="997">
        <f>'Table 3 Levels 1&amp;2'!BN27+'Table 3 Levels 1&amp;2'!BV27</f>
        <v>5283.1088158476596</v>
      </c>
      <c r="E25" s="1052">
        <f t="shared" si="12"/>
        <v>0</v>
      </c>
      <c r="F25" s="1534">
        <f>'Table 4 Level 3'!N24</f>
        <v>905.43</v>
      </c>
      <c r="G25" s="1534">
        <f t="shared" si="13"/>
        <v>0</v>
      </c>
      <c r="H25" s="1534">
        <f t="shared" si="14"/>
        <v>0</v>
      </c>
      <c r="I25" s="1052">
        <f t="shared" si="15"/>
        <v>0</v>
      </c>
      <c r="J25" s="1723"/>
      <c r="K25" s="1534">
        <f t="shared" si="16"/>
        <v>0</v>
      </c>
      <c r="L25" s="997">
        <f>'Table 3 Levels 1&amp;2'!CB27</f>
        <v>2756.32</v>
      </c>
      <c r="M25" s="1078">
        <f t="shared" si="17"/>
        <v>0</v>
      </c>
      <c r="N25" s="1078">
        <f t="shared" si="18"/>
        <v>0</v>
      </c>
      <c r="O25" s="1086">
        <f t="shared" si="19"/>
        <v>0</v>
      </c>
      <c r="P25" s="1086">
        <f t="shared" si="20"/>
        <v>0</v>
      </c>
      <c r="Q25" s="971"/>
    </row>
    <row r="26" spans="1:17">
      <c r="A26" s="998">
        <v>20</v>
      </c>
      <c r="B26" s="999" t="s">
        <v>114</v>
      </c>
      <c r="C26" s="1000">
        <f>'[2]ALL-Reformatted'!Y25</f>
        <v>2</v>
      </c>
      <c r="D26" s="1001">
        <f>'Table 3 Levels 1&amp;2'!BN28+'Table 3 Levels 1&amp;2'!BV28</f>
        <v>5389.6047094824808</v>
      </c>
      <c r="E26" s="1055">
        <f t="shared" si="12"/>
        <v>10779.209418964962</v>
      </c>
      <c r="F26" s="1535">
        <f>'Table 4 Level 3'!N25</f>
        <v>586.16999999999996</v>
      </c>
      <c r="G26" s="1535">
        <f t="shared" si="13"/>
        <v>1172.3399999999999</v>
      </c>
      <c r="H26" s="1535">
        <f t="shared" si="14"/>
        <v>11951.549418964962</v>
      </c>
      <c r="I26" s="1055">
        <f t="shared" si="15"/>
        <v>996</v>
      </c>
      <c r="J26" s="1724"/>
      <c r="K26" s="1535">
        <f t="shared" si="16"/>
        <v>11951.549418964962</v>
      </c>
      <c r="L26" s="1001">
        <f>'Table 3 Levels 1&amp;2'!CB28</f>
        <v>2439.08</v>
      </c>
      <c r="M26" s="1079">
        <f t="shared" si="17"/>
        <v>4878.16</v>
      </c>
      <c r="N26" s="1079">
        <f t="shared" si="18"/>
        <v>407</v>
      </c>
      <c r="O26" s="1087">
        <f t="shared" si="19"/>
        <v>16829.709418964962</v>
      </c>
      <c r="P26" s="1087">
        <f t="shared" si="20"/>
        <v>1403</v>
      </c>
      <c r="Q26" s="971"/>
    </row>
    <row r="27" spans="1:17">
      <c r="A27" s="987">
        <v>21</v>
      </c>
      <c r="B27" s="988" t="s">
        <v>115</v>
      </c>
      <c r="C27" s="989">
        <f>'[2]ALL-Reformatted'!Y26</f>
        <v>0</v>
      </c>
      <c r="D27" s="990">
        <f>'Table 3 Levels 1&amp;2'!BN29+'Table 3 Levels 1&amp;2'!BV29</f>
        <v>5659.8229810652783</v>
      </c>
      <c r="E27" s="991">
        <f t="shared" si="12"/>
        <v>0</v>
      </c>
      <c r="F27" s="991">
        <f>'Table 4 Level 3'!N26</f>
        <v>610.35</v>
      </c>
      <c r="G27" s="991">
        <f t="shared" si="13"/>
        <v>0</v>
      </c>
      <c r="H27" s="991">
        <f t="shared" si="14"/>
        <v>0</v>
      </c>
      <c r="I27" s="991">
        <f t="shared" si="15"/>
        <v>0</v>
      </c>
      <c r="J27" s="1722"/>
      <c r="K27" s="991">
        <f t="shared" si="16"/>
        <v>0</v>
      </c>
      <c r="L27" s="990">
        <f>'Table 3 Levels 1&amp;2'!CB29</f>
        <v>2194.34</v>
      </c>
      <c r="M27" s="1077">
        <f t="shared" si="17"/>
        <v>0</v>
      </c>
      <c r="N27" s="1077">
        <f t="shared" si="18"/>
        <v>0</v>
      </c>
      <c r="O27" s="1085">
        <f t="shared" si="19"/>
        <v>0</v>
      </c>
      <c r="P27" s="1085">
        <f t="shared" si="20"/>
        <v>0</v>
      </c>
      <c r="Q27" s="971"/>
    </row>
    <row r="28" spans="1:17">
      <c r="A28" s="994">
        <v>22</v>
      </c>
      <c r="B28" s="995" t="s">
        <v>116</v>
      </c>
      <c r="C28" s="996">
        <f>'[2]ALL-Reformatted'!Y27</f>
        <v>0</v>
      </c>
      <c r="D28" s="997">
        <f>'Table 3 Levels 1&amp;2'!BN30+'Table 3 Levels 1&amp;2'!BV30</f>
        <v>6191.1997628958306</v>
      </c>
      <c r="E28" s="1052">
        <f t="shared" si="12"/>
        <v>0</v>
      </c>
      <c r="F28" s="1534">
        <f>'Table 4 Level 3'!N27</f>
        <v>496.36</v>
      </c>
      <c r="G28" s="1534">
        <f t="shared" si="13"/>
        <v>0</v>
      </c>
      <c r="H28" s="1534">
        <f t="shared" si="14"/>
        <v>0</v>
      </c>
      <c r="I28" s="1052">
        <f t="shared" si="15"/>
        <v>0</v>
      </c>
      <c r="J28" s="1723"/>
      <c r="K28" s="1534">
        <f t="shared" si="16"/>
        <v>0</v>
      </c>
      <c r="L28" s="997">
        <f>'Table 3 Levels 1&amp;2'!CB30</f>
        <v>1611.91</v>
      </c>
      <c r="M28" s="1078">
        <f t="shared" si="17"/>
        <v>0</v>
      </c>
      <c r="N28" s="1078">
        <f t="shared" si="18"/>
        <v>0</v>
      </c>
      <c r="O28" s="1086">
        <f t="shared" si="19"/>
        <v>0</v>
      </c>
      <c r="P28" s="1086">
        <f t="shared" si="20"/>
        <v>0</v>
      </c>
      <c r="Q28" s="971"/>
    </row>
    <row r="29" spans="1:17">
      <c r="A29" s="994">
        <v>23</v>
      </c>
      <c r="B29" s="995" t="s">
        <v>117</v>
      </c>
      <c r="C29" s="996">
        <f>'[2]ALL-Reformatted'!Y28</f>
        <v>3</v>
      </c>
      <c r="D29" s="997">
        <f>'Table 3 Levels 1&amp;2'!BN31+'Table 3 Levels 1&amp;2'!BV31</f>
        <v>4788.2881021645453</v>
      </c>
      <c r="E29" s="1052">
        <f t="shared" si="12"/>
        <v>14364.864306493637</v>
      </c>
      <c r="F29" s="1534">
        <f>'Table 4 Level 3'!N28</f>
        <v>688.58</v>
      </c>
      <c r="G29" s="1534">
        <f t="shared" si="13"/>
        <v>2065.7400000000002</v>
      </c>
      <c r="H29" s="1534">
        <f t="shared" si="14"/>
        <v>16430.604306493638</v>
      </c>
      <c r="I29" s="1052">
        <f t="shared" si="15"/>
        <v>1369</v>
      </c>
      <c r="J29" s="1723"/>
      <c r="K29" s="1534">
        <f t="shared" si="16"/>
        <v>16430.604306493638</v>
      </c>
      <c r="L29" s="997">
        <f>'Table 3 Levels 1&amp;2'!CB31</f>
        <v>3318.13</v>
      </c>
      <c r="M29" s="1078">
        <f t="shared" si="17"/>
        <v>9954.39</v>
      </c>
      <c r="N29" s="1078">
        <f t="shared" si="18"/>
        <v>830</v>
      </c>
      <c r="O29" s="1086">
        <f t="shared" si="19"/>
        <v>26384.994306493638</v>
      </c>
      <c r="P29" s="1086">
        <f t="shared" si="20"/>
        <v>2199</v>
      </c>
      <c r="Q29" s="971"/>
    </row>
    <row r="30" spans="1:17">
      <c r="A30" s="994">
        <v>24</v>
      </c>
      <c r="B30" s="995" t="s">
        <v>118</v>
      </c>
      <c r="C30" s="996">
        <f>'[2]ALL-Reformatted'!Y29</f>
        <v>4</v>
      </c>
      <c r="D30" s="997">
        <f>'Table 3 Levels 1&amp;2'!BN32+'Table 3 Levels 1&amp;2'!BV32</f>
        <v>2743.328175824176</v>
      </c>
      <c r="E30" s="1052">
        <f t="shared" si="12"/>
        <v>10973.312703296704</v>
      </c>
      <c r="F30" s="1534">
        <f>'Table 4 Level 3'!N29</f>
        <v>854.24999999999989</v>
      </c>
      <c r="G30" s="1534">
        <f t="shared" si="13"/>
        <v>3416.9999999999995</v>
      </c>
      <c r="H30" s="1534">
        <f t="shared" si="14"/>
        <v>14390.312703296704</v>
      </c>
      <c r="I30" s="1052">
        <f t="shared" si="15"/>
        <v>1199</v>
      </c>
      <c r="J30" s="1723"/>
      <c r="K30" s="1534">
        <f t="shared" si="16"/>
        <v>14390.312703296704</v>
      </c>
      <c r="L30" s="997">
        <f>'Table 3 Levels 1&amp;2'!CB32</f>
        <v>5176.3500000000004</v>
      </c>
      <c r="M30" s="1078">
        <f t="shared" si="17"/>
        <v>20705.400000000001</v>
      </c>
      <c r="N30" s="1078">
        <f t="shared" si="18"/>
        <v>1725</v>
      </c>
      <c r="O30" s="1086">
        <f t="shared" si="19"/>
        <v>35095.712703296704</v>
      </c>
      <c r="P30" s="1086">
        <f t="shared" si="20"/>
        <v>2924</v>
      </c>
      <c r="Q30" s="971"/>
    </row>
    <row r="31" spans="1:17">
      <c r="A31" s="998">
        <v>25</v>
      </c>
      <c r="B31" s="999" t="s">
        <v>119</v>
      </c>
      <c r="C31" s="1000">
        <f>'[2]ALL-Reformatted'!Y30</f>
        <v>0</v>
      </c>
      <c r="D31" s="1001">
        <f>'Table 3 Levels 1&amp;2'!BN33+'Table 3 Levels 1&amp;2'!BV33</f>
        <v>3799.3890273447178</v>
      </c>
      <c r="E31" s="1055">
        <f t="shared" si="12"/>
        <v>0</v>
      </c>
      <c r="F31" s="1535">
        <f>'Table 4 Level 3'!N30</f>
        <v>653.73</v>
      </c>
      <c r="G31" s="1535">
        <f t="shared" si="13"/>
        <v>0</v>
      </c>
      <c r="H31" s="1535">
        <f t="shared" si="14"/>
        <v>0</v>
      </c>
      <c r="I31" s="1055">
        <f t="shared" si="15"/>
        <v>0</v>
      </c>
      <c r="J31" s="1724"/>
      <c r="K31" s="1535">
        <f t="shared" si="16"/>
        <v>0</v>
      </c>
      <c r="L31" s="1001">
        <f>'Table 3 Levels 1&amp;2'!CB33</f>
        <v>4459.46</v>
      </c>
      <c r="M31" s="1079">
        <f t="shared" si="17"/>
        <v>0</v>
      </c>
      <c r="N31" s="1079">
        <f t="shared" si="18"/>
        <v>0</v>
      </c>
      <c r="O31" s="1087">
        <f t="shared" si="19"/>
        <v>0</v>
      </c>
      <c r="P31" s="1087">
        <f t="shared" si="20"/>
        <v>0</v>
      </c>
      <c r="Q31" s="971"/>
    </row>
    <row r="32" spans="1:17">
      <c r="A32" s="987">
        <v>26</v>
      </c>
      <c r="B32" s="988" t="s">
        <v>120</v>
      </c>
      <c r="C32" s="989">
        <f>'[2]ALL-Reformatted'!Y31</f>
        <v>10</v>
      </c>
      <c r="D32" s="990">
        <f>'Table 3 Levels 1&amp;2'!BN34+'Table 3 Levels 1&amp;2'!BV34</f>
        <v>3320.7842100822745</v>
      </c>
      <c r="E32" s="991">
        <f t="shared" si="12"/>
        <v>33207.842100822745</v>
      </c>
      <c r="F32" s="991">
        <f>'Table 4 Level 3'!N31</f>
        <v>836.83</v>
      </c>
      <c r="G32" s="991">
        <f t="shared" si="13"/>
        <v>8368.3000000000011</v>
      </c>
      <c r="H32" s="991">
        <f t="shared" si="14"/>
        <v>41576.142100822748</v>
      </c>
      <c r="I32" s="991">
        <f t="shared" si="15"/>
        <v>3465</v>
      </c>
      <c r="J32" s="1722"/>
      <c r="K32" s="991">
        <f t="shared" si="16"/>
        <v>41576.142100822748</v>
      </c>
      <c r="L32" s="990">
        <f>'Table 3 Levels 1&amp;2'!CB34</f>
        <v>4706.3</v>
      </c>
      <c r="M32" s="1077">
        <f t="shared" si="17"/>
        <v>47063</v>
      </c>
      <c r="N32" s="1077">
        <f t="shared" si="18"/>
        <v>3922</v>
      </c>
      <c r="O32" s="1085">
        <f t="shared" si="19"/>
        <v>88639.142100822748</v>
      </c>
      <c r="P32" s="1085">
        <f t="shared" si="20"/>
        <v>7387</v>
      </c>
      <c r="Q32" s="971"/>
    </row>
    <row r="33" spans="1:17">
      <c r="A33" s="994">
        <v>27</v>
      </c>
      <c r="B33" s="995" t="s">
        <v>121</v>
      </c>
      <c r="C33" s="1002">
        <f>'[2]ALL-Reformatted'!Y32</f>
        <v>0</v>
      </c>
      <c r="D33" s="1003">
        <f>'Table 3 Levels 1&amp;2'!BN35+'Table 3 Levels 1&amp;2'!BV35</f>
        <v>5636.5919457972805</v>
      </c>
      <c r="E33" s="1059">
        <f t="shared" si="12"/>
        <v>0</v>
      </c>
      <c r="F33" s="1536">
        <f>'Table 4 Level 3'!N32</f>
        <v>693.06</v>
      </c>
      <c r="G33" s="1536">
        <f t="shared" si="13"/>
        <v>0</v>
      </c>
      <c r="H33" s="1536">
        <f t="shared" si="14"/>
        <v>0</v>
      </c>
      <c r="I33" s="1059">
        <f t="shared" si="15"/>
        <v>0</v>
      </c>
      <c r="J33" s="1725"/>
      <c r="K33" s="1536">
        <f t="shared" si="16"/>
        <v>0</v>
      </c>
      <c r="L33" s="1003">
        <f>'Table 3 Levels 1&amp;2'!CB35</f>
        <v>3073.92</v>
      </c>
      <c r="M33" s="1080">
        <f t="shared" si="17"/>
        <v>0</v>
      </c>
      <c r="N33" s="1080">
        <f t="shared" si="18"/>
        <v>0</v>
      </c>
      <c r="O33" s="1088">
        <f t="shared" si="19"/>
        <v>0</v>
      </c>
      <c r="P33" s="1088">
        <f t="shared" si="20"/>
        <v>0</v>
      </c>
      <c r="Q33" s="971"/>
    </row>
    <row r="34" spans="1:17">
      <c r="A34" s="994">
        <v>28</v>
      </c>
      <c r="B34" s="995" t="s">
        <v>122</v>
      </c>
      <c r="C34" s="1002">
        <f>'[2]ALL-Reformatted'!Y33</f>
        <v>12</v>
      </c>
      <c r="D34" s="1003">
        <f>'Table 3 Levels 1&amp;2'!BN36+'Table 3 Levels 1&amp;2'!BV36</f>
        <v>3106.8056522508969</v>
      </c>
      <c r="E34" s="1059">
        <f t="shared" si="12"/>
        <v>37281.667827010766</v>
      </c>
      <c r="F34" s="1536">
        <f>'Table 4 Level 3'!N33</f>
        <v>694.4</v>
      </c>
      <c r="G34" s="1536">
        <f t="shared" si="13"/>
        <v>8332.7999999999993</v>
      </c>
      <c r="H34" s="1536">
        <f t="shared" si="14"/>
        <v>45614.467827010769</v>
      </c>
      <c r="I34" s="1059">
        <f t="shared" si="15"/>
        <v>3801</v>
      </c>
      <c r="J34" s="1725"/>
      <c r="K34" s="1536">
        <f t="shared" si="16"/>
        <v>45614.467827010769</v>
      </c>
      <c r="L34" s="1003">
        <f>'Table 3 Levels 1&amp;2'!CB36</f>
        <v>4168.67</v>
      </c>
      <c r="M34" s="1080">
        <f t="shared" si="17"/>
        <v>50024.04</v>
      </c>
      <c r="N34" s="1080">
        <f t="shared" si="18"/>
        <v>4169</v>
      </c>
      <c r="O34" s="1088">
        <f t="shared" si="19"/>
        <v>95638.507827010762</v>
      </c>
      <c r="P34" s="1088">
        <f t="shared" si="20"/>
        <v>7970</v>
      </c>
      <c r="Q34" s="971"/>
    </row>
    <row r="35" spans="1:17">
      <c r="A35" s="994">
        <v>29</v>
      </c>
      <c r="B35" s="995" t="s">
        <v>123</v>
      </c>
      <c r="C35" s="1002">
        <f>'[2]ALL-Reformatted'!Y34</f>
        <v>3</v>
      </c>
      <c r="D35" s="1003">
        <f>'Table 3 Levels 1&amp;2'!BN37+'Table 3 Levels 1&amp;2'!BV37</f>
        <v>3912.1846976122315</v>
      </c>
      <c r="E35" s="1059">
        <f t="shared" si="12"/>
        <v>11736.554092836694</v>
      </c>
      <c r="F35" s="1536">
        <f>'Table 4 Level 3'!N34</f>
        <v>754.94999999999993</v>
      </c>
      <c r="G35" s="1536">
        <f t="shared" si="13"/>
        <v>2264.85</v>
      </c>
      <c r="H35" s="1536">
        <f t="shared" si="14"/>
        <v>14001.404092836694</v>
      </c>
      <c r="I35" s="1059">
        <f t="shared" si="15"/>
        <v>1167</v>
      </c>
      <c r="J35" s="1725"/>
      <c r="K35" s="1536">
        <f t="shared" si="16"/>
        <v>14001.404092836694</v>
      </c>
      <c r="L35" s="1003">
        <f>'Table 3 Levels 1&amp;2'!CB37</f>
        <v>3536.5</v>
      </c>
      <c r="M35" s="1080">
        <f t="shared" si="17"/>
        <v>10609.5</v>
      </c>
      <c r="N35" s="1080">
        <f t="shared" si="18"/>
        <v>884</v>
      </c>
      <c r="O35" s="1088">
        <f t="shared" si="19"/>
        <v>24610.904092836696</v>
      </c>
      <c r="P35" s="1088">
        <f t="shared" si="20"/>
        <v>2051</v>
      </c>
      <c r="Q35" s="971"/>
    </row>
    <row r="36" spans="1:17">
      <c r="A36" s="998">
        <v>30</v>
      </c>
      <c r="B36" s="999" t="s">
        <v>124</v>
      </c>
      <c r="C36" s="1004">
        <f>'[2]ALL-Reformatted'!Y35</f>
        <v>1</v>
      </c>
      <c r="D36" s="1005">
        <f>'Table 3 Levels 1&amp;2'!BN38+'Table 3 Levels 1&amp;2'!BV38</f>
        <v>5594.0091640611508</v>
      </c>
      <c r="E36" s="1060">
        <f t="shared" si="12"/>
        <v>5594.0091640611508</v>
      </c>
      <c r="F36" s="1537">
        <f>'Table 4 Level 3'!N35</f>
        <v>727.17</v>
      </c>
      <c r="G36" s="1537">
        <f t="shared" si="13"/>
        <v>727.17</v>
      </c>
      <c r="H36" s="1537">
        <f t="shared" si="14"/>
        <v>6321.1791640611509</v>
      </c>
      <c r="I36" s="1060">
        <f t="shared" si="15"/>
        <v>527</v>
      </c>
      <c r="J36" s="1726"/>
      <c r="K36" s="1537">
        <f t="shared" si="16"/>
        <v>6321.1791640611509</v>
      </c>
      <c r="L36" s="1005">
        <f>'Table 3 Levels 1&amp;2'!CB38</f>
        <v>3056.24</v>
      </c>
      <c r="M36" s="1081">
        <f t="shared" si="17"/>
        <v>3056.24</v>
      </c>
      <c r="N36" s="1081">
        <f t="shared" si="18"/>
        <v>255</v>
      </c>
      <c r="O36" s="1089">
        <f t="shared" si="19"/>
        <v>9377.4191640611498</v>
      </c>
      <c r="P36" s="1089">
        <f t="shared" si="20"/>
        <v>782</v>
      </c>
      <c r="Q36" s="971"/>
    </row>
    <row r="37" spans="1:17">
      <c r="A37" s="987">
        <v>31</v>
      </c>
      <c r="B37" s="988" t="s">
        <v>125</v>
      </c>
      <c r="C37" s="1006">
        <f>'[2]ALL-Reformatted'!Y36</f>
        <v>1</v>
      </c>
      <c r="D37" s="1007">
        <f>'Table 3 Levels 1&amp;2'!BN39+'Table 3 Levels 1&amp;2'!BV39</f>
        <v>4320.114188911979</v>
      </c>
      <c r="E37" s="1061">
        <f t="shared" si="12"/>
        <v>4320.114188911979</v>
      </c>
      <c r="F37" s="1061">
        <f>'Table 4 Level 3'!N36</f>
        <v>620.83000000000004</v>
      </c>
      <c r="G37" s="1061">
        <f t="shared" si="13"/>
        <v>620.83000000000004</v>
      </c>
      <c r="H37" s="1061">
        <f t="shared" si="14"/>
        <v>4940.9441889119789</v>
      </c>
      <c r="I37" s="1061">
        <f t="shared" si="15"/>
        <v>412</v>
      </c>
      <c r="J37" s="1727"/>
      <c r="K37" s="1061">
        <f t="shared" si="16"/>
        <v>4940.9441889119789</v>
      </c>
      <c r="L37" s="1007">
        <f>'Table 3 Levels 1&amp;2'!CB39</f>
        <v>3737.21</v>
      </c>
      <c r="M37" s="1082">
        <f t="shared" si="17"/>
        <v>3737.21</v>
      </c>
      <c r="N37" s="1082">
        <f t="shared" si="18"/>
        <v>311</v>
      </c>
      <c r="O37" s="1090">
        <f t="shared" si="19"/>
        <v>8678.1541889119799</v>
      </c>
      <c r="P37" s="1090">
        <f t="shared" si="20"/>
        <v>723</v>
      </c>
      <c r="Q37" s="971"/>
    </row>
    <row r="38" spans="1:17">
      <c r="A38" s="994">
        <v>32</v>
      </c>
      <c r="B38" s="995" t="s">
        <v>126</v>
      </c>
      <c r="C38" s="1002">
        <f>'[2]ALL-Reformatted'!Y37</f>
        <v>13</v>
      </c>
      <c r="D38" s="1003">
        <f>'Table 3 Levels 1&amp;2'!BN40+'Table 3 Levels 1&amp;2'!BV40</f>
        <v>5504.4479209353676</v>
      </c>
      <c r="E38" s="1059">
        <f t="shared" si="12"/>
        <v>71557.822972159775</v>
      </c>
      <c r="F38" s="1536">
        <f>'Table 4 Level 3'!N37</f>
        <v>559.77</v>
      </c>
      <c r="G38" s="1536">
        <f t="shared" si="13"/>
        <v>7277.01</v>
      </c>
      <c r="H38" s="1536">
        <f t="shared" si="14"/>
        <v>78834.832972159769</v>
      </c>
      <c r="I38" s="1059">
        <f t="shared" si="15"/>
        <v>6570</v>
      </c>
      <c r="J38" s="1725"/>
      <c r="K38" s="1536">
        <f t="shared" si="16"/>
        <v>78834.832972159769</v>
      </c>
      <c r="L38" s="1003">
        <f>'Table 3 Levels 1&amp;2'!CB40</f>
        <v>2004.53</v>
      </c>
      <c r="M38" s="1080">
        <f t="shared" si="17"/>
        <v>26058.89</v>
      </c>
      <c r="N38" s="1080">
        <f t="shared" si="18"/>
        <v>2172</v>
      </c>
      <c r="O38" s="1088">
        <f t="shared" si="19"/>
        <v>104893.72297215977</v>
      </c>
      <c r="P38" s="1088">
        <f t="shared" si="20"/>
        <v>8742</v>
      </c>
      <c r="Q38" s="971"/>
    </row>
    <row r="39" spans="1:17">
      <c r="A39" s="994">
        <v>33</v>
      </c>
      <c r="B39" s="995" t="s">
        <v>127</v>
      </c>
      <c r="C39" s="1002">
        <f>'[2]ALL-Reformatted'!Y38</f>
        <v>0</v>
      </c>
      <c r="D39" s="1003">
        <f>'Table 3 Levels 1&amp;2'!BN41+'Table 3 Levels 1&amp;2'!BV41</f>
        <v>5322.07272511876</v>
      </c>
      <c r="E39" s="1059">
        <f t="shared" ref="E39:E70" si="21">D39*C39</f>
        <v>0</v>
      </c>
      <c r="F39" s="1536">
        <f>'Table 4 Level 3'!N38</f>
        <v>655.31000000000006</v>
      </c>
      <c r="G39" s="1536">
        <f t="shared" si="13"/>
        <v>0</v>
      </c>
      <c r="H39" s="1536">
        <f t="shared" si="14"/>
        <v>0</v>
      </c>
      <c r="I39" s="1059">
        <f t="shared" si="15"/>
        <v>0</v>
      </c>
      <c r="J39" s="1725"/>
      <c r="K39" s="1536">
        <f t="shared" si="16"/>
        <v>0</v>
      </c>
      <c r="L39" s="1003">
        <f>'Table 3 Levels 1&amp;2'!CB41</f>
        <v>2749.51</v>
      </c>
      <c r="M39" s="1080">
        <f t="shared" ref="M39:M70" si="22">L39*C39</f>
        <v>0</v>
      </c>
      <c r="N39" s="1080">
        <f t="shared" si="18"/>
        <v>0</v>
      </c>
      <c r="O39" s="1088">
        <f t="shared" si="19"/>
        <v>0</v>
      </c>
      <c r="P39" s="1088">
        <f t="shared" si="20"/>
        <v>0</v>
      </c>
      <c r="Q39" s="971"/>
    </row>
    <row r="40" spans="1:17">
      <c r="A40" s="994">
        <v>34</v>
      </c>
      <c r="B40" s="995" t="s">
        <v>128</v>
      </c>
      <c r="C40" s="1002">
        <f>'[2]ALL-Reformatted'!Y39</f>
        <v>2</v>
      </c>
      <c r="D40" s="1003">
        <f>'Table 3 Levels 1&amp;2'!BN42+'Table 3 Levels 1&amp;2'!BV42</f>
        <v>5959.062840731639</v>
      </c>
      <c r="E40" s="1059">
        <f t="shared" si="21"/>
        <v>11918.125681463278</v>
      </c>
      <c r="F40" s="1536">
        <f>'Table 4 Level 3'!N39</f>
        <v>644.11000000000013</v>
      </c>
      <c r="G40" s="1536">
        <f t="shared" si="13"/>
        <v>1288.2200000000003</v>
      </c>
      <c r="H40" s="1536">
        <f t="shared" si="14"/>
        <v>13206.345681463277</v>
      </c>
      <c r="I40" s="1059">
        <f t="shared" si="15"/>
        <v>1101</v>
      </c>
      <c r="J40" s="1725"/>
      <c r="K40" s="1536">
        <f t="shared" si="16"/>
        <v>13206.345681463277</v>
      </c>
      <c r="L40" s="1003">
        <f>'Table 3 Levels 1&amp;2'!CB42</f>
        <v>2869.95</v>
      </c>
      <c r="M40" s="1080">
        <f t="shared" si="22"/>
        <v>5739.9</v>
      </c>
      <c r="N40" s="1080">
        <f t="shared" si="18"/>
        <v>478</v>
      </c>
      <c r="O40" s="1088">
        <f t="shared" si="19"/>
        <v>18946.245681463275</v>
      </c>
      <c r="P40" s="1088">
        <f t="shared" si="20"/>
        <v>1579</v>
      </c>
      <c r="Q40" s="971"/>
    </row>
    <row r="41" spans="1:17">
      <c r="A41" s="998">
        <v>35</v>
      </c>
      <c r="B41" s="999" t="s">
        <v>129</v>
      </c>
      <c r="C41" s="1004">
        <f>'[2]ALL-Reformatted'!Y40</f>
        <v>13</v>
      </c>
      <c r="D41" s="1005">
        <f>'Table 3 Levels 1&amp;2'!BN43+'Table 3 Levels 1&amp;2'!BV43</f>
        <v>4571.947611490059</v>
      </c>
      <c r="E41" s="1060">
        <f t="shared" si="21"/>
        <v>59435.318949370769</v>
      </c>
      <c r="F41" s="1537">
        <f>'Table 4 Level 3'!N40</f>
        <v>537.96</v>
      </c>
      <c r="G41" s="1537">
        <f t="shared" si="13"/>
        <v>6993.4800000000005</v>
      </c>
      <c r="H41" s="1537">
        <f t="shared" si="14"/>
        <v>66428.798949370772</v>
      </c>
      <c r="I41" s="1060">
        <f t="shared" si="15"/>
        <v>5536</v>
      </c>
      <c r="J41" s="1726">
        <f>'Table 4A Level 4'!J81</f>
        <v>0</v>
      </c>
      <c r="K41" s="1537">
        <f t="shared" si="16"/>
        <v>66428.798949370772</v>
      </c>
      <c r="L41" s="1005">
        <f>'Table 3 Levels 1&amp;2'!CB43</f>
        <v>3599.19</v>
      </c>
      <c r="M41" s="1081">
        <f t="shared" si="22"/>
        <v>46789.47</v>
      </c>
      <c r="N41" s="1081">
        <f t="shared" si="18"/>
        <v>3899</v>
      </c>
      <c r="O41" s="1089">
        <f t="shared" si="19"/>
        <v>113218.26894937077</v>
      </c>
      <c r="P41" s="1089">
        <f t="shared" si="20"/>
        <v>9435</v>
      </c>
      <c r="Q41" s="971"/>
    </row>
    <row r="42" spans="1:17">
      <c r="A42" s="987">
        <v>36</v>
      </c>
      <c r="B42" s="988" t="s">
        <v>130</v>
      </c>
      <c r="C42" s="1006">
        <f>'[2]ALL-Reformatted'!Y41</f>
        <v>6</v>
      </c>
      <c r="D42" s="1007">
        <f>'Table 3 Levels 1&amp;2'!BN44+'Table 3 Levels 1&amp;2'!BV44</f>
        <v>3666.4136012725312</v>
      </c>
      <c r="E42" s="1061">
        <f t="shared" si="21"/>
        <v>21998.481607635185</v>
      </c>
      <c r="F42" s="1061">
        <f>'Table 4 Level 3'!N41</f>
        <v>727.23177743956114</v>
      </c>
      <c r="G42" s="1061">
        <f t="shared" si="13"/>
        <v>4363.3906646373671</v>
      </c>
      <c r="H42" s="1061">
        <f t="shared" si="14"/>
        <v>26361.872272272551</v>
      </c>
      <c r="I42" s="1061">
        <f t="shared" si="15"/>
        <v>2197</v>
      </c>
      <c r="J42" s="1727"/>
      <c r="K42" s="1061">
        <f t="shared" si="16"/>
        <v>26361.872272272551</v>
      </c>
      <c r="L42" s="1007">
        <f>'Table 3 Levels 1&amp;2'!CB44</f>
        <v>4149.93</v>
      </c>
      <c r="M42" s="1082">
        <f t="shared" si="22"/>
        <v>24899.58</v>
      </c>
      <c r="N42" s="1082">
        <f t="shared" si="18"/>
        <v>2075</v>
      </c>
      <c r="O42" s="1090">
        <f t="shared" si="19"/>
        <v>51261.452272272552</v>
      </c>
      <c r="P42" s="1090">
        <f t="shared" si="20"/>
        <v>4272</v>
      </c>
      <c r="Q42" s="971"/>
    </row>
    <row r="43" spans="1:17">
      <c r="A43" s="994">
        <v>37</v>
      </c>
      <c r="B43" s="995" t="s">
        <v>131</v>
      </c>
      <c r="C43" s="1002">
        <f>'[2]ALL-Reformatted'!Y42</f>
        <v>6</v>
      </c>
      <c r="D43" s="1003">
        <f>'Table 3 Levels 1&amp;2'!BN45+'Table 3 Levels 1&amp;2'!BV45</f>
        <v>5484.8089042263191</v>
      </c>
      <c r="E43" s="1059">
        <f t="shared" si="21"/>
        <v>32908.853425357913</v>
      </c>
      <c r="F43" s="1536">
        <f>'Table 4 Level 3'!N42</f>
        <v>653.61</v>
      </c>
      <c r="G43" s="1536">
        <f t="shared" si="13"/>
        <v>3921.66</v>
      </c>
      <c r="H43" s="1536">
        <f t="shared" si="14"/>
        <v>36830.513425357916</v>
      </c>
      <c r="I43" s="1059">
        <f t="shared" si="15"/>
        <v>3069</v>
      </c>
      <c r="J43" s="1725"/>
      <c r="K43" s="1536">
        <f t="shared" si="16"/>
        <v>36830.513425357916</v>
      </c>
      <c r="L43" s="1003">
        <f>'Table 3 Levels 1&amp;2'!CB45</f>
        <v>2856.98</v>
      </c>
      <c r="M43" s="1080">
        <f t="shared" si="22"/>
        <v>17141.88</v>
      </c>
      <c r="N43" s="1080">
        <f t="shared" si="18"/>
        <v>1428</v>
      </c>
      <c r="O43" s="1088">
        <f t="shared" si="19"/>
        <v>53972.393425357921</v>
      </c>
      <c r="P43" s="1088">
        <f t="shared" si="20"/>
        <v>4497</v>
      </c>
      <c r="Q43" s="971"/>
    </row>
    <row r="44" spans="1:17">
      <c r="A44" s="994">
        <v>38</v>
      </c>
      <c r="B44" s="995" t="s">
        <v>132</v>
      </c>
      <c r="C44" s="1002">
        <f>'[2]ALL-Reformatted'!Y43</f>
        <v>2</v>
      </c>
      <c r="D44" s="1003">
        <f>'Table 3 Levels 1&amp;2'!BN46+'Table 3 Levels 1&amp;2'!BV46</f>
        <v>2078.5917829727841</v>
      </c>
      <c r="E44" s="1059">
        <f t="shared" si="21"/>
        <v>4157.1835659455683</v>
      </c>
      <c r="F44" s="1536">
        <f>'Table 4 Level 3'!N43</f>
        <v>829.92000000000007</v>
      </c>
      <c r="G44" s="1536">
        <f t="shared" si="13"/>
        <v>1659.8400000000001</v>
      </c>
      <c r="H44" s="1536">
        <f t="shared" si="14"/>
        <v>5817.0235659455684</v>
      </c>
      <c r="I44" s="1059">
        <f t="shared" si="15"/>
        <v>485</v>
      </c>
      <c r="J44" s="1725"/>
      <c r="K44" s="1536">
        <f t="shared" si="16"/>
        <v>5817.0235659455684</v>
      </c>
      <c r="L44" s="1003">
        <f>'Table 3 Levels 1&amp;2'!CB46</f>
        <v>6087.79</v>
      </c>
      <c r="M44" s="1080">
        <f t="shared" si="22"/>
        <v>12175.58</v>
      </c>
      <c r="N44" s="1080">
        <f t="shared" si="18"/>
        <v>1015</v>
      </c>
      <c r="O44" s="1088">
        <f t="shared" si="19"/>
        <v>17992.603565945567</v>
      </c>
      <c r="P44" s="1088">
        <f t="shared" si="20"/>
        <v>1500</v>
      </c>
      <c r="Q44" s="971"/>
    </row>
    <row r="45" spans="1:17">
      <c r="A45" s="994">
        <v>39</v>
      </c>
      <c r="B45" s="995" t="s">
        <v>133</v>
      </c>
      <c r="C45" s="1002">
        <f>'[2]ALL-Reformatted'!Y44</f>
        <v>6</v>
      </c>
      <c r="D45" s="1003">
        <f>'Table 3 Levels 1&amp;2'!BN47+'Table 3 Levels 1&amp;2'!BV47</f>
        <v>3622.4878999042335</v>
      </c>
      <c r="E45" s="1059">
        <f t="shared" si="21"/>
        <v>21734.9273994254</v>
      </c>
      <c r="F45" s="1536">
        <f>'Table 4 Level 3'!N44</f>
        <v>779.65573042776441</v>
      </c>
      <c r="G45" s="1536">
        <f t="shared" si="13"/>
        <v>4677.9343825665865</v>
      </c>
      <c r="H45" s="1536">
        <f t="shared" si="14"/>
        <v>26412.861781991985</v>
      </c>
      <c r="I45" s="1059">
        <f t="shared" si="15"/>
        <v>2201</v>
      </c>
      <c r="J45" s="1725"/>
      <c r="K45" s="1536">
        <f t="shared" si="16"/>
        <v>26412.861781991985</v>
      </c>
      <c r="L45" s="1003">
        <f>'Table 3 Levels 1&amp;2'!CB47</f>
        <v>4420.29</v>
      </c>
      <c r="M45" s="1080">
        <f t="shared" si="22"/>
        <v>26521.739999999998</v>
      </c>
      <c r="N45" s="1080">
        <f t="shared" si="18"/>
        <v>2210</v>
      </c>
      <c r="O45" s="1088">
        <f t="shared" si="19"/>
        <v>52934.60178199198</v>
      </c>
      <c r="P45" s="1088">
        <f t="shared" si="20"/>
        <v>4411</v>
      </c>
      <c r="Q45" s="971"/>
    </row>
    <row r="46" spans="1:17">
      <c r="A46" s="998">
        <v>40</v>
      </c>
      <c r="B46" s="999" t="s">
        <v>134</v>
      </c>
      <c r="C46" s="1004">
        <f>'[2]ALL-Reformatted'!Y45</f>
        <v>8</v>
      </c>
      <c r="D46" s="1005">
        <f>'Table 3 Levels 1&amp;2'!BN48+'Table 3 Levels 1&amp;2'!BV48</f>
        <v>4885.6387343180086</v>
      </c>
      <c r="E46" s="1060">
        <f t="shared" si="21"/>
        <v>39085.109874544069</v>
      </c>
      <c r="F46" s="1537">
        <f>'Table 4 Level 3'!N45</f>
        <v>700.2700000000001</v>
      </c>
      <c r="G46" s="1537">
        <f t="shared" si="13"/>
        <v>5602.1600000000008</v>
      </c>
      <c r="H46" s="1537">
        <f t="shared" si="14"/>
        <v>44687.269874544072</v>
      </c>
      <c r="I46" s="1060">
        <f t="shared" si="15"/>
        <v>3724</v>
      </c>
      <c r="J46" s="1726"/>
      <c r="K46" s="1537">
        <f t="shared" si="16"/>
        <v>44687.269874544072</v>
      </c>
      <c r="L46" s="1005">
        <f>'Table 3 Levels 1&amp;2'!CB48</f>
        <v>2999.72</v>
      </c>
      <c r="M46" s="1081">
        <f t="shared" si="22"/>
        <v>23997.759999999998</v>
      </c>
      <c r="N46" s="1081">
        <f t="shared" si="18"/>
        <v>2000</v>
      </c>
      <c r="O46" s="1089">
        <f t="shared" si="19"/>
        <v>68685.029874544067</v>
      </c>
      <c r="P46" s="1089">
        <f t="shared" si="20"/>
        <v>5724</v>
      </c>
      <c r="Q46" s="971"/>
    </row>
    <row r="47" spans="1:17">
      <c r="A47" s="987">
        <v>41</v>
      </c>
      <c r="B47" s="988" t="s">
        <v>135</v>
      </c>
      <c r="C47" s="1006">
        <f>'[2]ALL-Reformatted'!Y46</f>
        <v>0</v>
      </c>
      <c r="D47" s="1007">
        <f>'Table 3 Levels 1&amp;2'!BN49+'Table 3 Levels 1&amp;2'!BV49</f>
        <v>1602.0398121899364</v>
      </c>
      <c r="E47" s="1061">
        <f t="shared" si="21"/>
        <v>0</v>
      </c>
      <c r="F47" s="1061">
        <f>'Table 4 Level 3'!N46</f>
        <v>886.22</v>
      </c>
      <c r="G47" s="1061">
        <f t="shared" si="13"/>
        <v>0</v>
      </c>
      <c r="H47" s="1061">
        <f t="shared" si="14"/>
        <v>0</v>
      </c>
      <c r="I47" s="1061">
        <f t="shared" si="15"/>
        <v>0</v>
      </c>
      <c r="J47" s="1727"/>
      <c r="K47" s="1061">
        <f t="shared" si="16"/>
        <v>0</v>
      </c>
      <c r="L47" s="1007">
        <f>'Table 3 Levels 1&amp;2'!CB49</f>
        <v>6341.94</v>
      </c>
      <c r="M47" s="1082">
        <f t="shared" si="22"/>
        <v>0</v>
      </c>
      <c r="N47" s="1082">
        <f t="shared" si="18"/>
        <v>0</v>
      </c>
      <c r="O47" s="1090">
        <f t="shared" si="19"/>
        <v>0</v>
      </c>
      <c r="P47" s="1090">
        <f t="shared" si="20"/>
        <v>0</v>
      </c>
      <c r="Q47" s="971"/>
    </row>
    <row r="48" spans="1:17">
      <c r="A48" s="994">
        <v>42</v>
      </c>
      <c r="B48" s="995" t="s">
        <v>136</v>
      </c>
      <c r="C48" s="1002">
        <f>'[2]ALL-Reformatted'!Y47</f>
        <v>0</v>
      </c>
      <c r="D48" s="1003">
        <f>'Table 3 Levels 1&amp;2'!BN50+'Table 3 Levels 1&amp;2'!BV50</f>
        <v>5098.6172346404755</v>
      </c>
      <c r="E48" s="1059">
        <f t="shared" si="21"/>
        <v>0</v>
      </c>
      <c r="F48" s="1536">
        <f>'Table 4 Level 3'!N47</f>
        <v>534.28</v>
      </c>
      <c r="G48" s="1536">
        <f t="shared" si="13"/>
        <v>0</v>
      </c>
      <c r="H48" s="1536">
        <f t="shared" si="14"/>
        <v>0</v>
      </c>
      <c r="I48" s="1059">
        <f t="shared" si="15"/>
        <v>0</v>
      </c>
      <c r="J48" s="1725"/>
      <c r="K48" s="1536">
        <f t="shared" si="16"/>
        <v>0</v>
      </c>
      <c r="L48" s="1003">
        <f>'Table 3 Levels 1&amp;2'!CB50</f>
        <v>2618.67</v>
      </c>
      <c r="M48" s="1080">
        <f t="shared" si="22"/>
        <v>0</v>
      </c>
      <c r="N48" s="1080">
        <f t="shared" si="18"/>
        <v>0</v>
      </c>
      <c r="O48" s="1088">
        <f t="shared" si="19"/>
        <v>0</v>
      </c>
      <c r="P48" s="1088">
        <f t="shared" si="20"/>
        <v>0</v>
      </c>
      <c r="Q48" s="971"/>
    </row>
    <row r="49" spans="1:17">
      <c r="A49" s="994">
        <v>43</v>
      </c>
      <c r="B49" s="995" t="s">
        <v>137</v>
      </c>
      <c r="C49" s="1002">
        <f>'[2]ALL-Reformatted'!Y48</f>
        <v>5</v>
      </c>
      <c r="D49" s="1003">
        <f>'Table 3 Levels 1&amp;2'!BN51+'Table 3 Levels 1&amp;2'!BV51</f>
        <v>4701.3362575004667</v>
      </c>
      <c r="E49" s="1059">
        <f t="shared" si="21"/>
        <v>23506.681287502332</v>
      </c>
      <c r="F49" s="1536">
        <f>'Table 4 Level 3'!N48</f>
        <v>574.6099999999999</v>
      </c>
      <c r="G49" s="1536">
        <f t="shared" si="13"/>
        <v>2873.0499999999993</v>
      </c>
      <c r="H49" s="1536">
        <f t="shared" si="14"/>
        <v>26379.731287502331</v>
      </c>
      <c r="I49" s="1059">
        <f t="shared" si="15"/>
        <v>2198</v>
      </c>
      <c r="J49" s="1725"/>
      <c r="K49" s="1536">
        <f t="shared" si="16"/>
        <v>26379.731287502331</v>
      </c>
      <c r="L49" s="1003">
        <f>'Table 3 Levels 1&amp;2'!CB51</f>
        <v>3919.99</v>
      </c>
      <c r="M49" s="1080">
        <f t="shared" si="22"/>
        <v>19599.949999999997</v>
      </c>
      <c r="N49" s="1080">
        <f t="shared" si="18"/>
        <v>1633</v>
      </c>
      <c r="O49" s="1088">
        <f t="shared" si="19"/>
        <v>45979.681287502332</v>
      </c>
      <c r="P49" s="1088">
        <f t="shared" si="20"/>
        <v>3831</v>
      </c>
      <c r="Q49" s="971"/>
    </row>
    <row r="50" spans="1:17">
      <c r="A50" s="994">
        <v>44</v>
      </c>
      <c r="B50" s="995" t="s">
        <v>138</v>
      </c>
      <c r="C50" s="1002">
        <f>'[2]ALL-Reformatted'!Y49</f>
        <v>2</v>
      </c>
      <c r="D50" s="1003">
        <f>'Table 3 Levels 1&amp;2'!BN52+'Table 3 Levels 1&amp;2'!BV52</f>
        <v>4649.5559521248724</v>
      </c>
      <c r="E50" s="1059">
        <f t="shared" si="21"/>
        <v>9299.1119042497448</v>
      </c>
      <c r="F50" s="1536">
        <f>'Table 4 Level 3'!N49</f>
        <v>663.16000000000008</v>
      </c>
      <c r="G50" s="1536">
        <f t="shared" si="13"/>
        <v>1326.3200000000002</v>
      </c>
      <c r="H50" s="1536">
        <f t="shared" si="14"/>
        <v>10625.431904249745</v>
      </c>
      <c r="I50" s="1059">
        <f t="shared" si="15"/>
        <v>885</v>
      </c>
      <c r="J50" s="1725"/>
      <c r="K50" s="1536">
        <f t="shared" si="16"/>
        <v>10625.431904249745</v>
      </c>
      <c r="L50" s="1003">
        <f>'Table 3 Levels 1&amp;2'!CB52</f>
        <v>3484.64</v>
      </c>
      <c r="M50" s="1080">
        <f t="shared" si="22"/>
        <v>6969.28</v>
      </c>
      <c r="N50" s="1080">
        <f t="shared" si="18"/>
        <v>581</v>
      </c>
      <c r="O50" s="1088">
        <f t="shared" si="19"/>
        <v>17594.711904249743</v>
      </c>
      <c r="P50" s="1088">
        <f t="shared" si="20"/>
        <v>1466</v>
      </c>
      <c r="Q50" s="971"/>
    </row>
    <row r="51" spans="1:17">
      <c r="A51" s="998">
        <v>45</v>
      </c>
      <c r="B51" s="999" t="s">
        <v>139</v>
      </c>
      <c r="C51" s="1004">
        <f>'[2]ALL-Reformatted'!Y50</f>
        <v>5</v>
      </c>
      <c r="D51" s="1005">
        <f>'Table 3 Levels 1&amp;2'!BN53+'Table 3 Levels 1&amp;2'!BV53</f>
        <v>2159.257884231537</v>
      </c>
      <c r="E51" s="1060">
        <f t="shared" si="21"/>
        <v>10796.289421157686</v>
      </c>
      <c r="F51" s="1537">
        <f>'Table 4 Level 3'!N50</f>
        <v>753.96000000000015</v>
      </c>
      <c r="G51" s="1537">
        <f t="shared" si="13"/>
        <v>3769.8000000000006</v>
      </c>
      <c r="H51" s="1537">
        <f t="shared" si="14"/>
        <v>14566.089421157687</v>
      </c>
      <c r="I51" s="1060">
        <f t="shared" si="15"/>
        <v>1214</v>
      </c>
      <c r="J51" s="1726"/>
      <c r="K51" s="1537">
        <f t="shared" si="16"/>
        <v>14566.089421157687</v>
      </c>
      <c r="L51" s="1005">
        <f>'Table 3 Levels 1&amp;2'!CB53</f>
        <v>5247.83</v>
      </c>
      <c r="M51" s="1081">
        <f t="shared" si="22"/>
        <v>26239.15</v>
      </c>
      <c r="N51" s="1081">
        <f t="shared" si="18"/>
        <v>2187</v>
      </c>
      <c r="O51" s="1089">
        <f t="shared" si="19"/>
        <v>40805.23942115769</v>
      </c>
      <c r="P51" s="1089">
        <f t="shared" si="20"/>
        <v>3401</v>
      </c>
      <c r="Q51" s="971"/>
    </row>
    <row r="52" spans="1:17">
      <c r="A52" s="987">
        <v>46</v>
      </c>
      <c r="B52" s="988" t="s">
        <v>140</v>
      </c>
      <c r="C52" s="1006">
        <f>'[2]ALL-Reformatted'!Y51</f>
        <v>0</v>
      </c>
      <c r="D52" s="1007">
        <f>'Table 3 Levels 1&amp;2'!BN54+'Table 3 Levels 1&amp;2'!BV54</f>
        <v>5578.7258135108641</v>
      </c>
      <c r="E52" s="1061">
        <f t="shared" si="21"/>
        <v>0</v>
      </c>
      <c r="F52" s="1061">
        <f>'Table 4 Level 3'!N51</f>
        <v>728.06</v>
      </c>
      <c r="G52" s="1061">
        <f t="shared" si="13"/>
        <v>0</v>
      </c>
      <c r="H52" s="1061">
        <f t="shared" si="14"/>
        <v>0</v>
      </c>
      <c r="I52" s="1061">
        <f t="shared" si="15"/>
        <v>0</v>
      </c>
      <c r="J52" s="1727"/>
      <c r="K52" s="1061">
        <f t="shared" si="16"/>
        <v>0</v>
      </c>
      <c r="L52" s="1007">
        <f>'Table 3 Levels 1&amp;2'!CB54</f>
        <v>2002.88</v>
      </c>
      <c r="M52" s="1082">
        <f t="shared" si="22"/>
        <v>0</v>
      </c>
      <c r="N52" s="1082">
        <f t="shared" si="18"/>
        <v>0</v>
      </c>
      <c r="O52" s="1090">
        <f t="shared" si="19"/>
        <v>0</v>
      </c>
      <c r="P52" s="1090">
        <f t="shared" si="20"/>
        <v>0</v>
      </c>
      <c r="Q52" s="971"/>
    </row>
    <row r="53" spans="1:17">
      <c r="A53" s="994">
        <v>47</v>
      </c>
      <c r="B53" s="995" t="s">
        <v>141</v>
      </c>
      <c r="C53" s="1002">
        <f>'[2]ALL-Reformatted'!Y52</f>
        <v>3</v>
      </c>
      <c r="D53" s="1003">
        <f>'Table 3 Levels 1&amp;2'!BN55+'Table 3 Levels 1&amp;2'!BV55</f>
        <v>2709.058014721415</v>
      </c>
      <c r="E53" s="1059">
        <f t="shared" si="21"/>
        <v>8127.1740441642451</v>
      </c>
      <c r="F53" s="1536">
        <f>'Table 4 Level 3'!N52</f>
        <v>910.76</v>
      </c>
      <c r="G53" s="1536">
        <f t="shared" si="13"/>
        <v>2732.2799999999997</v>
      </c>
      <c r="H53" s="1536">
        <f t="shared" si="14"/>
        <v>10859.454044164246</v>
      </c>
      <c r="I53" s="1059">
        <f t="shared" si="15"/>
        <v>905</v>
      </c>
      <c r="J53" s="1725"/>
      <c r="K53" s="1536">
        <f t="shared" si="16"/>
        <v>10859.454044164246</v>
      </c>
      <c r="L53" s="1003">
        <f>'Table 3 Levels 1&amp;2'!CB55</f>
        <v>5508.89</v>
      </c>
      <c r="M53" s="1080">
        <f t="shared" si="22"/>
        <v>16526.670000000002</v>
      </c>
      <c r="N53" s="1080">
        <f t="shared" si="18"/>
        <v>1377</v>
      </c>
      <c r="O53" s="1088">
        <f t="shared" si="19"/>
        <v>27386.124044164248</v>
      </c>
      <c r="P53" s="1088">
        <f t="shared" si="20"/>
        <v>2282</v>
      </c>
      <c r="Q53" s="971"/>
    </row>
    <row r="54" spans="1:17">
      <c r="A54" s="994">
        <v>48</v>
      </c>
      <c r="B54" s="995" t="s">
        <v>202</v>
      </c>
      <c r="C54" s="1002">
        <f>'[2]ALL-Reformatted'!Y53</f>
        <v>2</v>
      </c>
      <c r="D54" s="1003">
        <f>'Table 3 Levels 1&amp;2'!BN56+'Table 3 Levels 1&amp;2'!BV56</f>
        <v>4259.4136153508553</v>
      </c>
      <c r="E54" s="1059">
        <f t="shared" si="21"/>
        <v>8518.8272307017105</v>
      </c>
      <c r="F54" s="1536">
        <f>'Table 4 Level 3'!N53</f>
        <v>871.07</v>
      </c>
      <c r="G54" s="1536">
        <f t="shared" si="13"/>
        <v>1742.14</v>
      </c>
      <c r="H54" s="1536">
        <f t="shared" si="14"/>
        <v>10260.96723070171</v>
      </c>
      <c r="I54" s="1059">
        <f t="shared" si="15"/>
        <v>855</v>
      </c>
      <c r="J54" s="1725"/>
      <c r="K54" s="1536">
        <f t="shared" si="16"/>
        <v>10260.96723070171</v>
      </c>
      <c r="L54" s="1003">
        <f>'Table 3 Levels 1&amp;2'!CB56</f>
        <v>4119.8599999999997</v>
      </c>
      <c r="M54" s="1080">
        <f t="shared" si="22"/>
        <v>8239.7199999999993</v>
      </c>
      <c r="N54" s="1080">
        <f t="shared" si="18"/>
        <v>687</v>
      </c>
      <c r="O54" s="1088">
        <f t="shared" si="19"/>
        <v>18500.687230701711</v>
      </c>
      <c r="P54" s="1088">
        <f t="shared" si="20"/>
        <v>1542</v>
      </c>
      <c r="Q54" s="971"/>
    </row>
    <row r="55" spans="1:17">
      <c r="A55" s="994">
        <v>49</v>
      </c>
      <c r="B55" s="995" t="s">
        <v>142</v>
      </c>
      <c r="C55" s="1002">
        <f>'[2]ALL-Reformatted'!Y54</f>
        <v>5</v>
      </c>
      <c r="D55" s="1003">
        <f>'Table 3 Levels 1&amp;2'!BN57+'Table 3 Levels 1&amp;2'!BV57</f>
        <v>4790.0513947378495</v>
      </c>
      <c r="E55" s="1059">
        <f t="shared" si="21"/>
        <v>23950.256973689247</v>
      </c>
      <c r="F55" s="1536">
        <f>'Table 4 Level 3'!N54</f>
        <v>574.43999999999994</v>
      </c>
      <c r="G55" s="1536">
        <f t="shared" si="13"/>
        <v>2872.2</v>
      </c>
      <c r="H55" s="1536">
        <f t="shared" si="14"/>
        <v>26822.456973689248</v>
      </c>
      <c r="I55" s="1059">
        <f t="shared" si="15"/>
        <v>2235</v>
      </c>
      <c r="J55" s="1725"/>
      <c r="K55" s="1536">
        <f t="shared" si="16"/>
        <v>26822.456973689248</v>
      </c>
      <c r="L55" s="1003">
        <f>'Table 3 Levels 1&amp;2'!CB57</f>
        <v>2384.88</v>
      </c>
      <c r="M55" s="1080">
        <f t="shared" si="22"/>
        <v>11924.400000000001</v>
      </c>
      <c r="N55" s="1080">
        <f t="shared" si="18"/>
        <v>994</v>
      </c>
      <c r="O55" s="1088">
        <f t="shared" si="19"/>
        <v>38746.856973689253</v>
      </c>
      <c r="P55" s="1088">
        <f t="shared" si="20"/>
        <v>3229</v>
      </c>
      <c r="Q55" s="971"/>
    </row>
    <row r="56" spans="1:17">
      <c r="A56" s="998">
        <v>50</v>
      </c>
      <c r="B56" s="999" t="s">
        <v>143</v>
      </c>
      <c r="C56" s="1004">
        <f>'[2]ALL-Reformatted'!Y55</f>
        <v>4</v>
      </c>
      <c r="D56" s="1005">
        <f>'Table 3 Levels 1&amp;2'!BN58+'Table 3 Levels 1&amp;2'!BV58</f>
        <v>4954.3375045905796</v>
      </c>
      <c r="E56" s="1060">
        <f t="shared" si="21"/>
        <v>19817.350018362318</v>
      </c>
      <c r="F56" s="1537">
        <f>'Table 4 Level 3'!N55</f>
        <v>634.46</v>
      </c>
      <c r="G56" s="1537">
        <f t="shared" si="13"/>
        <v>2537.84</v>
      </c>
      <c r="H56" s="1537">
        <f t="shared" si="14"/>
        <v>22355.190018362318</v>
      </c>
      <c r="I56" s="1060">
        <f t="shared" si="15"/>
        <v>1863</v>
      </c>
      <c r="J56" s="1726"/>
      <c r="K56" s="1537">
        <f t="shared" si="16"/>
        <v>22355.190018362318</v>
      </c>
      <c r="L56" s="1005">
        <f>'Table 3 Levels 1&amp;2'!CB58</f>
        <v>2872.14</v>
      </c>
      <c r="M56" s="1081">
        <f t="shared" si="22"/>
        <v>11488.56</v>
      </c>
      <c r="N56" s="1081">
        <f t="shared" si="18"/>
        <v>957</v>
      </c>
      <c r="O56" s="1089">
        <f t="shared" si="19"/>
        <v>33843.75001836232</v>
      </c>
      <c r="P56" s="1089">
        <f t="shared" si="20"/>
        <v>2820</v>
      </c>
      <c r="Q56" s="971"/>
    </row>
    <row r="57" spans="1:17">
      <c r="A57" s="987">
        <v>51</v>
      </c>
      <c r="B57" s="988" t="s">
        <v>144</v>
      </c>
      <c r="C57" s="1006">
        <f>'[2]ALL-Reformatted'!Y56</f>
        <v>3</v>
      </c>
      <c r="D57" s="1007">
        <f>'Table 3 Levels 1&amp;2'!BN59+'Table 3 Levels 1&amp;2'!BV59</f>
        <v>4290.3461727150461</v>
      </c>
      <c r="E57" s="1061">
        <f t="shared" si="21"/>
        <v>12871.038518145138</v>
      </c>
      <c r="F57" s="1061">
        <f>'Table 4 Level 3'!N56</f>
        <v>706.66</v>
      </c>
      <c r="G57" s="1061">
        <f t="shared" si="13"/>
        <v>2119.98</v>
      </c>
      <c r="H57" s="1061">
        <f t="shared" si="14"/>
        <v>14991.018518145138</v>
      </c>
      <c r="I57" s="1061">
        <f t="shared" si="15"/>
        <v>1249</v>
      </c>
      <c r="J57" s="1727"/>
      <c r="K57" s="1061">
        <f t="shared" si="16"/>
        <v>14991.018518145138</v>
      </c>
      <c r="L57" s="1007">
        <f>'Table 3 Levels 1&amp;2'!CB59</f>
        <v>3938.13</v>
      </c>
      <c r="M57" s="1082">
        <f t="shared" si="22"/>
        <v>11814.39</v>
      </c>
      <c r="N57" s="1082">
        <f t="shared" si="18"/>
        <v>985</v>
      </c>
      <c r="O57" s="1090">
        <f t="shared" si="19"/>
        <v>26805.408518145137</v>
      </c>
      <c r="P57" s="1090">
        <f t="shared" si="20"/>
        <v>2234</v>
      </c>
      <c r="Q57" s="971"/>
    </row>
    <row r="58" spans="1:17">
      <c r="A58" s="994">
        <v>52</v>
      </c>
      <c r="B58" s="995" t="s">
        <v>145</v>
      </c>
      <c r="C58" s="1002">
        <f>'[2]ALL-Reformatted'!Y57</f>
        <v>18</v>
      </c>
      <c r="D58" s="1003">
        <f>'Table 3 Levels 1&amp;2'!BN60+'Table 3 Levels 1&amp;2'!BV60</f>
        <v>4988.6415961118701</v>
      </c>
      <c r="E58" s="1059">
        <f t="shared" si="21"/>
        <v>89795.548730013659</v>
      </c>
      <c r="F58" s="1536">
        <f>'Table 4 Level 3'!N57</f>
        <v>658.37</v>
      </c>
      <c r="G58" s="1536">
        <f t="shared" si="13"/>
        <v>11850.66</v>
      </c>
      <c r="H58" s="1536">
        <f t="shared" si="14"/>
        <v>101646.20873001366</v>
      </c>
      <c r="I58" s="1059">
        <f t="shared" si="15"/>
        <v>8471</v>
      </c>
      <c r="J58" s="1725"/>
      <c r="K58" s="1536">
        <f t="shared" si="16"/>
        <v>101646.20873001366</v>
      </c>
      <c r="L58" s="1003">
        <f>'Table 3 Levels 1&amp;2'!CB60</f>
        <v>3543.17</v>
      </c>
      <c r="M58" s="1080">
        <f t="shared" si="22"/>
        <v>63777.06</v>
      </c>
      <c r="N58" s="1080">
        <f t="shared" si="18"/>
        <v>5315</v>
      </c>
      <c r="O58" s="1088">
        <f t="shared" si="19"/>
        <v>165423.26873001366</v>
      </c>
      <c r="P58" s="1088">
        <f t="shared" si="20"/>
        <v>13786</v>
      </c>
      <c r="Q58" s="971"/>
    </row>
    <row r="59" spans="1:17">
      <c r="A59" s="994">
        <v>53</v>
      </c>
      <c r="B59" s="995" t="s">
        <v>146</v>
      </c>
      <c r="C59" s="1002">
        <f>'[2]ALL-Reformatted'!Y58</f>
        <v>7</v>
      </c>
      <c r="D59" s="1003">
        <f>'Table 3 Levels 1&amp;2'!BN61+'Table 3 Levels 1&amp;2'!BV61</f>
        <v>4739.7077057162423</v>
      </c>
      <c r="E59" s="1059">
        <f t="shared" si="21"/>
        <v>33177.9539400137</v>
      </c>
      <c r="F59" s="1536">
        <f>'Table 4 Level 3'!N58</f>
        <v>689.74</v>
      </c>
      <c r="G59" s="1536">
        <f t="shared" si="13"/>
        <v>4828.18</v>
      </c>
      <c r="H59" s="1536">
        <f t="shared" si="14"/>
        <v>38006.1339400137</v>
      </c>
      <c r="I59" s="1059">
        <f t="shared" si="15"/>
        <v>3167</v>
      </c>
      <c r="J59" s="1725"/>
      <c r="K59" s="1536">
        <f t="shared" si="16"/>
        <v>38006.1339400137</v>
      </c>
      <c r="L59" s="1003">
        <f>'Table 3 Levels 1&amp;2'!CB61</f>
        <v>1941.1</v>
      </c>
      <c r="M59" s="1080">
        <f t="shared" si="22"/>
        <v>13587.699999999999</v>
      </c>
      <c r="N59" s="1080">
        <f t="shared" si="18"/>
        <v>1132</v>
      </c>
      <c r="O59" s="1088">
        <f t="shared" si="19"/>
        <v>51593.833940013697</v>
      </c>
      <c r="P59" s="1088">
        <f t="shared" si="20"/>
        <v>4299</v>
      </c>
      <c r="Q59" s="971"/>
    </row>
    <row r="60" spans="1:17">
      <c r="A60" s="994">
        <v>54</v>
      </c>
      <c r="B60" s="995" t="s">
        <v>147</v>
      </c>
      <c r="C60" s="1002">
        <f>'[2]ALL-Reformatted'!Y59</f>
        <v>0</v>
      </c>
      <c r="D60" s="1003">
        <f>'Table 3 Levels 1&amp;2'!BN62+'Table 3 Levels 1&amp;2'!BV62</f>
        <v>5907.1276437932838</v>
      </c>
      <c r="E60" s="1059">
        <f t="shared" si="21"/>
        <v>0</v>
      </c>
      <c r="F60" s="1536">
        <f>'Table 4 Level 3'!N59</f>
        <v>951.45</v>
      </c>
      <c r="G60" s="1536">
        <f t="shared" si="13"/>
        <v>0</v>
      </c>
      <c r="H60" s="1536">
        <f t="shared" si="14"/>
        <v>0</v>
      </c>
      <c r="I60" s="1059">
        <f t="shared" si="15"/>
        <v>0</v>
      </c>
      <c r="J60" s="1725"/>
      <c r="K60" s="1536">
        <f t="shared" si="16"/>
        <v>0</v>
      </c>
      <c r="L60" s="1003">
        <f>'Table 3 Levels 1&amp;2'!CB62</f>
        <v>3497.92</v>
      </c>
      <c r="M60" s="1080">
        <f t="shared" si="22"/>
        <v>0</v>
      </c>
      <c r="N60" s="1080">
        <f t="shared" si="18"/>
        <v>0</v>
      </c>
      <c r="O60" s="1088">
        <f t="shared" si="19"/>
        <v>0</v>
      </c>
      <c r="P60" s="1088">
        <f t="shared" si="20"/>
        <v>0</v>
      </c>
      <c r="Q60" s="971"/>
    </row>
    <row r="61" spans="1:17">
      <c r="A61" s="998">
        <v>55</v>
      </c>
      <c r="B61" s="999" t="s">
        <v>148</v>
      </c>
      <c r="C61" s="1004">
        <f>'[2]ALL-Reformatted'!Y60</f>
        <v>11</v>
      </c>
      <c r="D61" s="1005">
        <f>'Table 3 Levels 1&amp;2'!BN63+'Table 3 Levels 1&amp;2'!BV63</f>
        <v>4115.0954812679902</v>
      </c>
      <c r="E61" s="1060">
        <f t="shared" si="21"/>
        <v>45266.05029394789</v>
      </c>
      <c r="F61" s="1537">
        <f>'Table 4 Level 3'!N60</f>
        <v>795.14</v>
      </c>
      <c r="G61" s="1537">
        <f t="shared" si="13"/>
        <v>8746.5399999999991</v>
      </c>
      <c r="H61" s="1537">
        <f t="shared" si="14"/>
        <v>54012.590293947891</v>
      </c>
      <c r="I61" s="1060">
        <f t="shared" si="15"/>
        <v>4501</v>
      </c>
      <c r="J61" s="1726"/>
      <c r="K61" s="1537">
        <f t="shared" si="16"/>
        <v>54012.590293947891</v>
      </c>
      <c r="L61" s="1005">
        <f>'Table 3 Levels 1&amp;2'!CB63</f>
        <v>3144.82</v>
      </c>
      <c r="M61" s="1081">
        <f t="shared" si="22"/>
        <v>34593.020000000004</v>
      </c>
      <c r="N61" s="1081">
        <f t="shared" si="18"/>
        <v>2883</v>
      </c>
      <c r="O61" s="1089">
        <f t="shared" si="19"/>
        <v>88605.610293947888</v>
      </c>
      <c r="P61" s="1089">
        <f t="shared" si="20"/>
        <v>7384</v>
      </c>
      <c r="Q61" s="971"/>
    </row>
    <row r="62" spans="1:17">
      <c r="A62" s="987">
        <v>56</v>
      </c>
      <c r="B62" s="988" t="s">
        <v>149</v>
      </c>
      <c r="C62" s="1006">
        <f>'[2]ALL-Reformatted'!Y61</f>
        <v>4</v>
      </c>
      <c r="D62" s="1007">
        <f>'Table 3 Levels 1&amp;2'!BN64+'Table 3 Levels 1&amp;2'!BV64</f>
        <v>4924.9032059941637</v>
      </c>
      <c r="E62" s="1061">
        <f t="shared" si="21"/>
        <v>19699.612823976655</v>
      </c>
      <c r="F62" s="1061">
        <f>'Table 4 Level 3'!N61</f>
        <v>614.66000000000008</v>
      </c>
      <c r="G62" s="1061">
        <f t="shared" si="13"/>
        <v>2458.6400000000003</v>
      </c>
      <c r="H62" s="1061">
        <f t="shared" si="14"/>
        <v>22158.252823976654</v>
      </c>
      <c r="I62" s="1061">
        <f t="shared" si="15"/>
        <v>1847</v>
      </c>
      <c r="J62" s="1727"/>
      <c r="K62" s="1061">
        <f t="shared" si="16"/>
        <v>22158.252823976654</v>
      </c>
      <c r="L62" s="1007">
        <f>'Table 3 Levels 1&amp;2'!CB64</f>
        <v>2840.72</v>
      </c>
      <c r="M62" s="1082">
        <f t="shared" si="22"/>
        <v>11362.88</v>
      </c>
      <c r="N62" s="1082">
        <f t="shared" si="18"/>
        <v>947</v>
      </c>
      <c r="O62" s="1090">
        <f t="shared" si="19"/>
        <v>33521.132823976652</v>
      </c>
      <c r="P62" s="1090">
        <f t="shared" si="20"/>
        <v>2794</v>
      </c>
      <c r="Q62" s="971"/>
    </row>
    <row r="63" spans="1:17">
      <c r="A63" s="994">
        <v>57</v>
      </c>
      <c r="B63" s="995" t="s">
        <v>150</v>
      </c>
      <c r="C63" s="1002">
        <f>'[2]ALL-Reformatted'!Y62</f>
        <v>4</v>
      </c>
      <c r="D63" s="1003">
        <f>'Table 3 Levels 1&amp;2'!BN65+'Table 3 Levels 1&amp;2'!BV65</f>
        <v>4434.5516744018987</v>
      </c>
      <c r="E63" s="1059">
        <f t="shared" si="21"/>
        <v>17738.206697607595</v>
      </c>
      <c r="F63" s="1536">
        <f>'Table 4 Level 3'!N62</f>
        <v>764.51</v>
      </c>
      <c r="G63" s="1536">
        <f t="shared" si="13"/>
        <v>3058.04</v>
      </c>
      <c r="H63" s="1536">
        <f t="shared" si="14"/>
        <v>20796.246697607596</v>
      </c>
      <c r="I63" s="1059">
        <f t="shared" si="15"/>
        <v>1733</v>
      </c>
      <c r="J63" s="1725"/>
      <c r="K63" s="1536">
        <f t="shared" si="16"/>
        <v>20796.246697607596</v>
      </c>
      <c r="L63" s="1003">
        <f>'Table 3 Levels 1&amp;2'!CB65</f>
        <v>2842.73</v>
      </c>
      <c r="M63" s="1080">
        <f t="shared" si="22"/>
        <v>11370.92</v>
      </c>
      <c r="N63" s="1080">
        <f t="shared" si="18"/>
        <v>948</v>
      </c>
      <c r="O63" s="1088">
        <f t="shared" si="19"/>
        <v>32167.166697607594</v>
      </c>
      <c r="P63" s="1088">
        <f t="shared" si="20"/>
        <v>2681</v>
      </c>
      <c r="Q63" s="971"/>
    </row>
    <row r="64" spans="1:17">
      <c r="A64" s="994">
        <v>58</v>
      </c>
      <c r="B64" s="995" t="s">
        <v>151</v>
      </c>
      <c r="C64" s="1002">
        <f>'[2]ALL-Reformatted'!Y63</f>
        <v>13</v>
      </c>
      <c r="D64" s="1003">
        <f>'Table 3 Levels 1&amp;2'!BN66+'Table 3 Levels 1&amp;2'!BV66</f>
        <v>5434.7170435013286</v>
      </c>
      <c r="E64" s="1059">
        <f t="shared" si="21"/>
        <v>70651.321565517268</v>
      </c>
      <c r="F64" s="1536">
        <f>'Table 4 Level 3'!N63</f>
        <v>697.04</v>
      </c>
      <c r="G64" s="1536">
        <f t="shared" si="13"/>
        <v>9061.52</v>
      </c>
      <c r="H64" s="1536">
        <f t="shared" si="14"/>
        <v>79712.841565517272</v>
      </c>
      <c r="I64" s="1059">
        <f t="shared" si="15"/>
        <v>6643</v>
      </c>
      <c r="J64" s="1725"/>
      <c r="K64" s="1536">
        <f t="shared" si="16"/>
        <v>79712.841565517272</v>
      </c>
      <c r="L64" s="1003">
        <f>'Table 3 Levels 1&amp;2'!CB66</f>
        <v>2165.5100000000002</v>
      </c>
      <c r="M64" s="1080">
        <f t="shared" si="22"/>
        <v>28151.630000000005</v>
      </c>
      <c r="N64" s="1080">
        <f t="shared" si="18"/>
        <v>2346</v>
      </c>
      <c r="O64" s="1088">
        <f t="shared" si="19"/>
        <v>107864.47156551728</v>
      </c>
      <c r="P64" s="1088">
        <f t="shared" si="20"/>
        <v>8989</v>
      </c>
      <c r="Q64" s="971"/>
    </row>
    <row r="65" spans="1:17">
      <c r="A65" s="994">
        <v>59</v>
      </c>
      <c r="B65" s="995" t="s">
        <v>152</v>
      </c>
      <c r="C65" s="1002">
        <f>'[2]ALL-Reformatted'!Y64</f>
        <v>0</v>
      </c>
      <c r="D65" s="1003">
        <f>'Table 3 Levels 1&amp;2'!BN67+'Table 3 Levels 1&amp;2'!BV67</f>
        <v>6252.2385330184643</v>
      </c>
      <c r="E65" s="1059">
        <f t="shared" si="21"/>
        <v>0</v>
      </c>
      <c r="F65" s="1536">
        <f>'Table 4 Level 3'!N64</f>
        <v>689.52</v>
      </c>
      <c r="G65" s="1536">
        <f t="shared" si="13"/>
        <v>0</v>
      </c>
      <c r="H65" s="1536">
        <f t="shared" si="14"/>
        <v>0</v>
      </c>
      <c r="I65" s="1059">
        <f t="shared" si="15"/>
        <v>0</v>
      </c>
      <c r="J65" s="1725"/>
      <c r="K65" s="1536">
        <f t="shared" si="16"/>
        <v>0</v>
      </c>
      <c r="L65" s="1003">
        <f>'Table 3 Levels 1&amp;2'!CB67</f>
        <v>1565.88</v>
      </c>
      <c r="M65" s="1080">
        <f t="shared" si="22"/>
        <v>0</v>
      </c>
      <c r="N65" s="1080">
        <f t="shared" si="18"/>
        <v>0</v>
      </c>
      <c r="O65" s="1088">
        <f t="shared" si="19"/>
        <v>0</v>
      </c>
      <c r="P65" s="1088">
        <f t="shared" si="20"/>
        <v>0</v>
      </c>
      <c r="Q65" s="971"/>
    </row>
    <row r="66" spans="1:17">
      <c r="A66" s="998">
        <v>60</v>
      </c>
      <c r="B66" s="999" t="s">
        <v>153</v>
      </c>
      <c r="C66" s="1004">
        <f>'[2]ALL-Reformatted'!Y65</f>
        <v>4</v>
      </c>
      <c r="D66" s="1005">
        <f>'Table 3 Levels 1&amp;2'!BN68+'Table 3 Levels 1&amp;2'!BV68</f>
        <v>4902.6575100268701</v>
      </c>
      <c r="E66" s="1060">
        <f t="shared" si="21"/>
        <v>19610.63004010748</v>
      </c>
      <c r="F66" s="1537">
        <f>'Table 4 Level 3'!N65</f>
        <v>594.04</v>
      </c>
      <c r="G66" s="1537">
        <f t="shared" si="13"/>
        <v>2376.16</v>
      </c>
      <c r="H66" s="1537">
        <f t="shared" si="14"/>
        <v>21986.79004010748</v>
      </c>
      <c r="I66" s="1060">
        <f t="shared" si="15"/>
        <v>1832</v>
      </c>
      <c r="J66" s="1726"/>
      <c r="K66" s="1537">
        <f t="shared" si="16"/>
        <v>21986.79004010748</v>
      </c>
      <c r="L66" s="1005">
        <f>'Table 3 Levels 1&amp;2'!CB68</f>
        <v>3359.72</v>
      </c>
      <c r="M66" s="1081">
        <f t="shared" si="22"/>
        <v>13438.88</v>
      </c>
      <c r="N66" s="1081">
        <f t="shared" si="18"/>
        <v>1120</v>
      </c>
      <c r="O66" s="1089">
        <f t="shared" si="19"/>
        <v>35425.670040107478</v>
      </c>
      <c r="P66" s="1089">
        <f t="shared" si="20"/>
        <v>2952</v>
      </c>
      <c r="Q66" s="971"/>
    </row>
    <row r="67" spans="1:17">
      <c r="A67" s="987">
        <v>61</v>
      </c>
      <c r="B67" s="988" t="s">
        <v>154</v>
      </c>
      <c r="C67" s="1006">
        <f>'[2]ALL-Reformatted'!Y66</f>
        <v>0</v>
      </c>
      <c r="D67" s="1007">
        <f>'Table 3 Levels 1&amp;2'!BN69+'Table 3 Levels 1&amp;2'!BV69</f>
        <v>2872.7719101339244</v>
      </c>
      <c r="E67" s="1061">
        <f t="shared" si="21"/>
        <v>0</v>
      </c>
      <c r="F67" s="1061">
        <f>'Table 4 Level 3'!N66</f>
        <v>833.70999999999992</v>
      </c>
      <c r="G67" s="1061">
        <f t="shared" si="13"/>
        <v>0</v>
      </c>
      <c r="H67" s="1061">
        <f t="shared" si="14"/>
        <v>0</v>
      </c>
      <c r="I67" s="1061">
        <f t="shared" si="15"/>
        <v>0</v>
      </c>
      <c r="J67" s="1727"/>
      <c r="K67" s="1061">
        <f t="shared" si="16"/>
        <v>0</v>
      </c>
      <c r="L67" s="1007">
        <f>'Table 3 Levels 1&amp;2'!CB69</f>
        <v>4930.3500000000004</v>
      </c>
      <c r="M67" s="1082">
        <f t="shared" si="22"/>
        <v>0</v>
      </c>
      <c r="N67" s="1082">
        <f t="shared" si="18"/>
        <v>0</v>
      </c>
      <c r="O67" s="1090">
        <f t="shared" si="19"/>
        <v>0</v>
      </c>
      <c r="P67" s="1090">
        <f t="shared" si="20"/>
        <v>0</v>
      </c>
      <c r="Q67" s="971"/>
    </row>
    <row r="68" spans="1:17">
      <c r="A68" s="994">
        <v>62</v>
      </c>
      <c r="B68" s="995" t="s">
        <v>155</v>
      </c>
      <c r="C68" s="1002">
        <f>'[2]ALL-Reformatted'!Y67</f>
        <v>0</v>
      </c>
      <c r="D68" s="1003">
        <f>'Table 3 Levels 1&amp;2'!BN70+'Table 3 Levels 1&amp;2'!BV70</f>
        <v>5594.25143978908</v>
      </c>
      <c r="E68" s="1059">
        <f t="shared" si="21"/>
        <v>0</v>
      </c>
      <c r="F68" s="1536">
        <f>'Table 4 Level 3'!N67</f>
        <v>516.08000000000004</v>
      </c>
      <c r="G68" s="1536">
        <f t="shared" si="13"/>
        <v>0</v>
      </c>
      <c r="H68" s="1536">
        <f t="shared" si="14"/>
        <v>0</v>
      </c>
      <c r="I68" s="1059">
        <f t="shared" si="15"/>
        <v>0</v>
      </c>
      <c r="J68" s="1725"/>
      <c r="K68" s="1536">
        <f t="shared" si="16"/>
        <v>0</v>
      </c>
      <c r="L68" s="1003">
        <f>'Table 3 Levels 1&amp;2'!CB70</f>
        <v>1801.5</v>
      </c>
      <c r="M68" s="1080">
        <f t="shared" si="22"/>
        <v>0</v>
      </c>
      <c r="N68" s="1080">
        <f t="shared" si="18"/>
        <v>0</v>
      </c>
      <c r="O68" s="1088">
        <f t="shared" si="19"/>
        <v>0</v>
      </c>
      <c r="P68" s="1088">
        <f t="shared" si="20"/>
        <v>0</v>
      </c>
      <c r="Q68" s="971"/>
    </row>
    <row r="69" spans="1:17">
      <c r="A69" s="994">
        <v>63</v>
      </c>
      <c r="B69" s="995" t="s">
        <v>156</v>
      </c>
      <c r="C69" s="1002">
        <f>'[2]ALL-Reformatted'!Y68</f>
        <v>3</v>
      </c>
      <c r="D69" s="1003">
        <f>'Table 3 Levels 1&amp;2'!BN71+'Table 3 Levels 1&amp;2'!BV71</f>
        <v>4318.8609300898834</v>
      </c>
      <c r="E69" s="1059">
        <f t="shared" si="21"/>
        <v>12956.582790269651</v>
      </c>
      <c r="F69" s="1536">
        <f>'Table 4 Level 3'!N68</f>
        <v>756.79</v>
      </c>
      <c r="G69" s="1536">
        <f t="shared" si="13"/>
        <v>2270.37</v>
      </c>
      <c r="H69" s="1536">
        <f t="shared" si="14"/>
        <v>15226.95279026965</v>
      </c>
      <c r="I69" s="1059">
        <f t="shared" si="15"/>
        <v>1269</v>
      </c>
      <c r="J69" s="1725"/>
      <c r="K69" s="1536">
        <f t="shared" si="16"/>
        <v>15226.95279026965</v>
      </c>
      <c r="L69" s="1003">
        <f>'Table 3 Levels 1&amp;2'!CB71</f>
        <v>4982.8599999999997</v>
      </c>
      <c r="M69" s="1080">
        <f t="shared" si="22"/>
        <v>14948.579999999998</v>
      </c>
      <c r="N69" s="1080">
        <f t="shared" si="18"/>
        <v>1246</v>
      </c>
      <c r="O69" s="1088">
        <f t="shared" si="19"/>
        <v>30175.532790269648</v>
      </c>
      <c r="P69" s="1088">
        <f t="shared" si="20"/>
        <v>2515</v>
      </c>
      <c r="Q69" s="971"/>
    </row>
    <row r="70" spans="1:17">
      <c r="A70" s="994">
        <v>64</v>
      </c>
      <c r="B70" s="995" t="s">
        <v>157</v>
      </c>
      <c r="C70" s="1002">
        <f>'[2]ALL-Reformatted'!Y69</f>
        <v>1</v>
      </c>
      <c r="D70" s="1003">
        <f>'Table 3 Levels 1&amp;2'!BN72+'Table 3 Levels 1&amp;2'!BV72</f>
        <v>5921.7418933384488</v>
      </c>
      <c r="E70" s="1059">
        <f t="shared" si="21"/>
        <v>5921.7418933384488</v>
      </c>
      <c r="F70" s="1536">
        <f>'Table 4 Level 3'!N69</f>
        <v>592.66</v>
      </c>
      <c r="G70" s="1536">
        <f t="shared" si="13"/>
        <v>592.66</v>
      </c>
      <c r="H70" s="1536">
        <f t="shared" si="14"/>
        <v>6514.4018933384486</v>
      </c>
      <c r="I70" s="1059">
        <f t="shared" si="15"/>
        <v>543</v>
      </c>
      <c r="J70" s="1725"/>
      <c r="K70" s="1536">
        <f t="shared" si="16"/>
        <v>6514.4018933384486</v>
      </c>
      <c r="L70" s="1003">
        <f>'Table 3 Levels 1&amp;2'!CB72</f>
        <v>2874.09</v>
      </c>
      <c r="M70" s="1080">
        <f t="shared" si="22"/>
        <v>2874.09</v>
      </c>
      <c r="N70" s="1080">
        <f t="shared" si="18"/>
        <v>240</v>
      </c>
      <c r="O70" s="1088">
        <f t="shared" si="19"/>
        <v>9388.4918933384488</v>
      </c>
      <c r="P70" s="1088">
        <f t="shared" si="20"/>
        <v>783</v>
      </c>
      <c r="Q70" s="971"/>
    </row>
    <row r="71" spans="1:17">
      <c r="A71" s="998">
        <v>65</v>
      </c>
      <c r="B71" s="999" t="s">
        <v>158</v>
      </c>
      <c r="C71" s="1004">
        <f>'[2]ALL-Reformatted'!Y70</f>
        <v>0</v>
      </c>
      <c r="D71" s="1005">
        <f>'Table 3 Levels 1&amp;2'!BN73+'Table 3 Levels 1&amp;2'!BV73</f>
        <v>4578.9201269671275</v>
      </c>
      <c r="E71" s="1060">
        <f t="shared" ref="E71:E76" si="23">D71*C71</f>
        <v>0</v>
      </c>
      <c r="F71" s="1537">
        <f>'Table 4 Level 3'!N70</f>
        <v>829.12</v>
      </c>
      <c r="G71" s="1537">
        <f t="shared" si="13"/>
        <v>0</v>
      </c>
      <c r="H71" s="1537">
        <f t="shared" si="14"/>
        <v>0</v>
      </c>
      <c r="I71" s="1060">
        <f t="shared" si="15"/>
        <v>0</v>
      </c>
      <c r="J71" s="1726"/>
      <c r="K71" s="1537">
        <f t="shared" si="16"/>
        <v>0</v>
      </c>
      <c r="L71" s="1005">
        <f>'Table 3 Levels 1&amp;2'!CB73</f>
        <v>3892.27</v>
      </c>
      <c r="M71" s="1081">
        <f t="shared" ref="M71:M75" si="24">L71*C71</f>
        <v>0</v>
      </c>
      <c r="N71" s="1081">
        <f t="shared" si="18"/>
        <v>0</v>
      </c>
      <c r="O71" s="1089">
        <f t="shared" si="19"/>
        <v>0</v>
      </c>
      <c r="P71" s="1089">
        <f t="shared" si="20"/>
        <v>0</v>
      </c>
      <c r="Q71" s="971"/>
    </row>
    <row r="72" spans="1:17">
      <c r="A72" s="987">
        <v>66</v>
      </c>
      <c r="B72" s="988" t="s">
        <v>159</v>
      </c>
      <c r="C72" s="1006">
        <f>'[2]ALL-Reformatted'!Y71</f>
        <v>0</v>
      </c>
      <c r="D72" s="1007">
        <f>'Table 3 Levels 1&amp;2'!BN74+'Table 3 Levels 1&amp;2'!BV74</f>
        <v>6340.8763293271122</v>
      </c>
      <c r="E72" s="1061">
        <f t="shared" si="23"/>
        <v>0</v>
      </c>
      <c r="F72" s="1061">
        <f>'Table 4 Level 3'!N71</f>
        <v>730.06</v>
      </c>
      <c r="G72" s="1061">
        <f t="shared" ref="G72:G76" si="25">C72*F72</f>
        <v>0</v>
      </c>
      <c r="H72" s="1061">
        <f>E72+G72</f>
        <v>0</v>
      </c>
      <c r="I72" s="1061">
        <f t="shared" ref="I72:I76" si="26">ROUND(H72/12,0)</f>
        <v>0</v>
      </c>
      <c r="J72" s="1727"/>
      <c r="K72" s="1061">
        <f t="shared" ref="K72:K76" si="27">H72+J72</f>
        <v>0</v>
      </c>
      <c r="L72" s="1007">
        <f>'Table 3 Levels 1&amp;2'!CB74</f>
        <v>3657.95</v>
      </c>
      <c r="M72" s="1082">
        <f t="shared" si="24"/>
        <v>0</v>
      </c>
      <c r="N72" s="1082">
        <f t="shared" ref="N72:N75" si="28">ROUND(M72/12,0)</f>
        <v>0</v>
      </c>
      <c r="O72" s="1090">
        <f t="shared" ref="O72:O76" si="29">K72+M72</f>
        <v>0</v>
      </c>
      <c r="P72" s="1090">
        <f t="shared" ref="P72:P76" si="30">I72+N72</f>
        <v>0</v>
      </c>
      <c r="Q72" s="971"/>
    </row>
    <row r="73" spans="1:17">
      <c r="A73" s="994">
        <v>67</v>
      </c>
      <c r="B73" s="995" t="s">
        <v>32</v>
      </c>
      <c r="C73" s="1002">
        <f>'[2]ALL-Reformatted'!Y72</f>
        <v>0</v>
      </c>
      <c r="D73" s="1003">
        <f>'Table 3 Levels 1&amp;2'!BN75+'Table 3 Levels 1&amp;2'!BV75</f>
        <v>4984.1100297034172</v>
      </c>
      <c r="E73" s="1059">
        <f t="shared" si="23"/>
        <v>0</v>
      </c>
      <c r="F73" s="1536">
        <f>'Table 4 Level 3'!N72</f>
        <v>715.61</v>
      </c>
      <c r="G73" s="1536">
        <f t="shared" si="25"/>
        <v>0</v>
      </c>
      <c r="H73" s="1536">
        <f t="shared" ref="H73:H76" si="31">E73+G73</f>
        <v>0</v>
      </c>
      <c r="I73" s="1059">
        <f t="shared" si="26"/>
        <v>0</v>
      </c>
      <c r="J73" s="1725"/>
      <c r="K73" s="1536">
        <f t="shared" si="27"/>
        <v>0</v>
      </c>
      <c r="L73" s="1003">
        <f>'Table 3 Levels 1&amp;2'!CB75</f>
        <v>3236.92</v>
      </c>
      <c r="M73" s="1080">
        <f t="shared" si="24"/>
        <v>0</v>
      </c>
      <c r="N73" s="1080">
        <f t="shared" si="28"/>
        <v>0</v>
      </c>
      <c r="O73" s="1088">
        <f t="shared" si="29"/>
        <v>0</v>
      </c>
      <c r="P73" s="1088">
        <f t="shared" si="30"/>
        <v>0</v>
      </c>
      <c r="Q73" s="971"/>
    </row>
    <row r="74" spans="1:17">
      <c r="A74" s="994">
        <v>68</v>
      </c>
      <c r="B74" s="995" t="s">
        <v>30</v>
      </c>
      <c r="C74" s="1002">
        <f>'[2]ALL-Reformatted'!Y73</f>
        <v>0</v>
      </c>
      <c r="D74" s="1003">
        <f>'Table 3 Levels 1&amp;2'!BN76+'Table 3 Levels 1&amp;2'!BV76</f>
        <v>6012.7854305239725</v>
      </c>
      <c r="E74" s="1059">
        <f t="shared" si="23"/>
        <v>0</v>
      </c>
      <c r="F74" s="1536">
        <f>'Table 4 Level 3'!N73</f>
        <v>798.7</v>
      </c>
      <c r="G74" s="1536">
        <f t="shared" si="25"/>
        <v>0</v>
      </c>
      <c r="H74" s="1536">
        <f t="shared" si="31"/>
        <v>0</v>
      </c>
      <c r="I74" s="1059">
        <f t="shared" si="26"/>
        <v>0</v>
      </c>
      <c r="J74" s="1725"/>
      <c r="K74" s="1536">
        <f t="shared" si="27"/>
        <v>0</v>
      </c>
      <c r="L74" s="1003">
        <f>'Table 3 Levels 1&amp;2'!CB76</f>
        <v>2776.55</v>
      </c>
      <c r="M74" s="1080">
        <f t="shared" si="24"/>
        <v>0</v>
      </c>
      <c r="N74" s="1080">
        <f t="shared" si="28"/>
        <v>0</v>
      </c>
      <c r="O74" s="1088">
        <f t="shared" si="29"/>
        <v>0</v>
      </c>
      <c r="P74" s="1088">
        <f t="shared" si="30"/>
        <v>0</v>
      </c>
      <c r="Q74" s="971"/>
    </row>
    <row r="75" spans="1:17">
      <c r="A75" s="1008">
        <v>69</v>
      </c>
      <c r="B75" s="1009" t="s">
        <v>213</v>
      </c>
      <c r="C75" s="1010">
        <f>'[2]ALL-Reformatted'!Y74</f>
        <v>0</v>
      </c>
      <c r="D75" s="1011">
        <f>'Table 3 Levels 1&amp;2'!BN77+'Table 3 Levels 1&amp;2'!BV77</f>
        <v>5559.7139008686299</v>
      </c>
      <c r="E75" s="1062">
        <f t="shared" si="23"/>
        <v>0</v>
      </c>
      <c r="F75" s="1538">
        <f>'Table 4 Level 3'!N74</f>
        <v>705.67</v>
      </c>
      <c r="G75" s="1538">
        <f t="shared" si="25"/>
        <v>0</v>
      </c>
      <c r="H75" s="1538">
        <f t="shared" si="31"/>
        <v>0</v>
      </c>
      <c r="I75" s="1062">
        <f t="shared" si="26"/>
        <v>0</v>
      </c>
      <c r="J75" s="1728"/>
      <c r="K75" s="1538">
        <f t="shared" si="27"/>
        <v>0</v>
      </c>
      <c r="L75" s="1011">
        <f>'Table 3 Levels 1&amp;2'!CB77</f>
        <v>2845.27</v>
      </c>
      <c r="M75" s="1083">
        <f t="shared" si="24"/>
        <v>0</v>
      </c>
      <c r="N75" s="1083">
        <f t="shared" si="28"/>
        <v>0</v>
      </c>
      <c r="O75" s="1091">
        <f t="shared" si="29"/>
        <v>0</v>
      </c>
      <c r="P75" s="1091">
        <f t="shared" si="30"/>
        <v>0</v>
      </c>
      <c r="Q75" s="971"/>
    </row>
    <row r="76" spans="1:17">
      <c r="A76" s="1220"/>
      <c r="B76" s="1221" t="s">
        <v>630</v>
      </c>
      <c r="C76" s="1222">
        <f>'[2]ALL-Reformatted'!Y75</f>
        <v>0</v>
      </c>
      <c r="D76" s="1011">
        <f>'Table 3 Levels 1&amp;2'!BN78+'Table 3 Levels 1&amp;2'!BV78</f>
        <v>4329.5530678488294</v>
      </c>
      <c r="E76" s="1062">
        <f t="shared" si="23"/>
        <v>0</v>
      </c>
      <c r="F76" s="1538">
        <f>'Table 4 Level 3'!N75</f>
        <v>703.90028204588873</v>
      </c>
      <c r="G76" s="1538">
        <f t="shared" si="25"/>
        <v>0</v>
      </c>
      <c r="H76" s="1538">
        <f t="shared" si="31"/>
        <v>0</v>
      </c>
      <c r="I76" s="1062">
        <f t="shared" si="26"/>
        <v>0</v>
      </c>
      <c r="J76" s="1729"/>
      <c r="K76" s="1543">
        <f t="shared" si="27"/>
        <v>0</v>
      </c>
      <c r="L76" s="1223">
        <f>'Table 3 Levels 1&amp;2'!CB78</f>
        <v>3536.28</v>
      </c>
      <c r="M76" s="1224">
        <v>0</v>
      </c>
      <c r="N76" s="1224">
        <v>0</v>
      </c>
      <c r="O76" s="1091">
        <f t="shared" si="29"/>
        <v>0</v>
      </c>
      <c r="P76" s="1091">
        <f t="shared" si="30"/>
        <v>0</v>
      </c>
      <c r="Q76" s="971"/>
    </row>
    <row r="77" spans="1:17" s="1019" customFormat="1" ht="13.5" thickBot="1">
      <c r="A77" s="1012"/>
      <c r="B77" s="1013" t="s">
        <v>160</v>
      </c>
      <c r="C77" s="1014">
        <f>SUM(C7:C76)</f>
        <v>275</v>
      </c>
      <c r="D77" s="1015"/>
      <c r="E77" s="1016">
        <f>SUM(E7:E76)</f>
        <v>1190480.4316176027</v>
      </c>
      <c r="F77" s="1539"/>
      <c r="G77" s="1539">
        <f>SUM(G7:G76)</f>
        <v>189829.83089974185</v>
      </c>
      <c r="H77" s="1539">
        <f>SUM(H7:H76)</f>
        <v>1380310.2625173437</v>
      </c>
      <c r="I77" s="1016">
        <f>SUM(I7:I76)</f>
        <v>115028</v>
      </c>
      <c r="J77" s="1730">
        <f t="shared" ref="J77:K77" si="32">SUM(J7:J76)</f>
        <v>0</v>
      </c>
      <c r="K77" s="1016">
        <f t="shared" si="32"/>
        <v>1380310.2625173437</v>
      </c>
      <c r="L77" s="1015"/>
      <c r="M77" s="1084">
        <f t="shared" ref="M77:P77" si="33">SUM(M7:M76)</f>
        <v>971992.24</v>
      </c>
      <c r="N77" s="1084">
        <f t="shared" si="33"/>
        <v>81001</v>
      </c>
      <c r="O77" s="1092">
        <f t="shared" si="33"/>
        <v>2352302.502517344</v>
      </c>
      <c r="P77" s="1092">
        <f t="shared" si="33"/>
        <v>196029</v>
      </c>
    </row>
    <row r="78" spans="1:17" s="1019" customFormat="1" ht="13.5" thickTop="1">
      <c r="A78" s="1020"/>
      <c r="B78" s="1020"/>
      <c r="C78" s="1021"/>
      <c r="D78" s="1021"/>
      <c r="E78" s="1021"/>
      <c r="F78" s="1021"/>
      <c r="G78" s="1021"/>
      <c r="H78" s="1021"/>
      <c r="I78" s="1021"/>
      <c r="J78" s="1021"/>
      <c r="K78" s="1021"/>
      <c r="M78" s="1022"/>
      <c r="N78" s="1022"/>
      <c r="O78" s="1023"/>
      <c r="P78" s="1023"/>
      <c r="Q78" s="1023"/>
    </row>
    <row r="79" spans="1:17" ht="12.75" customHeight="1">
      <c r="A79" s="1025"/>
      <c r="C79" s="1026"/>
      <c r="M79" s="1022"/>
      <c r="N79" s="1022"/>
    </row>
    <row r="80" spans="1:17" ht="12.75" hidden="1" customHeight="1"/>
    <row r="81" spans="3:14" hidden="1"/>
    <row r="82" spans="3:14" hidden="1"/>
    <row r="83" spans="3:14" hidden="1"/>
    <row r="84" spans="3:14" hidden="1">
      <c r="L84" s="1027" t="s">
        <v>373</v>
      </c>
      <c r="M84" s="1027"/>
      <c r="N84" s="1027"/>
    </row>
    <row r="85" spans="3:14" ht="10.5" hidden="1" customHeight="1"/>
    <row r="86" spans="3:14" hidden="1"/>
    <row r="87" spans="3:14" hidden="1">
      <c r="C87" s="1029">
        <v>85661</v>
      </c>
      <c r="D87" s="1030" t="s">
        <v>374</v>
      </c>
      <c r="E87" s="1030"/>
      <c r="F87" s="1030"/>
      <c r="G87" s="1030"/>
      <c r="H87" s="1030"/>
      <c r="I87" s="1030"/>
      <c r="J87" s="1030"/>
      <c r="K87" s="1030"/>
    </row>
    <row r="88" spans="3:14" hidden="1">
      <c r="C88" s="1029">
        <v>650290</v>
      </c>
      <c r="D88" s="1030" t="s">
        <v>375</v>
      </c>
      <c r="E88" s="1030"/>
      <c r="F88" s="1030"/>
      <c r="G88" s="1030"/>
      <c r="H88" s="1030"/>
      <c r="I88" s="1030"/>
      <c r="J88" s="1030"/>
      <c r="K88" s="1030"/>
    </row>
    <row r="89" spans="3:14" hidden="1">
      <c r="C89" s="1031">
        <f>C87/C88</f>
        <v>0.13172738316750987</v>
      </c>
      <c r="D89" s="1030" t="s">
        <v>376</v>
      </c>
      <c r="E89" s="1030"/>
      <c r="F89" s="1030"/>
      <c r="G89" s="1030"/>
      <c r="H89" s="1030"/>
      <c r="I89" s="1030"/>
      <c r="J89" s="1030"/>
      <c r="K89" s="1030"/>
    </row>
    <row r="90" spans="3:14" hidden="1">
      <c r="C90" s="1029"/>
      <c r="D90" s="1030"/>
      <c r="E90" s="1030"/>
      <c r="F90" s="1030"/>
      <c r="G90" s="1030"/>
      <c r="H90" s="1030"/>
      <c r="I90" s="1030"/>
      <c r="J90" s="1030"/>
      <c r="K90" s="1030"/>
    </row>
    <row r="91" spans="3:14" hidden="1">
      <c r="C91" s="1029">
        <v>128510</v>
      </c>
      <c r="D91" s="1030" t="s">
        <v>377</v>
      </c>
      <c r="E91" s="1030"/>
      <c r="F91" s="1030"/>
      <c r="G91" s="1030"/>
      <c r="H91" s="1030"/>
      <c r="I91" s="1030"/>
      <c r="J91" s="1030"/>
      <c r="K91" s="1030"/>
    </row>
    <row r="92" spans="3:14" hidden="1">
      <c r="C92" s="1029">
        <v>911320</v>
      </c>
      <c r="D92" s="1030" t="s">
        <v>378</v>
      </c>
      <c r="E92" s="1030"/>
      <c r="F92" s="1030"/>
      <c r="G92" s="1030"/>
      <c r="H92" s="1030"/>
      <c r="I92" s="1030"/>
      <c r="J92" s="1030"/>
      <c r="K92" s="1030"/>
    </row>
    <row r="93" spans="3:14" hidden="1">
      <c r="C93" s="1031">
        <f>C91/C92</f>
        <v>0.14101523065443533</v>
      </c>
      <c r="D93" s="1030" t="s">
        <v>379</v>
      </c>
      <c r="E93" s="1030"/>
      <c r="F93" s="1030"/>
      <c r="G93" s="1030"/>
      <c r="H93" s="1030"/>
      <c r="I93" s="1030"/>
      <c r="J93" s="1030"/>
      <c r="K93" s="1030"/>
    </row>
    <row r="94" spans="3:14" hidden="1">
      <c r="C94" s="1029"/>
      <c r="D94" s="1030"/>
      <c r="E94" s="1030"/>
      <c r="F94" s="1030"/>
      <c r="G94" s="1030"/>
      <c r="H94" s="1030"/>
      <c r="I94" s="1030"/>
      <c r="J94" s="1030"/>
      <c r="K94" s="1030"/>
    </row>
    <row r="95" spans="3:14" hidden="1">
      <c r="C95" s="1032">
        <v>2663489616</v>
      </c>
      <c r="D95" s="1033" t="s">
        <v>380</v>
      </c>
      <c r="E95" s="1033"/>
      <c r="F95" s="1033"/>
      <c r="G95" s="1033"/>
      <c r="H95" s="1033"/>
      <c r="I95" s="1033"/>
      <c r="J95" s="1033"/>
      <c r="K95" s="1033"/>
    </row>
    <row r="96" spans="3:14" hidden="1">
      <c r="C96" s="1034">
        <f>C93</f>
        <v>0.14101523065443533</v>
      </c>
      <c r="D96" s="1033"/>
      <c r="E96" s="1033"/>
      <c r="F96" s="1033"/>
      <c r="G96" s="1033"/>
      <c r="H96" s="1033"/>
      <c r="I96" s="1033"/>
      <c r="J96" s="1033"/>
      <c r="K96" s="1033"/>
    </row>
    <row r="97" spans="3:11" hidden="1">
      <c r="C97" s="1035">
        <f>C95*C96</f>
        <v>375592602.54593337</v>
      </c>
      <c r="D97" s="1030" t="s">
        <v>381</v>
      </c>
      <c r="E97" s="1030"/>
      <c r="F97" s="1030"/>
      <c r="G97" s="1030"/>
      <c r="H97" s="1030"/>
      <c r="I97" s="1030"/>
      <c r="J97" s="1030"/>
      <c r="K97" s="1030"/>
    </row>
    <row r="98" spans="3:11" hidden="1">
      <c r="C98" s="1036">
        <f>50%/C93</f>
        <v>3.5457162866702978</v>
      </c>
      <c r="D98" s="1033" t="s">
        <v>382</v>
      </c>
      <c r="E98" s="1033"/>
      <c r="F98" s="1033"/>
      <c r="G98" s="1033"/>
      <c r="H98" s="1033"/>
      <c r="I98" s="1033"/>
      <c r="J98" s="1033"/>
      <c r="K98" s="1033"/>
    </row>
    <row r="99" spans="3:11" hidden="1">
      <c r="C99" s="1035">
        <f>C97*C98</f>
        <v>1331744808</v>
      </c>
      <c r="D99" s="1037" t="s">
        <v>383</v>
      </c>
      <c r="E99" s="1037"/>
      <c r="F99" s="1037"/>
      <c r="G99" s="1037"/>
      <c r="H99" s="1037"/>
      <c r="I99" s="1037"/>
      <c r="J99" s="1037"/>
      <c r="K99" s="1037"/>
    </row>
    <row r="100" spans="3:11" hidden="1">
      <c r="C100" s="1038">
        <f>C88</f>
        <v>650290</v>
      </c>
      <c r="D100" s="1033" t="s">
        <v>384</v>
      </c>
      <c r="E100" s="1033"/>
      <c r="F100" s="1033"/>
      <c r="G100" s="1033"/>
      <c r="H100" s="1033"/>
      <c r="I100" s="1033"/>
      <c r="J100" s="1033"/>
      <c r="K100" s="1033"/>
    </row>
    <row r="101" spans="3:11" hidden="1">
      <c r="C101" s="1035">
        <f>C99/C100</f>
        <v>2047.9244767719017</v>
      </c>
      <c r="D101" s="1033" t="s">
        <v>385</v>
      </c>
      <c r="E101" s="1033"/>
      <c r="F101" s="1033"/>
      <c r="G101" s="1033"/>
      <c r="H101" s="1033"/>
      <c r="I101" s="1033"/>
      <c r="J101" s="1033"/>
      <c r="K101" s="1033"/>
    </row>
    <row r="102" spans="3:11" hidden="1">
      <c r="C102" s="1039">
        <f>(C97/C100)*-1</f>
        <v>-577.57708490970697</v>
      </c>
      <c r="D102" s="1033" t="s">
        <v>386</v>
      </c>
      <c r="E102" s="1033"/>
      <c r="F102" s="1033"/>
      <c r="G102" s="1033"/>
      <c r="H102" s="1033"/>
      <c r="I102" s="1033"/>
      <c r="J102" s="1033"/>
      <c r="K102" s="1033"/>
    </row>
    <row r="103" spans="3:11" hidden="1">
      <c r="C103" s="1040">
        <f>SUM(C101:C102)</f>
        <v>1470.3473918621949</v>
      </c>
      <c r="D103" s="1033" t="s">
        <v>387</v>
      </c>
      <c r="E103" s="1033"/>
      <c r="F103" s="1033"/>
      <c r="G103" s="1033"/>
      <c r="H103" s="1033"/>
      <c r="I103" s="1033"/>
      <c r="J103" s="1033"/>
      <c r="K103" s="1033"/>
    </row>
    <row r="104" spans="3:11" hidden="1">
      <c r="C104" s="1040"/>
      <c r="D104" s="1033"/>
      <c r="E104" s="1033"/>
      <c r="F104" s="1033"/>
      <c r="G104" s="1033"/>
      <c r="H104" s="1033"/>
      <c r="I104" s="1033"/>
      <c r="J104" s="1033"/>
      <c r="K104" s="1033"/>
    </row>
    <row r="105" spans="3:11" hidden="1">
      <c r="C105" s="1040"/>
      <c r="D105" s="1033"/>
      <c r="E105" s="1033"/>
      <c r="F105" s="1033"/>
      <c r="G105" s="1033"/>
      <c r="H105" s="1033"/>
      <c r="I105" s="1033"/>
      <c r="J105" s="1033"/>
      <c r="K105" s="1033"/>
    </row>
    <row r="106" spans="3:11" hidden="1">
      <c r="D106" s="1033"/>
      <c r="E106" s="1033"/>
      <c r="F106" s="1033"/>
      <c r="G106" s="1033"/>
      <c r="H106" s="1033"/>
      <c r="I106" s="1033"/>
      <c r="J106" s="1033"/>
      <c r="K106" s="1033"/>
    </row>
    <row r="107" spans="3:11" hidden="1"/>
  </sheetData>
  <mergeCells count="17">
    <mergeCell ref="A2:B4"/>
    <mergeCell ref="C3:C4"/>
    <mergeCell ref="D3:D4"/>
    <mergeCell ref="E3:E4"/>
    <mergeCell ref="L3:L4"/>
    <mergeCell ref="I3:I4"/>
    <mergeCell ref="C2:I2"/>
    <mergeCell ref="F3:F4"/>
    <mergeCell ref="G3:G4"/>
    <mergeCell ref="H3:H4"/>
    <mergeCell ref="J3:J4"/>
    <mergeCell ref="K3:K4"/>
    <mergeCell ref="L2:N2"/>
    <mergeCell ref="O2:O4"/>
    <mergeCell ref="P2:P4"/>
    <mergeCell ref="M3:M4"/>
    <mergeCell ref="N3:N4"/>
  </mergeCells>
  <printOptions horizontalCentered="1"/>
  <pageMargins left="0.27" right="0.25" top="0.87" bottom="0.2" header="0.25" footer="0.2"/>
  <pageSetup paperSize="5" scale="71" firstPageNumber="45" fitToWidth="3" orientation="portrait" useFirstPageNumber="1" r:id="rId1"/>
  <headerFooter alignWithMargins="0">
    <oddHeader xml:space="preserve">&amp;L&amp;"Arial,Bold"&amp;16Table 5A2:  FY2013-14 MFP Budget Letter (Projection)
&amp;14Louisiana School for Math, Science and the Arts (LSMSA)&amp;R&amp;"Arial,Bold"&amp;12&amp;KFF0000
</oddHeader>
    <oddFooter>&amp;R&amp;P</oddFooter>
  </headerFooter>
  <colBreaks count="1" manualBreakCount="1">
    <brk id="11" min="1" max="7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43</vt:i4>
      </vt:variant>
      <vt:variant>
        <vt:lpstr>Named Ranges</vt:lpstr>
      </vt:variant>
      <vt:variant>
        <vt:i4>86</vt:i4>
      </vt:variant>
    </vt:vector>
  </HeadingPairs>
  <TitlesOfParts>
    <vt:vector size="129" baseType="lpstr">
      <vt:lpstr>Table 1 State Summary </vt:lpstr>
      <vt:lpstr>Table 2_State Distrib and Adjs</vt:lpstr>
      <vt:lpstr>Table 2A-1_EFT (Annual)</vt:lpstr>
      <vt:lpstr>Table 2A-2 EFT (Monthly)</vt:lpstr>
      <vt:lpstr>Table 3 Levels 1&amp;2</vt:lpstr>
      <vt:lpstr>Table 4 Level 3</vt:lpstr>
      <vt:lpstr>Table 4A Level 4</vt:lpstr>
      <vt:lpstr>Table 5A1 Labs </vt:lpstr>
      <vt:lpstr>Table 5A2 LSMSA</vt:lpstr>
      <vt:lpstr>Table 5A3 NOCCA</vt:lpstr>
      <vt:lpstr>Table 5A4_LSDVI</vt:lpstr>
      <vt:lpstr>Table 5A5_SSD</vt:lpstr>
      <vt:lpstr>Table 5B1_RSD_Orleans</vt:lpstr>
      <vt:lpstr>Table 5B2_RSD_LA</vt:lpstr>
      <vt:lpstr>Table 5C1A-Madison Prep</vt:lpstr>
      <vt:lpstr>Table 5C1B-DArbonne</vt:lpstr>
      <vt:lpstr>Table 5C1C-Intl_VIBE</vt:lpstr>
      <vt:lpstr>Table 5C1D-NOMMA</vt:lpstr>
      <vt:lpstr>Table 5C1E-LFNO</vt:lpstr>
      <vt:lpstr>Table 5C1F-Lake Charles Charter</vt:lpstr>
      <vt:lpstr>Table 5C1G-JS Clark Academy</vt:lpstr>
      <vt:lpstr>Table 5C1H-Southwest LA Charter</vt:lpstr>
      <vt:lpstr>Table 5C1J-LA Key Academy</vt:lpstr>
      <vt:lpstr>Table 5C1K-Jefferson Chamber</vt:lpstr>
      <vt:lpstr>Table 5C1L-Tallulah Charter</vt:lpstr>
      <vt:lpstr>Table 5C1M-Northshore Charter</vt:lpstr>
      <vt:lpstr>Table 5C1N-EBR Charter</vt:lpstr>
      <vt:lpstr>Table 5C1O-Lake Charles HS</vt:lpstr>
      <vt:lpstr>Table 5C1P-Delta Charter</vt:lpstr>
      <vt:lpstr>Table 5C2 - LA Virtual Admy</vt:lpstr>
      <vt:lpstr>Table 5C3 - LA Connections EBR</vt:lpstr>
      <vt:lpstr>Table 5D1 - New Vision</vt:lpstr>
      <vt:lpstr>Table 5D2 - Glencoe</vt:lpstr>
      <vt:lpstr>Table 5D3 - International</vt:lpstr>
      <vt:lpstr>Table 5D4 - Avoyelles</vt:lpstr>
      <vt:lpstr>Table 5D5 - Delhi</vt:lpstr>
      <vt:lpstr>Table 5D6 - Milestone</vt:lpstr>
      <vt:lpstr>Table 5D7 - Max</vt:lpstr>
      <vt:lpstr>Table 5D8 - Belle Chasse</vt:lpstr>
      <vt:lpstr>Table 5E_OJJ</vt:lpstr>
      <vt:lpstr>Table 5F Scholarships </vt:lpstr>
      <vt:lpstr>Table 6 (Local Deduct Calc.)</vt:lpstr>
      <vt:lpstr>Table 7 Local Revenue</vt:lpstr>
      <vt:lpstr>'Table 1 State Summary '!Print_Area</vt:lpstr>
      <vt:lpstr>'Table 2_State Distrib and Adjs'!Print_Area</vt:lpstr>
      <vt:lpstr>'Table 2A-1_EFT (Annual)'!Print_Area</vt:lpstr>
      <vt:lpstr>'Table 2A-2 EFT (Monthly)'!Print_Area</vt:lpstr>
      <vt:lpstr>'Table 3 Levels 1&amp;2'!Print_Area</vt:lpstr>
      <vt:lpstr>'Table 4 Level 3'!Print_Area</vt:lpstr>
      <vt:lpstr>'Table 4A Level 4'!Print_Area</vt:lpstr>
      <vt:lpstr>'Table 5A1 Labs '!Print_Area</vt:lpstr>
      <vt:lpstr>'Table 5A2 LSMSA'!Print_Area</vt:lpstr>
      <vt:lpstr>'Table 5A3 NOCCA'!Print_Area</vt:lpstr>
      <vt:lpstr>'Table 5A4_LSDVI'!Print_Area</vt:lpstr>
      <vt:lpstr>'Table 5A5_SSD'!Print_Area</vt:lpstr>
      <vt:lpstr>'Table 5B1_RSD_Orleans'!Print_Area</vt:lpstr>
      <vt:lpstr>'Table 5B2_RSD_LA'!Print_Area</vt:lpstr>
      <vt:lpstr>'Table 5C1A-Madison Prep'!Print_Area</vt:lpstr>
      <vt:lpstr>'Table 5C1B-DArbonne'!Print_Area</vt:lpstr>
      <vt:lpstr>'Table 5C1C-Intl_VIBE'!Print_Area</vt:lpstr>
      <vt:lpstr>'Table 5C1D-NOMMA'!Print_Area</vt:lpstr>
      <vt:lpstr>'Table 5C1E-LFNO'!Print_Area</vt:lpstr>
      <vt:lpstr>'Table 5C1F-Lake Charles Charter'!Print_Area</vt:lpstr>
      <vt:lpstr>'Table 5C1G-JS Clark Academy'!Print_Area</vt:lpstr>
      <vt:lpstr>'Table 5C1H-Southwest LA Charter'!Print_Area</vt:lpstr>
      <vt:lpstr>'Table 5C1J-LA Key Academy'!Print_Area</vt:lpstr>
      <vt:lpstr>'Table 5C1K-Jefferson Chamber'!Print_Area</vt:lpstr>
      <vt:lpstr>'Table 5C1L-Tallulah Charter'!Print_Area</vt:lpstr>
      <vt:lpstr>'Table 5C1M-Northshore Charter'!Print_Area</vt:lpstr>
      <vt:lpstr>'Table 5C1N-EBR Charter'!Print_Area</vt:lpstr>
      <vt:lpstr>'Table 5C1O-Lake Charles HS'!Print_Area</vt:lpstr>
      <vt:lpstr>'Table 5C1P-Delta Charter'!Print_Area</vt:lpstr>
      <vt:lpstr>'Table 5C2 - LA Virtual Admy'!Print_Area</vt:lpstr>
      <vt:lpstr>'Table 5C3 - LA Connections EBR'!Print_Area</vt:lpstr>
      <vt:lpstr>'Table 5D1 - New Vision'!Print_Area</vt:lpstr>
      <vt:lpstr>'Table 5D2 - Glencoe'!Print_Area</vt:lpstr>
      <vt:lpstr>'Table 5D3 - International'!Print_Area</vt:lpstr>
      <vt:lpstr>'Table 5D4 - Avoyelles'!Print_Area</vt:lpstr>
      <vt:lpstr>'Table 5D5 - Delhi'!Print_Area</vt:lpstr>
      <vt:lpstr>'Table 5D6 - Milestone'!Print_Area</vt:lpstr>
      <vt:lpstr>'Table 5D7 - Max'!Print_Area</vt:lpstr>
      <vt:lpstr>'Table 5D8 - Belle Chasse'!Print_Area</vt:lpstr>
      <vt:lpstr>'Table 5E_OJJ'!Print_Area</vt:lpstr>
      <vt:lpstr>'Table 5F Scholarships '!Print_Area</vt:lpstr>
      <vt:lpstr>'Table 6 (Local Deduct Calc.)'!Print_Area</vt:lpstr>
      <vt:lpstr>'Table 7 Local Revenue'!Print_Area</vt:lpstr>
      <vt:lpstr>'Table 1 State Summary '!Print_Titles</vt:lpstr>
      <vt:lpstr>'Table 2_State Distrib and Adjs'!Print_Titles</vt:lpstr>
      <vt:lpstr>'Table 2A-1_EFT (Annual)'!Print_Titles</vt:lpstr>
      <vt:lpstr>'Table 2A-2 EFT (Monthly)'!Print_Titles</vt:lpstr>
      <vt:lpstr>'Table 3 Levels 1&amp;2'!Print_Titles</vt:lpstr>
      <vt:lpstr>'Table 4 Level 3'!Print_Titles</vt:lpstr>
      <vt:lpstr>'Table 4A Level 4'!Print_Titles</vt:lpstr>
      <vt:lpstr>'Table 5A1 Labs '!Print_Titles</vt:lpstr>
      <vt:lpstr>'Table 5A2 LSMSA'!Print_Titles</vt:lpstr>
      <vt:lpstr>'Table 5A3 NOCCA'!Print_Titles</vt:lpstr>
      <vt:lpstr>'Table 5A4_LSDVI'!Print_Titles</vt:lpstr>
      <vt:lpstr>'Table 5A5_SSD'!Print_Titles</vt:lpstr>
      <vt:lpstr>'Table 5B1_RSD_Orleans'!Print_Titles</vt:lpstr>
      <vt:lpstr>'Table 5B2_RSD_LA'!Print_Titles</vt:lpstr>
      <vt:lpstr>'Table 5C1A-Madison Prep'!Print_Titles</vt:lpstr>
      <vt:lpstr>'Table 5C1B-DArbonne'!Print_Titles</vt:lpstr>
      <vt:lpstr>'Table 5C1C-Intl_VIBE'!Print_Titles</vt:lpstr>
      <vt:lpstr>'Table 5C1D-NOMMA'!Print_Titles</vt:lpstr>
      <vt:lpstr>'Table 5C1E-LFNO'!Print_Titles</vt:lpstr>
      <vt:lpstr>'Table 5C1F-Lake Charles Charter'!Print_Titles</vt:lpstr>
      <vt:lpstr>'Table 5C1G-JS Clark Academy'!Print_Titles</vt:lpstr>
      <vt:lpstr>'Table 5C1H-Southwest LA Charter'!Print_Titles</vt:lpstr>
      <vt:lpstr>'Table 5C1J-LA Key Academy'!Print_Titles</vt:lpstr>
      <vt:lpstr>'Table 5C1K-Jefferson Chamber'!Print_Titles</vt:lpstr>
      <vt:lpstr>'Table 5C1L-Tallulah Charter'!Print_Titles</vt:lpstr>
      <vt:lpstr>'Table 5C1M-Northshore Charter'!Print_Titles</vt:lpstr>
      <vt:lpstr>'Table 5C1N-EBR Charter'!Print_Titles</vt:lpstr>
      <vt:lpstr>'Table 5C1O-Lake Charles HS'!Print_Titles</vt:lpstr>
      <vt:lpstr>'Table 5C1P-Delta Charter'!Print_Titles</vt:lpstr>
      <vt:lpstr>'Table 5C2 - LA Virtual Admy'!Print_Titles</vt:lpstr>
      <vt:lpstr>'Table 5C3 - LA Connections EBR'!Print_Titles</vt:lpstr>
      <vt:lpstr>'Table 5D1 - New Vision'!Print_Titles</vt:lpstr>
      <vt:lpstr>'Table 5D2 - Glencoe'!Print_Titles</vt:lpstr>
      <vt:lpstr>'Table 5D3 - International'!Print_Titles</vt:lpstr>
      <vt:lpstr>'Table 5D4 - Avoyelles'!Print_Titles</vt:lpstr>
      <vt:lpstr>'Table 5D5 - Delhi'!Print_Titles</vt:lpstr>
      <vt:lpstr>'Table 5D6 - Milestone'!Print_Titles</vt:lpstr>
      <vt:lpstr>'Table 5D7 - Max'!Print_Titles</vt:lpstr>
      <vt:lpstr>'Table 5D8 - Belle Chasse'!Print_Titles</vt:lpstr>
      <vt:lpstr>'Table 5E_OJJ'!Print_Titles</vt:lpstr>
      <vt:lpstr>'Table 5F Scholarships '!Print_Titles</vt:lpstr>
      <vt:lpstr>'Table 6 (Local Deduct Calc.)'!Print_Titles</vt:lpstr>
      <vt:lpstr>'Table 7 Local Revenue'!Print_Titles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Cstevens</dc:creator>
  <cp:lastModifiedBy>Paula Matherne</cp:lastModifiedBy>
  <cp:lastPrinted>2013-03-15T21:50:14Z</cp:lastPrinted>
  <dcterms:created xsi:type="dcterms:W3CDTF">1999-11-15T20:37:39Z</dcterms:created>
  <dcterms:modified xsi:type="dcterms:W3CDTF">2013-03-20T16:33:40Z</dcterms:modified>
</cp:coreProperties>
</file>